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Default Extension="emf" ContentType="image/x-emf"/>
  <Default Extension="jpeg" ContentType="image/jpeg"/>
  <Default Extension="png" ContentType="image/png"/>
  <Default Extension="tif" ContentType="image/tiff"/>
  <Override PartName="/xl/styles.xml" ContentType="application/vnd.openxmlformats-officedocument.spreadsheetml.styles+xml"/>
  <Override PartName="/xl/worksheets/sheet1.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ms-office.chartex+xml"/>
  <Override PartName="/xl/charts/style5.xml" ContentType="application/vnd.ms-office.chartstyle+xml"/>
  <Override PartName="/xl/charts/colors5.xml" ContentType="application/vnd.ms-office.chartcolorstyle+xml"/>
  <Override PartName="/xl/drawings/drawing1.xml" ContentType="application/vnd.openxmlformats-officedocument.drawing+xml"/>
  <Default Extension="vml" ContentType="application/vnd.openxmlformats-officedocument.vmlDrawing"/>
  <Default Extension="bin" ContentType="application/vnd.openxmlformats-officedocument.spreadsheetml.printerSettings"/>
  <Override PartName="/xl/worksheets/sheet2.xml" ContentType="application/vnd.openxmlformats-officedocument.spreadsheetml.worksheet+xml"/>
  <Override PartName="/xl/tables/table1.xml" ContentType="application/vnd.openxmlformats-officedocument.spreadsheetml.table+xml"/>
  <Override PartName="/xl/charts/chart6.xml" ContentType="application/vnd.openxmlformats-officedocument.drawingml.chart+xml"/>
  <Override PartName="/xl/drawings/drawing2.xml" ContentType="application/vnd.openxmlformats-officedocument.drawingml.chartshapes+xml"/>
  <Override PartName="/xl/charts/chart7.xml" ContentType="application/vnd.openxmlformats-officedocument.drawingml.chart+xml"/>
  <Override PartName="/xl/drawings/drawing3.xml" ContentType="application/vnd.openxmlformats-officedocument.drawingml.chartshapes+xml"/>
  <Override PartName="/xl/charts/chart8.xml" ContentType="application/vnd.openxmlformats-officedocument.drawingml.chart+xml"/>
  <Override PartName="/xl/drawings/drawing4.xml" ContentType="application/vnd.openxmlformats-officedocument.drawing+xml"/>
  <Override PartName="/xl/worksheets/sheet3.xml" ContentType="application/vnd.openxmlformats-officedocument.spreadsheetml.worksheet+xml"/>
  <Override PartName="/xl/drawings/drawing5.xml" ContentType="application/vnd.openxmlformats-officedocument.drawing+xml"/>
  <Override PartName="/xl/worksheets/sheet4.xml" ContentType="application/vnd.openxmlformats-officedocument.spreadsheetml.worksheet+xml"/>
  <Override PartName="/xl/drawings/drawing6.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tables/table2.xml" ContentType="application/vnd.openxmlformats-officedocument.spreadsheetml.table+xml"/>
  <Override PartName="/xl/drawings/drawing7.xml" ContentType="application/vnd.openxmlformats-officedocument.drawing+xml"/>
  <Override PartName="/xl/worksheets/sheet7.xml" ContentType="application/vnd.openxmlformats-officedocument.spreadsheetml.worksheet+xml"/>
  <Override PartName="/xl/comments8.xml" ContentType="application/vnd.openxmlformats-officedocument.spreadsheetml.comments+xml"/>
  <Override PartName="/xl/tables/table3.xml" ContentType="application/vnd.openxmlformats-officedocument.spreadsheetml.table+xml"/>
  <Override PartName="/xl/drawings/drawing8.xml" ContentType="application/vnd.openxmlformats-officedocument.drawing+xml"/>
  <Override PartName="/xl/worksheets/sheet8.xml" ContentType="application/vnd.openxmlformats-officedocument.spreadsheetml.worksheet+xml"/>
  <Override PartName="/xl/tables/table4.xml" ContentType="application/vnd.openxmlformats-officedocument.spreadsheetml.table+xml"/>
  <Override PartName="/xl/drawings/drawing9.xml" ContentType="application/vnd.openxmlformats-officedocument.drawing+xml"/>
  <Override PartName="/xl/worksheets/sheet9.xml" ContentType="application/vnd.openxmlformats-officedocument.spreadsheetml.worksheet+xml"/>
  <Override PartName="/xl/drawings/drawing10.xml" ContentType="application/vnd.openxmlformats-officedocument.drawing+xml"/>
  <Override PartName="/xl/worksheets/sheet10.xml" ContentType="application/vnd.openxmlformats-officedocument.spreadsheetml.worksheet+xml"/>
  <Override PartName="/xl/tables/table5.xml" ContentType="application/vnd.openxmlformats-officedocument.spreadsheetml.table+xml"/>
  <Override PartName="/xl/tables/table6.xml" ContentType="application/vnd.openxmlformats-officedocument.spreadsheetml.table+xml"/>
  <Override PartName="/xl/charts/chart9.xml" ContentType="application/vnd.openxmlformats-officedocument.drawingml.chart+xml"/>
  <Override PartName="/xl/drawings/drawing11.xml" ContentType="application/vnd.openxmlformats-officedocument.drawing+xml"/>
  <Override PartName="/xl/worksheets/sheet11.xml" ContentType="application/vnd.openxmlformats-officedocument.spreadsheetml.worksheet+xml"/>
  <Override PartName="/xl/comments12.xml" ContentType="application/vnd.openxmlformats-officedocument.spreadsheetml.comments+xml"/>
  <Override PartName="/xl/tables/table7.xml" ContentType="application/vnd.openxmlformats-officedocument.spreadsheetml.table+xml"/>
  <Override PartName="/xl/drawings/drawing12.xml" ContentType="application/vnd.openxmlformats-officedocument.drawing+xml"/>
  <Override PartName="/xl/worksheets/sheet12.xml" ContentType="application/vnd.openxmlformats-officedocument.spreadsheetml.worksheet+xml"/>
  <Override PartName="/xl/comments13.xml" ContentType="application/vnd.openxmlformats-officedocument.spreadsheetml.comments+xml"/>
  <Override PartName="/xl/tables/table8.xml" ContentType="application/vnd.openxmlformats-officedocument.spreadsheetml.table+xml"/>
  <Override PartName="/xl/drawings/drawing13.xml" ContentType="application/vnd.openxmlformats-officedocument.drawing+xml"/>
  <Override PartName="/xl/worksheets/sheet13.xml" ContentType="application/vnd.openxmlformats-officedocument.spreadsheetml.worksheet+xml"/>
  <Override PartName="/xl/comments14.xml" ContentType="application/vnd.openxmlformats-officedocument.spreadsheetml.comments+xml"/>
  <Override PartName="/xl/tables/table9.xml" ContentType="application/vnd.openxmlformats-officedocument.spreadsheetml.table+xml"/>
  <Override PartName="/xl/drawings/drawing14.xml" ContentType="application/vnd.openxmlformats-officedocument.drawing+xml"/>
  <Override PartName="/xl/worksheets/sheet14.xml" ContentType="application/vnd.openxmlformats-officedocument.spreadsheetml.worksheet+xml"/>
  <Override PartName="/xl/comments15.xml" ContentType="application/vnd.openxmlformats-officedocument.spreadsheetml.comments+xml"/>
  <Override PartName="/xl/tables/table10.xml" ContentType="application/vnd.openxmlformats-officedocument.spreadsheetml.table+xml"/>
  <Override PartName="/xl/drawings/drawing15.xml" ContentType="application/vnd.openxmlformats-officedocument.drawing+xml"/>
  <Override PartName="/xl/worksheets/sheet15.xml" ContentType="application/vnd.openxmlformats-officedocument.spreadsheetml.worksheet+xml"/>
  <Override PartName="/xl/comments16.xml" ContentType="application/vnd.openxmlformats-officedocument.spreadsheetml.comments+xml"/>
  <Override PartName="/xl/tables/table11.xml" ContentType="application/vnd.openxmlformats-officedocument.spreadsheetml.table+xml"/>
  <Override PartName="/xl/drawings/drawing16.xml" ContentType="application/vnd.openxmlformats-officedocument.drawing+xml"/>
  <Override PartName="/xl/worksheets/sheet16.xml" ContentType="application/vnd.openxmlformats-officedocument.spreadsheetml.worksheet+xml"/>
  <Override PartName="/xl/tables/table12.xml" ContentType="application/vnd.openxmlformats-officedocument.spreadsheetml.table+xml"/>
  <Override PartName="/xl/drawings/drawing17.xml" ContentType="application/vnd.openxmlformats-officedocument.drawing+xml"/>
  <Override PartName="/xl/worksheets/sheet17.xml" ContentType="application/vnd.openxmlformats-officedocument.spreadsheetml.worksheet+xml"/>
  <Override PartName="/xl/tables/table13.xml" ContentType="application/vnd.openxmlformats-officedocument.spreadsheetml.table+xml"/>
  <Override PartName="/xl/drawings/drawing18.xml" ContentType="application/vnd.openxmlformats-officedocument.drawing+xml"/>
  <Override PartName="/xl/worksheets/sheet18.xml" ContentType="application/vnd.openxmlformats-officedocument.spreadsheetml.worksheet+xml"/>
  <Override PartName="/xl/tables/table14.xml" ContentType="application/vnd.openxmlformats-officedocument.spreadsheetml.table+xml"/>
  <Override PartName="/xl/drawings/drawing19.xml" ContentType="application/vnd.openxmlformats-officedocument.drawing+xml"/>
  <Override PartName="/xl/worksheets/sheet19.xml" ContentType="application/vnd.openxmlformats-officedocument.spreadsheetml.worksheet+xml"/>
  <Override PartName="/xl/tables/table15.xml" ContentType="application/vnd.openxmlformats-officedocument.spreadsheetml.table+xml"/>
  <Override PartName="/xl/drawings/drawing20.xml" ContentType="application/vnd.openxmlformats-officedocument.drawing+xml"/>
  <Override PartName="/xl/worksheets/sheet20.xml" ContentType="application/vnd.openxmlformats-officedocument.spreadsheetml.worksheet+xml"/>
  <Override PartName="/xl/tables/table16.xml" ContentType="application/vnd.openxmlformats-officedocument.spreadsheetml.table+xml"/>
  <Override PartName="/xl/drawings/drawing21.xml" ContentType="application/vnd.openxmlformats-officedocument.drawing+xml"/>
  <Override PartName="/xl/worksheets/sheet21.xml" ContentType="application/vnd.openxmlformats-officedocument.spreadsheetml.worksheet+xml"/>
  <Override PartName="/xl/comments22.xml" ContentType="application/vnd.openxmlformats-officedocument.spreadsheetml.comments+xml"/>
  <Override PartName="/xl/tables/table17.xml" ContentType="application/vnd.openxmlformats-officedocument.spreadsheetml.table+xml"/>
  <Override PartName="/xl/drawings/drawing22.xml" ContentType="application/vnd.openxmlformats-officedocument.drawing+xml"/>
  <Override PartName="/xl/worksheets/sheet22.xml" ContentType="application/vnd.openxmlformats-officedocument.spreadsheetml.worksheet+xml"/>
  <Override PartName="/xl/tables/table18.xml" ContentType="application/vnd.openxmlformats-officedocument.spreadsheetml.table+xml"/>
  <Override PartName="/xl/drawings/drawing23.xml" ContentType="application/vnd.openxmlformats-officedocument.drawing+xml"/>
  <Override PartName="/xl/worksheets/sheet23.xml" ContentType="application/vnd.openxmlformats-officedocument.spreadsheetml.worksheet+xml"/>
  <Override PartName="/xl/comments24.xml" ContentType="application/vnd.openxmlformats-officedocument.spreadsheetml.comments+xml"/>
  <Override PartName="/xl/tables/table19.xml" ContentType="application/vnd.openxmlformats-officedocument.spreadsheetml.table+xml"/>
  <Override PartName="/xl/drawings/drawing24.xml" ContentType="application/vnd.openxmlformats-officedocument.drawing+xml"/>
  <Override PartName="/xl/worksheets/sheet24.xml" ContentType="application/vnd.openxmlformats-officedocument.spreadsheetml.worksheet+xml"/>
  <Override PartName="/xl/comments25.xml" ContentType="application/vnd.openxmlformats-officedocument.spreadsheetml.comments+xml"/>
  <Override PartName="/xl/tables/table20.xml" ContentType="application/vnd.openxmlformats-officedocument.spreadsheetml.table+xml"/>
  <Override PartName="/xl/drawings/drawing25.xml" ContentType="application/vnd.openxmlformats-officedocument.drawing+xml"/>
  <Override PartName="/xl/worksheets/sheet25.xml" ContentType="application/vnd.openxmlformats-officedocument.spreadsheetml.worksheet+xml"/>
  <Override PartName="/xl/drawings/drawing26.xml" ContentType="application/vnd.openxmlformats-officedocument.drawing+xml"/>
  <Override PartName="/xl/worksheets/sheet26.xml" ContentType="application/vnd.openxmlformats-officedocument.spreadsheetml.worksheet+xml"/>
  <Override PartName="/xl/drawings/drawing27.xml" ContentType="application/vnd.openxmlformats-officedocument.drawing+xml"/>
  <Override PartName="/xl/worksheets/sheet27.xml" ContentType="application/vnd.openxmlformats-officedocument.spreadsheetml.worksheet+xml"/>
  <Override PartName="/xl/drawings/drawing28.xml" ContentType="application/vnd.openxmlformats-officedocument.drawing+xml"/>
  <Override PartName="/xl/worksheets/sheet28.xml" ContentType="application/vnd.openxmlformats-officedocument.spreadsheetml.worksheet+xml"/>
  <Override PartName="/xl/drawings/drawing29.xml" ContentType="application/vnd.openxmlformats-officedocument.drawing+xml"/>
  <Override PartName="/xl/worksheets/sheet29.xml" ContentType="application/vnd.openxmlformats-officedocument.spreadsheetml.worksheet+xml"/>
  <Override PartName="/xl/drawings/drawing30.xml" ContentType="application/vnd.openxmlformats-officedocument.drawing+xml"/>
  <Override PartName="/xl/worksheets/sheet30.xml" ContentType="application/vnd.openxmlformats-officedocument.spreadsheetml.worksheet+xml"/>
  <Override PartName="/xl/sharedStrings.xml" ContentType="application/vnd.openxmlformats-officedocument.spreadsheetml.sharedStrings+xml"/>
  <Override PartName="/xl/externalLinks/externalLink1.xml" ContentType="application/vnd.openxmlformats-officedocument.spreadsheetml.externalLink+xml"/>
  <Default Extension="wdp" ContentType="image/vnd.ms-photo"/>
  <Override PartName="/xl/metadata.xml" ContentType="application/vnd.openxmlformats-officedocument.spreadsheetml.sheetMetadata+xml"/>
  <Override PartName="/xl/calcChain.xml" ContentType="application/vnd.openxmlformats-officedocument.spreadsheetml.calcChain+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C:\Users\IvaVelinova\Downloads\"/>
    </mc:Choice>
  </mc:AlternateContent>
  <bookViews>
    <workbookView xWindow="-120" yWindow="-120" windowWidth="29040" windowHeight="15720" firstSheet="1" activeTab="25"/>
  </bookViews>
  <sheets>
    <sheet name="Project Details" sheetId="32" state="hidden" r:id="rId3"/>
    <sheet name="Dashboard" sheetId="3" r:id="rId4"/>
    <sheet name="Validations" sheetId="26" r:id="rId5"/>
    <sheet name="vp" sheetId="28" r:id="rId6"/>
    <sheet name="Contents" sheetId="9" r:id="rId7"/>
    <sheet name="Sheet1" sheetId="33" state="hidden" r:id="rId8"/>
    <sheet name="02.01 dashboard calc" sheetId="4" state="hidden" r:id="rId9"/>
    <sheet name="02.02 dashboard calc" sheetId="5" state="hidden" r:id="rId10"/>
    <sheet name="06.01 dashboard calc" sheetId="6" state="hidden" r:id="rId11"/>
    <sheet name="Controls" sheetId="7" state="hidden" r:id="rId12"/>
    <sheet name="Мap dashboard calc" sheetId="8" state="hidden" r:id="rId13"/>
    <sheet name="B_01.01.B 01.01" sheetId="11" r:id="rId14"/>
    <sheet name="B_01.02.B 01.02" sheetId="12" r:id="rId15"/>
    <sheet name="B_01.03.B 01.03" sheetId="13" r:id="rId16"/>
    <sheet name="B_05.01.B 05.01" sheetId="14" r:id="rId17"/>
    <sheet name="B_02.01.B 02.01" sheetId="15" r:id="rId18"/>
    <sheet name="B_02.02.B 02.02" sheetId="16" r:id="rId19"/>
    <sheet name="B_02.03.B 02.03" sheetId="17" r:id="rId20"/>
    <sheet name="B_03.01.B 03.01" sheetId="18" r:id="rId21"/>
    <sheet name="B_03.02.B 03.02" sheetId="19" r:id="rId22"/>
    <sheet name="B_03.03.B 03.03" sheetId="20" r:id="rId23"/>
    <sheet name="B_04.01.B 04.01" sheetId="21" r:id="rId24"/>
    <sheet name="B_05.02.B 05.02" sheetId="22" r:id="rId25"/>
    <sheet name="B_06.01.B 06.01" sheetId="23" r:id="rId26"/>
    <sheet name="B_07.01.B 07.01" sheetId="24" r:id="rId27"/>
    <sheet name="B_99.01.B 99.01" sheetId="25" r:id="rId28"/>
    <sheet name="vcat" sheetId="27" state="hidden" r:id="rId29"/>
    <sheet name="images" sheetId="29" state="hidden" r:id="rId30"/>
    <sheet name="images-db" sheetId="34" state="hidden" r:id="rId31"/>
    <sheet name="Validation Results" sheetId="30" state="hidden" r:id="rId32"/>
  </sheets>
  <externalReferences>
    <externalReference r:id="rId34"/>
  </externalReferences>
  <definedNames>
    <definedName name="_xlnm._FilterDatabase" localSheetId="26" hidden="1">vcat!$A$1:$D$114</definedName>
    <definedName name="_xlnm._FilterDatabase">vcat!$A$1:$D$114</definedName>
    <definedName name="_xlchart.v1.0" hidden="1">'02.01 dashboard calc'!$D$8</definedName>
    <definedName name="_xlchart.v1.1" hidden="1">'02.01 dashboard calc'!$D$8:$D$8</definedName>
    <definedName name="_xlchart.v1.10" hidden="1">'02.01 dashboard calc'!$D$8</definedName>
    <definedName name="_xlchart.v1.11" hidden="1">'02.01 dashboard calc'!$D$8:$D$8</definedName>
    <definedName name="_xlchart.v1.12" hidden="1">'02.01 dashboard calc'!$E$8</definedName>
    <definedName name="_xlchart.v1.13" hidden="1">'02.01 dashboard calc'!$E$8:$E$8</definedName>
    <definedName name="_xlchart.v1.2" hidden="1">'02.01 dashboard calc'!$E$8</definedName>
    <definedName name="_xlchart.v1.3" hidden="1">'02.01 dashboard calc'!$E$8:$E$8</definedName>
    <definedName name="_xlchart.v1.4" hidden="1">Sheet1!$B$4</definedName>
    <definedName name="_xlchart.v1.5" hidden="1">Sheet1!$B$5:$B$12</definedName>
    <definedName name="_xlchart.v1.6" hidden="1">Sheet1!$C$2</definedName>
    <definedName name="_xlchart.v1.7" hidden="1">Sheet1!$C$3:$C$12</definedName>
    <definedName name="_xlchart.v1.8" hidden="1">Sheet1!$C$4</definedName>
    <definedName name="_xlchart.v1.9" hidden="1">Sheet1!$C$5:$C$12</definedName>
    <definedName name="anscount">1</definedName>
    <definedName name="Contracts">'images-db'!$B$5</definedName>
    <definedName name="Empty" localSheetId="27">images!$E$2</definedName>
    <definedName name="Empty">images!$E$2</definedName>
    <definedName name="Empty_DB">'images-db'!$E$2</definedName>
    <definedName name="etjetyjetyjetyj" localSheetId="28" hidden="1">{"'RamoVita-mo'!$B$1:$J$85"}</definedName>
    <definedName name="etjetyjetyjetyj">{"'RamoVita-mo'!$B$1:$J$85"}</definedName>
    <definedName name="Fail" localSheetId="27">images!$D$2</definedName>
    <definedName name="Fail">images!$D$2</definedName>
    <definedName name="Fail_DB">'images-db'!$D$2</definedName>
    <definedName name="h">2</definedName>
    <definedName name="HTML_CodePage">1252</definedName>
    <definedName name="HTML_Control" localSheetId="28" hidden="1">{"'RamoVita-mo'!$B$1:$J$85"}</definedName>
    <definedName name="HTML_Control">{"'RamoVita-mo'!$B$1:$J$85"}</definedName>
    <definedName name="HTML_Description">""</definedName>
    <definedName name="HTML_Email">""</definedName>
    <definedName name="HTML_Header">"RamoVita-mo"</definedName>
    <definedName name="HTML_LastUpdate">"16/05/01"</definedName>
    <definedName name="HTML_LineAfter">FALSE</definedName>
    <definedName name="HTML_LineBefore">FALSE</definedName>
    <definedName name="HTML_Name">"Ziani"</definedName>
    <definedName name="HTML_OBDlg2">TRUE</definedName>
    <definedName name="HTML_OBDlg4">TRUE</definedName>
    <definedName name="HTML_OS">0</definedName>
    <definedName name="HTML_PathFile">"C:\AG 98 - SPCG\RPT dati Ramo Vita - 2001-1.htm"</definedName>
    <definedName name="HTML_Title">"RPT dati Ramo Vita - 2001-1"</definedName>
    <definedName name="MsgDescription" localSheetId="27">images!$K$2</definedName>
    <definedName name="MsgDescription" localSheetId="28">'images-db'!$K$2</definedName>
    <definedName name="MsgDescription" localSheetId="2">images!$K$2</definedName>
    <definedName name="MsgDescription">images!$K$2</definedName>
    <definedName name="No_contracts">'images-db'!$C$5</definedName>
    <definedName name="Pal_Workbook_GUID">"YX4DEBZKGSFL59TIVXFHLD8Z"</definedName>
    <definedName name="Pass" localSheetId="27">images!$B$2</definedName>
    <definedName name="Pass">images!$B$2</definedName>
    <definedName name="Pass_DB">'images-db'!$B$2</definedName>
    <definedName name="Picture" localSheetId="2">INDIRECT(images!$A$1)</definedName>
    <definedName name="Picture">INDIRECT(images!$A$1)</definedName>
    <definedName name="Picture_db" localSheetId="28">INDIRECT('images-db'!$A$1)</definedName>
    <definedName name="Picture_expiry">INDIRECT('images-db'!$A$1)</definedName>
    <definedName name="Picture_inside">INDIRECT('images-db'!$A$4)</definedName>
    <definedName name="PictureFormula" localSheetId="28">INDIRECT('images-db'!$A$1)</definedName>
    <definedName name="PictureFormula">INDIRECT(images!$A$1)</definedName>
    <definedName name="ukil" localSheetId="28" hidden="1">{"'RamoVita-mo'!$B$1:$J$85"}</definedName>
    <definedName name="ukil">{"'RamoVita-mo'!$B$1:$J$85"}</definedName>
    <definedName name="vpB_01.01">vp!$C$21</definedName>
    <definedName name="vpB_01.02">vp!$C$22</definedName>
    <definedName name="vpB_01.03">vp!$C$23</definedName>
    <definedName name="vpB_02.01">vp!$C$24</definedName>
    <definedName name="vpB_02.02">vp!$C$25</definedName>
    <definedName name="vpB_02.03">vp!$C$26</definedName>
    <definedName name="vpB_03.01">vp!$C$27</definedName>
    <definedName name="vpB_03.02">vp!$C$28</definedName>
    <definedName name="vpB_03.03">vp!$C$29</definedName>
    <definedName name="vpB_04.01">vp!$C$30</definedName>
    <definedName name="vpB_05.01">vp!$C$31</definedName>
    <definedName name="vpB_05.02">vp!$C$32</definedName>
    <definedName name="vpB_06.01">vp!$C$33</definedName>
    <definedName name="vpB_07.01">vp!$C$34</definedName>
    <definedName name="vpB_99.01">vp!$C$35</definedName>
    <definedName name="vpdefault">vp!$C$36</definedName>
    <definedName name="Warning" localSheetId="27">images!$C$2</definedName>
    <definedName name="Warning">images!$C$2</definedName>
    <definedName name="Warning_DB">'images-db'!$C$2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8" i="3" l="1"/>
</calcChain>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Z14" authorId="0" shapeId="0" xr:uid="{00000000-0006-0000-0600-000001000000}">
      <text>
        <r>
          <rPr>
            <b/>
            <sz val="9"/>
            <rFont val="Tahoma"/>
            <family val="2"/>
          </rPr>
          <t>{*, C0120} = (null)</t>
        </r>
      </text>
    </comment>
    <comment ref="AA14" authorId="0" shapeId="0" xr:uid="{00000000-0006-0000-0600-000002000000}">
      <text>
        <r>
          <rPr>
            <b/>
            <sz val="9"/>
            <rFont val="Tahoma"/>
            <family val="2"/>
          </rPr>
          <t>{*, C0130} = (null)</t>
        </r>
      </text>
    </comment>
    <comment ref="AB14" authorId="0" shapeId="0" xr:uid="{00000000-0006-0000-0600-000003000000}">
      <text>
        <r>
          <rPr>
            <b/>
            <sz val="9"/>
            <rFont val="Tahoma"/>
            <family val="2"/>
          </rPr>
          <t>{*, C0150} = (null)</t>
        </r>
      </text>
    </comment>
    <comment ref="AC14" authorId="0" shapeId="0" xr:uid="{00000000-0006-0000-0600-000004000000}">
      <text>
        <r>
          <rPr>
            <b/>
            <sz val="9"/>
            <rFont val="Tahoma"/>
            <family val="2"/>
          </rPr>
          <t>{*, C0160} = (null)</t>
        </r>
      </text>
    </comment>
    <comment ref="AD14" authorId="0" shapeId="0" xr:uid="{00000000-0006-0000-0600-000005000000}">
      <text>
        <r>
          <rPr>
            <b/>
            <sz val="9"/>
            <rFont val="Tahoma"/>
            <family val="2"/>
          </rPr>
          <t>{*, C0180} = (null)</t>
        </r>
      </text>
    </comment>
    <comment ref="AE14" authorId="0" shapeId="0" xr:uid="{00000000-0006-0000-0600-000006000000}">
      <text>
        <r>
          <rPr>
            <b/>
            <sz val="9"/>
            <rFont val="Tahoma"/>
            <family val="2"/>
          </rPr>
          <t>{*, C0090} = (null)</t>
        </r>
      </text>
    </comment>
    <comment ref="AF14" authorId="0" shapeId="0" xr:uid="{00000000-0006-0000-0600-000007000000}">
      <text>
        <r>
          <rPr>
            <b/>
            <sz val="9"/>
            <rFont val="Tahoma"/>
            <family val="2"/>
          </rPr>
          <t>{*, C0170} = (null)</t>
        </r>
      </text>
    </comment>
    <comment ref="AG14" authorId="0" shapeId="0" xr:uid="{00000000-0006-0000-0600-000008000000}">
      <text>
        <r>
          <rPr>
            <b/>
            <sz val="9"/>
            <rFont val="Tahoma"/>
            <family val="2"/>
          </rPr>
          <t>{*, C0140} = (null)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H6" authorId="0" shapeId="0" xr:uid="{00000000-0006-0000-0A00-000001000000}">
      <text>
        <r>
          <rPr>
            <b/>
            <sz val="9"/>
            <rFont val="Tahoma"/>
            <family val="2"/>
          </rPr>
          <t>{*, C0040} = (null)</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M6" authorId="0" shapeId="0" xr:uid="{00000000-0006-0000-0B00-000001000000}">
      <text>
        <r>
          <rPr>
            <b/>
            <sz val="9"/>
            <rFont val="Tahoma"/>
            <family val="2"/>
          </rPr>
          <t>{*, C0050} = (null)</t>
        </r>
      </text>
    </comment>
    <comment ref="N6" authorId="0" shapeId="0" xr:uid="{00000000-0006-0000-0B00-000002000000}">
      <text>
        <r>
          <rPr>
            <b/>
            <sz val="9"/>
            <rFont val="Tahoma"/>
            <family val="2"/>
          </rPr>
          <t>{*, C0040} = (null)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F6" authorId="0" shapeId="0" xr:uid="{00000000-0006-0000-0C00-000001000000}">
      <text>
        <r>
          <rPr>
            <b/>
            <sz val="9"/>
            <rFont val="Tahoma"/>
            <family val="2"/>
          </rPr>
          <t>{*, C0040} = (null)</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K6" authorId="0" shapeId="0" xr:uid="{00000000-0006-0000-0D00-000001000000}">
      <text>
        <r>
          <rPr>
            <b/>
            <sz val="9"/>
            <rFont val="Tahoma"/>
            <family val="2"/>
          </rPr>
          <t>{*, C0040} = (null)</t>
        </r>
      </text>
    </comment>
    <comment ref="L6" authorId="0" shapeId="0" xr:uid="{00000000-0006-0000-0D00-000002000000}">
      <text>
        <r>
          <rPr>
            <b/>
            <sz val="9"/>
            <rFont val="Tahoma"/>
            <family val="2"/>
          </rPr>
          <t>{*, C0050} = (null)</t>
        </r>
      </text>
    </comment>
    <comment ref="M6" authorId="0" shapeId="0" xr:uid="{00000000-0006-0000-0D00-000003000000}">
      <text>
        <r>
          <rPr>
            <b/>
            <sz val="9"/>
            <rFont val="Tahoma"/>
            <family val="2"/>
          </rPr>
          <t>{*, C0040} = (null)</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G6" authorId="0" shapeId="0" xr:uid="{00000000-0006-0000-0E00-000001000000}">
      <text>
        <r>
          <rPr>
            <b/>
            <sz val="9"/>
            <rFont val="Tahoma"/>
            <family val="2"/>
          </rPr>
          <t>{*, C0040} = (null)</t>
        </r>
      </text>
    </comment>
    <comment ref="H6" authorId="0" shapeId="0" xr:uid="{00000000-0006-0000-0E00-000002000000}">
      <text>
        <r>
          <rPr>
            <b/>
            <sz val="9"/>
            <rFont val="Tahoma"/>
            <family val="2"/>
          </rPr>
          <t>{*, C0020} = (null)</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s>
  <commentList>
    <comment ref="F6" authorId="0" shapeId="0" xr:uid="{00000000-0006-0000-1400-000001000000}">
      <text>
        <r>
          <rPr>
            <b/>
            <sz val="9"/>
            <rFont val="Tahoma"/>
            <family val="2"/>
          </rPr>
          <t>{*, C0030} = (null)</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authors>
  <commentList>
    <comment ref="L6" authorId="0" shapeId="0" xr:uid="{00000000-0006-0000-1600-000001000000}">
      <text>
        <r>
          <rPr>
            <b/>
            <sz val="9"/>
            <rFont val="Tahoma"/>
            <family val="2"/>
          </rPr>
          <t>{*, C0050} = (null)</t>
        </r>
      </text>
    </comment>
    <comment ref="M6" authorId="0" shapeId="0" xr:uid="{00000000-0006-0000-1600-000002000000}">
      <text>
        <r>
          <rPr>
            <b/>
            <sz val="9"/>
            <rFont val="Tahoma"/>
            <family val="2"/>
          </rPr>
          <t>{*, C0050} = (null)</t>
        </r>
      </text>
    </comment>
    <comment ref="N6" authorId="0" shapeId="0" xr:uid="{00000000-0006-0000-1600-000003000000}">
      <text>
        <r>
          <rPr>
            <b/>
            <sz val="9"/>
            <rFont val="Tahoma"/>
            <family val="2"/>
          </rPr>
          <t>{*, C0100} = (null)</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authors>
  <commentList>
    <comment ref="N6" authorId="0" shapeId="0" xr:uid="{00000000-0006-0000-1700-000001000000}">
      <text>
        <r>
          <rPr>
            <b/>
            <sz val="9"/>
            <rFont val="Tahoma"/>
            <family val="2"/>
          </rPr>
          <t>{*, C0050} = (null)</t>
        </r>
      </text>
    </comment>
    <comment ref="O6" authorId="0" shapeId="0" xr:uid="{00000000-0006-0000-1700-000002000000}">
      <text>
        <r>
          <rPr>
            <b/>
            <sz val="9"/>
            <rFont val="Tahoma"/>
            <family val="2"/>
          </rPr>
          <t>{*, C0060} = (null)</t>
        </r>
      </text>
    </comment>
    <comment ref="P6" authorId="0" shapeId="0" xr:uid="{00000000-0006-0000-1700-000003000000}">
      <text>
        <r>
          <rPr>
            <b/>
            <sz val="9"/>
            <rFont val="Tahoma"/>
            <family val="2"/>
          </rPr>
          <t>{*, C0090} = (null)</t>
        </r>
      </text>
    </comment>
    <comment ref="Q6" authorId="0" shapeId="0" xr:uid="{00000000-0006-0000-1700-000004000000}">
      <text>
        <r>
          <rPr>
            <b/>
            <sz val="9"/>
            <rFont val="Tahoma"/>
            <family val="2"/>
          </rPr>
          <t>{*, C0100} = (null)</t>
        </r>
      </text>
    </comment>
    <comment ref="R6" authorId="0" shapeId="0" xr:uid="{00000000-0006-0000-1700-000005000000}">
      <text>
        <r>
          <rPr>
            <b/>
            <sz val="9"/>
            <rFont val="Tahoma"/>
            <family val="2"/>
          </rPr>
          <t>{*, C0110} = (null)</t>
        </r>
      </text>
    </comment>
    <comment ref="S6" authorId="0" shapeId="0" xr:uid="{00000000-0006-0000-1700-000006000000}">
      <text>
        <r>
          <rPr>
            <b/>
            <sz val="9"/>
            <rFont val="Tahoma"/>
            <family val="2"/>
          </rPr>
          <t>{*, C0080} = (null)</t>
        </r>
      </text>
    </comment>
  </commentList>
</comments>
</file>

<file path=xl/metadata.xml><?xml version="1.0" encoding="utf-8"?>
<metadata xmlns="http://schemas.openxmlformats.org/spreadsheetml/2006/main" xmlns:xda="http://schemas.microsoft.com/office/spreadsheetml/2017/dynamicarray" xmlns:xlrd="http://schemas.microsoft.com/office/spreadsheetml/2017/richdata">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<sst xmlns="http://schemas.openxmlformats.org/spreadsheetml/2006/main" count="1662" uniqueCount="726">
  <si>
    <t>Contractual arrangement reference number</t>
  </si>
  <si>
    <t>Description</t>
  </si>
  <si>
    <t>Annual expense or estimated cost of the contractual arrangement for the past year</t>
  </si>
  <si>
    <t>0010</t>
  </si>
  <si>
    <t>description</t>
  </si>
  <si>
    <t>0050</t>
  </si>
  <si>
    <t>Ranking</t>
  </si>
  <si>
    <t>CRZ: Contractual arrangement reference number between the financial entity or, in case of a group, the group subsidiary and the direct ICT third-party service provider</t>
  </si>
  <si>
    <t>Metric: Annual expense or estimated cost</t>
  </si>
  <si>
    <t>*key*</t>
  </si>
  <si>
    <t>Grey</t>
  </si>
  <si>
    <t>Color</t>
  </si>
  <si>
    <t>Days before expiry,for which to be included in the table</t>
  </si>
  <si>
    <t>Number of contracts expiring in 45 days</t>
  </si>
  <si>
    <t>Type of ICT services</t>
  </si>
  <si>
    <t>Identification code of the ICT third-party service provider</t>
  </si>
  <si>
    <t>Type of code to identify the ICT third-party service provider</t>
  </si>
  <si>
    <t>LEI of the entity making use of the ICT service(s)</t>
  </si>
  <si>
    <t>Function identifier</t>
  </si>
  <si>
    <t>Start date of the contractual arrangement</t>
  </si>
  <si>
    <t>End date of the contractual arrangement</t>
  </si>
  <si>
    <t>Reason of the termination or ending of the contractual arrangement</t>
  </si>
  <si>
    <t>Notice period for the financial entity making use of the ICT service(s)</t>
  </si>
  <si>
    <t>Notice period for the ICT third-party service provider</t>
  </si>
  <si>
    <t>Date that the notice period expires</t>
  </si>
  <si>
    <t>Should it be included  into the notice period active list</t>
  </si>
  <si>
    <t>Numbering for the notice period expiry list</t>
  </si>
  <si>
    <t>Country of the governing law of the contractual arrangement</t>
  </si>
  <si>
    <t>Country of provision of the ICT services</t>
  </si>
  <si>
    <t>Storage of data</t>
  </si>
  <si>
    <t>Location of the data at rest (storage)</t>
  </si>
  <si>
    <t>Location of management of the data (processing)</t>
  </si>
  <si>
    <t>Sensitiveness of the data stored by the ICT third-party service provider</t>
  </si>
  <si>
    <t>Level of reliance on the ICT service supporting the critical or important function.</t>
  </si>
  <si>
    <t>Value of contract</t>
  </si>
  <si>
    <t>0060</t>
  </si>
  <si>
    <t>0030</t>
  </si>
  <si>
    <t>0040</t>
  </si>
  <si>
    <t>0020</t>
  </si>
  <si>
    <t>0051</t>
  </si>
  <si>
    <t>0070</t>
  </si>
  <si>
    <t>0080</t>
  </si>
  <si>
    <t>0090</t>
  </si>
  <si>
    <t>0100</t>
  </si>
  <si>
    <t>0110</t>
  </si>
  <si>
    <t>0110_date</t>
  </si>
  <si>
    <t>0111</t>
  </si>
  <si>
    <t>0112</t>
  </si>
  <si>
    <t>0120</t>
  </si>
  <si>
    <t>0130</t>
  </si>
  <si>
    <t>0140</t>
  </si>
  <si>
    <t>0150</t>
  </si>
  <si>
    <t>0160</t>
  </si>
  <si>
    <t>0170</t>
  </si>
  <si>
    <t>0180</t>
  </si>
  <si>
    <t>190</t>
  </si>
  <si>
    <t>TYA/All members [eba_TA4]</t>
  </si>
  <si>
    <t>ICT: Identification code of the ICT third-party service provider</t>
  </si>
  <si>
    <t>TIM: Type of code used in ICT TPP to identify the ICT third-party service provider</t>
  </si>
  <si>
    <t>LES: Lei code of the entity making use</t>
  </si>
  <si>
    <t>IOB: Identifier of the operational/business function of an entity</t>
  </si>
  <si>
    <t>Metric: Start date</t>
  </si>
  <si>
    <t>Metric: End date</t>
  </si>
  <si>
    <t>Metric: Reason for contract termination</t>
  </si>
  <si>
    <t>Metric: Notice period for termination</t>
  </si>
  <si>
    <t>Metric: Country the law of which governs the contract</t>
  </si>
  <si>
    <t>Metric: Country where a service/activity is provided</t>
  </si>
  <si>
    <t>Metric: Storage of data</t>
  </si>
  <si>
    <t>Metric: Data sensitivness</t>
  </si>
  <si>
    <t>Metric: Level of reliance on the service</t>
  </si>
  <si>
    <t>RCA/User</t>
  </si>
  <si>
    <t>RCA/Provider</t>
  </si>
  <si>
    <t>NAT/ICT services</t>
  </si>
  <si>
    <t>NAT/storage (data at rest)</t>
  </si>
  <si>
    <t>NAT/processing (management of data)</t>
  </si>
  <si>
    <t>VENEZUELA, BOLIVARIAN REPUBLIC OF</t>
  </si>
  <si>
    <t>URUGUAY</t>
  </si>
  <si>
    <t>SURINAME</t>
  </si>
  <si>
    <t>In EU</t>
  </si>
  <si>
    <t>PERU</t>
  </si>
  <si>
    <t>Africa</t>
  </si>
  <si>
    <t>Asia</t>
  </si>
  <si>
    <t>North America</t>
  </si>
  <si>
    <t>South America</t>
  </si>
  <si>
    <t>PARAGUAY</t>
  </si>
  <si>
    <t>GUYANA</t>
  </si>
  <si>
    <t>Y</t>
  </si>
  <si>
    <t>Elsewhere</t>
  </si>
  <si>
    <t>FRENCH GUIANA</t>
  </si>
  <si>
    <t>FALKLAND ISLANDS (MALVINAS)</t>
  </si>
  <si>
    <t>ECUADOR</t>
  </si>
  <si>
    <t>COLOMBIA</t>
  </si>
  <si>
    <t>CHILE</t>
  </si>
  <si>
    <t>BRAZIL</t>
  </si>
  <si>
    <t>BOLIVIA, PLURINATIONAL STATE OF</t>
  </si>
  <si>
    <t>ARGENTINA</t>
  </si>
  <si>
    <t>VIRGIN ISLANDS, U.S.</t>
  </si>
  <si>
    <t>VIRGIN ISLANDS, BRITISH</t>
  </si>
  <si>
    <t>UNITED STATES MINOR OUTLYING ISLANDS</t>
  </si>
  <si>
    <t>UNITED STATES</t>
  </si>
  <si>
    <t>TURKS AND CAICOS ISLANDS</t>
  </si>
  <si>
    <t>TRINIDAD AND TOBAGO</t>
  </si>
  <si>
    <t>SAINT VINCENT AND THE GRENADINES</t>
  </si>
  <si>
    <t>SAINT PIERRE AND MIQUELON</t>
  </si>
  <si>
    <t>SAINT MARTIN (FRENCH PART)</t>
  </si>
  <si>
    <t>SAINT LUCIA</t>
  </si>
  <si>
    <t>SAINT KITTS AND NEVIS</t>
  </si>
  <si>
    <t>SAINT BARTHÉLEMY</t>
  </si>
  <si>
    <t>PUERTO RICO</t>
  </si>
  <si>
    <t>PANAMA</t>
  </si>
  <si>
    <t>NICARAGUA</t>
  </si>
  <si>
    <t>MONTSERRAT</t>
  </si>
  <si>
    <t>MEXICO</t>
  </si>
  <si>
    <t>MARTINIQUE</t>
  </si>
  <si>
    <t>JAMAICA</t>
  </si>
  <si>
    <t>HONDURAS</t>
  </si>
  <si>
    <t>HAITI</t>
  </si>
  <si>
    <t>GUATEMALA</t>
  </si>
  <si>
    <t>GUADELOUPE</t>
  </si>
  <si>
    <t>GRENADA</t>
  </si>
  <si>
    <t>EL SALVADOR</t>
  </si>
  <si>
    <t>DOMINICAN REPUBLIC</t>
  </si>
  <si>
    <t>DOMINICA</t>
  </si>
  <si>
    <t>CURAÇAO</t>
  </si>
  <si>
    <t>BELARUS</t>
  </si>
  <si>
    <t>CUBA</t>
  </si>
  <si>
    <t>COSTA RICA</t>
  </si>
  <si>
    <t>CAYMAN ISLANDS</t>
  </si>
  <si>
    <t>CANADA</t>
  </si>
  <si>
    <t>BERMUDA</t>
  </si>
  <si>
    <t>BELIZE</t>
  </si>
  <si>
    <t>BARBADOS</t>
  </si>
  <si>
    <t>BAHAMAS</t>
  </si>
  <si>
    <t>ANTIGUA AND BARBUDA</t>
  </si>
  <si>
    <t>ANGUILLA</t>
  </si>
  <si>
    <t>YEMEN</t>
  </si>
  <si>
    <t>VIET NAM</t>
  </si>
  <si>
    <t>UZBEKISTAN</t>
  </si>
  <si>
    <t>UNITED ARAB EMIRATES</t>
  </si>
  <si>
    <t>TURKMENISTAN</t>
  </si>
  <si>
    <t>TIMOR-LESTE</t>
  </si>
  <si>
    <t>THAILAND</t>
  </si>
  <si>
    <t>TAJIKISTAN</t>
  </si>
  <si>
    <t>SYRIAN ARAB REPUBLIC</t>
  </si>
  <si>
    <t>SRI LANKA</t>
  </si>
  <si>
    <t>SINGAPORE</t>
  </si>
  <si>
    <t>SAUDI ARABIA</t>
  </si>
  <si>
    <t>QATAR</t>
  </si>
  <si>
    <t>PHILIPPINES</t>
  </si>
  <si>
    <t>PALESTINIAN TERRITORY, OCCUPIED</t>
  </si>
  <si>
    <t>PAKISTAN</t>
  </si>
  <si>
    <t>OMAN</t>
  </si>
  <si>
    <t>NEPAL</t>
  </si>
  <si>
    <t>MYANMAR</t>
  </si>
  <si>
    <t>MONGOLIA</t>
  </si>
  <si>
    <t>MALDIVES</t>
  </si>
  <si>
    <t>MALAYSIA</t>
  </si>
  <si>
    <t>LEBANON</t>
  </si>
  <si>
    <t>LAO PEOPLE'S DEMOCRATIC REPUBLIC</t>
  </si>
  <si>
    <t>KYRGYZSTAN</t>
  </si>
  <si>
    <t>KUWAIT</t>
  </si>
  <si>
    <t>KOREA, REPUBLIC OF</t>
  </si>
  <si>
    <t>KOREA, DEMOCRATIC PEOPLE'S REPUBLIC OF</t>
  </si>
  <si>
    <t>KAZAKHSTAN</t>
  </si>
  <si>
    <t>JORDAN</t>
  </si>
  <si>
    <t>JAPAN</t>
  </si>
  <si>
    <t>ISRAEL</t>
  </si>
  <si>
    <t>IRAQ</t>
  </si>
  <si>
    <t>IRAN, ISLAMIC REPUBLIC OF</t>
  </si>
  <si>
    <t>INDONESIA</t>
  </si>
  <si>
    <t>INDIA</t>
  </si>
  <si>
    <t>HONG KONG</t>
  </si>
  <si>
    <t>GEORGIA</t>
  </si>
  <si>
    <t>CHINA</t>
  </si>
  <si>
    <t>CAMBODIA</t>
  </si>
  <si>
    <t>BRUNEI DARUSSALAM</t>
  </si>
  <si>
    <t>BHUTAN</t>
  </si>
  <si>
    <t>BANGLADESH</t>
  </si>
  <si>
    <t>BAHRAIN</t>
  </si>
  <si>
    <t>AZERBAIJAN</t>
  </si>
  <si>
    <t>ARMENIA</t>
  </si>
  <si>
    <t>AFGHANISTAN</t>
  </si>
  <si>
    <t>ZIMBABWE</t>
  </si>
  <si>
    <t>ZAMBIA</t>
  </si>
  <si>
    <t>UGANDA</t>
  </si>
  <si>
    <t>TUNISIA</t>
  </si>
  <si>
    <t>TOGO</t>
  </si>
  <si>
    <t>TANZANIA, UNITED REPUBLIC OF</t>
  </si>
  <si>
    <t>SUDAN</t>
  </si>
  <si>
    <t>SOUTH SUDAN</t>
  </si>
  <si>
    <t>SOUTH AFRICA</t>
  </si>
  <si>
    <t>SOMALIA</t>
  </si>
  <si>
    <t>SIERRA LEONE</t>
  </si>
  <si>
    <t>SEYCHELLES</t>
  </si>
  <si>
    <t>SENEGAL</t>
  </si>
  <si>
    <t>SAO TOME AND PRINCIPE</t>
  </si>
  <si>
    <t>RWANDA</t>
  </si>
  <si>
    <t>NIGERIA</t>
  </si>
  <si>
    <t>NIGER</t>
  </si>
  <si>
    <t>NAMIBIA</t>
  </si>
  <si>
    <t>MOZAMBIQUE</t>
  </si>
  <si>
    <t>MOROCCO</t>
  </si>
  <si>
    <t>MAURITIUS</t>
  </si>
  <si>
    <t>MAURITANIA</t>
  </si>
  <si>
    <t>MALI</t>
  </si>
  <si>
    <t>MALAWI</t>
  </si>
  <si>
    <t>MADAGASCAR</t>
  </si>
  <si>
    <t>LIBYA</t>
  </si>
  <si>
    <t>LIBERIA</t>
  </si>
  <si>
    <t>LESOTHO</t>
  </si>
  <si>
    <t>KENYA</t>
  </si>
  <si>
    <t>GUINEA-BISSAU</t>
  </si>
  <si>
    <t>GUINEA</t>
  </si>
  <si>
    <t>GHANA</t>
  </si>
  <si>
    <t>GAMBIA</t>
  </si>
  <si>
    <t>GABON</t>
  </si>
  <si>
    <t>ETHIOPIA</t>
  </si>
  <si>
    <t>ERITREA</t>
  </si>
  <si>
    <t>EQUATORIAL GUINEA</t>
  </si>
  <si>
    <t>EGYPT</t>
  </si>
  <si>
    <t>DJIBOUTI</t>
  </si>
  <si>
    <t>CÔTE D'IVOIRE</t>
  </si>
  <si>
    <t>CONGO</t>
  </si>
  <si>
    <t>COMOROS</t>
  </si>
  <si>
    <t>CHAD</t>
  </si>
  <si>
    <t>CENTRAL AFRICAN REPUBLIC</t>
  </si>
  <si>
    <t>CAMEROON</t>
  </si>
  <si>
    <t>BURUNDI</t>
  </si>
  <si>
    <t>BURKINA FASO</t>
  </si>
  <si>
    <t>BOTSWANA</t>
  </si>
  <si>
    <t>BENIN</t>
  </si>
  <si>
    <t>ANGOLA</t>
  </si>
  <si>
    <t>ALGERIA</t>
  </si>
  <si>
    <t>UNITED KINGDOM</t>
  </si>
  <si>
    <t>UKRAINE</t>
  </si>
  <si>
    <t>SWITZERLAND</t>
  </si>
  <si>
    <t>SERBIA</t>
  </si>
  <si>
    <t>SAN MARINO</t>
  </si>
  <si>
    <t>RUSSIAN FEDERATION</t>
  </si>
  <si>
    <t>NORWAY</t>
  </si>
  <si>
    <t>NORTH MACEDONIA</t>
  </si>
  <si>
    <t>MONTENEGRO</t>
  </si>
  <si>
    <t>MONACO</t>
  </si>
  <si>
    <t>MOLDOVA, REPUBLIC OF</t>
  </si>
  <si>
    <t>LIECHTENSTEIN</t>
  </si>
  <si>
    <t>KOSOVO</t>
  </si>
  <si>
    <t>JERSEY</t>
  </si>
  <si>
    <t>ISLE OF MAN</t>
  </si>
  <si>
    <t>ICELAND</t>
  </si>
  <si>
    <t>HOLY SEE (VATICAN CITY STATE)</t>
  </si>
  <si>
    <t>GREENLAND</t>
  </si>
  <si>
    <t>GIBRALTAR</t>
  </si>
  <si>
    <t>FAROE ISLANDS</t>
  </si>
  <si>
    <t>BOSNIA AND HERZEGOVINA</t>
  </si>
  <si>
    <t>ANDORRA</t>
  </si>
  <si>
    <t>ALBANIA</t>
  </si>
  <si>
    <t>Europe</t>
  </si>
  <si>
    <t>Non-EU Countries (Divided by Continent)</t>
  </si>
  <si>
    <t>SWEDEN</t>
  </si>
  <si>
    <t>SPAIN</t>
  </si>
  <si>
    <t>SLOVENIA</t>
  </si>
  <si>
    <t>SLOVAKIA</t>
  </si>
  <si>
    <t>ROMANIA</t>
  </si>
  <si>
    <t>PORTUGAL</t>
  </si>
  <si>
    <t>POLAND</t>
  </si>
  <si>
    <t>NETHERLANDS</t>
  </si>
  <si>
    <t>MALTA</t>
  </si>
  <si>
    <t>LUXEMBOURG</t>
  </si>
  <si>
    <t>LITHUANIA</t>
  </si>
  <si>
    <t>LATVIA</t>
  </si>
  <si>
    <t>ITALY</t>
  </si>
  <si>
    <t>IRELAND</t>
  </si>
  <si>
    <t>HUNGARY</t>
  </si>
  <si>
    <t>GREECE</t>
  </si>
  <si>
    <t>GERMANY</t>
  </si>
  <si>
    <t>FRANCE</t>
  </si>
  <si>
    <t>FINLAND</t>
  </si>
  <si>
    <t>ESTONIA</t>
  </si>
  <si>
    <t>DENMARK</t>
  </si>
  <si>
    <t>CZECH REPUBLIC</t>
  </si>
  <si>
    <t>CYPRUS</t>
  </si>
  <si>
    <t>CROATIA</t>
  </si>
  <si>
    <t>BULGARIA</t>
  </si>
  <si>
    <t>BELGIUM</t>
  </si>
  <si>
    <t>AUSTRIA</t>
  </si>
  <si>
    <t>European Union (EU) Countries</t>
  </si>
  <si>
    <t>X</t>
  </si>
  <si>
    <t>Country of data at rest</t>
  </si>
  <si>
    <t>In Europe</t>
  </si>
  <si>
    <t>Identifier</t>
  </si>
  <si>
    <t>Data location</t>
  </si>
  <si>
    <t>Target</t>
  </si>
  <si>
    <t>Controls</t>
  </si>
  <si>
    <r>
      <rPr>
        <sz val="16"/>
        <color theme="0" tint="-0.499879986047745"/>
        <rFont val="Calibri"/>
        <family val="2"/>
        <scheme val="minor"/>
      </rPr>
      <t xml:space="preserve">To Validations  </t>
    </r>
    <r>
      <rPr>
        <sz val="16"/>
        <color theme="0" tint="-0.499879986047745"/>
        <rFont val="Calibri"/>
        <family val="2"/>
      </rPr>
      <t>→</t>
    </r>
  </si>
  <si>
    <t xml:space="preserve">Expiry </t>
  </si>
  <si>
    <t>Contracts for which the notice period expires in the next 45 days</t>
  </si>
  <si>
    <t>#</t>
  </si>
  <si>
    <t>Contract code</t>
  </si>
  <si>
    <t>Notice period ending date</t>
  </si>
  <si>
    <t>Days to renew left</t>
  </si>
  <si>
    <t>Value</t>
  </si>
  <si>
    <t>Distribution</t>
  </si>
  <si>
    <t>Top 10</t>
  </si>
  <si>
    <t>List of top 10 contracts by value</t>
  </si>
  <si>
    <t>Criticality Assesment</t>
  </si>
  <si>
    <t>Location of data storage</t>
  </si>
  <si>
    <t>(B_02.01) RT.02.01: Contractual arrangements – General Information</t>
  </si>
  <si>
    <t>Type of contractual arrangement</t>
  </si>
  <si>
    <t>Overarching contractual arrangement reference number</t>
  </si>
  <si>
    <t>Currency of the amount reported in RT.02.01.0050</t>
  </si>
  <si>
    <t>Column Qualifiers</t>
  </si>
  <si>
    <t>Metric: Type of contractual arrangement</t>
  </si>
  <si>
    <t>Metric: Contractual arrangement reference number</t>
  </si>
  <si>
    <t>Metric: Code of the currency</t>
  </si>
  <si>
    <t>KTQ/Overarching arrangement</t>
  </si>
  <si>
    <t>FGT/Currency used to report annual expense or estimated cost</t>
  </si>
  <si>
    <t>(B_02.02) RT.02.02: Contractual arrangements – Specific information</t>
  </si>
  <si>
    <t>LEI of the financial entity</t>
  </si>
  <si>
    <t>Function Identifier</t>
  </si>
  <si>
    <t>Licenced activity</t>
  </si>
  <si>
    <t>Function name</t>
  </si>
  <si>
    <t>Criticality or importance assessment</t>
  </si>
  <si>
    <t>Metric: Type of licenced activity</t>
  </si>
  <si>
    <t>Metric: Name of operational/business functions of an entity</t>
  </si>
  <si>
    <t>Metric: Function is critical or important?</t>
  </si>
  <si>
    <t>Total</t>
  </si>
  <si>
    <t>Pass</t>
  </si>
  <si>
    <t>Warning</t>
  </si>
  <si>
    <t>Failed</t>
  </si>
  <si>
    <t>QRT</t>
  </si>
  <si>
    <t>Table</t>
  </si>
  <si>
    <t>Title</t>
  </si>
  <si>
    <t>B 01.01</t>
  </si>
  <si>
    <t>(B_01.01) RT.01.01: Entity maintaining the register of information</t>
  </si>
  <si>
    <t>LEI of the entity maintaining the register of information</t>
  </si>
  <si>
    <t>Name of the entity</t>
  </si>
  <si>
    <t>Country of the entity</t>
  </si>
  <si>
    <t>Type of entity</t>
  </si>
  <si>
    <t>Competent Authority</t>
  </si>
  <si>
    <t>Date of the reporting</t>
  </si>
  <si>
    <t>ERI: Lei code of Entity maintaining and updating the register of information</t>
  </si>
  <si>
    <t>Metric: Name of entity</t>
  </si>
  <si>
    <t>Metric: Country where the license or registration has been issued</t>
  </si>
  <si>
    <t>Metric: Counterparty nature</t>
  </si>
  <si>
    <t>Metric: Competent authority</t>
  </si>
  <si>
    <t>Metric: Date of reporting</t>
  </si>
  <si>
    <t>B 01.02</t>
  </si>
  <si>
    <t>(B_01.02) RT.01.02: List of entities within the scope of the register of information</t>
  </si>
  <si>
    <t>LEI of the entity</t>
  </si>
  <si>
    <t>Hierarchy of the entity within the group (where applicable)</t>
  </si>
  <si>
    <t>LEI of the direct parent undertaking of the entity</t>
  </si>
  <si>
    <t>Date of last update</t>
  </si>
  <si>
    <t>Date of integration in the Register of information</t>
  </si>
  <si>
    <t>Date of deletion in the Register of information</t>
  </si>
  <si>
    <t>Currency</t>
  </si>
  <si>
    <t>Value of total assets - of the financial entity</t>
  </si>
  <si>
    <t>ESI: Lei code of Entity reported in the register of information</t>
  </si>
  <si>
    <t>Metric: Type of entity within the scope of the register of information</t>
  </si>
  <si>
    <t>Metric: Role of entity within and outside a group</t>
  </si>
  <si>
    <t>Metric: LEI code</t>
  </si>
  <si>
    <t>Metric: Last date of record entry</t>
  </si>
  <si>
    <t>Metric: Date of integration</t>
  </si>
  <si>
    <t>Metric: Date of deletion</t>
  </si>
  <si>
    <t>Metric: Amount as defined in Annex IV of ITS on ICT TPP register</t>
  </si>
  <si>
    <t>RPR/Direct parent</t>
  </si>
  <si>
    <t>FGT/Currency used for the preparation of the entity’s financial statements</t>
  </si>
  <si>
    <t>BAS/Assets</t>
  </si>
  <si>
    <t>B 01.03</t>
  </si>
  <si>
    <t>(B_01.03) RT.01.03: List of branches</t>
  </si>
  <si>
    <t>Identification code of the branch</t>
  </si>
  <si>
    <t>LEI of the financial entity head office of the branch</t>
  </si>
  <si>
    <t>Name of the branch</t>
  </si>
  <si>
    <t>Country of the branch</t>
  </si>
  <si>
    <t>ISB: Identification code of the branch</t>
  </si>
  <si>
    <t>LHH: LEI code of the head office</t>
  </si>
  <si>
    <t>Metric: Country of location</t>
  </si>
  <si>
    <t>B 05.01</t>
  </si>
  <si>
    <t>(B_05.01) RT.05.01: ICT third-party service providers</t>
  </si>
  <si>
    <t>Identification code of ICT third-party service provider</t>
  </si>
  <si>
    <t>Name of the ICT third-party service provider</t>
  </si>
  <si>
    <t>Type of person of the ICT third-party service provider</t>
  </si>
  <si>
    <t>Country of the ICT third-party service provider’s headquarters</t>
  </si>
  <si>
    <t>Currency of the amount reported in RT.05.01.0070</t>
  </si>
  <si>
    <t>Total annual expense or estimated cost of the ICT third-party service  provider</t>
  </si>
  <si>
    <t>Identification code of the ICT third-party service provider’s ultimate parent undertaking</t>
  </si>
  <si>
    <t>Type of code to identify the ICT third-party service provider’s ultimate parent undertaking</t>
  </si>
  <si>
    <t>Metric: Type of legal entity</t>
  </si>
  <si>
    <t>Metric: Identification code</t>
  </si>
  <si>
    <t>Metric: Type of code</t>
  </si>
  <si>
    <t>RPR/headquarter</t>
  </si>
  <si>
    <t>RPR/Ultimate parent</t>
  </si>
  <si>
    <t>B 02.01</t>
  </si>
  <si>
    <t>B 02.02</t>
  </si>
  <si>
    <t>B 02.03</t>
  </si>
  <si>
    <t>(B_02.03) RT.02.03: List of intra-group contractual arrangements</t>
  </si>
  <si>
    <t>Contractual arrangement linked to the contractual arrangement referred in RT.02.03.0010</t>
  </si>
  <si>
    <t>Link</t>
  </si>
  <si>
    <t>CRN: Contractual arrangement reference number between the entity making use of the ICT service(s) provided and the ICT intra-group service provider</t>
  </si>
  <si>
    <t>CRD: Contractual arrangement reference number between the ICT intra-group service provider and its direct ICT third-party service provider</t>
  </si>
  <si>
    <t>Metric: Link</t>
  </si>
  <si>
    <t>B 03.01</t>
  </si>
  <si>
    <t>(B_03.01) RT.03.01: Entities signing the Contractual arrangements for receiving ICT service(s) or on behalf of the entities making use of the ICT service(s)</t>
  </si>
  <si>
    <t>LEI of the entity signing the contractual arrangement</t>
  </si>
  <si>
    <t>LEA: Lei code of the entity signing the contractual arrangement</t>
  </si>
  <si>
    <t>B 03.02</t>
  </si>
  <si>
    <t>(B_03.02) RT.03.02: ICT third-party service providers signing the Contractual arrangements for providing ICT service(s)</t>
  </si>
  <si>
    <t>0045</t>
  </si>
  <si>
    <t>B 03.03</t>
  </si>
  <si>
    <t>(B_03.03) RT.03.03: Entities signing the Contractual arrangements for providing ICT service(s) to other entity within the scope of consolidation</t>
  </si>
  <si>
    <t>LEI of the entity providing ICT services</t>
  </si>
  <si>
    <t>0031</t>
  </si>
  <si>
    <t>LEB: Lei code of the entity signing the contractual agreement for providing service(s) to other entity within the scope of consolidation</t>
  </si>
  <si>
    <t>B 04.01</t>
  </si>
  <si>
    <t>(B_04.01) RT.04.01: Entities making use of the ICT services</t>
  </si>
  <si>
    <t>Nature of the entity making use of the ICT service(s)</t>
  </si>
  <si>
    <t>Metric: Branch/not a branch</t>
  </si>
  <si>
    <t>B 05.02</t>
  </si>
  <si>
    <t>(B_05.02) RT.05.02: ICT service supply chains</t>
  </si>
  <si>
    <t>Rank</t>
  </si>
  <si>
    <t>Identification code of the recipient of sub-contracted ICT services</t>
  </si>
  <si>
    <t>Type of code to identify the recipient of sub-contracted ICT services</t>
  </si>
  <si>
    <t>TIC/All members [eba_TA4]</t>
  </si>
  <si>
    <t>Metric: Rank in supply chain</t>
  </si>
  <si>
    <t>Metric: Identification code of the subcontractor</t>
  </si>
  <si>
    <t>Metric: Type of code used to identify the subcontractor</t>
  </si>
  <si>
    <t>Other</t>
  </si>
  <si>
    <t>B 06.01</t>
  </si>
  <si>
    <t>(B_06.01)  RT.06.01: Functions identification</t>
  </si>
  <si>
    <t>Reasons for criticality or importance</t>
  </si>
  <si>
    <t>Date of the last assessment of criticality or importance</t>
  </si>
  <si>
    <t>Recovery time objective of the function</t>
  </si>
  <si>
    <t>Recovery point objective of the function</t>
  </si>
  <si>
    <t>Impact of discontinuing the function</t>
  </si>
  <si>
    <t>Metric: Additional information 2</t>
  </si>
  <si>
    <t>Metric: Date of last assessment of criticality or importance of the function</t>
  </si>
  <si>
    <t>Metric: Recovery time objective of the function</t>
  </si>
  <si>
    <t>Metric: Recovery point objective of the function</t>
  </si>
  <si>
    <t>Metric: Impact of function discontinuing</t>
  </si>
  <si>
    <t>FCI/Yes</t>
  </si>
  <si>
    <t>B 07.01</t>
  </si>
  <si>
    <t>(B_07.01) RT.07.01: Assessment of the ICT services</t>
  </si>
  <si>
    <t>Substitutability of the ICT third-party service provider</t>
  </si>
  <si>
    <t>Reason if the ICT third-party service provider is considered not substitutable or difficult to be substitutable</t>
  </si>
  <si>
    <t>Date of the last audit on the ICT third-party service provider</t>
  </si>
  <si>
    <t>Existence of an exit plan</t>
  </si>
  <si>
    <t>Possibility of reintegration of the contracted ICT service</t>
  </si>
  <si>
    <t>Impact of discontinuing the ICT services</t>
  </si>
  <si>
    <t>Are there alternative ICT third-party service providers identified?</t>
  </si>
  <si>
    <t>Identification of alternative ICT TPP</t>
  </si>
  <si>
    <t>Metric: Substituibility assessment</t>
  </si>
  <si>
    <t>Metric: Reasons for the substituibility assessment outcome</t>
  </si>
  <si>
    <t>Metric: Date of the last audit</t>
  </si>
  <si>
    <t>Metric: Existence of an exit plan</t>
  </si>
  <si>
    <t>Metric: Possibility of reintegration of the contracted service</t>
  </si>
  <si>
    <t>Metric: Impact of service discontinuing</t>
  </si>
  <si>
    <t>Metric: Alternative providers</t>
  </si>
  <si>
    <t>Metric: Additional information</t>
  </si>
  <si>
    <t>APT/Yes</t>
  </si>
  <si>
    <t>B 99.01</t>
  </si>
  <si>
    <t>(B_99.01) RT.99.01 Definitions from Entities making use of the ICT Services</t>
  </si>
  <si>
    <t>Standalone arrangement</t>
  </si>
  <si>
    <t>Overarching arrangement</t>
  </si>
  <si>
    <t>Subsequent or associated arrangement</t>
  </si>
  <si>
    <t>Low</t>
  </si>
  <si>
    <t>Medium</t>
  </si>
  <si>
    <t>High</t>
  </si>
  <si>
    <t>Not substitutable</t>
  </si>
  <si>
    <t>Highly complex substitutability</t>
  </si>
  <si>
    <t>Medium complexity in terms of substitutability</t>
  </si>
  <si>
    <t>Easily substitutable</t>
  </si>
  <si>
    <t>Easy</t>
  </si>
  <si>
    <t>Difficult</t>
  </si>
  <si>
    <t>Highly complex</t>
  </si>
  <si>
    <t>0190</t>
  </si>
  <si>
    <t>Row Qualifiers</t>
  </si>
  <si>
    <t>Description/Internal definition of the option</t>
  </si>
  <si>
    <t>Metric: Internal definitions</t>
  </si>
  <si>
    <t>KTQ/Standalone arrangement</t>
  </si>
  <si>
    <t>KTQ/Subsequent or associated arrangement</t>
  </si>
  <si>
    <t>DSS/Low</t>
  </si>
  <si>
    <t>DSS/Medium</t>
  </si>
  <si>
    <t>DSS/High</t>
  </si>
  <si>
    <t>IFD/Low</t>
  </si>
  <si>
    <t>IFD/Medium</t>
  </si>
  <si>
    <t>IFD/High</t>
  </si>
  <si>
    <t>SAA/Not substitutable</t>
  </si>
  <si>
    <t>SAA/Highly complex substitutability</t>
  </si>
  <si>
    <t>SAA/Medium complexity in terms of substitutability</t>
  </si>
  <si>
    <t>SAA/Easily substitutable</t>
  </si>
  <si>
    <t>KTW/Easy</t>
  </si>
  <si>
    <t>KTW/Difficult</t>
  </si>
  <si>
    <t>KTW/Highly complex</t>
  </si>
  <si>
    <t>ISD/Low</t>
  </si>
  <si>
    <t>ISD/Medium</t>
  </si>
  <si>
    <t>ISD/High</t>
  </si>
  <si>
    <t xml:space="preserve"> </t>
  </si>
  <si>
    <t>Status</t>
  </si>
  <si>
    <t>Precondition</t>
  </si>
  <si>
    <t>Validation</t>
  </si>
  <si>
    <t>Category</t>
  </si>
  <si>
    <t>Sub Category</t>
  </si>
  <si>
    <t>Severity</t>
  </si>
  <si>
    <t>Code</t>
  </si>
  <si>
    <t>Category orig</t>
  </si>
  <si>
    <t>Validations Overview per category</t>
  </si>
  <si>
    <t>Cat</t>
  </si>
  <si>
    <t>boundary</t>
  </si>
  <si>
    <t>max precision</t>
  </si>
  <si>
    <t>Use this sheet to configure precision for monetary values. Column B describes the short name of each sheet, where Column C contains the precision used for variables on that sheet. Validation formulas and fact production (IE fact representation in XBRL) use this precision. For a precision up to cents, use a value of 2. For precisions up to thousands, use a value of -3.</t>
  </si>
  <si>
    <t>SheetName</t>
  </si>
  <si>
    <t>Monetary Precision</t>
  </si>
  <si>
    <t>Cell bellow contains image for all passed</t>
  </si>
  <si>
    <t>Cell below contains image for warnings</t>
  </si>
  <si>
    <t>Cell below contains image for failures</t>
  </si>
  <si>
    <t>Text in the circle</t>
  </si>
  <si>
    <t>Not Applicable</t>
  </si>
  <si>
    <t>Controls %</t>
  </si>
  <si>
    <t>Controls Pie</t>
  </si>
  <si>
    <t>N/A</t>
  </si>
  <si>
    <t>B_01.01</t>
  </si>
  <si>
    <t>B_01.02</t>
  </si>
  <si>
    <t>B_01.03</t>
  </si>
  <si>
    <t>B_02.01</t>
  </si>
  <si>
    <t>B_02.02</t>
  </si>
  <si>
    <t>B_02.03</t>
  </si>
  <si>
    <t>B_03.01</t>
  </si>
  <si>
    <t>B_03.02</t>
  </si>
  <si>
    <t>B_03.03</t>
  </si>
  <si>
    <t>B_04.01</t>
  </si>
  <si>
    <t>B_05.01</t>
  </si>
  <si>
    <t>B_05.02</t>
  </si>
  <si>
    <t>B_06.01</t>
  </si>
  <si>
    <t>B_07.01</t>
  </si>
  <si>
    <t>B_99.01</t>
  </si>
  <si>
    <t>default</t>
  </si>
  <si>
    <t>v22834_a - 1.1</t>
  </si>
  <si>
    <t>v22841_a - 1.1</t>
  </si>
  <si>
    <t>v22861_a - 1.1</t>
  </si>
  <si>
    <t>v22862_a - 1.1</t>
  </si>
  <si>
    <t>v22864_a - 1.1</t>
  </si>
  <si>
    <t>v22865_a - 1.1</t>
  </si>
  <si>
    <t>v22866_a - 1.1</t>
  </si>
  <si>
    <t>v22868_a - 1.1</t>
  </si>
  <si>
    <t>v22870_a - 1.1</t>
  </si>
  <si>
    <t>v22872_a - 1.1</t>
  </si>
  <si>
    <t>v22873_a - 1.1</t>
  </si>
  <si>
    <t>v22873_a - 1.2</t>
  </si>
  <si>
    <t>v22873_a - 1.3</t>
  </si>
  <si>
    <t>v22874_a - 1.1</t>
  </si>
  <si>
    <t>v22875_a - 1.1</t>
  </si>
  <si>
    <t>v22876_a - 1.1</t>
  </si>
  <si>
    <t>v22877_a - 1.1</t>
  </si>
  <si>
    <t>v22878_a - 1.1</t>
  </si>
  <si>
    <t>v22880_a - 1.1</t>
  </si>
  <si>
    <t>v22887_a - 1.1</t>
  </si>
  <si>
    <t>v22892_a - 1.1</t>
  </si>
  <si>
    <t>v22895_a - 1.1</t>
  </si>
  <si>
    <t>v22896_a - 1.1</t>
  </si>
  <si>
    <t>v22897_a - 1.1</t>
  </si>
  <si>
    <t>v22898_a - 1.1</t>
  </si>
  <si>
    <t>v22899_a - 1.1</t>
  </si>
  <si>
    <t>v22900_a - 1.1</t>
  </si>
  <si>
    <t>v22834_a: [B 06.01] [ei1416] in {[eba_BT:x21], [eba_BT:x28], [eba_BT:x29]}</t>
  </si>
  <si>
    <t>eba_v22834_a</t>
  </si>
  <si>
    <t>Template</t>
  </si>
  <si>
    <t>Expression</t>
  </si>
  <si>
    <t>{*, C0050} = (null)</t>
  </si>
  <si>
    <t>Validation per line</t>
  </si>
  <si>
    <t>v22841_a: [B 05.01] [ei1427] in {[eba_CT:x212], [eba_CT:x213]}</t>
  </si>
  <si>
    <t>eba_v22841_a</t>
  </si>
  <si>
    <t>{*, C0040} = (null)</t>
  </si>
  <si>
    <t>v22861_a: [B 01.01, B 01.02, B 05.01] [ei1555] in {[eba_GA:AL], [eba_GA:AT], [eba_GA:BE], [eba_GA:BG], [eba_GA:CY], [eba_GA:CZ], [eba_GA:DK], [eba_GA:EE], [eba_GA:FI], [eba_GA:FR], [eba_GA:DE], [eba_GA:GR], [eba_GA:HU], [eba_GA:IE], [eba_GA:IT], [eba_GA:JP], [eba_GA:LV], [eba_GA:LT], [eba_GA:LU], [eba_GA:MK], [eba_GA:MT], [eba_GA:NL], [eba_GA:NO], [eba_GA:x28], [eba_GA:PL], [eba_GA:PT], [eba_GA:RO], [eba_GA:RU], [eba_GA:RS], [eba_GA:SK], [eba_GA:SI], [eba_GA:ES], [eba_GA:SE], [eba_GA:CH], [eba_GA:TR], [eba_GA:UA], [eba_GA:GB], [eba_GA:US], [eba_GA:AF], [eba_GA:AX], [eba_GA:DZ], [eba_GA:AS], [eba_GA:AD], [eba_GA:AO], [eba_GA:AI], [eba_GA:AQ], [eba_GA:AG], [eba_GA:AR], [eba_GA:AM], [eba_GA:AW], [eba_GA:AU], [eba_GA:AZ], [eba_GA:BS], [eba_GA:BH], [eba_GA:BD], [eba_GA:BB], [eba_GA:BY], [eba_GA:BZ], [eba_GA:BJ], [eba_GA:BM], [eba_GA:BT], [eba_GA:BO], [eba_GA:BQ], [eba_GA:BA], [eba_GA:BW], [eba_GA:BV], [eba_GA:BR], [eba_GA:IO], [eba_GA:BN], [eba_GA:BF], [eba_GA:BI], [eba_GA:KH], [eba_GA:CM], [eba_GA:CA], [eba_GA:CV], [eba_GA:KY], [eba_GA:CF], [eba_GA:TD], [eba_GA:CL], [eba_GA:CN], [eba_GA:CX], [eba_GA:CC], [eba_GA:CO], [eba_GA:KM], [eba_GA:CG], [eba_GA:CD], [eba_GA:CK], [eba_GA:CR], [eba_GA:CI], [eba_GA:HR], [eba_GA:CU], [eba_GA:CW], [eba_GA:DJ], [eba_GA:DM], [eba_GA:DO], [eba_GA:EC], [eba_GA:EG], [eba_GA:SV], [eba_GA:GQ], [eba_GA:ER], [eba_GA:ET], [eba_GA:FK], [eba_GA:FO], [eba_GA:FJ], [eba_GA:GF], [eba_GA:PF], [eba_GA:TF], [eba_GA:GA], [eba_GA:GM], [eba_GA:GE], [eba_GA:GH], [eba_GA:GI], [eba_GA:GL], [eba_GA:GD], [eba_GA:GP], [eba_GA:GU], [eba_GA:GT], [eba_GA:GG], [eba_GA:GN], [eba_GA:GW], [eba_GA:GY], [eba_GA:HT], [eba_GA:HM], [eba_GA:VA], [eba_GA:HN], [eba_GA:HK], [eba_GA:IS], [eba_GA:IN], [eba_GA:ID], [eba_GA:IR], [eba_GA:IQ], [eba_GA:IM], [eba_GA:IL], [eba_GA:JM], [eba_GA:JE], [eba_GA:JO], [eba_GA:KZ], [eba_GA:KE], [eba_GA:KI], [eba_GA:KP], [eba_GA:KR], [eba_GA:KW], [eba_GA:KG], [eba_GA:LA], [eba_GA:LB], [eba_GA:LS], [eba_GA:LR], [eba_GA:LY], [eba_GA:LI], [eba_GA:MO], [eba_GA:MG], [eba_GA:MW], [eba_GA:MY], [eba_GA:MV], [eba_GA:ML], [eba_GA:MH], [eba_GA:MQ], [eba_GA:MR], [eba_GA:MU], [eba_GA:YT], [eba_GA:MX], [eba_GA:FM], [eba_GA:MD], [eba_GA:MC], [eba_GA:MN], [eba_GA:ME], [eba_GA:MS], [eba_GA:MA], [eba_GA:MZ], [eba_GA:MM], [eba_GA:NA], [eba_GA:NR], [eba_GA:NP], [eba_GA:NC], [eba_GA:NZ], [eba_GA:NI], [eba_GA:NE], [eba_GA:NG], [eba_GA:NU], [eba_GA:NF], [eba_GA:MP], [eba_GA:OM], [eba_GA:PK], [eba_GA:PW], [eba_GA:PS], [eba_GA:PA], [eba_GA:PG], [eba_GA:PY], [eba_GA:PE], [eba_GA:PH], [eba_GA:PN], [eba_GA:PR], [eba_GA:QA], [eba_GA:RE], [eba_GA:RW], [eba_GA:BL], [eba_GA:SH], [eba_GA:KN], [eba_GA:LC], [eba_GA:MF], [eba_GA:PM], [eba_GA:VC], [eba_GA:WS], [eba_GA:SM], [eba_GA:ST], [eba_GA:SA], [eba_GA:SN], [eba_GA:SC], [eba_GA:SL], [eba_GA:SG], [eba_GA:SX], [eba_GA:SB], [eba_GA:SO], [eba_GA:ZA], [eba_GA:GS], [eba_GA:SS], [eba_GA:LK], [eba_GA:SD], [eba_GA:SR], [eba_GA:SJ], [eba_GA:SZ], [eba_GA:SY], [eba_GA:TW], [eba_GA:TJ], [eba_GA:TZ], [eba_GA:TH], [eba_GA:TL], [eba_GA:TG], [eba_GA:TK], [eba_GA:TO], [eba_GA:TT], [eba_GA:TN], [eba_GA:TM], [eba_GA:TC], [eba_GA:TV], [eba_GA:UG], [eba_GA:AE], [eba_GA:UM], [eba_GA:UY], [eba_GA:UZ], [eba_GA:VU], [eba_GA:VE], [eba_GA:VN], [eba_GA:VG], [eba_GA:VI], [eba_GA:WF], [eba_GA:EH], [eba_GA:YE], [eba_GA:ZM], [eba_GA:ZW], [eba_GA:XK]}</t>
  </si>
  <si>
    <t>eba_v22861_a</t>
  </si>
  <si>
    <t>v22862_a: [B 01.01] [ei1552] in {[eba_CT:x12], [eba_CT:x599], [eba_CT:x639], [eba_CT:x643], [eba_CT:x301], [eba_CT:x302], [eba_CT:x303], [eba_CT:x304], [eba_CT:x305], [eba_CT:x306], [eba_CT:x300], [eba_CT:x307], [eba_CT:x308], [eba_CT:x309], [eba_CT:x320], [eba_CT:x311], [eba_CT:x312], [eba_CT:x313], [eba_CT:x314], [eba_CT:x315], [eba_CT:x316], [eba_CT:x310]}</t>
  </si>
  <si>
    <t>eba_v22862_a</t>
  </si>
  <si>
    <t>v22864_a: [B 01.02] [ei1558] in {[eba_RP:x21], [eba_RP:x53], [eba_RP:x56], [eba_RP:x551], [eba_RP:x210]}</t>
  </si>
  <si>
    <t>eba_v22864_a</t>
  </si>
  <si>
    <t>v22865_a: [B 01.02, B 02.01, B 05.01] [ei1559] in {[eba_CU:ALL], [eba_CU:ARS], [eba_CU:AUD], [eba_CU:BRL], [eba_CU:BGN], [eba_CU:CAD], [eba_CU:CZK], [eba_CU:DKK], [eba_CU:EGP], [eba_CU:EUR], [eba_CU:GBP], [eba_CU:HUF], [eba_CU:JPY], [eba_CU:LVL], [eba_CU:LTL], [eba_CU:MKD], [eba_CU:MXN], [eba_CU:PLN], [eba_CU:RON], [eba_CU:RUB], [eba_CU:RSD], [eba_CU:SEK], [eba_CU:CHF], [eba_CU:TRY], [eba_CU:UAH], [eba_CU:USD], [eba_CU:ISK], [eba_CU:NOK], [eba_CU:HKD], [eba_CU:TWD], [eba_CU:NZD], [eba_CU:SGD], [eba_CU:KRW], [eba_CU:CNY], [eba_CU:AFN], [eba_CU:DZD], [eba_CU:AMD], [eba_CU:AWG], [eba_CU:AZN], [eba_CU:BSD], [eba_CU:BHD], [eba_CU:THB], [eba_CU:PAB], [eba_CU:BBD], [eba_CU:BYR], [eba_CU:BZD], [eba_CU:BMD], [eba_CU:VEF], [eba_CU:BOB], [eba_CU:BND], [eba_CU:BIF], [eba_CU:CVE], [eba_CU:KYD], [eba_CU:XPF], [eba_CU:CLP], [eba_CU:COP], [eba_CU:KMF], [eba_CU:CDF], [eba_CU:BAM], [eba_CU:NIO], [eba_CU:CRC], [eba_CU:CUP], [eba_CU:GMD], [eba_CU:DJF], [eba_CU:STD], [eba_CU:DOP], [eba_CU:VND], [eba_CU:XCD], [eba_CU:SVC], [eba_CU:ETB], [eba_CU:FKP], [eba_CU:FJD], [eba_CU:GHS], [eba_CU:GIP], [eba_CU:HTG], [eba_CU:PYG], [eba_CU:GNF], [eba_CU:GYD], [eba_CU:INR], [eba_CU:IRR], [eba_CU:IQD], [eba_CU:JMD], [eba_CU:JOD], [eba_CU:KES], [eba_CU:PGK], [eba_CU:LAK], [eba_CU:KWD], [eba_CU:MWK], [eba_CU:AOA], [eba_CU:MMK], [eba_CU:GEL], [eba_CU:LBP], [eba_CU:HNL], [eba_CU:SLL], [eba_CU:LRD], [eba_CU:LYD], [eba_CU:SZL], [eba_CU:LSL], [eba_CU:MGA], [eba_CU:MYR], [eba_CU:MUR], [eba_CU:MDL], [eba_CU:MAD], [eba_CU:MZN], [eba_CU:BOV], [eba_CU:NGN], [eba_CU:ERN], [eba_CU:NAD], [eba_CU:NPR], [eba_CU:ANG], [eba_CU:ILS], [eba_CU:BTN], [eba_CU:KPW], [eba_CU:PEN], [eba_CU:MRO], [eba_CU:TOP], [eba_CU:PKR], [eba_CU:MOP], [eba_CU:CUC], [eba_CU:UYU], [eba_CU:PHP], [eba_CU:BWP], [eba_CU:QAR], [eba_CU:GTQ], [eba_CU:ZAR], [eba_CU:OMR], [eba_CU:KHR], [eba_CU:MVR], [eba_CU:IDR], [eba_CU:RWF], [eba_CU:SHP], [eba_CU:SAR], [eba_CU:SCR], [eba_CU:SBD], [eba_CU:KGS], [eba_CU:SOS], [eba_CU:TJS], [eba_CU:SSP], [eba_CU:LKR], [eba_CU:SDG], [eba_CU:SRD], [eba_CU:SYP], [eba_CU:BDT], [eba_CU:WST], [eba_CU:TZS], [eba_CU:KZT], [eba_CU:TTD], [eba_CU:MNT], [eba_CU:TND], [eba_CU:TMT], [eba_CU:AED], [eba_CU:UGX], [eba_CU:COU], [eba_CU:CLF], [eba_CU:UYI], [eba_CU:UZS], [eba_CU:VUV], [eba_CU:CHE], [eba_CU:CHW], [eba_CU:YER], [eba_CU:ZMK], [eba_CU:ZWL], [eba_CU:x46], [eba_CU:BYN], [eba_CU:ZMW], [eba_CU:CNH]}</t>
  </si>
  <si>
    <t>eba_v22865_a</t>
  </si>
  <si>
    <t>v22866_a: [B 01.02] [ei1426] in {[eba_CT:x12], [eba_CT:x599], [eba_CT:x639], [eba_CT:x643], [eba_CT:x301], [eba_CT:x302], [eba_CT:x303], [eba_CT:x304], [eba_CT:x305], [eba_CT:x306], [eba_CT:x300], [eba_CT:x307], [eba_CT:x308], [eba_CT:x309], [eba_CT:x320], [eba_CT:x311], [eba_CT:x312], [eba_CT:x313], [eba_CT:x314], [eba_CT:x315], [eba_CT:x316], [eba_CT:x317], [eba_CT:x318], [eba_CT:x310]}</t>
  </si>
  <si>
    <t>eba_v22866_a</t>
  </si>
  <si>
    <t>v22868_a: [B 01.03] [ei1556] in {[eba_GA:AL], [eba_GA:AT], [eba_GA:BE], [eba_GA:BG], [eba_GA:CY], [eba_GA:CZ], [eba_GA:DK], [eba_GA:EE], [eba_GA:FI], [eba_GA:FR], [eba_GA:DE], [eba_GA:GR], [eba_GA:HU], [eba_GA:IE], [eba_GA:IT], [eba_GA:JP], [eba_GA:LV], [eba_GA:LT], [eba_GA:LU], [eba_GA:MK], [eba_GA:MT], [eba_GA:NL], [eba_GA:NO], [eba_GA:x28], [eba_GA:PL], [eba_GA:PT], [eba_GA:RO], [eba_GA:RU], [eba_GA:RS], [eba_GA:SK], [eba_GA:SI], [eba_GA:ES], [eba_GA:SE], [eba_GA:CH], [eba_GA:TR], [eba_GA:UA], [eba_GA:GB], [eba_GA:US], [eba_GA:AF], [eba_GA:AX], [eba_GA:DZ], [eba_GA:AS], [eba_GA:AD], [eba_GA:AO], [eba_GA:AI], [eba_GA:AQ], [eba_GA:AG], [eba_GA:AR], [eba_GA:AM], [eba_GA:AW], [eba_GA:AU], [eba_GA:AZ], [eba_GA:BS], [eba_GA:BH], [eba_GA:BD], [eba_GA:BB], [eba_GA:BY], [eba_GA:BZ], [eba_GA:BJ], [eba_GA:BM], [eba_GA:BT], [eba_GA:BO], [eba_GA:BQ], [eba_GA:BA], [eba_GA:BW], [eba_GA:BV], [eba_GA:BR], [eba_GA:IO], [eba_GA:BN], [eba_GA:BF], [eba_GA:BI], [eba_GA:KH], [eba_GA:CM], [eba_GA:CA], [eba_GA:CV], [eba_GA:KY], [eba_GA:CF], [eba_GA:TD], [eba_GA:CL], [eba_GA:CN], [eba_GA:CX], [eba_GA:CC], [eba_GA:CO], [eba_GA:KM], [eba_GA:CG], [eba_GA:CD], [eba_GA:CK], [eba_GA:CR], [eba_GA:CI], [eba_GA:HR], [eba_GA:CU], [eba_GA:CW], [eba_GA:DJ], [eba_GA:DM], [eba_GA:DO], [eba_GA:EC], [eba_GA:EG], [eba_GA:SV], [eba_GA:GQ], [eba_GA:ER], [eba_GA:ET], [eba_GA:FK], [eba_GA:FO], [eba_GA:FJ], [eba_GA:GF], [eba_GA:PF], [eba_GA:TF], [eba_GA:GA], [eba_GA:GM], [eba_GA:GE], [eba_GA:GH], [eba_GA:GI], [eba_GA:GL], [eba_GA:GD], [eba_GA:GP], [eba_GA:GU], [eba_GA:GT], [eba_GA:GG], [eba_GA:GN], [eba_GA:GW], [eba_GA:GY], [eba_GA:HT], [eba_GA:HM], [eba_GA:VA], [eba_GA:HN], [eba_GA:HK], [eba_GA:IS], [eba_GA:IN], [eba_GA:ID], [eba_GA:IR], [eba_GA:IQ], [eba_GA:IM], [eba_GA:IL], [eba_GA:JM], [eba_GA:JE], [eba_GA:JO], [eba_GA:KZ], [eba_GA:KE], [eba_GA:KI], [eba_GA:KP], [eba_GA:KR], [eba_GA:KW], [eba_GA:KG], [eba_GA:LA], [eba_GA:LB], [eba_GA:LS], [eba_GA:LR], [eba_GA:LY], [eba_GA:LI], [eba_GA:MO], [eba_GA:MG], [eba_GA:MW], [eba_GA:MY], [eba_GA:MV], [eba_GA:ML], [eba_GA:MH], [eba_GA:MQ], [eba_GA:MR], [eba_GA:MU], [eba_GA:YT], [eba_GA:MX], [eba_GA:FM], [eba_GA:MD], [eba_GA:MC], [eba_GA:MN], [eba_GA:ME], [eba_GA:MS], [eba_GA:MA], [eba_GA:MZ], [eba_GA:MM], [eba_GA:NA], [eba_GA:NR], [eba_GA:NP], [eba_GA:NC], [eba_GA:NZ], [eba_GA:NI], [eba_GA:NE], [eba_GA:NG], [eba_GA:NU], [eba_GA:NF], [eba_GA:MP], [eba_GA:OM], [eba_GA:PK], [eba_GA:PW], [eba_GA:PS], [eba_GA:PA], [eba_GA:PG], [eba_GA:PY], [eba_GA:PE], [eba_GA:PH], [eba_GA:PN], [eba_GA:PR], [eba_GA:QA], [eba_GA:RE], [eba_GA:RW], [eba_GA:BL], [eba_GA:SH], [eba_GA:KN], [eba_GA:LC], [eba_GA:MF], [eba_GA:PM], [eba_GA:VC], [eba_GA:WS], [eba_GA:SM], [eba_GA:ST], [eba_GA:SA], [eba_GA:SN], [eba_GA:SC], [eba_GA:SL], [eba_GA:SG], [eba_GA:SX], [eba_GA:SB], [eba_GA:SO], [eba_GA:ZA], [eba_GA:GS], [eba_GA:SS], [eba_GA:LK], [eba_GA:SD], [eba_GA:SR], [eba_GA:SJ], [eba_GA:SZ], [eba_GA:SY], [eba_GA:TW], [eba_GA:TJ], [eba_GA:TZ], [eba_GA:TH], [eba_GA:TL], [eba_GA:TG], [eba_GA:TK], [eba_GA:TO], [eba_GA:TT], [eba_GA:TN], [eba_GA:TM], [eba_GA:TC], [eba_GA:TV], [eba_GA:UG], [eba_GA:AE], [eba_GA:UM], [eba_GA:UY], [eba_GA:UZ], [eba_GA:VU], [eba_GA:VE], [eba_GA:VN], [eba_GA:VG], [eba_GA:VI], [eba_GA:WF], [eba_GA:EH], [eba_GA:YE], [eba_GA:ZM], [eba_GA:ZW], [eba_GA:XK]}</t>
  </si>
  <si>
    <t>eba_v22868_a</t>
  </si>
  <si>
    <t>v22870_a: [B 02.01] [ei1418] in {[eba_CO:x1], [eba_CO:x2], [eba_CO:x3]}</t>
  </si>
  <si>
    <t>eba_v22870_a</t>
  </si>
  <si>
    <t>{*, C0020} = (null)</t>
  </si>
  <si>
    <t>v22872_a: [B 02.02] [ei1355] in {[eba_GA:AL], [eba_GA:AT], [eba_GA:BE], [eba_GA:BG], [eba_GA:CY], [eba_GA:CZ], [eba_GA:DK], [eba_GA:EE], [eba_GA:FI], [eba_GA:FR], [eba_GA:DE], [eba_GA:GR], [eba_GA:HU], [eba_GA:IE], [eba_GA:IT], [eba_GA:JP], [eba_GA:LV], [eba_GA:LT], [eba_GA:LU], [eba_GA:MK], [eba_GA:MT], [eba_GA:NL], [eba_GA:NO], [eba_GA:x28], [eba_GA:PL], [eba_GA:PT], [eba_GA:RO], [eba_GA:RU], [eba_GA:RS], [eba_GA:SK], [eba_GA:SI], [eba_GA:ES], [eba_GA:SE], [eba_GA:CH], [eba_GA:TR], [eba_GA:UA], [eba_GA:GB], [eba_GA:US], [eba_GA:AF], [eba_GA:AX], [eba_GA:DZ], [eba_GA:AS], [eba_GA:AD], [eba_GA:AO], [eba_GA:AI], [eba_GA:AQ], [eba_GA:AG], [eba_GA:AR], [eba_GA:AM], [eba_GA:AW], [eba_GA:AU], [eba_GA:AZ], [eba_GA:BS], [eba_GA:BH], [eba_GA:BD], [eba_GA:BB], [eba_GA:BY], [eba_GA:BZ], [eba_GA:BJ], [eba_GA:BM], [eba_GA:BT], [eba_GA:BO], [eba_GA:BQ], [eba_GA:BA], [eba_GA:BW], [eba_GA:BV], [eba_GA:BR], [eba_GA:IO], [eba_GA:BN], [eba_GA:BF], [eba_GA:BI], [eba_GA:KH], [eba_GA:CM], [eba_GA:CA], [eba_GA:CV], [eba_GA:KY], [eba_GA:CF], [eba_GA:TD], [eba_GA:CL], [eba_GA:CN], [eba_GA:CX], [eba_GA:CC], [eba_GA:CO], [eba_GA:KM], [eba_GA:CG], [eba_GA:CD], [eba_GA:CK], [eba_GA:CR], [eba_GA:CI], [eba_GA:HR], [eba_GA:CU], [eba_GA:CW], [eba_GA:DJ], [eba_GA:DM], [eba_GA:DO], [eba_GA:EC], [eba_GA:EG], [eba_GA:SV], [eba_GA:GQ], [eba_GA:ER], [eba_GA:ET], [eba_GA:FK], [eba_GA:FO], [eba_GA:FJ], [eba_GA:GF], [eba_GA:PF], [eba_GA:TF], [eba_GA:GA], [eba_GA:GM], [eba_GA:GE], [eba_GA:GH], [eba_GA:GI], [eba_GA:GL], [eba_GA:GD], [eba_GA:GP], [eba_GA:GU], [eba_GA:GT], [eba_GA:GG], [eba_GA:GN], [eba_GA:GW], [eba_GA:GY], [eba_GA:HT], [eba_GA:HM], [eba_GA:VA], [eba_GA:HN], [eba_GA:HK], [eba_GA:IS], [eba_GA:IN], [eba_GA:ID], [eba_GA:IR], [eba_GA:IQ], [eba_GA:IM], [eba_GA:IL], [eba_GA:JM], [eba_GA:JE], [eba_GA:JO], [eba_GA:KZ], [eba_GA:KE], [eba_GA:KI], [eba_GA:KP], [eba_GA:KR], [eba_GA:KW], [eba_GA:KG], [eba_GA:LA], [eba_GA:LB], [eba_GA:LS], [eba_GA:LR], [eba_GA:LY], [eba_GA:LI], [eba_GA:MO], [eba_GA:MG], [eba_GA:MW], [eba_GA:MY], [eba_GA:MV], [eba_GA:ML], [eba_GA:MH], [eba_GA:MQ], [eba_GA:MR], [eba_GA:MU], [eba_GA:YT], [eba_GA:MX], [eba_GA:FM], [eba_GA:MD], [eba_GA:MC], [eba_GA:MN], [eba_GA:ME], [eba_GA:MS], [eba_GA:MA], [eba_GA:MZ], [eba_GA:MM], [eba_GA:NA], [eba_GA:NR], [eba_GA:NP], [eba_GA:NC], [eba_GA:NZ], [eba_GA:NI], [eba_GA:NE], [eba_GA:NG], [eba_GA:NU], [eba_GA:NF], [eba_GA:MP], [eba_GA:OM], [eba_GA:PK], [eba_GA:PW], [eba_GA:PS], [eba_GA:PA], [eba_GA:PG], [eba_GA:PY], [eba_GA:PE], [eba_GA:PH], [eba_GA:PN], [eba_GA:PR], [eba_GA:QA], [eba_GA:RE], [eba_GA:RW], [eba_GA:BL], [eba_GA:SH], [eba_GA:KN], [eba_GA:LC], [eba_GA:MF], [eba_GA:PM], [eba_GA:VC], [eba_GA:WS], [eba_GA:SM], [eba_GA:ST], [eba_GA:SA], [eba_GA:SN], [eba_GA:SC], [eba_GA:SL], [eba_GA:SG], [eba_GA:SX], [eba_GA:SB], [eba_GA:SO], [eba_GA:ZA], [eba_GA:GS], [eba_GA:SS], [eba_GA:LK], [eba_GA:SD], [eba_GA:SR], [eba_GA:SJ], [eba_GA:SZ], [eba_GA:SY], [eba_GA:TW], [eba_GA:TJ], [eba_GA:TZ], [eba_GA:TH], [eba_GA:TL], [eba_GA:TG], [eba_GA:TK], [eba_GA:TO], [eba_GA:TT], [eba_GA:TN], [eba_GA:TM], [eba_GA:TC], [eba_GA:TV], [eba_GA:UG], [eba_GA:AE], [eba_GA:UM], [eba_GA:UY], [eba_GA:UZ], [eba_GA:VU], [eba_GA:VE], [eba_GA:VN], [eba_GA:VG], [eba_GA:VI], [eba_GA:WF], [eba_GA:EH], [eba_GA:YE], [eba_GA:ZM], [eba_GA:ZW], [eba_GA:XK]}</t>
  </si>
  <si>
    <t>eba_v22872_a</t>
  </si>
  <si>
    <t>{*, C0120} = (null)</t>
  </si>
  <si>
    <t>v22873_a: [B 02.02] [ei1452] in {[eba_GA:AL], [eba_GA:AT], [eba_GA:BE], [eba_GA:BG], [eba_GA:CY], [eba_GA:CZ], [eba_GA:DK], [eba_GA:EE], [eba_GA:FI], [eba_GA:FR], [eba_GA:DE], [eba_GA:GR], [eba_GA:HU], [eba_GA:IE], [eba_GA:IT], [eba_GA:JP], [eba_GA:LV], [eba_GA:LT], [eba_GA:LU], [eba_GA:MK], [eba_GA:MT], [eba_GA:NL], [eba_GA:NO], [eba_GA:x28], [eba_GA:PL], [eba_GA:PT], [eba_GA:RO], [eba_GA:RU], [eba_GA:RS], [eba_GA:SK], [eba_GA:SI], [eba_GA:ES], [eba_GA:SE], [eba_GA:CH], [eba_GA:TR], [eba_GA:UA], [eba_GA:GB], [eba_GA:US], [eba_GA:AF], [eba_GA:AX], [eba_GA:DZ], [eba_GA:AS], [eba_GA:AD], [eba_GA:AO], [eba_GA:AI], [eba_GA:AQ], [eba_GA:AG], [eba_GA:AR], [eba_GA:AM], [eba_GA:AW], [eba_GA:AU], [eba_GA:AZ], [eba_GA:BS], [eba_GA:BH], [eba_GA:BD], [eba_GA:BB], [eba_GA:BY], [eba_GA:BZ], [eba_GA:BJ], [eba_GA:BM], [eba_GA:BT], [eba_GA:BO], [eba_GA:BQ], [eba_GA:BA], [eba_GA:BW], [eba_GA:BV], [eba_GA:BR], [eba_GA:IO], [eba_GA:BN], [eba_GA:BF], [eba_GA:BI], [eba_GA:KH], [eba_GA:CM], [eba_GA:CA], [eba_GA:CV], [eba_GA:KY], [eba_GA:CF], [eba_GA:TD], [eba_GA:CL], [eba_GA:CN], [eba_GA:CX], [eba_GA:CC], [eba_GA:CO], [eba_GA:KM], [eba_GA:CG], [eba_GA:CD], [eba_GA:CK], [eba_GA:CR], [eba_GA:CI], [eba_GA:HR], [eba_GA:CU], [eba_GA:CW], [eba_GA:DJ], [eba_GA:DM], [eba_GA:DO], [eba_GA:EC], [eba_GA:EG], [eba_GA:SV], [eba_GA:GQ], [eba_GA:ER], [eba_GA:ET], [eba_GA:FK], [eba_GA:FO], [eba_GA:FJ], [eba_GA:GF], [eba_GA:PF], [eba_GA:TF], [eba_GA:GA], [eba_GA:GM], [eba_GA:GE], [eba_GA:GH], [eba_GA:GI], [eba_GA:GL], [eba_GA:GD], [eba_GA:GP], [eba_GA:GU], [eba_GA:GT], [eba_GA:GG], [eba_GA:GN], [eba_GA:GW], [eba_GA:GY], [eba_GA:HT], [eba_GA:HM], [eba_GA:VA], [eba_GA:HN], [eba_GA:HK], [eba_GA:IS], [eba_GA:IN], [eba_GA:ID], [eba_GA:IR], [eba_GA:IQ], [eba_GA:IM], [eba_GA:IL], [eba_GA:JM], [eba_GA:JE], [eba_GA:JO], [eba_GA:KZ], [eba_GA:KE], [eba_GA:KI], [eba_GA:KP], [eba_GA:KR], [eba_GA:KW], [eba_GA:KG], [eba_GA:LA], [eba_GA:LB], [eba_GA:LS], [eba_GA:LR], [eba_GA:LY], [eba_GA:LI], [eba_GA:MO], [eba_GA:MG], [eba_GA:MW], [eba_GA:MY], [eba_GA:MV], [eba_GA:ML], [eba_GA:MH], [eba_GA:MQ], [eba_GA:MR], [eba_GA:MU], [eba_GA:YT], [eba_GA:MX], [eba_GA:FM], [eba_GA:MD], [eba_GA:MC], [eba_GA:MN], [eba_GA:ME], [eba_GA:MS], [eba_GA:MA], [eba_GA:MZ], [eba_GA:MM], [eba_GA:NA], [eba_GA:NR], [eba_GA:NP], [eba_GA:NC], [eba_GA:NZ], [eba_GA:NI], [eba_GA:NE], [eba_GA:NG], [eba_GA:NU], [eba_GA:NF], [eba_GA:MP], [eba_GA:OM], [eba_GA:PK], [eba_GA:PW], [eba_GA:PS], [eba_GA:PA], [eba_GA:PG], [eba_GA:PY], [eba_GA:PE], [eba_GA:PH], [eba_GA:PN], [eba_GA:PR], [eba_GA:QA], [eba_GA:RE], [eba_GA:RW], [eba_GA:BL], [eba_GA:SH], [eba_GA:KN], [eba_GA:LC], [eba_GA:MF], [eba_GA:PM], [eba_GA:VC], [eba_GA:WS], [eba_GA:SM], [eba_GA:ST], [eba_GA:SA], [eba_GA:SN], [eba_GA:SC], [eba_GA:SL], [eba_GA:SG], [eba_GA:SX], [eba_GA:SB], [eba_GA:SO], [eba_GA:ZA], [eba_GA:GS], [eba_GA:SS], [eba_GA:LK], [eba_GA:SD], [eba_GA:SR], [eba_GA:SJ], [eba_GA:SZ], [eba_GA:SY], [eba_GA:TW], [eba_GA:TJ], [eba_GA:TZ], [eba_GA:TH], [eba_GA:TL], [eba_GA:TG], [eba_GA:TK], [eba_GA:TO], [eba_GA:TT], [eba_GA:TN], [eba_GA:TM], [eba_GA:TC], [eba_GA:TV], [eba_GA:UG], [eba_GA:AE], [eba_GA:UM], [eba_GA:UY], [eba_GA:UZ], [eba_GA:VU], [eba_GA:VE], [eba_GA:VN], [eba_GA:VG], [eba_GA:VI], [eba_GA:WF], [eba_GA:EH], [eba_GA:YE], [eba_GA:ZM], [eba_GA:ZW], [eba_GA:XK]}</t>
  </si>
  <si>
    <t>eba_v22873_a</t>
  </si>
  <si>
    <t>{*, C0130} = (null)</t>
  </si>
  <si>
    <t>{*, C0150} = (null)</t>
  </si>
  <si>
    <t>{*, C0160} = (null)</t>
  </si>
  <si>
    <t>v22874_a: [B 05.01] [ei1427] in {[eba_CT:x212], [eba_CT:x213]}</t>
  </si>
  <si>
    <t>eba_v22874_a</t>
  </si>
  <si>
    <t>v22875_a: [B 06.01] [ei1416] in {[eba_BT:x21], [eba_BT:x28], [eba_BT:x29]}</t>
  </si>
  <si>
    <t>eba_v22875_a</t>
  </si>
  <si>
    <t>v22876_a: [B 02.02] [ei1498] in {[eba_ZZ:x794], [eba_ZZ:x795], [eba_ZZ:x796], [eba_ZZ:x797]}</t>
  </si>
  <si>
    <t>eba_v22876_a</t>
  </si>
  <si>
    <t>{*, C0180} = (null)</t>
  </si>
  <si>
    <t>v22877_a: [B 02.02] [ei1419] in {[eba_CO:x4], [eba_CO:x5], [eba_CO:x6], [eba_CO:x7], [eba_CO:x8], [eba_CO:x9]}</t>
  </si>
  <si>
    <t>eba_v22877_a</t>
  </si>
  <si>
    <t>{*, C0090} = (null)</t>
  </si>
  <si>
    <t>v22878_a: [B 02.02] [ei1499] in {[eba_ZZ:x791], [eba_ZZ:x792], [eba_ZZ:x793]}</t>
  </si>
  <si>
    <t>eba_v22878_a</t>
  </si>
  <si>
    <t>{*, C0170} = (null)</t>
  </si>
  <si>
    <t>v22880_a: [B 02.02] [ei1396] in {[eba_BT:x28], [eba_BT:x29]}</t>
  </si>
  <si>
    <t>eba_v22880_a</t>
  </si>
  <si>
    <t>{*, C0140} = (null)</t>
  </si>
  <si>
    <t>v22887_a: [B 04.01] [ei1510] in {[eba_ZZ:x838], [eba_ZZ:x839]}</t>
  </si>
  <si>
    <t>eba_v22887_a</t>
  </si>
  <si>
    <t>{*, C0030} = (null)</t>
  </si>
  <si>
    <t>v22892_a: [B 06.01] [ei1531] in {[eba_ZZ:x791], [eba_ZZ:x792], [eba_ZZ:x793], [eba_ZZ:x799]}</t>
  </si>
  <si>
    <t>eba_v22892_a</t>
  </si>
  <si>
    <t>{*, C0100} = (null)</t>
  </si>
  <si>
    <t>v22895_a: [B 07.01] [ei1527] in {[eba_ZZ:x959], [eba_ZZ:x960], [eba_ZZ:x961], [eba_ZZ:x962]}</t>
  </si>
  <si>
    <t>eba_v22895_a</t>
  </si>
  <si>
    <t>v22896_a: [B 07.01] [ei1528] in {[eba_ZZ:x963], [eba_ZZ:x964], [eba_ZZ:x965]}</t>
  </si>
  <si>
    <t>eba_v22896_a</t>
  </si>
  <si>
    <t>{*, C0060} = (null)</t>
  </si>
  <si>
    <t>v22897_a: [B 07.01] [ei1529] in {[eba_ZZ:x798], [eba_ZZ:x966], [eba_ZZ:x967]}</t>
  </si>
  <si>
    <t>eba_v22897_a</t>
  </si>
  <si>
    <t>v22898_a: [B 07.01] [ei1530] in {[eba_ZZ:x791], [eba_ZZ:x792], [eba_ZZ:x793], [eba_ZZ:x799]}</t>
  </si>
  <si>
    <t>eba_v22898_a</t>
  </si>
  <si>
    <t>v22899_a: [B 07.01] [ei1415] in {[eba_BT:x21], [eba_BT:x28], [eba_BT:x29]}</t>
  </si>
  <si>
    <t>eba_v22899_a</t>
  </si>
  <si>
    <t>{*, C0110} = (null)</t>
  </si>
  <si>
    <t>v22900_a: [B 07.01] [ei1414] in {[eba_BT:x28], [eba_BT:x29]}</t>
  </si>
  <si>
    <t>eba_v22900_a</t>
  </si>
  <si>
    <t>{*, C0080} = (null)</t>
  </si>
  <si>
    <t/>
  </si>
  <si>
    <t>Project Details</t>
  </si>
  <si>
    <t>cleversoft</t>
  </si>
  <si>
    <t>Release Information</t>
  </si>
  <si>
    <t>C0010</t>
  </si>
  <si>
    <t>Taxonomy</t>
  </si>
  <si>
    <t>R0100</t>
  </si>
  <si>
    <t>Name</t>
  </si>
  <si>
    <t>R0110</t>
  </si>
  <si>
    <t>DORA_3.5</t>
  </si>
  <si>
    <t>R0120</t>
  </si>
  <si>
    <t>Digital operational resilience 1.0.0 (DPM 3.5)</t>
  </si>
  <si>
    <t>Version</t>
  </si>
  <si>
    <t>R0130</t>
  </si>
  <si>
    <t>1.0.0_draft</t>
  </si>
  <si>
    <t>Release Date</t>
  </si>
  <si>
    <t>R0140</t>
  </si>
  <si>
    <t>2024-07-11</t>
  </si>
  <si>
    <t>Publisher</t>
  </si>
  <si>
    <t>R0150</t>
  </si>
  <si>
    <t>Publisher URL</t>
  </si>
  <si>
    <t>R0160</t>
  </si>
  <si>
    <t>Publication Date</t>
  </si>
  <si>
    <t>R0170</t>
  </si>
  <si>
    <t>Use Owner in Domain Member</t>
  </si>
  <si>
    <t>R0180</t>
  </si>
  <si>
    <t>FALSE</t>
  </si>
  <si>
    <t>SF Project Name</t>
  </si>
  <si>
    <t>R0190</t>
  </si>
  <si>
    <t>taxonomy-eba-dora</t>
  </si>
  <si>
    <t>SF Project Version</t>
  </si>
  <si>
    <t>R0200</t>
  </si>
  <si>
    <t>0.0.5</t>
  </si>
  <si>
    <t>SF Module</t>
  </si>
  <si>
    <t>R0300</t>
  </si>
  <si>
    <t>R0310</t>
  </si>
  <si>
    <t>dora-plus</t>
  </si>
  <si>
    <t>R0320</t>
  </si>
  <si>
    <t>0.1.0-dev.0.61+bd90b02</t>
  </si>
  <si>
    <t>CAPE VERDE</t>
  </si>
  <si>
    <t>CONGO, THE DEMOCRATIC REPUBLIC OF THE</t>
  </si>
  <si>
    <t>SWAZILAND</t>
  </si>
  <si>
    <t>Column1</t>
  </si>
  <si>
    <t>No Expiring Contracts</t>
  </si>
  <si>
    <t>Euro</t>
  </si>
  <si>
    <t>C2352</t>
  </si>
  <si>
    <t>C2353</t>
  </si>
  <si>
    <t>C2354</t>
  </si>
  <si>
    <t>C2355</t>
  </si>
  <si>
    <t>C2356</t>
  </si>
  <si>
    <t>C2357</t>
  </si>
  <si>
    <t>C2358</t>
  </si>
  <si>
    <t>C2359</t>
  </si>
  <si>
    <t>C2360</t>
  </si>
  <si>
    <t>C2387</t>
  </si>
  <si>
    <t>Yes</t>
  </si>
  <si>
    <t>Full reliance</t>
  </si>
  <si>
    <t>Cloud services: SaaS</t>
  </si>
  <si>
    <t>DE_3456</t>
  </si>
  <si>
    <t>F1</t>
  </si>
  <si>
    <t>LEI</t>
  </si>
  <si>
    <t>3788129009</t>
  </si>
  <si>
    <t>DE_1112</t>
  </si>
  <si>
    <t>FR_5731</t>
  </si>
  <si>
    <t>ES_3487</t>
  </si>
  <si>
    <t>ES_8332</t>
  </si>
  <si>
    <t>DE_1156</t>
  </si>
  <si>
    <t>DE_7836</t>
  </si>
  <si>
    <t>Material reliance</t>
  </si>
  <si>
    <t>ICT Consulting</t>
  </si>
  <si>
    <t>DE_1293</t>
  </si>
  <si>
    <t>EU_ID</t>
  </si>
  <si>
    <t>578954210</t>
  </si>
  <si>
    <t>Insurance Co NL</t>
  </si>
  <si>
    <t>Credit institutions</t>
  </si>
  <si>
    <t>ACM</t>
  </si>
  <si>
    <t>3912009D9EHJJ4PPZE08</t>
  </si>
  <si>
    <t>Insurance Co Austria</t>
  </si>
  <si>
    <t>insurance intermediaries, reinsurance intermediaries and ancillary insurance intermediaries</t>
  </si>
  <si>
    <t>FMA</t>
  </si>
  <si>
    <t>391200CADBFPO9JUBL46</t>
  </si>
  <si>
    <t>Insurance Co Group</t>
  </si>
  <si>
    <t>Central counterparties (CCPs)</t>
  </si>
  <si>
    <t>BaFin</t>
  </si>
  <si>
    <t>54930084UKLVMY22DS16</t>
  </si>
  <si>
    <t>central security depository</t>
  </si>
  <si>
    <t>Subsidiary</t>
  </si>
  <si>
    <t>Ultimate parent</t>
  </si>
  <si>
    <t>Branch NL 3</t>
  </si>
  <si>
    <t>3409UYH548UL25439626</t>
  </si>
  <si>
    <t>35581HJY6490JK427154</t>
  </si>
  <si>
    <t>Branch NL 1</t>
  </si>
  <si>
    <t>3682GH56JULF6298631K</t>
  </si>
  <si>
    <t>Branch AU 1</t>
  </si>
  <si>
    <t>391200SRPLNANU1MFJ89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</si>
</sst>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_(* #,##0.00_);_(* \(#,##0.00\);_(* &quot;-&quot;??_);_(@_)"/>
    <numFmt numFmtId="165" formatCode="_(* #,##0_);_(* \(#,##0\);_(* &quot;-&quot;_);_(@_)"/>
    <numFmt numFmtId="166" formatCode="_(* #,##0.0_);_(* \(#,##0.0\);_(* &quot;-&quot;?_);_(@_)"/>
    <numFmt numFmtId="177" formatCode="@"/>
  </numFmts>
  <fonts count="56">
    <font>
      <sz val="10"/>
      <color theme="1"/>
      <name val="Arial"/>
      <family val="2"/>
    </font>
    <font>
      <sz val="11"/>
      <color theme="1"/>
      <name val="Calibri"/>
      <family val="2"/>
      <scheme val="minor"/>
    </font>
    <font>
      <b/>
      <sz val="10"/>
      <color theme="1" tint="0.349990010261536"/>
      <name val="Arial"/>
      <family val="2"/>
    </font>
    <font>
      <b/>
      <sz val="14"/>
      <color theme="0"/>
      <name val="Arial"/>
      <family val="2"/>
    </font>
    <font>
      <sz val="11"/>
      <color rgb="FF006100"/>
      <name val="Calibri"/>
      <family val="2"/>
      <scheme val="minor"/>
    </font>
    <font>
      <sz val="11"/>
      <color rgb="FF9C0006"/>
      <name val="Calibri"/>
      <family val="2"/>
      <scheme val="minor"/>
    </font>
    <font>
      <sz val="8"/>
      <color theme="1" tint="0.349990010261536"/>
      <name val="Arial"/>
      <family val="2"/>
    </font>
    <font>
      <sz val="10"/>
      <color theme="1" tint="0.349990010261536"/>
      <name val="Arial"/>
      <family val="2"/>
    </font>
    <font>
      <sz val="11"/>
      <color rgb="FF9C5700"/>
      <name val="Calibri"/>
      <family val="2"/>
      <scheme val="minor"/>
    </font>
    <font>
      <b/>
      <sz val="14"/>
      <color theme="1"/>
      <name val="Arial Black"/>
      <family val="2"/>
    </font>
    <font>
      <b/>
      <sz val="48"/>
      <color rgb="FF9C0000"/>
      <name val="Calibri"/>
      <family val="2"/>
      <scheme val="minor"/>
    </font>
    <font>
      <b/>
      <sz val="48"/>
      <color rgb="FFDAA600"/>
      <name val="Calibri"/>
      <family val="2"/>
      <scheme val="minor"/>
    </font>
    <font>
      <i/>
      <sz val="11"/>
      <color theme="1"/>
      <name val="Calibri"/>
      <family val="2"/>
      <scheme val="minor"/>
    </font>
    <font>
      <sz val="10"/>
      <color rgb="FF12192D"/>
      <name val="Arial"/>
      <family val="2"/>
    </font>
    <font>
      <b/>
      <sz val="10"/>
      <color theme="0"/>
      <name val="Arial"/>
      <family val="2"/>
    </font>
    <font>
      <b/>
      <sz val="10"/>
      <color rgb="FF12192D"/>
      <name val="Arial"/>
      <family val="2"/>
    </font>
    <font>
      <sz val="10"/>
      <color rgb="FF9C0006"/>
      <name val="Calibri"/>
      <family val="2"/>
      <scheme val="minor"/>
    </font>
    <font>
      <sz val="10"/>
      <color rgb="FF006100"/>
      <name val="Calibri"/>
      <family val="2"/>
      <scheme val="minor"/>
    </font>
    <font>
      <sz val="11"/>
      <color theme="1"/>
      <name val="Arial"/>
      <family val="2"/>
    </font>
    <font>
      <b/>
      <sz val="12"/>
      <color rgb="FF12192D"/>
      <name val="Arial"/>
      <family val="2"/>
    </font>
    <font>
      <sz val="10"/>
      <color rgb="FF12192D"/>
      <name val="Aptos Narrow"/>
      <family val="2"/>
    </font>
    <font>
      <i/>
      <sz val="10"/>
      <color rgb="FF12192D"/>
      <name val="Arial"/>
      <family val="2"/>
    </font>
    <font>
      <i/>
      <sz val="14"/>
      <color rgb="FF12192D"/>
      <name val="Arial"/>
      <family val="2"/>
    </font>
    <font>
      <sz val="14"/>
      <color rgb="FF12192D"/>
      <name val="Aptos Narrow"/>
      <family val="2"/>
    </font>
    <font>
      <sz val="16"/>
      <color rgb="FF12192D"/>
      <name val="Aptos Narrow"/>
      <family val="2"/>
    </font>
    <font>
      <b/>
      <sz val="14"/>
      <color rgb="FF12192D"/>
      <name val="Arial"/>
      <family val="2"/>
    </font>
    <font>
      <sz val="10"/>
      <color theme="1"/>
      <name val="Calibri"/>
      <family val="2"/>
      <scheme val="minor"/>
    </font>
    <font>
      <b/>
      <sz val="14"/>
      <color rgb="FFA2975E"/>
      <name val="Arial"/>
      <family val="2"/>
    </font>
    <font>
      <sz val="14"/>
      <color rgb="FF12192D"/>
      <name val="Arial"/>
      <family val="2"/>
    </font>
    <font>
      <sz val="52"/>
      <color rgb="FFACC8EA"/>
      <name val="Calibri"/>
      <family val="2"/>
      <scheme val="minor"/>
    </font>
    <font>
      <b/>
      <sz val="16"/>
      <color rgb="FF12192D"/>
      <name val="Arial"/>
      <family val="2"/>
    </font>
    <font>
      <sz val="16"/>
      <color theme="0" tint="-0.499879986047745"/>
      <name val="Calibri"/>
      <family val="2"/>
      <scheme val="minor"/>
    </font>
    <font>
      <sz val="11"/>
      <color theme="0" tint="-0.149900004267693"/>
      <name val="Calibri"/>
      <family val="2"/>
      <scheme val="minor"/>
    </font>
    <font>
      <b/>
      <sz val="20"/>
      <color theme="0" tint="-0.499879986047745"/>
      <name val="Calibri"/>
      <family val="2"/>
      <scheme val="minor"/>
    </font>
    <font>
      <sz val="36"/>
      <color theme="0" tint="-0.499879986047745"/>
      <name val="Calibri"/>
      <family val="2"/>
      <scheme val="minor"/>
    </font>
    <font>
      <sz val="52"/>
      <color theme="0" tint="-0.499879986047745"/>
      <name val="Calibri"/>
      <family val="2"/>
      <scheme val="minor"/>
    </font>
    <font>
      <sz val="48"/>
      <color theme="0" tint="-0.499879986047745"/>
      <name val="Calibri"/>
      <family val="2"/>
      <scheme val="minor"/>
    </font>
    <font>
      <sz val="10"/>
      <color theme="0" tint="-0.149900004267693"/>
      <name val="Arial"/>
      <family val="2"/>
    </font>
    <font>
      <b/>
      <sz val="12"/>
      <color theme="1"/>
      <name val="Calibri"/>
      <family val="2"/>
      <scheme val="minor"/>
    </font>
    <font>
      <sz val="10"/>
      <color theme="1"/>
      <name val="Arial Unicode MS"/>
      <family val="2"/>
    </font>
    <font>
      <b/>
      <sz val="13.5"/>
      <color theme="1"/>
      <name val="Calibri"/>
      <family val="2"/>
      <scheme val="minor"/>
    </font>
    <font>
      <b/>
      <sz val="11"/>
      <color theme="0"/>
      <name val="Calibri"/>
      <family val="2"/>
      <scheme val="minor"/>
    </font>
    <font>
      <sz val="10"/>
      <color rgb="FFFFC000"/>
      <name val="Arial"/>
      <family val="2"/>
    </font>
    <font>
      <sz val="10"/>
      <color rgb="FFBFBFBF"/>
      <name val="Arial"/>
      <family val="2"/>
    </font>
    <font>
      <sz val="10"/>
      <color theme="1" tint="0.14996999502182"/>
      <name val="Arial"/>
      <family val="2"/>
    </font>
    <font>
      <sz val="16"/>
      <color theme="0" tint="-0.499879986047745"/>
      <name val="Calibri"/>
      <family val="2"/>
    </font>
    <font>
      <b/>
      <sz val="9"/>
      <name val="Tahoma"/>
      <family val="2"/>
    </font>
    <font>
      <b/>
      <sz val="11"/>
      <color theme="0"/>
      <name val="Calibri"/>
      <family val="2"/>
    </font>
    <font>
      <sz val="11"/>
      <color rgb="FF9C6500"/>
      <name val="Calibri"/>
      <family val="2"/>
      <scheme val="minor"/>
    </font>
    <font>
      <b/>
      <sz val="18"/>
      <color theme="0" tint="-0.499969989061356"/>
      <name val="Calibri"/>
      <family val="2"/>
      <scheme val="minor"/>
    </font>
    <font>
      <sz val="11"/>
      <color theme="1"/>
      <name val="Arial Black"/>
      <family val="2"/>
    </font>
    <font>
      <b/>
      <sz val="14"/>
      <color rgb="FFACC8EA"/>
      <name val="Arial Black"/>
      <family val="2"/>
    </font>
    <font>
      <sz val="11"/>
      <color rgb="FFC00000"/>
      <name val="Calibri"/>
      <family val="2"/>
      <scheme val="minor"/>
    </font>
    <font>
      <sz val="10"/>
      <color rgb="FF12192D"/>
      <name val="Arial"/>
      <family val="2"/>
    </font>
    <font>
      <sz val="10"/>
      <color theme="0" tint="-0.5"/>
      <name val="Arial Narrow"/>
      <family val="2"/>
    </font>
    <font>
      <sz val="9"/>
      <color theme="1" tint="0.35"/>
      <name val="Calibri"/>
      <family val="2"/>
      <scheme val="minor"/>
    </font>
  </fonts>
  <fills count="19">
    <fill>
      <patternFill patternType="none"/>
    </fill>
    <fill>
      <patternFill patternType="gray125"/>
    </fill>
    <fill>
      <patternFill patternType="solid">
        <fgColor indexed="65"/>
        <bgColor indexed="64"/>
      </patternFill>
    </fill>
    <fill>
      <patternFill patternType="solid">
        <fgColor rgb="FFFEE8CA"/>
        <bgColor indexed="64"/>
      </patternFill>
    </fill>
    <fill>
      <patternFill patternType="solid">
        <fgColor rgb="FFD9D9D9"/>
        <bgColor indexed="64"/>
      </patternFill>
    </fill>
    <fill>
      <patternFill patternType="solid">
        <fgColor rgb="FFF2F2F2"/>
        <bgColor indexed="64"/>
      </patternFill>
    </fill>
    <fill>
      <patternFill patternType="solid">
        <fgColor rgb="FF12192D"/>
        <bgColor indexed="64"/>
      </patternFill>
    </fill>
    <fill>
      <patternFill patternType="solid">
        <fgColor rgb="FFECE7F5"/>
        <bgColor indexed="64"/>
      </patternFill>
    </fill>
    <fill>
      <patternFill patternType="solid">
        <fgColor rgb="FFFFFFFF"/>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rgb="FF4BACC6"/>
        <bgColor indexed="64"/>
      </patternFill>
    </fill>
    <fill>
      <patternFill patternType="solid">
        <fgColor rgb="FFFFFF00"/>
        <bgColor indexed="64"/>
      </patternFill>
    </fill>
    <fill>
      <patternFill patternType="solid">
        <fgColor rgb="FF4BACC6"/>
        <bgColor indexed="64"/>
      </patternFill>
    </fill>
    <fill>
      <patternFill patternType="solid">
        <fgColor theme="9" tint="0.799979984760284"/>
        <bgColor indexed="64"/>
      </patternFill>
    </fill>
    <fill>
      <patternFill patternType="solid">
        <fgColor rgb="FFFEE8CA"/>
        <bgColor indexed="64"/>
      </patternFill>
    </fill>
    <fill>
      <patternFill patternType="solid">
        <fgColor rgb="FFD9D9D9"/>
        <bgColor indexed="64"/>
      </patternFill>
    </fill>
    <fill>
      <patternFill patternType="solid">
        <fgColor rgb="FFECE7F5"/>
        <bgColor indexed="64"/>
      </patternFill>
    </fill>
  </fills>
  <borders count="44">
    <border>
      <left/>
      <right/>
      <top/>
      <bottom/>
      <diagonal/>
    </border>
    <border>
      <left style="thin">
        <color rgb="FFA6A6A6"/>
      </left>
      <right style="thin">
        <color rgb="FFA6A6A6"/>
      </right>
      <top style="thin">
        <color rgb="FFA6A6A6"/>
      </top>
      <bottom style="thin">
        <color rgb="FFA6A6A6"/>
      </bottom>
    </border>
    <border>
      <left style="thin">
        <color rgb="FFC4BD97"/>
      </left>
      <right style="thin">
        <color rgb="FFC4BD97"/>
      </right>
      <top style="thin">
        <color rgb="FFC4BD97"/>
      </top>
      <bottom style="thin">
        <color rgb="FFC4BD97"/>
      </bottom>
    </border>
    <border>
      <left style="thin">
        <color rgb="FFD9D9D9"/>
      </left>
      <right style="thin">
        <color rgb="FFD9D9D9"/>
      </right>
      <top style="thin">
        <color rgb="FFD9D9D9"/>
      </top>
      <bottom style="thin">
        <color rgb="FFD9D9D9"/>
      </bottom>
    </border>
    <border>
      <left style="thin">
        <color rgb="FFD9D9D9"/>
      </left>
      <right/>
      <top/>
      <bottom/>
    </border>
    <border>
      <left/>
      <right/>
      <top/>
      <bottom style="thin">
        <color rgb="FFD9D9D9"/>
      </bottom>
    </border>
    <border>
      <left style="thin">
        <color rgb="FFD9D9D9"/>
      </left>
      <right/>
      <top/>
      <bottom style="thin">
        <color rgb="FFD9D9D9"/>
      </bottom>
    </border>
    <border>
      <left/>
      <right style="thin">
        <color rgb="FFD9D9D9"/>
      </right>
      <top/>
      <bottom/>
    </border>
    <border>
      <left/>
      <right style="thin">
        <color rgb="FFD9D9D9"/>
      </right>
      <top/>
      <bottom style="thin">
        <color rgb="FFD9D9D9"/>
      </bottom>
    </border>
    <border>
      <left style="thin">
        <color rgb="FF4BACC6"/>
      </left>
      <right/>
      <top/>
      <bottom/>
    </border>
    <border>
      <left/>
      <right style="thin">
        <color rgb="FF4BACC6"/>
      </right>
      <top/>
      <bottom/>
    </border>
    <border>
      <left/>
      <right/>
      <top style="thin">
        <color rgb="FFA6A6A6"/>
      </top>
      <bottom/>
    </border>
    <border>
      <left/>
      <right style="thin">
        <color rgb="FFA6A6A6"/>
      </right>
      <top style="thin">
        <color rgb="FFA6A6A6"/>
      </top>
      <bottom/>
    </border>
    <border>
      <left/>
      <right style="thin">
        <color rgb="FFA6A6A6"/>
      </right>
      <top/>
      <bottom/>
    </border>
    <border>
      <left/>
      <right/>
      <top/>
      <bottom style="thin">
        <color rgb="FFA6A6A6"/>
      </bottom>
    </border>
    <border>
      <left/>
      <right style="thin">
        <color rgb="FFA6A6A6"/>
      </right>
      <top/>
      <bottom style="thin">
        <color rgb="FFA6A6A6"/>
      </bottom>
    </border>
    <border>
      <left style="thin">
        <color rgb="FFD9D9D9"/>
      </left>
      <right/>
      <top style="thin">
        <color rgb="FFD9D9D9"/>
      </top>
      <bottom/>
    </border>
    <border>
      <left/>
      <right/>
      <top style="thin">
        <color rgb="FFD9D9D9"/>
      </top>
      <bottom/>
    </border>
    <border>
      <left/>
      <right style="thin">
        <color rgb="FFD9D9D9"/>
      </right>
      <top style="thin">
        <color rgb="FFD9D9D9"/>
      </top>
      <bottom/>
    </border>
    <border>
      <left/>
      <right style="thin">
        <color rgb="FF12192D"/>
      </right>
      <top/>
      <bottom/>
    </border>
    <border>
      <left style="thin">
        <color rgb="FFC4BD97"/>
      </left>
      <right style="thin">
        <color rgb="FFC4BD97"/>
      </right>
      <top style="thin">
        <color rgb="FFC4BD97"/>
      </top>
      <bottom/>
    </border>
    <border>
      <left/>
      <right/>
      <top style="thin">
        <color rgb="FFBFBFBF"/>
      </top>
      <bottom/>
    </border>
    <border>
      <left/>
      <right/>
      <top/>
      <bottom style="thin">
        <color rgb="FFBFBFBF"/>
      </bottom>
    </border>
    <border>
      <left style="thin">
        <color rgb="FFBFBFBF"/>
      </left>
      <right/>
      <top style="thin">
        <color rgb="FFBFBFBF"/>
      </top>
      <bottom/>
    </border>
    <border>
      <left/>
      <right style="thin">
        <color rgb="FFBFBFBF"/>
      </right>
      <top style="thin">
        <color rgb="FFA6A6A6"/>
      </top>
      <bottom/>
    </border>
    <border>
      <left style="thin">
        <color rgb="FFBFBFBF"/>
      </left>
      <right/>
      <top/>
      <bottom/>
    </border>
    <border>
      <left/>
      <right style="thin">
        <color rgb="FFBFBFBF"/>
      </right>
      <top/>
      <bottom/>
    </border>
    <border>
      <left style="thin">
        <color rgb="FFBFBFBF"/>
      </left>
      <right/>
      <top/>
      <bottom style="thin">
        <color rgb="FFBFBFBF"/>
      </bottom>
    </border>
    <border>
      <left/>
      <right style="thin">
        <color rgb="FFBFBFBF"/>
      </right>
      <top/>
      <bottom style="thin">
        <color rgb="FFBFBFBF"/>
      </bottom>
    </border>
    <border>
      <left/>
      <right style="thin">
        <color rgb="FFBFBFBF"/>
      </right>
      <top style="thin">
        <color rgb="FFBFBFBF"/>
      </top>
      <bottom/>
    </border>
    <border>
      <left/>
      <right/>
      <top/>
      <bottom style="thin">
        <color theme="0" tint="-0.149990007281303"/>
      </bottom>
    </border>
    <border>
      <left/>
      <right style="thin">
        <color rgb="FFD9D9D9"/>
      </right>
      <top/>
      <bottom style="thin">
        <color theme="0" tint="-0.149990007281303"/>
      </bottom>
    </border>
    <border>
      <left style="thin">
        <color theme="0" tint="-0.149990007281303"/>
      </left>
      <right style="thin">
        <color theme="0" tint="-0.149990007281303"/>
      </right>
      <top/>
      <bottom/>
    </border>
    <border>
      <left style="thin">
        <color theme="0" tint="-0.149990007281303"/>
      </left>
      <right style="thin">
        <color theme="0" tint="-0.149990007281303"/>
      </right>
      <top/>
      <bottom style="thin">
        <color theme="0" tint="-0.149990007281303"/>
      </bottom>
    </border>
    <border>
      <left style="thin">
        <color rgb="FF4BACC6"/>
      </left>
      <right style="thin">
        <color rgb="FF4BACC6"/>
      </right>
      <top/>
      <bottom/>
    </border>
    <border>
      <left style="thin">
        <color rgb="FFA6A6A6"/>
      </left>
      <right style="thin">
        <color rgb="FFA6A6A6"/>
      </right>
      <top/>
      <bottom style="thin">
        <color rgb="FFA6A6A6"/>
      </bottom>
    </border>
    <border>
      <left style="thin">
        <color rgb="FFA6A6A6"/>
      </left>
      <right/>
      <top/>
      <bottom style="thin">
        <color rgb="FFA6A6A6"/>
      </bottom>
    </border>
    <border>
      <left style="thin">
        <color rgb="FFA6A6A6"/>
      </left>
      <right style="thin">
        <color rgb="FFA6A6A6"/>
      </right>
      <top style="thin">
        <color rgb="FFA6A6A6"/>
      </top>
      <bottom/>
    </border>
    <border>
      <left style="thin">
        <color rgb="FFA6A6A6"/>
      </left>
      <right/>
      <top style="thin">
        <color rgb="FFA6A6A6"/>
      </top>
      <bottom/>
    </border>
    <border>
      <left style="thin">
        <color rgb="FFA6A6A6"/>
      </left>
      <right style="thin">
        <color rgb="FFA6A6A6"/>
      </right>
      <top/>
      <bottom/>
    </border>
    <border>
      <left style="thin">
        <color rgb="FFA6A6A6"/>
      </left>
      <right/>
      <top/>
      <bottom/>
    </border>
    <border>
      <left style="thin">
        <color rgb="FFC4BD97"/>
      </left>
      <right/>
      <top style="thin">
        <color rgb="FFC4BD97"/>
      </top>
      <bottom style="thin">
        <color rgb="FFC4BD97"/>
      </bottom>
    </border>
    <border>
      <left/>
      <right style="thin">
        <color rgb="FFC4BD97"/>
      </right>
      <top style="thin">
        <color rgb="FFC4BD97"/>
      </top>
      <bottom style="thin">
        <color rgb="FFC4BD97"/>
      </bottom>
    </border>
    <border>
      <left/>
      <right/>
      <top style="thin">
        <color rgb="FFC4BD97"/>
      </top>
      <bottom style="thin">
        <color rgb="FFC4BD97"/>
      </bottom>
    </border>
  </borders>
  <cellStyleXfs count="5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0" fontId="43" fillId="2" borderId="0">
      <alignment vertical="center"/>
      <protection/>
    </xf>
    <xf numFmtId="0" fontId="13" fillId="3" borderId="1" applyNumberFormat="0">
      <alignment horizontal="right" vertical="center" indent="1"/>
      <protection/>
    </xf>
    <xf numFmtId="0" fontId="13" fillId="4" borderId="1" applyNumberFormat="0">
      <alignment horizontal="right" vertical="center" indent="1"/>
      <protection/>
    </xf>
    <xf numFmtId="0" fontId="13" fillId="5" borderId="1">
      <alignment horizontal="left" vertical="center" wrapText="1"/>
      <protection/>
    </xf>
    <xf numFmtId="0" fontId="13" fillId="5" borderId="1">
      <alignment horizontal="left" vertical="center" wrapText="1" indent="2"/>
      <protection/>
    </xf>
    <xf numFmtId="0" fontId="14" fillId="6" borderId="1">
      <alignment horizontal="center" vertical="center" wrapText="1"/>
      <protection/>
    </xf>
    <xf numFmtId="0" fontId="13" fillId="5" borderId="1">
      <alignment horizontal="center" vertical="center"/>
      <protection/>
    </xf>
    <xf numFmtId="0" fontId="3" fillId="6" borderId="1">
      <alignment horizontal="center" vertical="center" textRotation="90" wrapText="1"/>
      <protection/>
    </xf>
    <xf numFmtId="0" fontId="4" fillId="4" borderId="0" applyBorder="0" applyAlignment="0" applyProtection="0"/>
    <xf numFmtId="0" fontId="13" fillId="5" borderId="0" applyBorder="0" applyProtection="0">
      <alignment/>
    </xf>
    <xf numFmtId="166" fontId="13" fillId="3" borderId="1">
      <alignment horizontal="right" vertical="center" indent="1"/>
      <protection/>
    </xf>
    <xf numFmtId="0" fontId="42" fillId="2" borderId="0">
      <alignment vertical="center"/>
      <protection/>
    </xf>
    <xf numFmtId="0" fontId="15" fillId="0" borderId="0">
      <alignment/>
      <protection/>
    </xf>
    <xf numFmtId="164" fontId="44" fillId="7" borderId="2">
      <alignment/>
      <protection/>
    </xf>
    <xf numFmtId="0" fontId="13" fillId="8" borderId="3">
      <alignment horizontal="left" vertical="center" wrapText="1"/>
      <protection/>
    </xf>
    <xf numFmtId="0" fontId="13" fillId="8" borderId="3">
      <alignment horizontal="right" vertical="center" wrapText="1"/>
      <protection/>
    </xf>
    <xf numFmtId="0" fontId="13" fillId="5" borderId="3">
      <alignment horizontal="left" vertical="top" wrapText="1"/>
      <protection/>
    </xf>
    <xf numFmtId="0" fontId="13" fillId="5" borderId="3">
      <alignment horizontal="left" vertical="top" wrapText="1"/>
      <protection/>
    </xf>
    <xf numFmtId="0" fontId="15" fillId="0" borderId="0">
      <alignment/>
      <protection/>
    </xf>
    <xf numFmtId="0" fontId="13" fillId="5" borderId="4">
      <alignment horizontal="left" vertical="top" wrapText="1"/>
      <protection/>
    </xf>
    <xf numFmtId="0" fontId="13" fillId="5" borderId="5">
      <alignment horizontal="left" vertical="top" wrapText="1"/>
      <protection/>
    </xf>
    <xf numFmtId="0" fontId="13" fillId="5" borderId="6">
      <alignment horizontal="left" vertical="top" wrapText="1"/>
      <protection/>
    </xf>
    <xf numFmtId="0" fontId="4" fillId="9" borderId="0" applyNumberFormat="0" applyBorder="0" applyAlignment="0" applyProtection="0"/>
    <xf numFmtId="0" fontId="5" fillId="10" borderId="0" applyNumberFormat="0" applyBorder="0" applyAlignment="0" applyProtection="0"/>
    <xf numFmtId="0" fontId="0" fillId="0" borderId="0">
      <alignment/>
      <protection/>
    </xf>
    <xf numFmtId="0" fontId="13" fillId="5" borderId="7">
      <alignment horizontal="left" vertical="top" wrapText="1"/>
      <protection/>
    </xf>
    <xf numFmtId="0" fontId="13" fillId="5" borderId="8">
      <alignment horizontal="left" vertical="top" wrapText="1"/>
      <protection/>
    </xf>
    <xf numFmtId="0" fontId="8" fillId="11" borderId="0" applyNumberFormat="0" applyBorder="0" applyAlignment="0" applyProtection="0"/>
    <xf numFmtId="0" fontId="1" fillId="0" borderId="0">
      <alignment/>
      <protection/>
    </xf>
    <xf numFmtId="0" fontId="48" fillId="11" borderId="0" applyNumberFormat="0" applyBorder="0" applyAlignment="0" applyProtection="0"/>
  </cellStyleXfs>
  <cellXfs count="227">
    <xf numFmtId="0" fontId="0" fillId="0" borderId="0" xfId="0"/>
    <xf numFmtId="0" fontId="23" fillId="8" borderId="0" xfId="29" applyFont="1" applyFill="1" applyBorder="1" applyAlignment="1">
      <alignment horizontal="center"/>
    </xf>
    <xf numFmtId="165" fontId="27" fillId="5" borderId="0" xfId="0" applyNumberFormat="1" applyFont="1" applyFill="1" applyAlignment="1">
      <alignment horizontal="center" vertical="center" shrinkToFit="1"/>
    </xf>
    <xf numFmtId="4" fontId="23" fillId="8" borderId="0" xfId="18" applyNumberFormat="1" applyFont="1" applyFill="1" applyBorder="1" applyAlignment="1">
      <alignment horizontal="right"/>
    </xf>
    <xf numFmtId="0" fontId="33" fillId="8" borderId="0" xfId="0" applyFont="1" applyFill="1" applyAlignment="1">
      <alignment horizontal="center"/>
    </xf>
    <xf numFmtId="0" fontId="33" fillId="8" borderId="0" xfId="0" applyFont="1" applyFill="1" applyAlignment="1">
      <alignment horizontal="center" vertical="center" wrapText="1"/>
    </xf>
    <xf numFmtId="0" fontId="35" fillId="8" borderId="0" xfId="0" applyFont="1" applyFill="1" applyAlignment="1">
      <alignment horizontal="center" vertical="center"/>
    </xf>
    <xf numFmtId="0" fontId="35" fillId="8" borderId="0" xfId="0" applyFont="1" applyFill="1" applyAlignment="1">
      <alignment horizontal="center" vertical="center" wrapText="1"/>
    </xf>
    <xf numFmtId="0" fontId="14" fillId="6" borderId="1" xfId="25" applyAlignment="1">
      <alignment horizontal="center" vertical="center" wrapText="1"/>
      <protection/>
    </xf>
    <xf numFmtId="0" fontId="43" fillId="2" borderId="0" xfId="20" applyAlignment="1">
      <alignment vertical="center"/>
      <protection/>
    </xf>
    <xf numFmtId="0" fontId="13" fillId="3" borderId="1" xfId="21" applyAlignment="1">
      <alignment horizontal="right" vertical="center" indent="1"/>
      <protection/>
    </xf>
    <xf numFmtId="0" fontId="13" fillId="5" borderId="1" xfId="23" applyAlignment="1">
      <alignment horizontal="left" vertical="center" wrapText="1"/>
      <protection/>
    </xf>
    <xf numFmtId="0" fontId="13" fillId="5" borderId="1" xfId="24" applyAlignment="1">
      <alignment horizontal="left" vertical="center" wrapText="1" indent="2"/>
      <protection/>
    </xf>
    <xf numFmtId="0" fontId="13" fillId="5" borderId="1" xfId="26" applyAlignment="1">
      <alignment horizontal="center" vertical="center"/>
      <protection/>
    </xf>
    <xf numFmtId="0" fontId="4" fillId="4" borderId="0" xfId="28"/>
    <xf numFmtId="166" fontId="13" fillId="3" borderId="1" xfId="30" applyAlignment="1">
      <alignment horizontal="right" vertical="center" indent="1"/>
      <protection/>
    </xf>
    <xf numFmtId="0" fontId="42" fillId="2" borderId="0" xfId="31" applyAlignment="1">
      <alignment vertical="center"/>
      <protection/>
    </xf>
    <xf numFmtId="0" fontId="15" fillId="0" borderId="0" xfId="32">
      <alignment/>
      <protection/>
    </xf>
    <xf numFmtId="164" fontId="44" fillId="7" borderId="2" xfId="33">
      <alignment/>
      <protection/>
    </xf>
    <xf numFmtId="0" fontId="13" fillId="8" borderId="3" xfId="34" applyAlignment="1">
      <alignment horizontal="left" vertical="center" wrapText="1"/>
      <protection/>
    </xf>
    <xf numFmtId="0" fontId="13" fillId="8" borderId="3" xfId="35" applyAlignment="1">
      <alignment horizontal="right" vertical="center" wrapText="1"/>
      <protection/>
    </xf>
    <xf numFmtId="0" fontId="13" fillId="5" borderId="3" xfId="36" applyAlignment="1">
      <alignment horizontal="left" vertical="top" wrapText="1"/>
      <protection/>
    </xf>
    <xf numFmtId="0" fontId="13" fillId="5" borderId="3" xfId="37" applyAlignment="1">
      <alignment horizontal="left" vertical="top" wrapText="1"/>
      <protection/>
    </xf>
    <xf numFmtId="0" fontId="15" fillId="0" borderId="0" xfId="38">
      <alignment/>
      <protection/>
    </xf>
    <xf numFmtId="0" fontId="13" fillId="5" borderId="4" xfId="39" applyAlignment="1">
      <alignment horizontal="left" vertical="top" wrapText="1"/>
      <protection/>
    </xf>
    <xf numFmtId="0" fontId="13" fillId="5" borderId="5" xfId="40" applyAlignment="1">
      <alignment horizontal="left" vertical="top" wrapText="1"/>
      <protection/>
    </xf>
    <xf numFmtId="0" fontId="13" fillId="5" borderId="6" xfId="41" applyAlignment="1">
      <alignment horizontal="left" vertical="top" wrapText="1"/>
      <protection/>
    </xf>
    <xf numFmtId="0" fontId="13" fillId="4" borderId="1" xfId="22" applyNumberFormat="1" applyAlignment="1">
      <alignment horizontal="right" vertical="center" indent="1"/>
      <protection/>
    </xf>
    <xf numFmtId="14" fontId="0" fillId="0" borderId="0" xfId="0" applyNumberFormat="1"/>
    <xf numFmtId="0" fontId="41" fillId="12" borderId="9" xfId="0" applyFont="1" applyFill="1" applyBorder="1"/>
    <xf numFmtId="0" fontId="41" fillId="12" borderId="0" xfId="0" applyFont="1" applyFill="1"/>
    <xf numFmtId="0" fontId="41" fillId="12" borderId="10" xfId="0" applyFont="1" applyFill="1" applyBorder="1"/>
    <xf numFmtId="0" fontId="40" fillId="0" borderId="0" xfId="0" applyFont="1" applyAlignment="1">
      <alignment vertical="center"/>
    </xf>
    <xf numFmtId="0" fontId="0" fillId="0" borderId="0" xfId="0" applyAlignment="1">
      <alignment horizontal="left" vertical="center" indent="1"/>
    </xf>
    <xf numFmtId="0" fontId="39" fillId="0" borderId="0" xfId="0" applyFont="1" applyAlignment="1">
      <alignment vertical="center"/>
    </xf>
    <xf numFmtId="0" fontId="38" fillId="0" borderId="0" xfId="0" applyFont="1" applyAlignment="1">
      <alignment vertical="center"/>
    </xf>
    <xf numFmtId="0" fontId="0" fillId="8" borderId="0" xfId="0" applyFill="1"/>
    <xf numFmtId="0" fontId="13" fillId="5" borderId="11" xfId="29" applyBorder="1">
      <alignment/>
    </xf>
    <xf numFmtId="0" fontId="13" fillId="5" borderId="12" xfId="29" applyBorder="1">
      <alignment/>
    </xf>
    <xf numFmtId="0" fontId="13" fillId="5" borderId="0" xfId="29" applyBorder="1">
      <alignment/>
    </xf>
    <xf numFmtId="0" fontId="32" fillId="5" borderId="0" xfId="0" applyFont="1" applyFill="1"/>
    <xf numFmtId="0" fontId="37" fillId="5" borderId="0" xfId="0" applyFont="1" applyFill="1" applyAlignment="1">
      <alignment horizontal="right" vertical="center" wrapText="1"/>
    </xf>
    <xf numFmtId="0" fontId="13" fillId="5" borderId="13" xfId="29" applyBorder="1">
      <alignment/>
    </xf>
    <xf numFmtId="0" fontId="32" fillId="5" borderId="0" xfId="42" applyFont="1" applyFill="1" applyBorder="1" applyAlignment="1">
      <alignment vertical="center" wrapText="1"/>
    </xf>
    <xf numFmtId="0" fontId="32" fillId="8" borderId="0" xfId="0" applyFont="1" applyFill="1"/>
    <xf numFmtId="0" fontId="36" fillId="8" borderId="0" xfId="0" applyFont="1" applyFill="1" applyAlignment="1">
      <alignment vertical="center" wrapText="1"/>
    </xf>
    <xf numFmtId="0" fontId="35" fillId="8" borderId="0" xfId="0" applyFont="1" applyFill="1" applyAlignment="1">
      <alignment vertical="center"/>
    </xf>
    <xf numFmtId="0" fontId="34" fillId="8" borderId="0" xfId="0" applyFont="1" applyFill="1" applyAlignment="1">
      <alignment horizontal="center" vertical="center" wrapText="1"/>
    </xf>
    <xf numFmtId="0" fontId="33" fillId="8" borderId="0" xfId="0" applyFont="1" applyFill="1"/>
    <xf numFmtId="0" fontId="31" fillId="8" borderId="0" xfId="0" applyFont="1" applyFill="1" applyAlignment="1">
      <alignment vertical="center" wrapText="1"/>
    </xf>
    <xf numFmtId="0" fontId="32" fillId="5" borderId="0" xfId="28" applyFont="1" applyFill="1" applyBorder="1"/>
    <xf numFmtId="0" fontId="31" fillId="5" borderId="0" xfId="28" applyFont="1" applyFill="1" applyBorder="1"/>
    <xf numFmtId="0" fontId="13" fillId="5" borderId="14" xfId="29" applyBorder="1">
      <alignment/>
    </xf>
    <xf numFmtId="0" fontId="13" fillId="5" borderId="15" xfId="29" applyBorder="1">
      <alignment/>
    </xf>
    <xf numFmtId="0" fontId="0" fillId="0" borderId="4" xfId="0" applyBorder="1"/>
    <xf numFmtId="0" fontId="13" fillId="8" borderId="0" xfId="29" applyFill="1" applyBorder="1">
      <alignment/>
    </xf>
    <xf numFmtId="0" fontId="25" fillId="8" borderId="0" xfId="27" applyFont="1" applyFill="1" applyBorder="1" applyAlignment="1">
      <alignment vertical="center" wrapText="1"/>
      <protection/>
    </xf>
    <xf numFmtId="0" fontId="25" fillId="8" borderId="7" xfId="27" applyFont="1" applyFill="1" applyBorder="1" applyAlignment="1">
      <alignment vertical="center" wrapText="1"/>
      <protection/>
    </xf>
    <xf numFmtId="0" fontId="15" fillId="0" borderId="0" xfId="27" applyFont="1" applyFill="1" applyBorder="1" applyAlignment="1">
      <alignment horizontal="center" vertical="center" wrapText="1"/>
      <protection/>
    </xf>
    <xf numFmtId="0" fontId="15" fillId="0" borderId="0" xfId="27" applyFont="1" applyFill="1" applyBorder="1" applyAlignment="1">
      <alignment vertical="center" wrapText="1"/>
      <protection/>
    </xf>
    <xf numFmtId="0" fontId="15" fillId="8" borderId="7" xfId="27" applyFont="1" applyFill="1" applyBorder="1" applyAlignment="1">
      <alignment vertical="center" wrapText="1"/>
      <protection/>
    </xf>
    <xf numFmtId="0" fontId="25" fillId="0" borderId="0" xfId="27" applyFont="1" applyFill="1" applyBorder="1" applyAlignment="1">
      <alignment horizontal="center" vertical="center" wrapText="1"/>
      <protection/>
    </xf>
    <xf numFmtId="0" fontId="15" fillId="0" borderId="7" xfId="27" applyFont="1" applyFill="1" applyBorder="1" applyAlignment="1">
      <alignment horizontal="center" vertical="center" wrapText="1"/>
      <protection/>
    </xf>
    <xf numFmtId="0" fontId="20" fillId="8" borderId="7" xfId="29" applyFont="1" applyFill="1" applyBorder="1" applyAlignment="1">
      <alignment horizontal="center"/>
    </xf>
    <xf numFmtId="0" fontId="23" fillId="8" borderId="0" xfId="29" applyFont="1" applyFill="1" applyBorder="1">
      <alignment/>
    </xf>
    <xf numFmtId="14" fontId="23" fillId="8" borderId="0" xfId="29" applyNumberFormat="1" applyFont="1" applyFill="1" applyBorder="1">
      <alignment/>
    </xf>
    <xf numFmtId="43" fontId="24" fillId="8" borderId="7" xfId="18" applyFont="1" applyFill="1" applyBorder="1" applyAlignment="1">
      <alignment horizontal="center"/>
    </xf>
    <xf numFmtId="0" fontId="28" fillId="0" borderId="0" xfId="29" applyFont="1" applyFill="1" applyBorder="1">
      <alignment/>
    </xf>
    <xf numFmtId="0" fontId="28" fillId="8" borderId="0" xfId="29" applyFont="1" applyFill="1" applyBorder="1">
      <alignment/>
    </xf>
    <xf numFmtId="0" fontId="20" fillId="8" borderId="7" xfId="29" applyFont="1" applyFill="1" applyBorder="1">
      <alignment/>
    </xf>
    <xf numFmtId="0" fontId="0" fillId="0" borderId="6" xfId="0" applyBorder="1"/>
    <xf numFmtId="0" fontId="20" fillId="0" borderId="5" xfId="29" applyFont="1" applyFill="1" applyBorder="1" applyAlignment="1">
      <alignment horizontal="left"/>
    </xf>
    <xf numFmtId="0" fontId="13" fillId="0" borderId="5" xfId="29" applyFill="1" applyBorder="1">
      <alignment/>
    </xf>
    <xf numFmtId="0" fontId="13" fillId="8" borderId="5" xfId="29" applyFill="1" applyBorder="1">
      <alignment/>
    </xf>
    <xf numFmtId="0" fontId="20" fillId="8" borderId="5" xfId="29" applyFont="1" applyFill="1" applyBorder="1">
      <alignment/>
    </xf>
    <xf numFmtId="0" fontId="20" fillId="8" borderId="8" xfId="29" applyFont="1" applyFill="1" applyBorder="1">
      <alignment/>
    </xf>
    <xf numFmtId="0" fontId="21" fillId="5" borderId="0" xfId="29" applyFont="1" applyBorder="1">
      <alignment/>
    </xf>
    <xf numFmtId="0" fontId="20" fillId="5" borderId="0" xfId="29" applyFont="1" applyBorder="1" applyAlignment="1">
      <alignment horizontal="left"/>
    </xf>
    <xf numFmtId="0" fontId="20" fillId="5" borderId="0" xfId="29" applyFont="1" applyBorder="1">
      <alignment/>
    </xf>
    <xf numFmtId="0" fontId="18" fillId="2" borderId="0" xfId="0" applyFont="1" applyFill="1"/>
    <xf numFmtId="0" fontId="0" fillId="5" borderId="16" xfId="0" applyFill="1" applyBorder="1"/>
    <xf numFmtId="0" fontId="0" fillId="5" borderId="17" xfId="0" applyFill="1" applyBorder="1"/>
    <xf numFmtId="0" fontId="0" fillId="5" borderId="18" xfId="0" applyFill="1" applyBorder="1"/>
    <xf numFmtId="0" fontId="0" fillId="5" borderId="4" xfId="0" applyFill="1" applyBorder="1"/>
    <xf numFmtId="0" fontId="0" fillId="5" borderId="0" xfId="0" applyFill="1"/>
    <xf numFmtId="0" fontId="0" fillId="5" borderId="7" xfId="0" applyFill="1" applyBorder="1"/>
    <xf numFmtId="0" fontId="13" fillId="8" borderId="16" xfId="29" applyFill="1" applyBorder="1">
      <alignment/>
    </xf>
    <xf numFmtId="0" fontId="25" fillId="8" borderId="18" xfId="27" applyFont="1" applyFill="1" applyBorder="1" applyAlignment="1">
      <alignment horizontal="center" vertical="center" wrapText="1"/>
      <protection/>
    </xf>
    <xf numFmtId="0" fontId="13" fillId="8" borderId="4" xfId="29" applyFill="1" applyBorder="1">
      <alignment/>
    </xf>
    <xf numFmtId="0" fontId="25" fillId="8" borderId="7" xfId="27" applyFont="1" applyFill="1" applyBorder="1" applyAlignment="1">
      <alignment horizontal="center" vertical="center" wrapText="1"/>
      <protection/>
    </xf>
    <xf numFmtId="0" fontId="26" fillId="8" borderId="0" xfId="0" applyFont="1" applyFill="1"/>
    <xf numFmtId="0" fontId="15" fillId="0" borderId="19" xfId="27" applyFont="1" applyFill="1" applyBorder="1" applyAlignment="1">
      <alignment horizontal="center" vertical="center" wrapText="1"/>
      <protection/>
    </xf>
    <xf numFmtId="0" fontId="15" fillId="8" borderId="0" xfId="27" applyFont="1" applyFill="1" applyBorder="1" applyAlignment="1">
      <alignment vertical="center" wrapText="1"/>
      <protection/>
    </xf>
    <xf numFmtId="0" fontId="26" fillId="5" borderId="4" xfId="0" applyFont="1" applyFill="1" applyBorder="1"/>
    <xf numFmtId="0" fontId="26" fillId="5" borderId="0" xfId="0" applyFont="1" applyFill="1"/>
    <xf numFmtId="0" fontId="26" fillId="5" borderId="7" xfId="0" applyFont="1" applyFill="1" applyBorder="1"/>
    <xf numFmtId="0" fontId="25" fillId="0" borderId="19" xfId="27" applyFont="1" applyFill="1" applyBorder="1" applyAlignment="1">
      <alignment horizontal="center" vertical="center" wrapText="1"/>
      <protection/>
    </xf>
    <xf numFmtId="0" fontId="23" fillId="8" borderId="19" xfId="29" applyFont="1" applyFill="1" applyBorder="1" applyAlignment="1">
      <alignment horizontal="center"/>
    </xf>
    <xf numFmtId="0" fontId="20" fillId="8" borderId="0" xfId="29" applyFont="1" applyFill="1" applyBorder="1" applyAlignment="1">
      <alignment horizontal="center"/>
    </xf>
    <xf numFmtId="4" fontId="23" fillId="8" borderId="19" xfId="18" applyNumberFormat="1" applyFont="1" applyFill="1" applyBorder="1" applyAlignment="1">
      <alignment horizontal="center"/>
    </xf>
    <xf numFmtId="0" fontId="23" fillId="8" borderId="0" xfId="29" applyFont="1" applyFill="1" applyBorder="1" applyAlignment="1">
      <alignment horizontal="left"/>
    </xf>
    <xf numFmtId="43" fontId="24" fillId="8" borderId="0" xfId="18" applyFont="1" applyFill="1" applyBorder="1" applyAlignment="1">
      <alignment horizontal="center"/>
    </xf>
    <xf numFmtId="4" fontId="23" fillId="8" borderId="19" xfId="29" applyNumberFormat="1" applyFont="1" applyFill="1" applyBorder="1" applyAlignment="1">
      <alignment horizontal="center"/>
    </xf>
    <xf numFmtId="0" fontId="22" fillId="8" borderId="0" xfId="29" applyFont="1" applyFill="1" applyBorder="1">
      <alignment/>
    </xf>
    <xf numFmtId="0" fontId="20" fillId="8" borderId="0" xfId="29" applyFont="1" applyFill="1" applyBorder="1">
      <alignment/>
    </xf>
    <xf numFmtId="0" fontId="13" fillId="8" borderId="6" xfId="29" applyFill="1" applyBorder="1">
      <alignment/>
    </xf>
    <xf numFmtId="0" fontId="21" fillId="8" borderId="5" xfId="29" applyFont="1" applyFill="1" applyBorder="1">
      <alignment/>
    </xf>
    <xf numFmtId="0" fontId="20" fillId="8" borderId="5" xfId="29" applyFont="1" applyFill="1" applyBorder="1" applyAlignment="1">
      <alignment horizontal="left"/>
    </xf>
    <xf numFmtId="0" fontId="0" fillId="5" borderId="6" xfId="0" applyFill="1" applyBorder="1"/>
    <xf numFmtId="0" fontId="0" fillId="5" borderId="5" xfId="0" applyFill="1" applyBorder="1"/>
    <xf numFmtId="0" fontId="0" fillId="5" borderId="8" xfId="0" applyFill="1" applyBorder="1"/>
    <xf numFmtId="0" fontId="19" fillId="0" borderId="0" xfId="27" applyFont="1" applyFill="1" applyBorder="1" applyAlignment="1">
      <alignment horizontal="center" vertical="center" wrapText="1"/>
      <protection/>
    </xf>
    <xf numFmtId="0" fontId="18" fillId="8" borderId="0" xfId="0" applyFont="1" applyFill="1"/>
    <xf numFmtId="0" fontId="17" fillId="9" borderId="2" xfId="42" applyFont="1" applyBorder="1" applyAlignment="1">
      <alignment vertical="center" wrapText="1"/>
    </xf>
    <xf numFmtId="0" fontId="16" fillId="10" borderId="20" xfId="43" applyFont="1" applyBorder="1" applyAlignment="1">
      <alignment vertical="center" wrapText="1"/>
    </xf>
    <xf numFmtId="0" fontId="13" fillId="5" borderId="21" xfId="29" applyBorder="1">
      <alignment/>
    </xf>
    <xf numFmtId="0" fontId="13" fillId="5" borderId="22" xfId="29" applyBorder="1">
      <alignment/>
    </xf>
    <xf numFmtId="0" fontId="0" fillId="0" borderId="0" xfId="0" quotePrefix="1"/>
    <xf numFmtId="0" fontId="13" fillId="5" borderId="23" xfId="29" applyBorder="1">
      <alignment/>
    </xf>
    <xf numFmtId="0" fontId="13" fillId="5" borderId="24" xfId="29" applyBorder="1">
      <alignment/>
    </xf>
    <xf numFmtId="0" fontId="13" fillId="5" borderId="25" xfId="29" applyBorder="1">
      <alignment/>
    </xf>
    <xf numFmtId="0" fontId="13" fillId="5" borderId="26" xfId="29" applyBorder="1">
      <alignment/>
    </xf>
    <xf numFmtId="0" fontId="13" fillId="5" borderId="27" xfId="29" applyBorder="1">
      <alignment/>
    </xf>
    <xf numFmtId="0" fontId="13" fillId="5" borderId="28" xfId="29" applyBorder="1">
      <alignment/>
    </xf>
    <xf numFmtId="0" fontId="13" fillId="5" borderId="29" xfId="29" applyBorder="1">
      <alignment/>
    </xf>
    <xf numFmtId="0" fontId="13" fillId="5" borderId="7" xfId="45" applyAlignment="1">
      <alignment horizontal="left" vertical="top" wrapText="1"/>
      <protection/>
    </xf>
    <xf numFmtId="0" fontId="13" fillId="5" borderId="8" xfId="46" applyAlignment="1">
      <alignment horizontal="left" vertical="top" wrapText="1"/>
      <protection/>
    </xf>
    <xf numFmtId="0" fontId="8" fillId="11" borderId="0" xfId="47" applyBorder="1"/>
    <xf numFmtId="0" fontId="0" fillId="0" borderId="0" xfId="0" applyAlignment="1">
      <alignment wrapText="1"/>
    </xf>
    <xf numFmtId="0" fontId="11" fillId="0" borderId="0" xfId="0" applyFont="1" applyAlignment="1">
      <alignment horizontal="center" vertical="top"/>
    </xf>
    <xf numFmtId="0" fontId="10" fillId="0" borderId="0" xfId="0" applyFont="1" applyAlignment="1">
      <alignment horizontal="center" vertical="top"/>
    </xf>
    <xf numFmtId="0" fontId="9" fillId="0" borderId="0" xfId="0" applyFont="1" applyAlignment="1">
      <alignment horizontal="center" wrapText="1"/>
    </xf>
    <xf numFmtId="0" fontId="8" fillId="11" borderId="0" xfId="47"/>
    <xf numFmtId="0" fontId="7" fillId="8" borderId="2" xfId="0" applyFont="1" applyFill="1" applyBorder="1" applyAlignment="1">
      <alignment horizontal="right" vertical="center" wrapText="1"/>
    </xf>
    <xf numFmtId="0" fontId="6" fillId="8" borderId="2" xfId="0" applyFont="1" applyFill="1" applyBorder="1" applyAlignment="1">
      <alignment horizontal="right" vertical="center" wrapText="1"/>
    </xf>
    <xf numFmtId="0" fontId="4" fillId="9" borderId="2" xfId="42" applyBorder="1" applyAlignment="1">
      <alignment vertical="center" wrapText="1"/>
    </xf>
    <xf numFmtId="0" fontId="5" fillId="10" borderId="20" xfId="43" applyBorder="1" applyAlignment="1">
      <alignment vertical="center" wrapText="1"/>
    </xf>
    <xf numFmtId="0" fontId="2" fillId="8" borderId="2" xfId="0" applyFont="1" applyFill="1" applyBorder="1" applyAlignment="1">
      <alignment horizontal="left" vertical="center" wrapText="1"/>
    </xf>
    <xf numFmtId="0" fontId="0" fillId="6" borderId="0" xfId="0" applyFill="1"/>
    <xf numFmtId="0" fontId="15" fillId="0" borderId="30" xfId="27" applyFont="1" applyFill="1" applyBorder="1" applyAlignment="1">
      <alignment horizontal="center" vertical="center" wrapText="1"/>
      <protection/>
    </xf>
    <xf numFmtId="0" fontId="23" fillId="8" borderId="30" xfId="29" applyFont="1" applyFill="1" applyBorder="1">
      <alignment/>
    </xf>
    <xf numFmtId="0" fontId="23" fillId="8" borderId="30" xfId="29" applyFont="1" applyFill="1" applyBorder="1" applyAlignment="1">
      <alignment horizontal="center"/>
    </xf>
    <xf numFmtId="4" fontId="23" fillId="8" borderId="30" xfId="18" applyNumberFormat="1" applyFont="1" applyFill="1" applyBorder="1" applyAlignment="1">
      <alignment horizontal="center"/>
    </xf>
    <xf numFmtId="0" fontId="28" fillId="8" borderId="30" xfId="29" applyFont="1" applyFill="1" applyBorder="1">
      <alignment/>
    </xf>
    <xf numFmtId="0" fontId="23" fillId="8" borderId="30" xfId="29" applyFont="1" applyFill="1" applyBorder="1" applyAlignment="1">
      <alignment horizontal="left"/>
    </xf>
    <xf numFmtId="4" fontId="23" fillId="8" borderId="30" xfId="18" applyNumberFormat="1" applyFont="1" applyFill="1" applyBorder="1" applyAlignment="1">
      <alignment horizontal="right"/>
    </xf>
    <xf numFmtId="43" fontId="24" fillId="8" borderId="30" xfId="18" applyFont="1" applyFill="1" applyBorder="1" applyAlignment="1">
      <alignment horizontal="center"/>
    </xf>
    <xf numFmtId="43" fontId="24" fillId="8" borderId="31" xfId="18" applyFont="1" applyFill="1" applyBorder="1" applyAlignment="1">
      <alignment horizontal="center"/>
    </xf>
    <xf numFmtId="0" fontId="0" fillId="8" borderId="32" xfId="0" applyFill="1" applyBorder="1"/>
    <xf numFmtId="0" fontId="13" fillId="5" borderId="32" xfId="29" applyBorder="1">
      <alignment/>
    </xf>
    <xf numFmtId="0" fontId="13" fillId="5" borderId="33" xfId="29" applyBorder="1">
      <alignment/>
    </xf>
    <xf numFmtId="0" fontId="0" fillId="13" borderId="0" xfId="0" applyFill="1"/>
    <xf numFmtId="0" fontId="47" fillId="14" borderId="34" xfId="0" applyFont="1" applyFill="1" applyBorder="1"/>
    <xf numFmtId="0" fontId="13" fillId="5" borderId="15" xfId="26" applyBorder="1" applyAlignment="1">
      <alignment horizontal="center" vertical="center"/>
      <protection/>
    </xf>
    <xf numFmtId="0" fontId="13" fillId="5" borderId="35" xfId="26" applyBorder="1" applyAlignment="1">
      <alignment horizontal="center" vertical="center"/>
      <protection/>
    </xf>
    <xf numFmtId="0" fontId="13" fillId="5" borderId="36" xfId="26" applyBorder="1" applyAlignment="1">
      <alignment horizontal="center" vertical="center"/>
      <protection/>
    </xf>
    <xf numFmtId="0" fontId="13" fillId="3" borderId="12" xfId="21" applyBorder="1" applyAlignment="1">
      <alignment horizontal="right" vertical="center" indent="1"/>
      <protection/>
    </xf>
    <xf numFmtId="0" fontId="13" fillId="3" borderId="37" xfId="21" applyBorder="1" applyAlignment="1">
      <alignment horizontal="right" vertical="center" indent="1"/>
      <protection/>
    </xf>
    <xf numFmtId="0" fontId="13" fillId="3" borderId="38" xfId="21" applyBorder="1" applyAlignment="1">
      <alignment horizontal="right" vertical="center" indent="1"/>
      <protection/>
    </xf>
    <xf numFmtId="0" fontId="14" fillId="6" borderId="1" xfId="25" applyAlignment="1">
      <alignment horizontal="center" vertical="center" wrapText="1"/>
      <protection/>
    </xf>
    <xf numFmtId="0" fontId="0" fillId="0" borderId="0" xfId="0"/>
    <xf numFmtId="0" fontId="19" fillId="0" borderId="0" xfId="27" applyFont="1" applyFill="1" applyBorder="1" applyAlignment="1">
      <alignment horizontal="center" vertical="center" wrapText="1"/>
      <protection/>
    </xf>
    <xf numFmtId="0" fontId="23" fillId="8" borderId="0" xfId="29" applyFont="1" applyFill="1" applyBorder="1" applyAlignment="1">
      <alignment horizontal="center"/>
    </xf>
    <xf numFmtId="4" fontId="23" fillId="8" borderId="0" xfId="18" applyNumberFormat="1" applyFont="1" applyFill="1" applyBorder="1" applyAlignment="1">
      <alignment horizontal="center"/>
    </xf>
    <xf numFmtId="0" fontId="23" fillId="8" borderId="0" xfId="29" applyFont="1" applyFill="1" applyBorder="1">
      <alignment/>
    </xf>
    <xf numFmtId="0" fontId="23" fillId="8" borderId="0" xfId="29" applyFont="1" applyFill="1" applyBorder="1" applyAlignment="1">
      <alignment horizontal="left"/>
    </xf>
    <xf numFmtId="4" fontId="23" fillId="8" borderId="0" xfId="18" applyNumberFormat="1" applyFont="1" applyFill="1" applyBorder="1" applyAlignment="1">
      <alignment horizontal="right"/>
    </xf>
    <xf numFmtId="4" fontId="23" fillId="8" borderId="0" xfId="29" applyNumberFormat="1" applyFont="1" applyFill="1" applyBorder="1" applyAlignment="1">
      <alignment horizontal="center"/>
    </xf>
    <xf numFmtId="0" fontId="3" fillId="6" borderId="37" xfId="27" applyBorder="1" applyAlignment="1">
      <alignment horizontal="center" vertical="center" textRotation="90" wrapText="1"/>
      <protection/>
    </xf>
    <xf numFmtId="0" fontId="3" fillId="6" borderId="39" xfId="27" applyBorder="1" applyAlignment="1">
      <alignment horizontal="center" vertical="center" textRotation="90" wrapText="1"/>
      <protection/>
    </xf>
    <xf numFmtId="0" fontId="3" fillId="6" borderId="35" xfId="27" applyBorder="1" applyAlignment="1">
      <alignment horizontal="center" vertical="center" textRotation="90" wrapText="1"/>
      <protection/>
    </xf>
    <xf numFmtId="0" fontId="30" fillId="8" borderId="17" xfId="27" applyFont="1" applyFill="1" applyBorder="1" applyAlignment="1">
      <alignment horizontal="center" vertical="center" wrapText="1"/>
      <protection/>
    </xf>
    <xf numFmtId="0" fontId="30" fillId="8" borderId="0" xfId="27" applyFont="1" applyFill="1" applyBorder="1" applyAlignment="1">
      <alignment horizontal="center" vertical="center" wrapText="1"/>
      <protection/>
    </xf>
    <xf numFmtId="0" fontId="15" fillId="0" borderId="0" xfId="27" applyFont="1" applyFill="1" applyBorder="1" applyAlignment="1">
      <alignment horizontal="center" vertical="center" wrapText="1"/>
      <protection/>
    </xf>
    <xf numFmtId="0" fontId="15" fillId="0" borderId="0" xfId="27" applyFont="1" applyFill="1" applyBorder="1" applyAlignment="1">
      <alignment vertical="center" wrapText="1"/>
      <protection/>
    </xf>
    <xf numFmtId="0" fontId="15" fillId="0" borderId="0" xfId="27" applyFont="1" applyFill="1" applyBorder="1" applyAlignment="1">
      <alignment horizontal="right" vertical="center" wrapText="1" indent="2"/>
      <protection/>
    </xf>
    <xf numFmtId="0" fontId="25" fillId="0" borderId="0" xfId="27" applyFont="1" applyFill="1" applyBorder="1" applyAlignment="1">
      <alignment horizontal="center" vertical="center" wrapText="1"/>
      <protection/>
    </xf>
    <xf numFmtId="0" fontId="23" fillId="8" borderId="0" xfId="29" applyFont="1" applyFill="1" applyBorder="1" applyAlignment="1">
      <alignment horizontal="right"/>
    </xf>
    <xf numFmtId="0" fontId="29" fillId="0" borderId="0" xfId="0" applyFont="1" applyAlignment="1">
      <alignment horizontal="center"/>
    </xf>
    <xf numFmtId="0" fontId="30" fillId="8" borderId="16" xfId="27" applyFont="1" applyFill="1" applyBorder="1" applyAlignment="1">
      <alignment horizontal="center" vertical="center" wrapText="1"/>
      <protection/>
    </xf>
    <xf numFmtId="0" fontId="30" fillId="8" borderId="18" xfId="27" applyFont="1" applyFill="1" applyBorder="1" applyAlignment="1">
      <alignment horizontal="center" vertical="center" wrapText="1"/>
      <protection/>
    </xf>
    <xf numFmtId="0" fontId="30" fillId="8" borderId="4" xfId="27" applyFont="1" applyFill="1" applyBorder="1" applyAlignment="1">
      <alignment horizontal="center" vertical="center" wrapText="1"/>
      <protection/>
    </xf>
    <xf numFmtId="0" fontId="30" fillId="8" borderId="7" xfId="27" applyFont="1" applyFill="1" applyBorder="1" applyAlignment="1">
      <alignment horizontal="center" vertical="center" wrapText="1"/>
      <protection/>
    </xf>
    <xf numFmtId="0" fontId="28" fillId="8" borderId="0" xfId="29" applyFont="1" applyFill="1" applyBorder="1">
      <alignment/>
    </xf>
    <xf numFmtId="14" fontId="23" fillId="8" borderId="0" xfId="29" applyNumberFormat="1" applyFont="1" applyFill="1" applyBorder="1" applyAlignment="1">
      <alignment horizontal="center"/>
    </xf>
    <xf numFmtId="4" fontId="23" fillId="8" borderId="0" xfId="18" applyNumberFormat="1" applyFont="1" applyFill="1" applyBorder="1" applyAlignment="1">
      <alignment/>
    </xf>
    <xf numFmtId="1" fontId="23" fillId="8" borderId="0" xfId="29" applyNumberFormat="1" applyFont="1" applyFill="1" applyBorder="1" applyAlignment="1">
      <alignment horizontal="center"/>
    </xf>
    <xf numFmtId="0" fontId="3" fillId="6" borderId="1" xfId="27" applyAlignment="1">
      <alignment horizontal="center" vertical="center" textRotation="90" wrapText="1"/>
      <protection/>
    </xf>
    <xf numFmtId="0" fontId="35" fillId="8" borderId="0" xfId="0" applyFont="1" applyFill="1" applyAlignment="1">
      <alignment horizontal="center" vertical="center" wrapText="1"/>
    </xf>
    <xf numFmtId="0" fontId="35" fillId="8" borderId="0" xfId="0" applyFont="1" applyFill="1" applyAlignment="1">
      <alignment horizontal="center" vertical="center"/>
    </xf>
    <xf numFmtId="0" fontId="33" fillId="8" borderId="0" xfId="0" applyFont="1" applyFill="1" applyAlignment="1">
      <alignment horizontal="center" vertical="center" wrapText="1"/>
    </xf>
    <xf numFmtId="0" fontId="33" fillId="8" borderId="0" xfId="0" applyFont="1" applyFill="1" applyAlignment="1">
      <alignment horizontal="center"/>
    </xf>
    <xf numFmtId="165" fontId="27" fillId="5" borderId="0" xfId="0" applyNumberFormat="1" applyFont="1" applyFill="1" applyAlignment="1">
      <alignment horizontal="center" vertical="center" shrinkToFit="1"/>
    </xf>
    <xf numFmtId="0" fontId="14" fillId="6" borderId="40" xfId="25" applyBorder="1" applyAlignment="1">
      <alignment horizontal="center" vertical="center" wrapText="1"/>
      <protection/>
    </xf>
    <xf numFmtId="0" fontId="14" fillId="6" borderId="0" xfId="25" applyBorder="1" applyAlignment="1">
      <alignment horizontal="center" vertical="center" wrapText="1"/>
      <protection/>
    </xf>
    <xf numFmtId="0" fontId="14" fillId="6" borderId="13" xfId="25" applyBorder="1" applyAlignment="1">
      <alignment horizontal="center" vertical="center" wrapText="1"/>
      <protection/>
    </xf>
    <xf numFmtId="0" fontId="12" fillId="0" borderId="0" xfId="0" applyFont="1" applyAlignment="1">
      <alignment horizontal="left" wrapText="1"/>
    </xf>
    <xf numFmtId="0" fontId="13" fillId="5" borderId="1" xfId="26" applyAlignment="1">
      <alignment horizontal="center" vertical="center"/>
      <protection/>
    </xf>
    <xf numFmtId="0" fontId="2" fillId="8" borderId="41" xfId="0" applyFont="1" applyFill="1" applyBorder="1" applyAlignment="1">
      <alignment horizontal="left" vertical="center" wrapText="1"/>
    </xf>
    <xf numFmtId="0" fontId="2" fillId="8" borderId="42" xfId="0" applyFont="1" applyFill="1" applyBorder="1" applyAlignment="1">
      <alignment horizontal="left" vertical="center" wrapText="1"/>
    </xf>
    <xf numFmtId="0" fontId="2" fillId="8" borderId="43" xfId="0" applyFont="1" applyFill="1" applyBorder="1" applyAlignment="1">
      <alignment horizontal="left" vertical="center" wrapText="1"/>
    </xf>
    <xf numFmtId="0" fontId="7" fillId="8" borderId="41" xfId="0" applyFont="1" applyFill="1" applyBorder="1" applyAlignment="1">
      <alignment horizontal="left" vertical="center" wrapText="1"/>
    </xf>
    <xf numFmtId="0" fontId="7" fillId="8" borderId="42" xfId="0" applyFont="1" applyFill="1" applyBorder="1" applyAlignment="1">
      <alignment horizontal="left" vertical="center" wrapText="1"/>
    </xf>
    <xf numFmtId="0" fontId="15" fillId="5" borderId="35" xfId="26" applyFont="1" applyBorder="1" applyAlignment="1">
      <alignment horizontal="center" vertical="center"/>
      <protection/>
    </xf>
    <xf numFmtId="0" fontId="1" fillId="0" borderId="0" xfId="48">
      <alignment/>
      <protection/>
    </xf>
    <xf numFmtId="0" fontId="48" fillId="15" borderId="0" xfId="49" applyFill="1"/>
    <xf numFmtId="0" fontId="48" fillId="11" borderId="0" xfId="49"/>
    <xf numFmtId="0" fontId="49" fillId="0" borderId="0" xfId="48" applyFont="1" applyAlignment="1">
      <alignment horizontal="center" vertical="center" wrapText="1"/>
      <protection/>
    </xf>
    <xf numFmtId="0" fontId="50" fillId="0" borderId="0" xfId="48" applyFont="1" applyAlignment="1">
      <alignment horizontal="center" vertical="center"/>
      <protection/>
    </xf>
    <xf numFmtId="0" fontId="9" fillId="0" borderId="0" xfId="48" applyFont="1" applyAlignment="1">
      <alignment horizontal="center" wrapText="1"/>
      <protection/>
    </xf>
    <xf numFmtId="0" fontId="11" fillId="0" borderId="0" xfId="48" applyFont="1" applyAlignment="1">
      <alignment horizontal="center" vertical="top"/>
      <protection/>
    </xf>
    <xf numFmtId="0" fontId="51" fillId="0" borderId="0" xfId="48" applyFont="1" applyAlignment="1">
      <alignment horizontal="center" wrapText="1"/>
      <protection/>
    </xf>
    <xf numFmtId="0" fontId="1" fillId="0" borderId="0" xfId="48" applyAlignment="1">
      <alignment wrapText="1"/>
      <protection/>
    </xf>
    <xf numFmtId="0" fontId="48" fillId="11" borderId="0" xfId="49" applyBorder="1"/>
    <xf numFmtId="0" fontId="52" fillId="0" borderId="0" xfId="48" applyFont="1">
      <alignment/>
      <protection/>
    </xf>
    <xf numFmtId="49" fontId="13" fillId="3" borderId="1" xfId="21" applyNumberFormat="1" applyAlignment="1">
      <alignment horizontal="right" vertical="center" indent="1"/>
      <protection/>
    </xf>
    <xf numFmtId="39" fontId="13" fillId="3" borderId="1" xfId="21" applyNumberFormat="1" applyAlignment="1">
      <alignment horizontal="right" vertical="center" indent="1"/>
      <protection/>
    </xf>
    <xf numFmtId="14" fontId="13" fillId="3" borderId="1" xfId="21" applyNumberFormat="1" applyAlignment="1">
      <alignment horizontal="right" vertical="center" indent="1"/>
      <protection/>
    </xf>
    <xf numFmtId="15" fontId="13" fillId="3" borderId="1" xfId="21" applyNumberFormat="1" applyAlignment="1">
      <alignment horizontal="right" vertical="center" indent="1"/>
      <protection/>
    </xf>
    <xf numFmtId="1" fontId="13" fillId="3" borderId="1" xfId="21" applyNumberFormat="1" applyAlignment="1">
      <alignment horizontal="right" vertical="center" indent="1"/>
      <protection/>
    </xf>
    <xf numFmtId="0" fontId="15" fillId="5" borderId="1" xfId="26" applyFont="1" applyAlignment="1">
      <alignment horizontal="center" vertical="center"/>
      <protection/>
    </xf>
    <xf numFmtId="164" fontId="44" fillId="7" borderId="2" xfId="33" applyAlignment="1">
      <alignment/>
      <protection/>
    </xf>
    <xf numFmtId="49" fontId="13" fillId="16" borderId="1" xfId="0" applyNumberFormat="1" applyFill="1" applyAlignment="1" applyProtection="1">
      <alignment horizontal="right" vertical="center" indent="1"/>
      <protection/>
    </xf>
    <xf numFmtId="0" fontId="13" fillId="17" borderId="1" xfId="0" applyNumberFormat="1" applyFill="1" applyAlignment="1" applyProtection="1">
      <alignment horizontal="right" vertical="center" indent="1"/>
      <protection/>
    </xf>
    <xf numFmtId="39" fontId="13" fillId="16" borderId="1" xfId="0" applyNumberFormat="1" applyFill="1" applyAlignment="1" applyProtection="1">
      <alignment horizontal="right" vertical="center" indent="1"/>
      <protection/>
    </xf>
    <xf numFmtId="164" fontId="44" fillId="18" borderId="2" xfId="0" applyNumberFormat="1" applyFill="1" applyAlignment="1" applyProtection="1">
      <alignment/>
      <protection/>
    </xf>
    <xf numFmtId="0" fontId="13" fillId="16" borderId="1" xfId="0" applyNumberFormat="1" applyFill="1" applyAlignment="1" applyProtection="1">
      <alignment horizontal="right" vertical="center" indent="1"/>
      <protection/>
    </xf>
  </cellXfs>
  <cellStyles count="36">
    <cellStyle name="Normal" xfId="0" builtinId="0"/>
    <cellStyle name="Percent" xfId="15" builtinId="5"/>
    <cellStyle name="Currency" xfId="16" builtinId="4"/>
    <cellStyle name="Currency [0]" xfId="17" builtinId="7"/>
    <cellStyle name="Comma" xfId="18" builtinId="3"/>
    <cellStyle name="Comma [0]" xfId="19" builtinId="6"/>
    <cellStyle name="SF_ANNOTATION" xfId="20"/>
    <cellStyle name="SF_DATA_CELL" xfId="21"/>
    <cellStyle name="SF_DATA_CELL_IGNORE" xfId="22"/>
    <cellStyle name="SF_ROW_LABEL_1" xfId="23"/>
    <cellStyle name="SF_ROW_LABEL_2" xfId="24"/>
    <cellStyle name="SF_TABLE_HEADER" xfId="25"/>
    <cellStyle name="SF_ROW_INDICATOR" xfId="26"/>
    <cellStyle name="SF_DASHBOARD_TABLE_HEADER" xfId="27"/>
    <cellStyle name="SF_NOT_APPLICABLE" xfId="28"/>
    <cellStyle name="SF_TABLE_BACKGROUND" xfId="29"/>
    <cellStyle name="SF_DATA_CELL_EXAMPLE" xfId="30"/>
    <cellStyle name="SF_SELECTION_ANNOTATION" xfId="31"/>
    <cellStyle name="SF_TABLE_TITLE" xfId="32"/>
    <cellStyle name="SF_FORMULA_ACCOUNTING" xfId="33"/>
    <cellStyle name="SF_VA_DETAIL_LEFT" xfId="34"/>
    <cellStyle name="SF_VA_DETAIL_RIGHT" xfId="35"/>
    <cellStyle name="SF_VA_HEADER" xfId="36"/>
    <cellStyle name="SF_VA_HEADER_LEFT" xfId="37"/>
    <cellStyle name="SF_TABLE_CODE" xfId="38"/>
    <cellStyle name="SF_VA_COLUMN_LEFT" xfId="39"/>
    <cellStyle name="SF_VA_BOTTOM_ROW" xfId="40"/>
    <cellStyle name="SF_VA_CORNER_BOTTOM_LEFT" xfId="41"/>
    <cellStyle name="Good" xfId="42"/>
    <cellStyle name="Bad" xfId="43"/>
    <cellStyle name="Normal 2" xfId="44"/>
    <cellStyle name="SF_VA_COLUMN_RIGHT" xfId="45"/>
    <cellStyle name="SF_VA_CORNER_BOTTOM_RIGHT" xfId="46"/>
    <cellStyle name="Neutral" xfId="47"/>
    <cellStyle name="Normal 3" xfId="48"/>
    <cellStyle name="Neutral 2" xfId="49"/>
  </cellStyles>
  <dxfs count="255">
    <dxf>
      <font>
        <color rgb="FF9C0006"/>
      </font>
      <fill>
        <patternFill>
          <bgColor rgb="FFFFC7CE"/>
        </patternFill>
      </fill>
    </dxf>
    <dxf>
      <font>
        <color rgb="FF006100"/>
      </font>
      <fill>
        <patternFill>
          <bgColor rgb="FFC6EFCE"/>
        </patternFill>
      </fill>
    </dxf>
    <dxf>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C6EFCE"/>
        </patternFill>
      </fill>
    </dxf>
    <dxf>
      <fill>
        <patternFill>
          <bgColor rgb="FFFFFF99"/>
        </patternFill>
      </fill>
    </dxf>
    <dxf>
      <font>
        <color rgb="FF9C0006"/>
      </font>
    </dxf>
    <dxf>
      <font>
        <color rgb="FFDAA600"/>
      </font>
    </dxf>
    <dxf>
      <font>
        <color rgb="FF92D050"/>
      </font>
    </dxf>
    <dxf>
      <font>
        <color rgb="FF9C0000"/>
      </font>
    </dxf>
    <dxf>
      <font>
        <color rgb="FFDAA600"/>
      </font>
    </dxf>
    <dxf>
      <font>
        <color theme="6" tint="-0.499969989061356"/>
      </font>
    </dxf>
    <dxf>
      <font>
        <color rgb="FF9C0006"/>
      </font>
    </dxf>
    <dxf>
      <font>
        <color rgb="FFDAA600"/>
      </font>
    </dxf>
    <dxf>
      <font>
        <color rgb="FF92D050"/>
      </font>
    </dxf>
    <dxf>
      <font>
        <color rgb="FF9C0000"/>
      </font>
    </dxf>
    <dxf>
      <font>
        <color rgb="FFDAA600"/>
      </font>
    </dxf>
    <dxf>
      <font>
        <color rgb="FF9C0006"/>
      </font>
    </dxf>
    <dxf>
      <font>
        <color rgb="FFDAA600"/>
      </font>
    </dxf>
    <dxf>
      <font>
        <color rgb="FF92D050"/>
      </font>
    </dxf>
    <dxf>
      <font>
        <color rgb="FF9C0000"/>
      </font>
    </dxf>
    <dxf>
      <font>
        <color rgb="FFDAA600"/>
      </font>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ont>
        <color rgb="FF9C0006"/>
      </font>
      <fill>
        <patternFill>
          <bgColor rgb="FFFFC7CE"/>
        </patternFill>
      </fill>
    </dxf>
    <dxf>
      <font>
        <color rgb="FF006100"/>
      </font>
      <fill>
        <patternFill>
          <bgColor rgb="FFC6EFCE"/>
        </patternFill>
      </fill>
    </dxf>
    <dxf>
      <fill>
        <patternFill>
          <bgColor rgb="FFC6EFCE"/>
        </patternFill>
      </fill>
    </dxf>
    <dxf>
      <fill>
        <patternFill>
          <bgColor rgb="FFFFFF99"/>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49701E"/>
        </patternFill>
      </fill>
    </dxf>
    <dxf>
      <fill>
        <patternFill>
          <bgColor rgb="FF9C0000"/>
        </patternFill>
      </fill>
    </dxf>
    <dxf>
      <fill>
        <patternFill>
          <bgColor rgb="FFD3D3D3"/>
        </patternFill>
      </fill>
    </dxf>
    <dxf>
      <fill>
        <patternFill>
          <bgColor rgb="FF9C0000"/>
        </patternFill>
      </fill>
    </dxf>
    <dxf>
      <fill>
        <patternFill>
          <bgColor rgb="FF9C0000"/>
        </patternFill>
      </fill>
    </dxf>
    <dxf>
      <fill>
        <patternFill>
          <bgColor rgb="FF49701E"/>
        </patternFill>
      </fill>
    </dxf>
    <dxf>
      <fill>
        <patternFill>
          <bgColor rgb="FFFF0000"/>
        </patternFill>
      </fill>
    </dxf>
    <dxf>
      <font>
        <color rgb="FF9C0000"/>
      </font>
      <fill>
        <patternFill>
          <bgColor rgb="FFFFFFFF"/>
        </patternFill>
      </fill>
    </dxf>
    <dxf>
      <font>
        <color rgb="FFAC8300"/>
      </font>
      <fill>
        <patternFill>
          <bgColor rgb="FFFFFFFF"/>
        </patternFill>
      </fill>
    </dxf>
    <dxf>
      <font>
        <color rgb="FF49701E"/>
      </font>
      <fill>
        <patternFill>
          <bgColor rgb="FFFFFFFF"/>
        </patternFill>
      </fill>
    </dxf>
    <dxf>
      <font>
        <color rgb="FF9C0006"/>
      </font>
      <fill>
        <patternFill patternType="none"/>
      </fill>
    </dxf>
    <dxf>
      <font>
        <color rgb="FF006100"/>
      </font>
      <fill>
        <patternFill patternType="none"/>
      </fill>
    </dxf>
    <dxf>
      <font>
        <color rgb="FF9C0006"/>
      </font>
      <fill>
        <patternFill patternType="none"/>
      </fill>
    </dxf>
    <dxf>
      <font>
        <color rgb="FF006100"/>
      </font>
      <fill>
        <patternFill patternType="none"/>
      </fill>
    </dxf>
    <dxf>
      <font>
        <color rgb="FFD29B00"/>
      </font>
    </dxf>
    <dxf>
      <font>
        <color rgb="FFC00000"/>
      </font>
    </dxf>
    <dxf>
      <font>
        <color rgb="FF632523"/>
      </font>
    </dxf>
    <dxf>
      <font>
        <color rgb="FF632523"/>
      </font>
    </dxf>
    <dxf>
      <font>
        <color rgb="FF12192D"/>
      </font>
      <fill>
        <patternFill>
          <bgColor rgb="FFFDEADA"/>
        </patternFill>
      </fill>
    </dxf>
    <dxf>
      <font>
        <color rgb="FF12192D"/>
      </font>
      <fill>
        <patternFill>
          <bgColor rgb="FFFDEADA"/>
        </patternFill>
      </fill>
    </dxf>
    <dxf>
      <font>
        <color rgb="FFD29B00"/>
      </font>
    </dxf>
    <dxf>
      <font>
        <color rgb="FF12192D"/>
      </font>
      <fill>
        <patternFill>
          <bgColor rgb="FFFDEADA"/>
        </patternFill>
      </fill>
    </dxf>
    <dxf>
      <font>
        <color rgb="FF4F6228"/>
      </font>
    </dxf>
    <dxf>
      <font>
        <color rgb="FF4F6228"/>
      </font>
    </dxf>
    <dxf>
      <numFmt numFmtId="0" formatCode="General"/>
    </dxf>
    <dxf>
      <alignment horizontal="left" vertical="center" textRotation="0" wrapText="0" indent="1" shrinkToFit="0" readingOrder="0"/>
    </dxf>
    <dxf>
      <border>
        <top style="thin">
          <color rgb="FF4BACC6"/>
        </top>
      </border>
    </dxf>
    <dxf>
      <font>
        <b/>
        <i val="0"/>
        <u val="none"/>
        <strike val="0"/>
        <sz val="11"/>
        <name val="Calibri"/>
        <family val="2"/>
        <color theme="0"/>
      </font>
      <fill>
        <patternFill patternType="solid">
          <fgColor rgb="FF4BACC6"/>
          <bgColor rgb="FF4BACC6"/>
        </patternFill>
      </fill>
      <border>
        <left style="thin">
          <color rgb="FF4BACC6"/>
        </left>
        <right style="thin">
          <color rgb="FF4BACC6"/>
        </right>
        <top/>
        <bottom/>
      </border>
    </dxf>
    <dxf>
      <border>
        <left style="thin">
          <color rgb="FFA6A6A6"/>
        </left>
        <right/>
        <top style="thin">
          <color rgb="FFA6A6A6"/>
        </top>
        <bottom/>
      </border>
    </dxf>
    <dxf>
      <border>
        <left style="thin">
          <color rgb="FFA6A6A6"/>
        </left>
        <right style="thin">
          <color rgb="FFA6A6A6"/>
        </right>
        <top style="thin">
          <color rgb="FFA6A6A6"/>
        </top>
        <bottom/>
      </border>
    </dxf>
    <dxf>
      <border>
        <left style="thin">
          <color rgb="FFA6A6A6"/>
        </left>
        <right style="thin">
          <color rgb="FFA6A6A6"/>
        </right>
        <top style="thin">
          <color rgb="FFA6A6A6"/>
        </top>
        <bottom/>
      </border>
    </dxf>
    <dxf>
      <border>
        <left style="thin">
          <color rgb="FFA6A6A6"/>
        </left>
        <right style="thin">
          <color rgb="FFA6A6A6"/>
        </right>
        <top style="thin">
          <color rgb="FFA6A6A6"/>
        </top>
        <bottom/>
      </border>
    </dxf>
    <dxf>
      <border>
        <left/>
        <right style="thin">
          <color rgb="FFA6A6A6"/>
        </right>
        <top style="thin">
          <color rgb="FFA6A6A6"/>
        </top>
        <bottom/>
      </border>
    </dxf>
    <dxf>
      <border>
        <top style="thin">
          <color rgb="FFA6A6A6"/>
        </top>
      </border>
    </dxf>
    <dxf>
      <border>
        <left style="thin">
          <color rgb="FFA6A6A6"/>
        </left>
        <right style="thin">
          <color rgb="FFA6A6A6"/>
        </right>
        <top style="thin">
          <color rgb="FFA6A6A6"/>
        </top>
        <bottom style="thin">
          <color rgb="FFA6A6A6"/>
        </bottom>
      </border>
    </dxf>
    <dxf>
      <border>
        <bottom style="thin">
          <color rgb="FFA6A6A6"/>
        </bottom>
      </border>
    </dxf>
    <dxf>
      <border>
        <left style="thin">
          <color rgb="FFA6A6A6"/>
        </left>
        <right style="thin">
          <color rgb="FFA6A6A6"/>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border>
        <left style="thin">
          <color rgb="FFA6A6A6"/>
        </left>
      </border>
    </dxf>
    <dxf>
      <numFmt numFmtId="0" formatCode="General"/>
      <border>
        <left style="thin">
          <color rgb="FFC4BD97"/>
        </left>
      </border>
    </dxf>
    <dxf>
      <numFmt numFmtId="0" formatCode="General"/>
      <border>
        <left style="thin">
          <color rgb="FFA6A6A6"/>
        </left>
        <right style="thin">
          <color rgb="FFC4BD97"/>
        </right>
      </border>
    </dxf>
    <dxf>
      <numFmt numFmtId="0" formatCode="General"/>
      <border>
        <right style="thin">
          <color rgb="FFA6A6A6"/>
        </right>
      </border>
    </dxf>
    <dxf>
      <border>
        <right style="thin">
          <color rgb="FFA6A6A6"/>
        </right>
      </border>
    </dxf>
    <dxf>
      <border>
        <left style="thin">
          <color rgb="FFC4BD97"/>
        </left>
      </border>
    </dxf>
    <dxf>
      <border>
        <right style="thin">
          <color rgb="FFC4BD97"/>
        </right>
      </border>
    </dxf>
    <dxf>
      <border>
        <left style="thin">
          <color rgb="FFA6A6A6"/>
        </left>
      </border>
    </dxf>
    <dxf>
      <numFmt numFmtId="0" formatCode="General"/>
    </dxf>
    <dxf>
      <border>
        <right style="thin">
          <color rgb="FFA6A6A6"/>
        </right>
      </border>
    </dxf>
    <dxf>
      <numFmt numFmtId="0" formatCode="General"/>
      <border>
        <left style="thin">
          <color rgb="FFA6A6A6"/>
        </left>
        <right style="thin">
          <color rgb="FFC4BD97"/>
        </right>
        <top style="thin">
          <color rgb="FFA6A6A6"/>
        </top>
        <bottom style="thin">
          <color rgb="FFA6A6A6"/>
        </bottom>
      </border>
    </dxf>
    <dxf>
      <numFmt numFmtId="0" formatCode="General"/>
      <border>
        <right style="thin">
          <color rgb="FFA6A6A6"/>
        </right>
      </border>
    </dxf>
    <dxf>
      <numFmt numFmtId="177" formatCode="@"/>
      <border>
        <left/>
        <right style="thin">
          <color rgb="FFA6A6A6"/>
        </right>
        <top style="thin">
          <color rgb="FFA6A6A6"/>
        </top>
        <bottom style="thin">
          <color rgb="FFA6A6A6"/>
        </bottom>
      </border>
    </dxf>
    <dxf>
      <border>
        <top style="thin">
          <color rgb="FFA6A6A6"/>
        </top>
      </border>
    </dxf>
    <dxf>
      <border>
        <left style="thin">
          <color rgb="FFA6A6A6"/>
        </left>
        <right style="thin">
          <color rgb="FFA6A6A6"/>
        </right>
        <top style="thin">
          <color rgb="FFA6A6A6"/>
        </top>
        <bottom style="thin">
          <color rgb="FFA6A6A6"/>
        </bottom>
      </border>
    </dxf>
    <dxf>
      <border>
        <bottom style="thin">
          <color rgb="FFA6A6A6"/>
        </bottom>
      </border>
    </dxf>
    <dxf>
      <font>
        <b/>
        <i val="0"/>
        <u val="none"/>
        <strike val="0"/>
        <sz val="10"/>
        <name val="Arial"/>
        <family val="2"/>
        <color rgb="FF12192D"/>
      </font>
      <border>
        <left style="thin">
          <color rgb="FFA6A6A6"/>
        </left>
        <right style="thin">
          <color rgb="FFA6A6A6"/>
        </right>
        <top/>
        <bottom/>
      </border>
    </dxf>
    <dxf>
      <alignment horizontal="left" vertical="center" textRotation="0" wrapText="1" shrinkToFit="0" readingOrder="0"/>
      <border>
        <left style="thin">
          <color rgb="FFA6A6A6"/>
        </left>
        <right style="thin">
          <color rgb="FFA6A6A6"/>
        </right>
        <top style="thin">
          <color rgb="FFA6A6A6"/>
        </top>
        <bottom/>
      </border>
    </dxf>
    <dxf>
      <border>
        <left style="thin">
          <color rgb="FFA6A6A6"/>
        </left>
        <right style="thin">
          <color rgb="FFA6A6A6"/>
        </right>
        <top/>
        <bottom/>
      </border>
    </dxf>
    <dxf>
      <alignment horizontal="left" vertical="center" textRotation="0" wrapText="1" shrinkToFit="0" readingOrder="0"/>
      <border>
        <left style="thin">
          <color rgb="FFA6A6A6"/>
        </left>
        <right style="thin">
          <color rgb="FFA6A6A6"/>
        </right>
        <top style="thin">
          <color rgb="FFA6A6A6"/>
        </top>
        <bottom/>
      </border>
    </dxf>
    <dxf>
      <alignment horizontal="left" vertical="center" textRotation="0" wrapText="1" shrinkToFit="0" readingOrder="0"/>
      <border>
        <left style="thin">
          <color rgb="FFA6A6A6"/>
        </left>
        <right style="thin">
          <color rgb="FFA6A6A6"/>
        </right>
        <top style="thin">
          <color rgb="FFA6A6A6"/>
        </top>
        <bottom/>
      </border>
    </dxf>
    <dxf>
      <numFmt numFmtId="0" formatCode="General"/>
      <alignment horizontal="left" vertical="center" textRotation="0" wrapText="1" shrinkToFit="0" readingOrder="0"/>
      <border>
        <left style="thin">
          <color rgb="FFA6A6A6"/>
        </left>
        <right style="thin">
          <color rgb="FFA6A6A6"/>
        </right>
        <top style="thin">
          <color rgb="FFA6A6A6"/>
        </top>
        <bottom/>
      </border>
    </dxf>
    <dxf>
      <alignment horizontal="left" vertical="center" textRotation="0" wrapText="1" shrinkToFit="0" readingOrder="0"/>
      <border>
        <left style="thin">
          <color rgb="FFA6A6A6"/>
        </left>
        <right style="thin">
          <color rgb="FFA6A6A6"/>
        </right>
        <top style="thin">
          <color rgb="FFA6A6A6"/>
        </top>
        <bottom/>
      </border>
    </dxf>
    <dxf>
      <alignment horizontal="left" vertical="center" textRotation="0" wrapText="1" shrinkToFit="0" readingOrder="0"/>
      <border>
        <left style="thin">
          <color rgb="FFA6A6A6"/>
        </left>
        <right style="thin">
          <color rgb="FFA6A6A6"/>
        </right>
        <top style="thin">
          <color rgb="FFA6A6A6"/>
        </top>
        <bottom/>
      </border>
    </dxf>
    <dxf>
      <alignment horizontal="left" vertical="center" textRotation="0" wrapText="1" shrinkToFit="0" readingOrder="0"/>
      <border>
        <left style="thin">
          <color rgb="FFA6A6A6"/>
        </left>
        <right style="thin">
          <color rgb="FFA6A6A6"/>
        </right>
        <top style="thin">
          <color rgb="FFA6A6A6"/>
        </top>
        <bottom/>
      </border>
    </dxf>
    <dxf>
      <numFmt numFmtId="0" formatCode="General"/>
      <alignment horizontal="left" vertical="center" textRotation="0" wrapText="1" shrinkToFit="0" readingOrder="0"/>
      <border>
        <left/>
        <right style="thin">
          <color rgb="FFA6A6A6"/>
        </right>
        <top style="thin">
          <color rgb="FFA6A6A6"/>
        </top>
        <bottom/>
      </border>
    </dxf>
    <dxf>
      <border>
        <top style="thin">
          <color rgb="FFA6A6A6"/>
        </top>
      </border>
    </dxf>
    <dxf>
      <border>
        <left style="thin">
          <color rgb="FFA6A6A6"/>
        </left>
        <right style="thin">
          <color rgb="FFA6A6A6"/>
        </right>
        <top style="thin">
          <color rgb="FFA6A6A6"/>
        </top>
        <bottom style="thin">
          <color rgb="FFA6A6A6"/>
        </bottom>
      </border>
    </dxf>
    <dxf>
      <alignment horizontal="left" vertical="center" textRotation="0" wrapText="1" shrinkToFit="0" readingOrder="0"/>
    </dxf>
  </dxfs>
  <tableStyles count="1" defaultTableStyle="TableStyleMedium9" defaultPivotStyle="PivotStyleLight16">
    <tableStyle name="empty" pivot="0" table="0"/>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0" Type="http://schemas.openxmlformats.org/officeDocument/2006/relationships/worksheet" Target="worksheets/sheet18.xml" /><Relationship Id="rId22" Type="http://schemas.openxmlformats.org/officeDocument/2006/relationships/worksheet" Target="worksheets/sheet20.xml" /><Relationship Id="rId21" Type="http://schemas.openxmlformats.org/officeDocument/2006/relationships/worksheet" Target="worksheets/sheet19.xml" /><Relationship Id="rId24" Type="http://schemas.openxmlformats.org/officeDocument/2006/relationships/worksheet" Target="worksheets/sheet22.xml" /><Relationship Id="rId23" Type="http://schemas.openxmlformats.org/officeDocument/2006/relationships/worksheet" Target="worksheets/sheet21.xml" /><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9" Type="http://schemas.openxmlformats.org/officeDocument/2006/relationships/worksheet" Target="worksheets/sheet7.xml" /><Relationship Id="rId26" Type="http://schemas.openxmlformats.org/officeDocument/2006/relationships/worksheet" Target="worksheets/sheet24.xml" /><Relationship Id="rId25" Type="http://schemas.openxmlformats.org/officeDocument/2006/relationships/worksheet" Target="worksheets/sheet23.xml" /><Relationship Id="rId28" Type="http://schemas.openxmlformats.org/officeDocument/2006/relationships/worksheet" Target="worksheets/sheet26.xml" /><Relationship Id="rId27" Type="http://schemas.openxmlformats.org/officeDocument/2006/relationships/worksheet" Target="worksheets/sheet25.xml" /><Relationship Id="rId5" Type="http://schemas.openxmlformats.org/officeDocument/2006/relationships/worksheet" Target="worksheets/sheet3.xml" /><Relationship Id="rId6" Type="http://schemas.openxmlformats.org/officeDocument/2006/relationships/worksheet" Target="worksheets/sheet4.xml" /><Relationship Id="rId29" Type="http://schemas.openxmlformats.org/officeDocument/2006/relationships/worksheet" Target="worksheets/sheet27.xml" /><Relationship Id="rId7" Type="http://schemas.openxmlformats.org/officeDocument/2006/relationships/worksheet" Target="worksheets/sheet5.xml" /><Relationship Id="rId8" Type="http://schemas.openxmlformats.org/officeDocument/2006/relationships/worksheet" Target="worksheets/sheet6.xml" /><Relationship Id="rId31" Type="http://schemas.openxmlformats.org/officeDocument/2006/relationships/worksheet" Target="worksheets/sheet29.xml" /><Relationship Id="rId30" Type="http://schemas.openxmlformats.org/officeDocument/2006/relationships/worksheet" Target="worksheets/sheet28.xml" /><Relationship Id="rId11" Type="http://schemas.openxmlformats.org/officeDocument/2006/relationships/worksheet" Target="worksheets/sheet9.xml" /><Relationship Id="rId33" Type="http://schemas.openxmlformats.org/officeDocument/2006/relationships/sharedStrings" Target="sharedStrings.xml" /><Relationship Id="rId10" Type="http://schemas.openxmlformats.org/officeDocument/2006/relationships/worksheet" Target="worksheets/sheet8.xml" /><Relationship Id="rId32" Type="http://schemas.openxmlformats.org/officeDocument/2006/relationships/worksheet" Target="worksheets/sheet30.xml" /><Relationship Id="rId13" Type="http://schemas.openxmlformats.org/officeDocument/2006/relationships/worksheet" Target="worksheets/sheet11.xml" /><Relationship Id="rId35" Type="http://schemas.openxmlformats.org/officeDocument/2006/relationships/sheetMetadata" Target="metadata.xml" /><Relationship Id="rId12" Type="http://schemas.openxmlformats.org/officeDocument/2006/relationships/worksheet" Target="worksheets/sheet10.xml" /><Relationship Id="rId34" Type="http://schemas.openxmlformats.org/officeDocument/2006/relationships/externalLink" Target="externalLinks/externalLink1.xml" /><Relationship Id="rId15" Type="http://schemas.openxmlformats.org/officeDocument/2006/relationships/worksheet" Target="worksheets/sheet13.xml" /><Relationship Id="rId14" Type="http://schemas.openxmlformats.org/officeDocument/2006/relationships/worksheet" Target="worksheets/sheet12.xml" /><Relationship Id="rId36" Type="http://schemas.openxmlformats.org/officeDocument/2006/relationships/calcChain" Target="calcChain.xml" /><Relationship Id="rId17" Type="http://schemas.openxmlformats.org/officeDocument/2006/relationships/worksheet" Target="worksheets/sheet15.xml" /><Relationship Id="rId16" Type="http://schemas.openxmlformats.org/officeDocument/2006/relationships/worksheet" Target="worksheets/sheet14.xml" /><Relationship Id="rId19" Type="http://schemas.openxmlformats.org/officeDocument/2006/relationships/worksheet" Target="worksheets/sheet17.xml" /><Relationship Id="rId18" Type="http://schemas.openxmlformats.org/officeDocument/2006/relationships/worksheet" Target="worksheets/sheet16.xml" /></Relationships>
</file>

<file path=xl/charts/_rels/chart4.xml.rels><?xml version="1.0" encoding="UTF-8" standalone="yes"?><Relationships xmlns="http://schemas.openxmlformats.org/package/2006/relationships"><Relationship Id="rId1" Type="http://schemas.openxmlformats.org/officeDocument/2006/relationships/image" Target="../media/image5.png" /></Relationships>
</file>

<file path=xl/charts/_rels/chart5.xml.rels><?xml version="1.0" encoding="UTF-8" standalone="yes"?><Relationships xmlns="http://schemas.openxmlformats.org/package/2006/relationships"><Relationship Id="rId1" Type="http://schemas.microsoft.com/office/2011/relationships/chartStyle" Target="style5.xml" /><Relationship Id="rId2" Type="http://schemas.microsoft.com/office/2011/relationships/chartColorStyle" Target="colors5.xml" /></Relationships>
</file>

<file path=xl/charts/_rels/chart7.xml.rels><?xml version="1.0" encoding="UTF-8" standalone="yes"?><Relationships xmlns="http://schemas.openxmlformats.org/package/2006/relationships"><Relationship Id="rId1" Type="http://schemas.openxmlformats.org/officeDocument/2006/relationships/chartUserShapes" Target="../drawings/drawing2.xml" /></Relationships>
</file>

<file path=xl/charts/_rels/chart8.xml.rels><?xml version="1.0" encoding="UTF-8" standalone="yes"?><Relationships xmlns="http://schemas.openxmlformats.org/package/2006/relationships"><Relationship Id="rId1" Type="http://schemas.openxmlformats.org/officeDocument/2006/relationships/chartUserShapes" Target="../drawings/drawing3.xml" /></Relationships>
</file>

<file path=xl/charts/_rels/chart9.xml.rels><?xml version="1.0" encoding="UTF-8" standalone="yes"?><Relationships xmlns="http://schemas.openxmlformats.org/package/2006/relationships"><Relationship Id="rId1" Type="http://schemas.openxmlformats.org/officeDocument/2006/relationships/image" Target="../media/image6.png"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725"/>
          <c:y val="0.0355"/>
          <c:w val="0.649"/>
          <c:h val="0.77425"/>
        </c:manualLayout>
      </c:layout>
      <c:doughnutChart>
        <c:varyColors val="1"/>
        <c:ser>
          <c:idx val="2"/>
          <c:order val="0"/>
          <c:tx>
            <c:strRef>
              <c:f>Controls!$E$6</c:f>
              <c:strCache>
                <c:ptCount val="1"/>
                <c:pt idx="0">
                  <c:v>Failed</c:v>
                </c:pt>
              </c:strCache>
            </c:strRef>
          </c:tx>
          <c:spPr>
            <a:effectLst>
              <a:outerShdw blurRad="50800" dist="38100" dir="5400000" algn="t" rotWithShape="0">
                <a:prstClr val="black">
                  <a:alpha val="40000"/>
                </a:prstClr>
              </a:outerShdw>
            </a:effectLst>
          </c:spPr>
          <c:explosion val="0"/>
          <c:dPt>
            <c:idx val="0"/>
            <c:spPr>
              <a:solidFill>
                <a:srgbClr val="A6A6A6">
                  <a:lumMod val="65000"/>
                </a:srgbClr>
              </a:solidFill>
              <a:effectLst>
                <a:outerShdw blurRad="50800" dist="38100" dir="5400000" algn="t" rotWithShape="0">
                  <a:prstClr val="black">
                    <a:alpha val="40000"/>
                  </a:prstClr>
                </a:outerShdw>
              </a:effectLst>
            </c:spPr>
          </c:dPt>
          <c:cat>
            <c:strRef>
              <c:f>Controls!$F$3:$G$3</c:f>
              <c:strCache>
                <c:ptCount val="2"/>
                <c:pt idx="0">
                  <c:v>Grey</c:v>
                </c:pt>
                <c:pt idx="1">
                  <c:v>Color</c:v>
                </c:pt>
              </c:strCache>
            </c:strRef>
          </c:cat>
          <c:val>
            <c:numRef>
              <c:f>Controls!$F$6:$G$6</c:f>
              <c:numCache>
                <c:formatCode>General</c:formatCode>
                <c:ptCount val="2"/>
                <c:pt idx="0">
                  <c:v>1</c:v>
                </c:pt>
                <c:pt idx="1">
                  <c:v>0</c:v>
                </c:pt>
              </c:numCache>
            </c:numRef>
          </c:val>
          <c:extLst>
            <c:ext xmlns:c16="http://schemas.microsoft.com/office/drawing/2014/chart" uri="{C3380CC4-5D6E-409C-BE32-E72D297353CC}">
              <c16:uniqueId val="{00000001-70B9-41BB-8EB4-86047AFD9362}"/>
            </c:ext>
          </c:extLst>
        </c:ser>
        <c:dLbls>
          <c:showLegendKey val="0"/>
          <c:showVal val="0"/>
          <c:showCatName val="0"/>
          <c:showSerName val="0"/>
          <c:showPercent val="0"/>
          <c:showBubbleSize val="0"/>
          <c:showLeaderLines val="1"/>
        </c:dLbls>
        <c:holeSize val="90"/>
      </c:doughnutChart>
    </c:plotArea>
    <c:plotVisOnly val="1"/>
    <c:dispBlanksAs val="gap"/>
    <c:showDLblsOverMax val="0"/>
  </c:chart>
  <c:spPr>
    <a:noFill/>
    <a:ln w="9525">
      <a:noFill/>
    </a:ln>
    <a:effectLst/>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15"/>
          <c:y val="0.094"/>
          <c:w val="0.677"/>
          <c:h val="0.77375"/>
        </c:manualLayout>
      </c:layout>
      <c:doughnutChart>
        <c:varyColors val="1"/>
        <c:ser>
          <c:idx val="1"/>
          <c:order val="0"/>
          <c:tx>
            <c:strRef>
              <c:f>Controls!$E$5</c:f>
              <c:strCache>
                <c:ptCount val="1"/>
                <c:pt idx="0">
                  <c:v>Warning</c:v>
                </c:pt>
              </c:strCache>
            </c:strRef>
          </c:tx>
          <c:spPr>
            <a:solidFill>
              <a:srgbClr val="A6A6A6">
                <a:lumMod val="65000"/>
              </a:srgbClr>
            </a:solidFill>
            <a:effectLst>
              <a:outerShdw blurRad="50800" dist="38100" dir="5400000" algn="t" rotWithShape="0">
                <a:prstClr val="black">
                  <a:alpha val="40000"/>
                </a:prstClr>
              </a:outerShdw>
            </a:effectLst>
          </c:spPr>
          <c:explosion val="0"/>
          <c:dPt>
            <c:idx val="1"/>
            <c:spPr>
              <a:solidFill>
                <a:srgbClr val="FFD85D"/>
              </a:solidFill>
              <a:effectLst>
                <a:outerShdw blurRad="50800" dist="38100" dir="5400000" algn="t" rotWithShape="0">
                  <a:prstClr val="black">
                    <a:alpha val="40000"/>
                  </a:prstClr>
                </a:outerShdw>
              </a:effectLst>
            </c:spPr>
          </c:dPt>
          <c:cat>
            <c:strRef>
              <c:f>Controls!$F$3:$H$3</c:f>
              <c:strCache>
                <c:ptCount val="2"/>
                <c:pt idx="0">
                  <c:v>Grey</c:v>
                </c:pt>
                <c:pt idx="1">
                  <c:v>Color</c:v>
                </c:pt>
              </c:strCache>
            </c:strRef>
          </c:cat>
          <c:val>
            <c:numRef>
              <c:f>Controls!$F$5:$H$5</c:f>
              <c:numCache>
                <c:formatCode>General</c:formatCode>
                <c:ptCount val="3"/>
                <c:pt idx="0">
                  <c:v>1</c:v>
                </c:pt>
                <c:pt idx="1">
                  <c:v>0</c:v>
                </c:pt>
              </c:numCache>
            </c:numRef>
          </c:val>
          <c:extLst>
            <c:ext xmlns:c16="http://schemas.microsoft.com/office/drawing/2014/chart" uri="{C3380CC4-5D6E-409C-BE32-E72D297353CC}">
              <c16:uniqueId val="{00000001-83A6-48E6-B866-183633310F64}"/>
            </c:ext>
          </c:extLst>
        </c:ser>
        <c:dLbls>
          <c:showLegendKey val="0"/>
          <c:showVal val="0"/>
          <c:showCatName val="0"/>
          <c:showSerName val="0"/>
          <c:showPercent val="0"/>
          <c:showBubbleSize val="0"/>
          <c:showLeaderLines val="1"/>
        </c:dLbls>
        <c:holeSize val="90"/>
      </c:doughnutChart>
    </c:plotArea>
    <c:plotVisOnly val="1"/>
    <c:dispBlanksAs val="gap"/>
    <c:showDLblsOverMax val="0"/>
  </c:chart>
  <c:spPr>
    <a:noFill/>
    <a:ln w="9525">
      <a:noFill/>
    </a:ln>
    <a:effectLst/>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5"/>
          <c:y val="0.0555"/>
          <c:w val="0.691"/>
          <c:h val="0.78975"/>
        </c:manualLayout>
      </c:layout>
      <c:doughnutChart>
        <c:varyColors val="1"/>
        <c:ser>
          <c:idx val="0"/>
          <c:order val="0"/>
          <c:spPr>
            <a:solidFill>
              <a:srgbClr val="A6A6A6">
                <a:lumMod val="65000"/>
              </a:srgbClr>
            </a:solidFill>
            <a:effectLst>
              <a:outerShdw blurRad="50800" dist="38100" dir="5400000" algn="t" rotWithShape="0">
                <a:prstClr val="black">
                  <a:alpha val="40000"/>
                </a:prstClr>
              </a:outerShdw>
            </a:effectLst>
          </c:spPr>
          <c:explosion val="2"/>
          <c:dPt>
            <c:idx val="0"/>
            <c:explosion val="0"/>
            <c:spPr>
              <a:solidFill>
                <a:srgbClr val="A6A6A6">
                  <a:lumMod val="65000"/>
                </a:srgbClr>
              </a:solidFill>
              <a:effectLst>
                <a:outerShdw dist="35921" dir="2700000" algn="br">
                  <a:prstClr val="black"/>
                </a:outerShdw>
              </a:effectLst>
            </c:spPr>
          </c:dPt>
          <c:dPt>
            <c:idx val="1"/>
            <c:spPr>
              <a:solidFill>
                <a:srgbClr val="92D050"/>
              </a:solidFill>
              <a:effectLst>
                <a:outerShdw blurRad="50800" dist="38100" dir="5400000" algn="t" rotWithShape="0">
                  <a:prstClr val="black">
                    <a:alpha val="40000"/>
                  </a:prstClr>
                </a:outerShdw>
              </a:effectLst>
            </c:spPr>
          </c:dPt>
          <c:cat>
            <c:strRef>
              <c:f>Controls!$F$3:$G$3</c:f>
              <c:strCache>
                <c:ptCount val="2"/>
                <c:pt idx="0">
                  <c:v>Grey</c:v>
                </c:pt>
                <c:pt idx="1">
                  <c:v>Color</c:v>
                </c:pt>
              </c:strCache>
            </c:strRef>
          </c:cat>
          <c:val>
            <c:numRef>
              <c:f>Controls!$F$4:$G$4</c:f>
              <c:numCache>
                <c:formatCode>General</c:formatCode>
                <c:ptCount val="2"/>
                <c:pt idx="0">
                  <c:v>0</c:v>
                </c:pt>
                <c:pt idx="1">
                  <c:v>1</c:v>
                </c:pt>
              </c:numCache>
            </c:numRef>
          </c:val>
          <c:extLst>
            <c:ext xmlns:c16="http://schemas.microsoft.com/office/drawing/2014/chart" uri="{C3380CC4-5D6E-409C-BE32-E72D297353CC}">
              <c16:uniqueId val="{00000002-0223-4CED-BDBE-383B20B4AE92}"/>
            </c:ext>
          </c:extLst>
        </c:ser>
        <c:dLbls>
          <c:showLegendKey val="0"/>
          <c:showVal val="0"/>
          <c:showCatName val="0"/>
          <c:showSerName val="0"/>
          <c:showPercent val="0"/>
          <c:showBubbleSize val="0"/>
          <c:showLeaderLines val="1"/>
        </c:dLbls>
        <c:holeSize val="90"/>
      </c:doughnutChart>
    </c:plotArea>
    <c:plotVisOnly val="1"/>
    <c:dispBlanksAs val="gap"/>
    <c:showDLblsOverMax val="0"/>
  </c:chart>
  <c:spPr>
    <a:noFill/>
    <a:ln w="9525">
      <a:noFill/>
    </a:ln>
    <a:effectLst/>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295"/>
          <c:y val="0.05"/>
          <c:w val="0.947"/>
          <c:h val="0.89325"/>
        </c:manualLayout>
      </c:layout>
      <c:bubbleChart>
        <c:varyColors val="0"/>
        <c:ser>
          <c:idx val="2"/>
          <c:order val="0"/>
          <c:tx>
            <c:strRef>
              <c:f>'Мap dashboard calc'!$B$29</c:f>
              <c:strCache>
                <c:ptCount val="1"/>
                <c:pt idx="0">
                  <c:v>European Union (EU) Countries</c:v>
                </c:pt>
              </c:strCache>
            </c:strRef>
          </c:tx>
          <c:spPr>
            <a:solidFill>
              <a:srgbClr val="00B050"/>
            </a:solidFill>
            <a:effectLst/>
          </c:spPr>
          <c:invertIfNegative val="0"/>
          <c:xVal>
            <c:numRef>
              <c:f>'Мap dashboard calc'!$C$31:$C$58</c:f>
              <c:numCache>
                <c:formatCode>General</c:formatCode>
                <c:ptCount val="28"/>
                <c:pt idx="0">
                  <c:v>5</c:v>
                </c:pt>
                <c:pt idx="1">
                  <c:v>4.8</c:v>
                </c:pt>
                <c:pt idx="2">
                  <c:v>5.4</c:v>
                </c:pt>
                <c:pt idx="3">
                  <c:v>5.2</c:v>
                </c:pt>
                <c:pt idx="4">
                  <c:v>5.7</c:v>
                </c:pt>
                <c:pt idx="5">
                  <c:v>5.2</c:v>
                </c:pt>
                <c:pt idx="6">
                  <c:v>5</c:v>
                </c:pt>
                <c:pt idx="7">
                  <c:v>5.3</c:v>
                </c:pt>
                <c:pt idx="8">
                  <c:v>5.4</c:v>
                </c:pt>
                <c:pt idx="9">
                  <c:v>4.8</c:v>
                </c:pt>
                <c:pt idx="10">
                  <c:v>4.9</c:v>
                </c:pt>
                <c:pt idx="11">
                  <c:v>5.4</c:v>
                </c:pt>
                <c:pt idx="12">
                  <c:v>5.3</c:v>
                </c:pt>
                <c:pt idx="13">
                  <c:v>4.5</c:v>
                </c:pt>
                <c:pt idx="14">
                  <c:v>5.1</c:v>
                </c:pt>
                <c:pt idx="15">
                  <c:v>5.5</c:v>
                </c:pt>
                <c:pt idx="16">
                  <c:v>5.1</c:v>
                </c:pt>
                <c:pt idx="17">
                  <c:v>4.6</c:v>
                </c:pt>
                <c:pt idx="18">
                  <c:v>5</c:v>
                </c:pt>
                <c:pt idx="19">
                  <c:v>4.9</c:v>
                </c:pt>
                <c:pt idx="20">
                  <c:v>5</c:v>
                </c:pt>
                <c:pt idx="21">
                  <c:v>4.4</c:v>
                </c:pt>
                <c:pt idx="22">
                  <c:v>5.4</c:v>
                </c:pt>
                <c:pt idx="23">
                  <c:v>5.2</c:v>
                </c:pt>
                <c:pt idx="24">
                  <c:v>5</c:v>
                </c:pt>
                <c:pt idx="25">
                  <c:v>4.5</c:v>
                </c:pt>
                <c:pt idx="26">
                  <c:v>5.1</c:v>
                </c:pt>
              </c:numCache>
            </c:numRef>
          </c:xVal>
          <c:yVal>
            <c:numRef>
              <c:f>'Мap dashboard calc'!$D$31:$D$58</c:f>
              <c:numCache>
                <c:formatCode>General</c:formatCode>
                <c:ptCount val="28"/>
                <c:pt idx="0">
                  <c:v>7.5</c:v>
                </c:pt>
                <c:pt idx="1">
                  <c:v>7.6</c:v>
                </c:pt>
                <c:pt idx="2">
                  <c:v>7.2</c:v>
                </c:pt>
                <c:pt idx="3">
                  <c:v>7.2</c:v>
                </c:pt>
                <c:pt idx="4">
                  <c:v>6.6</c:v>
                </c:pt>
                <c:pt idx="5">
                  <c:v>7.5</c:v>
                </c:pt>
                <c:pt idx="6">
                  <c:v>8</c:v>
                </c:pt>
                <c:pt idx="7">
                  <c:v>8</c:v>
                </c:pt>
                <c:pt idx="8">
                  <c:v>8.5</c:v>
                </c:pt>
                <c:pt idx="9">
                  <c:v>7.4</c:v>
                </c:pt>
                <c:pt idx="10">
                  <c:v>7.6</c:v>
                </c:pt>
                <c:pt idx="11">
                  <c:v>6.8</c:v>
                </c:pt>
                <c:pt idx="12">
                  <c:v>7.2</c:v>
                </c:pt>
                <c:pt idx="13">
                  <c:v>7.8</c:v>
                </c:pt>
                <c:pt idx="14">
                  <c:v>7</c:v>
                </c:pt>
                <c:pt idx="15">
                  <c:v>8</c:v>
                </c:pt>
                <c:pt idx="16">
                  <c:v>7.2</c:v>
                </c:pt>
                <c:pt idx="17">
                  <c:v>7.2</c:v>
                </c:pt>
                <c:pt idx="18">
                  <c:v>6.8</c:v>
                </c:pt>
                <c:pt idx="19">
                  <c:v>7.8</c:v>
                </c:pt>
                <c:pt idx="20">
                  <c:v>7</c:v>
                </c:pt>
                <c:pt idx="21">
                  <c:v>7</c:v>
                </c:pt>
                <c:pt idx="22">
                  <c:v>7</c:v>
                </c:pt>
                <c:pt idx="23">
                  <c:v>7.2</c:v>
                </c:pt>
                <c:pt idx="24">
                  <c:v>7</c:v>
                </c:pt>
                <c:pt idx="25">
                  <c:v>6.9</c:v>
                </c:pt>
                <c:pt idx="26">
                  <c:v>8.2</c:v>
                </c:pt>
              </c:numCache>
            </c:numRef>
          </c:yVal>
          <c:bubbleSize>
            <c:numRef>
              <c:f>'Мap dashboard calc'!$E$31:$E$58</c:f>
              <c:numCache>
                <c:formatCode>General</c:formatCode>
                <c:ptCount val="2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bubbleSize>
          <c:extLst>
            <c:ext xmlns:c16="http://schemas.microsoft.com/office/drawing/2014/chart" uri="{C3380CC4-5D6E-409C-BE32-E72D297353CC}">
              <c16:uniqueId val="{00000000-C9A0-4AE8-B1EB-119FF911E489}"/>
            </c:ext>
          </c:extLst>
        </c:ser>
        <c:ser>
          <c:idx val="3"/>
          <c:order val="1"/>
          <c:tx>
            <c:strRef>
              <c:f>'Мap dashboard calc'!$B$63</c:f>
              <c:strCache>
                <c:ptCount val="1"/>
                <c:pt idx="0">
                  <c:v>Europe</c:v>
                </c:pt>
              </c:strCache>
            </c:strRef>
          </c:tx>
          <c:spPr>
            <a:solidFill>
              <a:srgbClr val="FF0000"/>
            </a:solidFill>
            <a:ln w="25400" cap="flat" cmpd="sng"/>
            <a:effectLst/>
          </c:spPr>
          <c:invertIfNegative val="0"/>
          <c:xVal>
            <c:numRef>
              <c:f>'Мap dashboard calc'!$C$65:$C$88</c:f>
              <c:numCache>
                <c:formatCode>General</c:formatCode>
                <c:ptCount val="24"/>
                <c:pt idx="0">
                  <c:v>5.2</c:v>
                </c:pt>
                <c:pt idx="1">
                  <c:v>5.2</c:v>
                </c:pt>
                <c:pt idx="2">
                  <c:v>5.2</c:v>
                </c:pt>
                <c:pt idx="3">
                  <c:v>5.2</c:v>
                </c:pt>
                <c:pt idx="4">
                  <c:v>5.2</c:v>
                </c:pt>
                <c:pt idx="5">
                  <c:v>5.2</c:v>
                </c:pt>
                <c:pt idx="6">
                  <c:v>5.2</c:v>
                </c:pt>
                <c:pt idx="7">
                  <c:v>5.2</c:v>
                </c:pt>
                <c:pt idx="8">
                  <c:v>5.2</c:v>
                </c:pt>
                <c:pt idx="9">
                  <c:v>5.2</c:v>
                </c:pt>
                <c:pt idx="10">
                  <c:v>5.2</c:v>
                </c:pt>
                <c:pt idx="11">
                  <c:v>5.2</c:v>
                </c:pt>
                <c:pt idx="12">
                  <c:v>5.2</c:v>
                </c:pt>
                <c:pt idx="13">
                  <c:v>5.2</c:v>
                </c:pt>
                <c:pt idx="14">
                  <c:v>5.2</c:v>
                </c:pt>
                <c:pt idx="15">
                  <c:v>5.2</c:v>
                </c:pt>
                <c:pt idx="16">
                  <c:v>5.2</c:v>
                </c:pt>
                <c:pt idx="17">
                  <c:v>5.2</c:v>
                </c:pt>
                <c:pt idx="18">
                  <c:v>7</c:v>
                </c:pt>
                <c:pt idx="19">
                  <c:v>5.2</c:v>
                </c:pt>
                <c:pt idx="20">
                  <c:v>5.2</c:v>
                </c:pt>
                <c:pt idx="21">
                  <c:v>5.2</c:v>
                </c:pt>
                <c:pt idx="22">
                  <c:v>5.2</c:v>
                </c:pt>
                <c:pt idx="23">
                  <c:v>5.2</c:v>
                </c:pt>
              </c:numCache>
            </c:numRef>
          </c:xVal>
          <c:yVal>
            <c:numRef>
              <c:f>'Мap dashboard calc'!$D$65:$D$88</c:f>
              <c:numCache>
                <c:formatCode>General</c:formatCode>
                <c:ptCount val="24"/>
                <c:pt idx="0">
                  <c:v>8.1</c:v>
                </c:pt>
                <c:pt idx="1">
                  <c:v>8.1</c:v>
                </c:pt>
                <c:pt idx="2">
                  <c:v>8.1</c:v>
                </c:pt>
                <c:pt idx="3">
                  <c:v>8.1</c:v>
                </c:pt>
                <c:pt idx="4">
                  <c:v>8.1</c:v>
                </c:pt>
                <c:pt idx="5">
                  <c:v>8.1</c:v>
                </c:pt>
                <c:pt idx="6">
                  <c:v>8.1</c:v>
                </c:pt>
                <c:pt idx="7">
                  <c:v>8.1</c:v>
                </c:pt>
                <c:pt idx="8">
                  <c:v>8.1</c:v>
                </c:pt>
                <c:pt idx="9">
                  <c:v>8.1</c:v>
                </c:pt>
                <c:pt idx="10">
                  <c:v>8.1</c:v>
                </c:pt>
                <c:pt idx="11">
                  <c:v>8.1</c:v>
                </c:pt>
                <c:pt idx="12">
                  <c:v>8.1</c:v>
                </c:pt>
                <c:pt idx="13">
                  <c:v>8.1</c:v>
                </c:pt>
                <c:pt idx="14">
                  <c:v>8.1</c:v>
                </c:pt>
                <c:pt idx="15">
                  <c:v>8.1</c:v>
                </c:pt>
                <c:pt idx="16">
                  <c:v>8.1</c:v>
                </c:pt>
                <c:pt idx="17">
                  <c:v>8.1</c:v>
                </c:pt>
                <c:pt idx="18">
                  <c:v>8.5</c:v>
                </c:pt>
                <c:pt idx="19">
                  <c:v>8.1</c:v>
                </c:pt>
                <c:pt idx="20">
                  <c:v>8.1</c:v>
                </c:pt>
                <c:pt idx="21">
                  <c:v>8.1</c:v>
                </c:pt>
                <c:pt idx="22">
                  <c:v>8.1</c:v>
                </c:pt>
                <c:pt idx="23">
                  <c:v>8.1</c:v>
                </c:pt>
              </c:numCache>
            </c:numRef>
          </c:yVal>
          <c:bubbleSize>
            <c:numRef>
              <c:f>'Мap dashboard calc'!$E$65:$E$88</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bubbleSize>
          <c:extLst>
            <c:ext xmlns:c16="http://schemas.microsoft.com/office/drawing/2014/chart" uri="{C3380CC4-5D6E-409C-BE32-E72D297353CC}">
              <c16:uniqueId val="{00000001-C9A0-4AE8-B1EB-119FF911E489}"/>
            </c:ext>
          </c:extLst>
        </c:ser>
        <c:bubbleScale val="10"/>
        <c:showNegBubbles val="0"/>
        <c:sizeRepresents val="w"/>
        <c:axId val="35744609"/>
        <c:axId val="965540403"/>
      </c:bubbleChart>
      <c:valAx>
        <c:axId val="35744609"/>
        <c:scaling>
          <c:orientation val="minMax"/>
          <c:max val="10"/>
          <c:min val="0"/>
        </c:scaling>
        <c:delete val="1"/>
        <c:axPos val="b"/>
        <c:majorTickMark val="none"/>
        <c:minorTickMark val="none"/>
        <c:tickLblPos val="nextTo"/>
        <c:spPr>
          <a:ln w="6350" cap="flat" cmpd="sng"/>
        </c:spPr>
        <c:crossAx val="965540403"/>
        <c:crosses val="autoZero"/>
        <c:crossBetween val="midCat"/>
      </c:valAx>
      <c:valAx>
        <c:axId val="965540403"/>
        <c:scaling>
          <c:orientation val="minMax"/>
          <c:max val="10"/>
          <c:min val="0"/>
        </c:scaling>
        <c:delete val="1"/>
        <c:axPos val="l"/>
        <c:majorTickMark val="none"/>
        <c:minorTickMark val="none"/>
        <c:tickLblPos val="nextTo"/>
        <c:spPr>
          <a:ln w="6350" cap="flat" cmpd="sng"/>
        </c:spPr>
        <c:crossAx val="35744609"/>
        <c:crosses val="autoZero"/>
        <c:crossBetween val="midCat"/>
      </c:valAx>
      <c:spPr>
        <a:blipFill>
          <a:blip r:embed="rId1">
            <a:alphaModFix amt="55000"/>
          </a:blip>
          <a:srcRect/>
          <a:stretch>
            <a:fillRect/>
          </a:stretch>
        </a:blipFill>
        <a:ln w="9525">
          <a:noFill/>
        </a:ln>
        <a:effectLst/>
      </c:spPr>
    </c:plotArea>
    <c:plotVisOnly val="1"/>
    <c:dispBlanksAs val="gap"/>
    <c:showDLblsOverMax val="0"/>
  </c:chart>
  <c:spPr>
    <a:ln w="6350">
      <a:noFill/>
    </a:ln>
    <a:effectLst/>
  </c:spPr>
</c:chartSpace>
</file>

<file path=xl/charts/chart5.xml><?xml version="1.0" encoding="utf-8"?>
<c:chartSpace xmlns:c="http://schemas.microsoft.com/office/drawing/2014/chartex" xmlns:a="http://schemas.openxmlformats.org/drawingml/2006/main" xmlns:r="http://schemas.openxmlformats.org/officeDocument/2006/relationships">
  <c:chartData>
    <c:data id="0">
      <c:numDim type="val">
        <c:f>_xlchart.v1.7</c:f>
      </c:numDim>
    </c:data>
  </c:chartData>
  <c:chart>
    <c:title pos="t" align="ctr" overlay="0">
      <c:tx>
        <c:txData>
          <c:v>Distribution of contracts</c:v>
        </c:txData>
      </c:tx>
      <c:txPr>
        <a:bodyPr vert="horz" rot="0" spcFirstLastPara="1" vertOverflow="ellipsis" anchor="ctr" anchorCtr="1" wrap="square"/>
        <a:lstStyle/>
        <a:p>
          <a:pPr algn="ctr">
            <a:defRPr lang="en-US" sz="1600" b="1" i="0" u="none" baseline="0">
              <a:solidFill>
                <a:srgbClr val="12192D"/>
              </a:solidFill>
              <a:latin typeface="Arial"/>
              <a:ea typeface="Arial"/>
            </a:defRPr>
          </a:pPr>
          <a:r>
            <a:rPr lang="en-US" sz="1600" b="1" i="0" u="none" baseline="0">
              <a:solidFill>
                <a:srgbClr val="12192D"/>
              </a:solidFill>
              <a:latin typeface="Arial"/>
              <a:ea typeface="Arial"/>
            </a:rPr>
            <a:t>Distribution of contracts</a:t>
          </a:r>
        </a:p>
      </c:txPr>
      <c:spPr>
        <a:noFill/>
        <a:ln>
          <a:noFill/>
        </a:ln>
      </c:spPr>
    </c:title>
    <c:plotArea>
      <c:plotAreaRegion>
        <c:series layoutId="clusteredColumn" uniqueId="{0433063A-F4D7-456B-903A-D0FD221EEADF}" formatIdx="0">
          <c:tx>
            <c:txData>
              <c:f>_xlchart.v1.6</c:f>
            </c:txData>
          </c:tx>
          <c:dataLabels pos="outEnd">
            <c:visibility seriesName="0" categoryName="0" value="1"/>
          </c:dataLabels>
          <c:dataId val="0"/>
          <c:axisId val="1"/>
          <c:layoutPr>
            <c:binning/>
          </c:layoutPr>
        </c:series>
        <c:series layoutId="paretoLine" ownerIdx="0" uniqueId="{2470f9fd-9f6c-48d9-b7d0-b426ee5f5166}" formatIdx="1">
          <c:axisId val="2"/>
        </c:series>
      </c:plotAreaRegion>
      <c:axis id="0">
        <c:catScaling gapWidth="0.03"/>
        <c:title>
          <c:tx>
            <c:txData>
              <c:v>Brackets</c:v>
            </c:txData>
          </c:tx>
          <c:txPr>
            <a:bodyPr spcFirstLastPara="1" vertOverflow="ellipsis" anchor="ctr" anchorCtr="1" wrap="square"/>
            <a:lstStyle/>
            <a:p>
              <a:pPr algn="ctr">
                <a:defRPr lang="en-GB" sz="900" b="0" i="0" u="none" baseline="0">
                  <a:solidFill>
                    <a:srgbClr val="12192D"/>
                  </a:solidFill>
                  <a:latin typeface="Arial"/>
                  <a:ea typeface="Arial"/>
                </a:defRPr>
              </a:pPr>
              <a:r>
                <a:rPr lang="en-GB" sz="900" b="0" i="0" u="none" baseline="0">
                  <a:solidFill>
                    <a:srgbClr val="12192D"/>
                  </a:solidFill>
                  <a:latin typeface="Arial"/>
                  <a:ea typeface="Arial"/>
                </a:rPr>
                <a:t>Brackets</a:t>
              </a:r>
            </a:p>
          </c:txPr>
          <c:spPr>
            <a:noFill/>
          </c:spPr>
        </c:title>
        <c:majorTickMarks type="out"/>
        <c:tickLabels/>
        <c:txPr>
          <a:bodyPr wrap="square"/>
          <a:lstStyle/>
          <a:p>
            <a:pPr>
              <a:defRPr lang="en-US" sz="1000" u="none" baseline="0">
                <a:solidFill>
                  <a:srgbClr val="12192D"/>
                </a:solidFill>
                <a:latin typeface="Arial" panose="020B0604020202020204" pitchFamily="34" charset="0"/>
                <a:ea typeface="Arial" panose="020B0604020202020204" pitchFamily="34" charset="0"/>
                <a:cs typeface="Arial" panose="020B0604020202020204" pitchFamily="34" charset="0"/>
              </a:defRPr>
            </a:pPr>
            <a:endParaRPr lang="en-US"/>
          </a:p>
        </c:txPr>
      </c:axis>
      <c:axis id="1">
        <c:valScaling/>
        <c:title>
          <c:tx>
            <c:rich>
              <a:bodyPr vert="horz" rot="-5400000" spcFirstLastPara="1" vertOverflow="ellipsis" anchor="ctr" anchorCtr="1" wrap="square"/>
              <a:lstStyle/>
              <a:p>
                <a:pPr algn="ctr">
                  <a:defRPr/>
                </a:pPr>
                <a:r>
                  <a:rPr lang="en-GB" sz="900" b="0" i="0" u="none" baseline="0">
                    <a:solidFill>
                      <a:srgbClr val="12192D"/>
                    </a:solidFill>
                    <a:latin typeface="Arial" panose="020B0604020202020204" pitchFamily="34" charset="0"/>
                    <a:cs typeface="Arial" panose="020B0604020202020204" pitchFamily="34" charset="0"/>
                  </a:rPr>
                  <a:t>Amount in</a:t>
                </a:r>
                <a:r>
                  <a:rPr lang="bg-BG" sz="900" b="0" i="0" u="none" baseline="0">
                    <a:solidFill>
                      <a:srgbClr val="12192D"/>
                    </a:solidFill>
                    <a:latin typeface="Arial" panose="020B0604020202020204" pitchFamily="34" charset="0"/>
                    <a:cs typeface="Arial" panose="020B0604020202020204" pitchFamily="34" charset="0"/>
                  </a:rPr>
                  <a:t> '000</a:t>
                </a:r>
              </a:p>
            </c:rich>
          </c:tx>
          <c:spPr>
            <a:noFill/>
          </c:spPr>
        </c:title>
        <c:majorGridlines/>
        <c:majorTickMarks type="out"/>
        <c:tickLabels/>
        <c:txPr>
          <a:bodyPr wrap="square"/>
          <a:lstStyle/>
          <a:p>
            <a:pPr>
              <a:defRPr lang="en-US" sz="1000" u="none" baseline="0">
                <a:solidFill>
                  <a:srgbClr val="12192D"/>
                </a:solidFill>
                <a:latin typeface="Arial" panose="020B0604020202020204" pitchFamily="34" charset="0"/>
                <a:ea typeface="Arial" panose="020B0604020202020204" pitchFamily="34" charset="0"/>
                <a:cs typeface="Arial" panose="020B0604020202020204" pitchFamily="34" charset="0"/>
              </a:defRPr>
            </a:pPr>
            <a:endParaRPr lang="en-US"/>
          </a:p>
        </c:txPr>
      </c:axis>
      <c:axis id="2">
        <c:valScaling max="1" min="0"/>
        <c:units unit="percentage"/>
        <c:majorTickMarks type="out"/>
        <c:tickLabels/>
      </c:axis>
      <c:spPr>
        <a:ln w="6350" cap="flat" cmpd="sng">
          <a:solidFill>
            <a:schemeClr val="bg1">
              <a:lumMod val="85000"/>
            </a:schemeClr>
          </a:solidFill>
        </a:ln>
        <a:effectLst/>
      </c:spPr>
    </c:plotArea>
  </c:chart>
  <c:spPr>
    <a:ln w="6350" cap="flat" cmpd="sng">
      <a:solidFill>
        <a:schemeClr val="bg1">
          <a:lumMod val="85000"/>
        </a:schemeClr>
      </a:solidFill>
    </a:ln>
    <a:effectLst/>
  </c:spPr>
  <c:txPr>
    <a:bodyPr vert="horz" rot="0" wrap="square"/>
    <a:lstStyle/>
    <a:p>
      <a:pPr>
        <a:defRPr lang="en-US" u="none" baseline="0"/>
      </a:pPr>
      <a:endParaRPr lang="en-US" u="none" baseline="0"/>
    </a:p>
  </c:tx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C00000"/>
            </a:solidFill>
            <a:effectLst/>
          </c:spPr>
          <c:explosion val="0"/>
          <c:dPt>
            <c:idx val="0"/>
            <c:spPr>
              <a:solidFill>
                <a:srgbClr val="92D050"/>
              </a:solidFill>
              <a:effectLst/>
            </c:spPr>
          </c:dPt>
          <c:dPt>
            <c:idx val="1"/>
            <c:spPr>
              <a:solidFill>
                <a:srgbClr val="FFC000"/>
              </a:solidFill>
              <a:effectLst/>
            </c:spPr>
          </c:dPt>
          <c:dPt>
            <c:idx val="3"/>
            <c:spPr>
              <a:solidFill>
                <a:srgbClr val="D9D9D9">
                  <a:lumMod val="85000"/>
                </a:srgbClr>
              </a:solidFill>
              <a:effectLst/>
            </c:spPr>
          </c:dPt>
          <c:cat>
            <c:strRef>
              <c:f>'Validation Results'!$D$20:$D$23</c:f>
              <c:strCache>
                <c:ptCount val="4"/>
                <c:pt idx="0">
                  <c:v>Pass</c:v>
                </c:pt>
                <c:pt idx="1">
                  <c:v>Warning</c:v>
                </c:pt>
                <c:pt idx="2">
                  <c:v>Failed</c:v>
                </c:pt>
                <c:pt idx="3">
                  <c:v>N/A</c:v>
                </c:pt>
              </c:strCache>
            </c:strRef>
          </c:cat>
          <c:val>
            <c:numRef>
              <c:f>'Validation Results'!$E$20:$E$23</c:f>
              <c:numCache>
                <c:formatCode>General</c:formatCode>
                <c:ptCount val="4"/>
                <c:pt idx="0">
                  <c:v>1</c:v>
                </c:pt>
                <c:pt idx="1">
                  <c:v>0</c:v>
                </c:pt>
                <c:pt idx="2">
                  <c:v>0</c:v>
                </c:pt>
                <c:pt idx="3">
                  <c:v>0</c:v>
                </c:pt>
              </c:numCache>
            </c:numRef>
          </c:val>
          <c:extLst>
            <c:ext xmlns:c16="http://schemas.microsoft.com/office/drawing/2014/chart" uri="{C3380CC4-5D6E-409C-BE32-E72D297353CC}">
              <c16:uniqueId val="{00000003-9E07-4FC6-A3BB-6C04CB722974}"/>
            </c:ext>
          </c:extLst>
        </c:ser>
        <c:dLbls>
          <c:showLegendKey val="0"/>
          <c:showVal val="0"/>
          <c:showCatName val="0"/>
          <c:showSerName val="0"/>
          <c:showPercent val="0"/>
          <c:showBubbleSize val="0"/>
          <c:showLeaderLines val="1"/>
        </c:dLbls>
        <c:holeSize val="87"/>
      </c:doughnutChart>
    </c:plotArea>
    <c:plotVisOnly val="1"/>
    <c:dispBlanksAs val="gap"/>
    <c:showDLblsOverMax val="0"/>
  </c:chart>
  <c:spPr>
    <a:noFill/>
    <a:ln w="9525">
      <a:noFill/>
    </a:ln>
    <a:effectLst/>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0.00775"/>
          <c:y val="0.21425"/>
          <c:w val="0.12"/>
          <c:h val="0.66675"/>
        </c:manualLayout>
      </c:layout>
      <c:barChart>
        <c:barDir val="col"/>
        <c:grouping val="stacked"/>
        <c:varyColors val="0"/>
        <c:ser>
          <c:idx val="0"/>
          <c:order val="0"/>
          <c:tx>
            <c:strRef>
              <c:f>'Validation Results'!$D$13:$E$13</c:f>
              <c:strCache>
                <c:ptCount val="1"/>
                <c:pt idx="0">
                  <c:v>Pass</c:v>
                </c:pt>
              </c:strCache>
            </c:strRef>
          </c:tx>
          <c:spPr>
            <a:solidFill>
              <a:srgbClr val="92D050"/>
            </a:solidFill>
            <a:ln w="9525">
              <a:noFill/>
            </a:ln>
            <a:effectLst/>
          </c:spPr>
          <c:invertIfNegative val="0"/>
          <c:cat>
            <c:strRef>
              <c:f>'Validation Results'!$F$12:$G$12</c:f>
              <c:strCache>
                <c:ptCount val="2"/>
                <c:pt idx="0">
                  <c:v>Other</c:v>
                </c:pt>
                <c:pt idx="1">
                  <c:v>Total</c:v>
                </c:pt>
              </c:strCache>
            </c:strRef>
          </c:cat>
          <c:val>
            <c:numRef>
              <c:f>'Validation Results'!$F$13:$G$13</c:f>
              <c:numCache>
                <c:formatCode>General</c:formatCode>
                <c:ptCount val="2"/>
                <c:pt idx="0">
                  <c:v>1</c:v>
                </c:pt>
                <c:pt idx="1">
                  <c:v>1</c:v>
                </c:pt>
              </c:numCache>
            </c:numRef>
          </c:val>
          <c:extLst>
            <c:ext xmlns:c16="http://schemas.microsoft.com/office/drawing/2014/chart" uri="{C3380CC4-5D6E-409C-BE32-E72D297353CC}">
              <c16:uniqueId val="{00000000-1367-486B-AA4D-9DACDE3662C8}"/>
            </c:ext>
          </c:extLst>
        </c:ser>
        <c:ser>
          <c:idx val="1"/>
          <c:order val="1"/>
          <c:tx>
            <c:strRef>
              <c:f>'Validation Results'!$D$14:$E$14</c:f>
              <c:strCache>
                <c:ptCount val="1"/>
                <c:pt idx="0">
                  <c:v>Warning</c:v>
                </c:pt>
              </c:strCache>
            </c:strRef>
          </c:tx>
          <c:spPr>
            <a:noFill/>
            <a:ln w="9525">
              <a:noFill/>
            </a:ln>
            <a:effectLst/>
          </c:spPr>
          <c:invertIfNegative val="0"/>
          <c:cat>
            <c:strRef>
              <c:f>'Validation Results'!$F$12:$G$12</c:f>
              <c:strCache>
                <c:ptCount val="2"/>
                <c:pt idx="0">
                  <c:v>Other</c:v>
                </c:pt>
                <c:pt idx="1">
                  <c:v>Total</c:v>
                </c:pt>
              </c:strCache>
            </c:strRef>
          </c:cat>
          <c:val>
            <c:numRef>
              <c:f>'Validation Results'!$F$14:$G$14</c:f>
              <c:numCache>
                <c:formatCode>General</c:formatCode>
                <c:ptCount val="2"/>
                <c:pt idx="0">
                  <c:v>0</c:v>
                </c:pt>
                <c:pt idx="1">
                  <c:v>0</c:v>
                </c:pt>
              </c:numCache>
            </c:numRef>
          </c:val>
          <c:extLst>
            <c:ext xmlns:c16="http://schemas.microsoft.com/office/drawing/2014/chart" uri="{C3380CC4-5D6E-409C-BE32-E72D297353CC}">
              <c16:uniqueId val="{00000001-1367-486B-AA4D-9DACDE3662C8}"/>
            </c:ext>
          </c:extLst>
        </c:ser>
        <c:ser>
          <c:idx val="2"/>
          <c:order val="2"/>
          <c:tx>
            <c:strRef>
              <c:f>'Validation Results'!$D$15:$E$15</c:f>
              <c:strCache>
                <c:ptCount val="1"/>
                <c:pt idx="0">
                  <c:v>Failed</c:v>
                </c:pt>
              </c:strCache>
            </c:strRef>
          </c:tx>
          <c:spPr>
            <a:noFill/>
            <a:ln w="9525">
              <a:noFill/>
            </a:ln>
            <a:effectLst/>
          </c:spPr>
          <c:invertIfNegative val="0"/>
          <c:cat>
            <c:strRef>
              <c:f>'Validation Results'!$F$12:$G$12</c:f>
              <c:strCache>
                <c:ptCount val="2"/>
                <c:pt idx="0">
                  <c:v>Other</c:v>
                </c:pt>
                <c:pt idx="1">
                  <c:v>Total</c:v>
                </c:pt>
              </c:strCache>
            </c:strRef>
          </c:cat>
          <c:val>
            <c:numRef>
              <c:f>'Validation Results'!$F$15:$G$15</c:f>
              <c:numCache>
                <c:formatCode>General</c:formatCode>
                <c:ptCount val="2"/>
                <c:pt idx="0">
                  <c:v>0</c:v>
                </c:pt>
                <c:pt idx="1">
                  <c:v>0</c:v>
                </c:pt>
              </c:numCache>
            </c:numRef>
          </c:val>
          <c:extLst>
            <c:ext xmlns:c16="http://schemas.microsoft.com/office/drawing/2014/chart" uri="{C3380CC4-5D6E-409C-BE32-E72D297353CC}">
              <c16:uniqueId val="{00000002-1367-486B-AA4D-9DACDE3662C8}"/>
            </c:ext>
          </c:extLst>
        </c:ser>
        <c:dLbls>
          <c:showLegendKey val="0"/>
          <c:showVal val="0"/>
          <c:showCatName val="0"/>
          <c:showSerName val="0"/>
          <c:showPercent val="0"/>
          <c:showBubbleSize val="0"/>
          <c:showLeaderLines val="0"/>
        </c:dLbls>
        <c:overlap val="100"/>
        <c:axId val="647356157"/>
        <c:axId val="973321992"/>
      </c:barChart>
      <c:catAx>
        <c:axId val="647356157"/>
        <c:scaling>
          <c:orientation val="minMax"/>
        </c:scaling>
        <c:delete val="0"/>
        <c:axPos val="b"/>
        <c:numFmt formatCode="General" sourceLinked="0"/>
        <c:majorTickMark val="out"/>
        <c:minorTickMark val="none"/>
        <c:tickLblPos val="nextTo"/>
        <c:spPr>
          <a:noFill/>
          <a:ln w="9525" cap="flat" cmpd="sng">
            <a:solidFill>
              <a:schemeClr val="tx1">
                <a:tint val="75000"/>
                <a:shade val="95000"/>
                <a:satMod val="105000"/>
              </a:schemeClr>
            </a:solidFill>
            <a:prstDash val="solid"/>
            <a:round/>
          </a:ln>
          <a:effectLst/>
        </c:spPr>
        <c:txPr>
          <a:bodyPr wrap="square"/>
          <a:lstStyle/>
          <a:p>
            <a:pPr>
              <a:defRPr lang="en-US" sz="1000" b="0" i="0" u="none" baseline="0" kern="1200">
                <a:solidFill>
                  <a:schemeClr val="bg1">
                    <a:lumMod val="50000"/>
                  </a:schemeClr>
                </a:solidFill>
                <a:latin typeface="Arial Narrow" panose="020B0606020202030204" pitchFamily="34" charset="0"/>
                <a:ea typeface="+mn-ea"/>
                <a:cs typeface="+mn-cs"/>
              </a:defRPr>
            </a:pPr>
            <a:endParaRPr lang="en-US"/>
          </a:p>
        </c:txPr>
        <c:crossAx val="973321992"/>
        <c:crosses val="autoZero"/>
        <c:auto val="1"/>
        <c:lblOffset val="100"/>
        <c:noMultiLvlLbl val="0"/>
      </c:catAx>
      <c:valAx>
        <c:axId val="973321992"/>
        <c:scaling>
          <c:orientation val="minMax"/>
          <c:max val="1"/>
        </c:scaling>
        <c:delete val="1"/>
        <c:axPos val="l"/>
        <c:majorGridlines>
          <c:spPr>
            <a:ln w="9525">
              <a:noFill/>
              <a:prstDash val="solid"/>
              <a:round/>
            </a:ln>
            <a:effectLst/>
          </c:spPr>
        </c:majorGridlines>
        <c:majorTickMark val="out"/>
        <c:minorTickMark val="none"/>
        <c:tickLblPos val="nextTo"/>
        <c:spPr>
          <a:ln w="6350" cap="flat" cmpd="sng"/>
        </c:spPr>
        <c:crossAx val="647356157"/>
        <c:crosses val="autoZero"/>
        <c:crossBetween val="between"/>
      </c:valAx>
      <c:spPr>
        <a:noFill/>
        <a:ln w="9525">
          <a:noFill/>
        </a:ln>
        <a:effectLst/>
      </c:spPr>
    </c:plotArea>
    <c:plotVisOnly val="1"/>
    <c:dispBlanksAs val="gap"/>
    <c:showDLblsOverMax val="0"/>
  </c:chart>
  <c:spPr>
    <a:solidFill>
      <a:srgbClr val="FFFFFF"/>
    </a:solidFill>
    <a:ln w="9525">
      <a:noFill/>
      <a:prstDash val="solid"/>
      <a:round/>
    </a:ln>
    <a:effectLst/>
  </c:spPr>
  <c:userShapes r:id="rId1"/>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0.00775"/>
          <c:y val="0.04475"/>
          <c:w val="0.12"/>
          <c:h val="0.52675"/>
        </c:manualLayout>
      </c:layout>
      <c:barChart>
        <c:barDir val="col"/>
        <c:grouping val="stacked"/>
        <c:varyColors val="0"/>
        <c:ser>
          <c:idx val="1"/>
          <c:order val="0"/>
          <c:tx>
            <c:strRef>
              <c:f>'Validation Results'!$D$14:$E$14</c:f>
              <c:strCache>
                <c:ptCount val="1"/>
                <c:pt idx="0">
                  <c:v>Warning</c:v>
                </c:pt>
              </c:strCache>
            </c:strRef>
          </c:tx>
          <c:spPr>
            <a:solidFill>
              <a:srgbClr val="FFC000"/>
            </a:solidFill>
            <a:ln w="6350">
              <a:noFill/>
            </a:ln>
            <a:effectLst/>
          </c:spPr>
          <c:invertIfNegative val="0"/>
          <c:cat>
            <c:strRef>
              <c:f>'Validation Results'!$F$12:$G$12</c:f>
              <c:strCache>
                <c:ptCount val="2"/>
                <c:pt idx="0">
                  <c:v>Other</c:v>
                </c:pt>
                <c:pt idx="1">
                  <c:v>Total</c:v>
                </c:pt>
              </c:strCache>
            </c:strRef>
          </c:cat>
          <c:val>
            <c:numRef>
              <c:f>'Validation Results'!$F$14:$G$14</c:f>
              <c:numCache>
                <c:formatCode>General</c:formatCode>
                <c:ptCount val="2"/>
                <c:pt idx="0">
                  <c:v>0</c:v>
                </c:pt>
                <c:pt idx="1">
                  <c:v>0</c:v>
                </c:pt>
              </c:numCache>
            </c:numRef>
          </c:val>
          <c:extLst>
            <c:ext xmlns:c16="http://schemas.microsoft.com/office/drawing/2014/chart" uri="{C3380CC4-5D6E-409C-BE32-E72D297353CC}">
              <c16:uniqueId val="{00000000-9ADD-4B53-99F0-5971AC5C923D}"/>
            </c:ext>
          </c:extLst>
        </c:ser>
        <c:ser>
          <c:idx val="2"/>
          <c:order val="1"/>
          <c:tx>
            <c:strRef>
              <c:f>'Validation Results'!$D$15:$E$15</c:f>
              <c:strCache>
                <c:ptCount val="1"/>
                <c:pt idx="0">
                  <c:v>Failed</c:v>
                </c:pt>
              </c:strCache>
            </c:strRef>
          </c:tx>
          <c:spPr>
            <a:solidFill>
              <a:srgbClr val="C00000"/>
            </a:solidFill>
            <a:ln w="6350">
              <a:noFill/>
            </a:ln>
            <a:effectLst/>
          </c:spPr>
          <c:invertIfNegative val="0"/>
          <c:cat>
            <c:strRef>
              <c:f>'Validation Results'!$F$12:$G$12</c:f>
              <c:strCache>
                <c:ptCount val="2"/>
                <c:pt idx="0">
                  <c:v>Other</c:v>
                </c:pt>
                <c:pt idx="1">
                  <c:v>Total</c:v>
                </c:pt>
              </c:strCache>
            </c:strRef>
          </c:cat>
          <c:val>
            <c:numRef>
              <c:f>'Validation Results'!$F$15:$G$15</c:f>
              <c:numCache>
                <c:formatCode>General</c:formatCode>
                <c:ptCount val="2"/>
                <c:pt idx="0">
                  <c:v>0</c:v>
                </c:pt>
                <c:pt idx="1">
                  <c:v>0</c:v>
                </c:pt>
              </c:numCache>
            </c:numRef>
          </c:val>
          <c:extLst>
            <c:ext xmlns:c16="http://schemas.microsoft.com/office/drawing/2014/chart" uri="{C3380CC4-5D6E-409C-BE32-E72D297353CC}">
              <c16:uniqueId val="{00000001-9ADD-4B53-99F0-5971AC5C923D}"/>
            </c:ext>
          </c:extLst>
        </c:ser>
        <c:ser>
          <c:idx val="0"/>
          <c:order val="2"/>
          <c:tx>
            <c:strRef>
              <c:f>'Validation Results'!$D$13:$E$13</c:f>
              <c:strCache>
                <c:ptCount val="1"/>
                <c:pt idx="0">
                  <c:v>Pass</c:v>
                </c:pt>
              </c:strCache>
            </c:strRef>
          </c:tx>
          <c:spPr>
            <a:noFill/>
            <a:ln w="6350">
              <a:noFill/>
            </a:ln>
            <a:effectLst/>
          </c:spPr>
          <c:invertIfNegative val="0"/>
          <c:cat>
            <c:strRef>
              <c:f>'Validation Results'!$F$12:$G$12</c:f>
              <c:strCache>
                <c:ptCount val="2"/>
                <c:pt idx="0">
                  <c:v>Other</c:v>
                </c:pt>
                <c:pt idx="1">
                  <c:v>Total</c:v>
                </c:pt>
              </c:strCache>
            </c:strRef>
          </c:cat>
          <c:val>
            <c:numRef>
              <c:f>'Validation Results'!$F$13:$G$13</c:f>
              <c:numCache>
                <c:formatCode>General</c:formatCode>
                <c:ptCount val="2"/>
                <c:pt idx="0">
                  <c:v>1</c:v>
                </c:pt>
                <c:pt idx="1">
                  <c:v>1</c:v>
                </c:pt>
              </c:numCache>
            </c:numRef>
          </c:val>
          <c:extLst>
            <c:ext xmlns:c16="http://schemas.microsoft.com/office/drawing/2014/chart" uri="{C3380CC4-5D6E-409C-BE32-E72D297353CC}">
              <c16:uniqueId val="{00000002-9ADD-4B53-99F0-5971AC5C923D}"/>
            </c:ext>
          </c:extLst>
        </c:ser>
        <c:dLbls>
          <c:showLegendKey val="0"/>
          <c:showVal val="0"/>
          <c:showCatName val="0"/>
          <c:showSerName val="0"/>
          <c:showPercent val="0"/>
          <c:showBubbleSize val="0"/>
          <c:showLeaderLines val="0"/>
        </c:dLbls>
        <c:overlap val="100"/>
        <c:axId val="557341674"/>
        <c:axId val="647133145"/>
      </c:barChart>
      <c:catAx>
        <c:axId val="557341674"/>
        <c:scaling>
          <c:orientation val="minMax"/>
        </c:scaling>
        <c:delete val="0"/>
        <c:axPos val="t"/>
        <c:numFmt formatCode="General" sourceLinked="0"/>
        <c:majorTickMark val="out"/>
        <c:minorTickMark val="none"/>
        <c:tickLblPos val="none"/>
        <c:spPr>
          <a:ln w="9525" cap="flat" cmpd="sng"/>
          <a:effectLst/>
        </c:spPr>
        <c:crossAx val="647133145"/>
        <c:crosses val="autoZero"/>
        <c:auto val="1"/>
        <c:lblOffset val="100"/>
        <c:noMultiLvlLbl val="0"/>
      </c:catAx>
      <c:valAx>
        <c:axId val="647133145"/>
        <c:scaling>
          <c:orientation val="maxMin"/>
          <c:max val="1"/>
        </c:scaling>
        <c:delete val="1"/>
        <c:axPos val="l"/>
        <c:majorGridlines>
          <c:spPr>
            <a:ln w="9525">
              <a:noFill/>
            </a:ln>
            <a:effectLst/>
          </c:spPr>
        </c:majorGridlines>
        <c:majorTickMark val="out"/>
        <c:minorTickMark val="none"/>
        <c:tickLblPos val="nextTo"/>
        <c:spPr>
          <a:ln w="6350" cap="flat" cmpd="sng"/>
        </c:spPr>
        <c:crossAx val="557341674"/>
        <c:crosses val="autoZero"/>
        <c:crossBetween val="between"/>
      </c:valAx>
      <c:spPr>
        <a:ln w="6350">
          <a:noFill/>
        </a:ln>
        <a:effectLst/>
      </c:spPr>
    </c:plotArea>
    <c:plotVisOnly val="1"/>
    <c:dispBlanksAs val="gap"/>
    <c:showDLblsOverMax val="0"/>
  </c:chart>
  <c:spPr>
    <a:ln w="9525">
      <a:noFill/>
    </a:ln>
    <a:effectLst/>
  </c:spPr>
  <c:userShapes r:id="rId1"/>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3"/>
          <c:y val="0.05"/>
          <c:w val="0.95475"/>
          <c:h val="0.89325"/>
        </c:manualLayout>
      </c:layout>
      <c:bubbleChart>
        <c:varyColors val="0"/>
        <c:ser>
          <c:idx val="0"/>
          <c:order val="0"/>
          <c:tx>
            <c:strRef>
              <c:f>'Мap dashboard calc'!$E$28</c:f>
              <c:strCache>
                <c:ptCount val="1"/>
                <c:pt idx="0">
                  <c:v>In EU</c:v>
                </c:pt>
              </c:strCache>
            </c:strRef>
          </c:tx>
          <c:spPr>
            <a:solidFill>
              <a:srgbClr val="00B050"/>
            </a:solidFill>
            <a:ln w="9525">
              <a:noFill/>
            </a:ln>
            <a:effectLst/>
          </c:spPr>
          <c:invertIfNegative val="0"/>
          <c:xVal>
            <c:numRef>
              <c:f>'Мap dashboard calc'!$C$31:$C$58</c:f>
              <c:numCache>
                <c:formatCode>General</c:formatCode>
                <c:ptCount val="28"/>
                <c:pt idx="0">
                  <c:v>5</c:v>
                </c:pt>
                <c:pt idx="1">
                  <c:v>4.8</c:v>
                </c:pt>
                <c:pt idx="2">
                  <c:v>5.4</c:v>
                </c:pt>
                <c:pt idx="3">
                  <c:v>5.2</c:v>
                </c:pt>
                <c:pt idx="4">
                  <c:v>5.7</c:v>
                </c:pt>
                <c:pt idx="5">
                  <c:v>5.2</c:v>
                </c:pt>
                <c:pt idx="6">
                  <c:v>5</c:v>
                </c:pt>
                <c:pt idx="7">
                  <c:v>5.3</c:v>
                </c:pt>
                <c:pt idx="8">
                  <c:v>5.4</c:v>
                </c:pt>
                <c:pt idx="9">
                  <c:v>4.8</c:v>
                </c:pt>
                <c:pt idx="10">
                  <c:v>4.9</c:v>
                </c:pt>
                <c:pt idx="11">
                  <c:v>5.4</c:v>
                </c:pt>
                <c:pt idx="12">
                  <c:v>5.3</c:v>
                </c:pt>
                <c:pt idx="13">
                  <c:v>4.5</c:v>
                </c:pt>
                <c:pt idx="14">
                  <c:v>5.1</c:v>
                </c:pt>
                <c:pt idx="15">
                  <c:v>5.5</c:v>
                </c:pt>
                <c:pt idx="16">
                  <c:v>5.1</c:v>
                </c:pt>
                <c:pt idx="17">
                  <c:v>4.6</c:v>
                </c:pt>
                <c:pt idx="18">
                  <c:v>5</c:v>
                </c:pt>
                <c:pt idx="19">
                  <c:v>4.9</c:v>
                </c:pt>
                <c:pt idx="20">
                  <c:v>5</c:v>
                </c:pt>
                <c:pt idx="21">
                  <c:v>4.4</c:v>
                </c:pt>
                <c:pt idx="22">
                  <c:v>5.4</c:v>
                </c:pt>
                <c:pt idx="23">
                  <c:v>5.2</c:v>
                </c:pt>
                <c:pt idx="24">
                  <c:v>5</c:v>
                </c:pt>
                <c:pt idx="25">
                  <c:v>4.5</c:v>
                </c:pt>
                <c:pt idx="26">
                  <c:v>5.1</c:v>
                </c:pt>
              </c:numCache>
            </c:numRef>
          </c:xVal>
          <c:yVal>
            <c:numRef>
              <c:f>'Мap dashboard calc'!$D$31:$D$58</c:f>
              <c:numCache>
                <c:formatCode>General</c:formatCode>
                <c:ptCount val="28"/>
                <c:pt idx="0">
                  <c:v>7.5</c:v>
                </c:pt>
                <c:pt idx="1">
                  <c:v>7.6</c:v>
                </c:pt>
                <c:pt idx="2">
                  <c:v>7.2</c:v>
                </c:pt>
                <c:pt idx="3">
                  <c:v>7.2</c:v>
                </c:pt>
                <c:pt idx="4">
                  <c:v>6.6</c:v>
                </c:pt>
                <c:pt idx="5">
                  <c:v>7.5</c:v>
                </c:pt>
                <c:pt idx="6">
                  <c:v>8</c:v>
                </c:pt>
                <c:pt idx="7">
                  <c:v>8</c:v>
                </c:pt>
                <c:pt idx="8">
                  <c:v>8.5</c:v>
                </c:pt>
                <c:pt idx="9">
                  <c:v>7.4</c:v>
                </c:pt>
                <c:pt idx="10">
                  <c:v>7.6</c:v>
                </c:pt>
                <c:pt idx="11">
                  <c:v>6.8</c:v>
                </c:pt>
                <c:pt idx="12">
                  <c:v>7.2</c:v>
                </c:pt>
                <c:pt idx="13">
                  <c:v>7.8</c:v>
                </c:pt>
                <c:pt idx="14">
                  <c:v>7</c:v>
                </c:pt>
                <c:pt idx="15">
                  <c:v>8</c:v>
                </c:pt>
                <c:pt idx="16">
                  <c:v>7.2</c:v>
                </c:pt>
                <c:pt idx="17">
                  <c:v>7.2</c:v>
                </c:pt>
                <c:pt idx="18">
                  <c:v>6.8</c:v>
                </c:pt>
                <c:pt idx="19">
                  <c:v>7.8</c:v>
                </c:pt>
                <c:pt idx="20">
                  <c:v>7</c:v>
                </c:pt>
                <c:pt idx="21">
                  <c:v>7</c:v>
                </c:pt>
                <c:pt idx="22">
                  <c:v>7</c:v>
                </c:pt>
                <c:pt idx="23">
                  <c:v>7.2</c:v>
                </c:pt>
                <c:pt idx="24">
                  <c:v>7</c:v>
                </c:pt>
                <c:pt idx="25">
                  <c:v>6.9</c:v>
                </c:pt>
                <c:pt idx="26">
                  <c:v>8.2</c:v>
                </c:pt>
              </c:numCache>
            </c:numRef>
          </c:yVal>
          <c:bubbleSize>
            <c:numRef>
              <c:f>'Мap dashboard calc'!$E$1:$E$58</c:f>
              <c:numCache>
                <c:formatCode>General</c:formatCode>
                <c:ptCount val="58"/>
                <c:pt idx="0">
                  <c:v>2</c:v>
                </c:pt>
                <c:pt idx="27">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numCache>
            </c:numRef>
          </c:bubbleSize>
          <c:extLst>
            <c:ext xmlns:c16="http://schemas.microsoft.com/office/drawing/2014/chart" uri="{C3380CC4-5D6E-409C-BE32-E72D297353CC}">
              <c16:uniqueId val="{00000000-81C4-4A3D-882F-636EE0A14958}"/>
            </c:ext>
          </c:extLst>
        </c:ser>
        <c:ser>
          <c:idx val="1"/>
          <c:order val="1"/>
          <c:tx>
            <c:strRef>
              <c:f>'Мap dashboard calc'!$E$28</c:f>
              <c:strCache>
                <c:ptCount val="1"/>
                <c:pt idx="0">
                  <c:v>In EU</c:v>
                </c:pt>
              </c:strCache>
            </c:strRef>
          </c:tx>
          <c:spPr>
            <a:solidFill>
              <a:srgbClr val="FF0000"/>
            </a:solidFill>
            <a:ln w="25400">
              <a:noFill/>
            </a:ln>
            <a:effectLst/>
          </c:spPr>
          <c:invertIfNegative val="0"/>
          <c:xVal>
            <c:numRef>
              <c:f>'Мap dashboard calc'!$C$65:$C$262</c:f>
              <c:numCache>
                <c:formatCode>General</c:formatCode>
                <c:ptCount val="198"/>
                <c:pt idx="0">
                  <c:v>5.2</c:v>
                </c:pt>
                <c:pt idx="1">
                  <c:v>5.2</c:v>
                </c:pt>
                <c:pt idx="2">
                  <c:v>5.2</c:v>
                </c:pt>
                <c:pt idx="3">
                  <c:v>5.2</c:v>
                </c:pt>
                <c:pt idx="4">
                  <c:v>5.2</c:v>
                </c:pt>
                <c:pt idx="5">
                  <c:v>5.2</c:v>
                </c:pt>
                <c:pt idx="6">
                  <c:v>5.2</c:v>
                </c:pt>
                <c:pt idx="7">
                  <c:v>5.2</c:v>
                </c:pt>
                <c:pt idx="8">
                  <c:v>5.2</c:v>
                </c:pt>
                <c:pt idx="9">
                  <c:v>5.2</c:v>
                </c:pt>
                <c:pt idx="10">
                  <c:v>5.2</c:v>
                </c:pt>
                <c:pt idx="11">
                  <c:v>5.2</c:v>
                </c:pt>
                <c:pt idx="12">
                  <c:v>5.2</c:v>
                </c:pt>
                <c:pt idx="13">
                  <c:v>5.2</c:v>
                </c:pt>
                <c:pt idx="14">
                  <c:v>5.2</c:v>
                </c:pt>
                <c:pt idx="15">
                  <c:v>5.2</c:v>
                </c:pt>
                <c:pt idx="16">
                  <c:v>5.2</c:v>
                </c:pt>
                <c:pt idx="17">
                  <c:v>5.2</c:v>
                </c:pt>
                <c:pt idx="18">
                  <c:v>7</c:v>
                </c:pt>
                <c:pt idx="19">
                  <c:v>5.2</c:v>
                </c:pt>
                <c:pt idx="20">
                  <c:v>5.2</c:v>
                </c:pt>
                <c:pt idx="21">
                  <c:v>5.2</c:v>
                </c:pt>
                <c:pt idx="22">
                  <c:v>5.2</c:v>
                </c:pt>
                <c:pt idx="23">
                  <c:v>5.2</c:v>
                </c:pt>
                <c:pt idx="29">
                  <c:v>5.2</c:v>
                </c:pt>
                <c:pt idx="30">
                  <c:v>5.2</c:v>
                </c:pt>
                <c:pt idx="31">
                  <c:v>5.2</c:v>
                </c:pt>
                <c:pt idx="32">
                  <c:v>5.2</c:v>
                </c:pt>
                <c:pt idx="33">
                  <c:v>5.2</c:v>
                </c:pt>
                <c:pt idx="34">
                  <c:v>5.2</c:v>
                </c:pt>
                <c:pt idx="35">
                  <c:v>5.2</c:v>
                </c:pt>
                <c:pt idx="36">
                  <c:v>5.2</c:v>
                </c:pt>
                <c:pt idx="37">
                  <c:v>5.2</c:v>
                </c:pt>
                <c:pt idx="38">
                  <c:v>5.2</c:v>
                </c:pt>
                <c:pt idx="39">
                  <c:v>5.2</c:v>
                </c:pt>
                <c:pt idx="40">
                  <c:v>5.2</c:v>
                </c:pt>
                <c:pt idx="41">
                  <c:v>5.2</c:v>
                </c:pt>
                <c:pt idx="42">
                  <c:v>5.2</c:v>
                </c:pt>
                <c:pt idx="43">
                  <c:v>5.2</c:v>
                </c:pt>
                <c:pt idx="44">
                  <c:v>5.2</c:v>
                </c:pt>
                <c:pt idx="45">
                  <c:v>5.2</c:v>
                </c:pt>
                <c:pt idx="46">
                  <c:v>5.2</c:v>
                </c:pt>
                <c:pt idx="47">
                  <c:v>5.2</c:v>
                </c:pt>
                <c:pt idx="48">
                  <c:v>5.2</c:v>
                </c:pt>
                <c:pt idx="49">
                  <c:v>5.2</c:v>
                </c:pt>
                <c:pt idx="50">
                  <c:v>5.2</c:v>
                </c:pt>
                <c:pt idx="51">
                  <c:v>5.2</c:v>
                </c:pt>
                <c:pt idx="52">
                  <c:v>5.2</c:v>
                </c:pt>
                <c:pt idx="53">
                  <c:v>5.2</c:v>
                </c:pt>
                <c:pt idx="54">
                  <c:v>5.2</c:v>
                </c:pt>
                <c:pt idx="55">
                  <c:v>5.2</c:v>
                </c:pt>
                <c:pt idx="56">
                  <c:v>5.2</c:v>
                </c:pt>
                <c:pt idx="57">
                  <c:v>5.2</c:v>
                </c:pt>
                <c:pt idx="58">
                  <c:v>5.2</c:v>
                </c:pt>
                <c:pt idx="59">
                  <c:v>5.2</c:v>
                </c:pt>
                <c:pt idx="60">
                  <c:v>5.2</c:v>
                </c:pt>
                <c:pt idx="61">
                  <c:v>5.2</c:v>
                </c:pt>
                <c:pt idx="62">
                  <c:v>5.2</c:v>
                </c:pt>
                <c:pt idx="63">
                  <c:v>5.2</c:v>
                </c:pt>
                <c:pt idx="64">
                  <c:v>5.2</c:v>
                </c:pt>
                <c:pt idx="65">
                  <c:v>5.2</c:v>
                </c:pt>
                <c:pt idx="66">
                  <c:v>5.2</c:v>
                </c:pt>
                <c:pt idx="67">
                  <c:v>5.2</c:v>
                </c:pt>
                <c:pt idx="68">
                  <c:v>5.2</c:v>
                </c:pt>
                <c:pt idx="69">
                  <c:v>5.2</c:v>
                </c:pt>
                <c:pt idx="70">
                  <c:v>5.2</c:v>
                </c:pt>
                <c:pt idx="71">
                  <c:v>5.2</c:v>
                </c:pt>
                <c:pt idx="72">
                  <c:v>5.2</c:v>
                </c:pt>
                <c:pt idx="73">
                  <c:v>5.2</c:v>
                </c:pt>
                <c:pt idx="74">
                  <c:v>5.2</c:v>
                </c:pt>
                <c:pt idx="75">
                  <c:v>5.2</c:v>
                </c:pt>
                <c:pt idx="76">
                  <c:v>5.2</c:v>
                </c:pt>
                <c:pt idx="77">
                  <c:v>5.2</c:v>
                </c:pt>
                <c:pt idx="78">
                  <c:v>5.2</c:v>
                </c:pt>
                <c:pt idx="79">
                  <c:v>5.2</c:v>
                </c:pt>
                <c:pt idx="80">
                  <c:v>5.2</c:v>
                </c:pt>
                <c:pt idx="81">
                  <c:v>5.2</c:v>
                </c:pt>
                <c:pt idx="82">
                  <c:v>5.2</c:v>
                </c:pt>
                <c:pt idx="88">
                  <c:v>7.2</c:v>
                </c:pt>
                <c:pt idx="89">
                  <c:v>7.2</c:v>
                </c:pt>
                <c:pt idx="90">
                  <c:v>7.2</c:v>
                </c:pt>
                <c:pt idx="91">
                  <c:v>7.2</c:v>
                </c:pt>
                <c:pt idx="92">
                  <c:v>7.2</c:v>
                </c:pt>
                <c:pt idx="93">
                  <c:v>7.2</c:v>
                </c:pt>
                <c:pt idx="94">
                  <c:v>7.2</c:v>
                </c:pt>
                <c:pt idx="95">
                  <c:v>7.2</c:v>
                </c:pt>
                <c:pt idx="96">
                  <c:v>7.2</c:v>
                </c:pt>
                <c:pt idx="97">
                  <c:v>7.2</c:v>
                </c:pt>
                <c:pt idx="98">
                  <c:v>7.2</c:v>
                </c:pt>
                <c:pt idx="99">
                  <c:v>7.2</c:v>
                </c:pt>
                <c:pt idx="100">
                  <c:v>7.2</c:v>
                </c:pt>
                <c:pt idx="101">
                  <c:v>7.2</c:v>
                </c:pt>
                <c:pt idx="102">
                  <c:v>7.2</c:v>
                </c:pt>
                <c:pt idx="103">
                  <c:v>7.2</c:v>
                </c:pt>
                <c:pt idx="104">
                  <c:v>7.2</c:v>
                </c:pt>
                <c:pt idx="105">
                  <c:v>7.2</c:v>
                </c:pt>
                <c:pt idx="106">
                  <c:v>7.2</c:v>
                </c:pt>
                <c:pt idx="107">
                  <c:v>7.2</c:v>
                </c:pt>
                <c:pt idx="108">
                  <c:v>7.2</c:v>
                </c:pt>
                <c:pt idx="109">
                  <c:v>7.2</c:v>
                </c:pt>
                <c:pt idx="110">
                  <c:v>7.2</c:v>
                </c:pt>
                <c:pt idx="111">
                  <c:v>7.2</c:v>
                </c:pt>
                <c:pt idx="112">
                  <c:v>7.2</c:v>
                </c:pt>
                <c:pt idx="113">
                  <c:v>7.2</c:v>
                </c:pt>
                <c:pt idx="114">
                  <c:v>7.2</c:v>
                </c:pt>
                <c:pt idx="115">
                  <c:v>7.2</c:v>
                </c:pt>
                <c:pt idx="116">
                  <c:v>7.2</c:v>
                </c:pt>
                <c:pt idx="117">
                  <c:v>7.2</c:v>
                </c:pt>
                <c:pt idx="118">
                  <c:v>7.2</c:v>
                </c:pt>
                <c:pt idx="119">
                  <c:v>7.2</c:v>
                </c:pt>
                <c:pt idx="120">
                  <c:v>7.2</c:v>
                </c:pt>
                <c:pt idx="121">
                  <c:v>7.2</c:v>
                </c:pt>
                <c:pt idx="122">
                  <c:v>7.2</c:v>
                </c:pt>
                <c:pt idx="123">
                  <c:v>7.2</c:v>
                </c:pt>
                <c:pt idx="124">
                  <c:v>7.2</c:v>
                </c:pt>
                <c:pt idx="125">
                  <c:v>7.2</c:v>
                </c:pt>
                <c:pt idx="126">
                  <c:v>7.2</c:v>
                </c:pt>
                <c:pt idx="127">
                  <c:v>7.2</c:v>
                </c:pt>
                <c:pt idx="128">
                  <c:v>7.2</c:v>
                </c:pt>
                <c:pt idx="129">
                  <c:v>7.2</c:v>
                </c:pt>
                <c:pt idx="130">
                  <c:v>7.2</c:v>
                </c:pt>
                <c:pt idx="131">
                  <c:v>7.2</c:v>
                </c:pt>
                <c:pt idx="132">
                  <c:v>7.2</c:v>
                </c:pt>
                <c:pt idx="133">
                  <c:v>7.2</c:v>
                </c:pt>
                <c:pt idx="134">
                  <c:v>7.2</c:v>
                </c:pt>
                <c:pt idx="140">
                  <c:v>1.8</c:v>
                </c:pt>
                <c:pt idx="141">
                  <c:v>1.8</c:v>
                </c:pt>
                <c:pt idx="142">
                  <c:v>1.8</c:v>
                </c:pt>
                <c:pt idx="143">
                  <c:v>1.8</c:v>
                </c:pt>
                <c:pt idx="144">
                  <c:v>1.8</c:v>
                </c:pt>
                <c:pt idx="145">
                  <c:v>1.8</c:v>
                </c:pt>
                <c:pt idx="146">
                  <c:v>1.8</c:v>
                </c:pt>
                <c:pt idx="147">
                  <c:v>1.8</c:v>
                </c:pt>
                <c:pt idx="148">
                  <c:v>1.8</c:v>
                </c:pt>
                <c:pt idx="149">
                  <c:v>1.8</c:v>
                </c:pt>
                <c:pt idx="150">
                  <c:v>1.8</c:v>
                </c:pt>
                <c:pt idx="151">
                  <c:v>1.8</c:v>
                </c:pt>
                <c:pt idx="152">
                  <c:v>1.8</c:v>
                </c:pt>
                <c:pt idx="153">
                  <c:v>1.8</c:v>
                </c:pt>
                <c:pt idx="154">
                  <c:v>1.8</c:v>
                </c:pt>
                <c:pt idx="155">
                  <c:v>1.8</c:v>
                </c:pt>
                <c:pt idx="156">
                  <c:v>1.8</c:v>
                </c:pt>
                <c:pt idx="157">
                  <c:v>1.8</c:v>
                </c:pt>
                <c:pt idx="158">
                  <c:v>1.8</c:v>
                </c:pt>
                <c:pt idx="159">
                  <c:v>1.8</c:v>
                </c:pt>
                <c:pt idx="160">
                  <c:v>1.8</c:v>
                </c:pt>
                <c:pt idx="161">
                  <c:v>1.8</c:v>
                </c:pt>
                <c:pt idx="162">
                  <c:v>1.8</c:v>
                </c:pt>
                <c:pt idx="163">
                  <c:v>1.8</c:v>
                </c:pt>
                <c:pt idx="164">
                  <c:v>1.8</c:v>
                </c:pt>
                <c:pt idx="165">
                  <c:v>1.8</c:v>
                </c:pt>
                <c:pt idx="166">
                  <c:v>1.8</c:v>
                </c:pt>
                <c:pt idx="167">
                  <c:v>1.8</c:v>
                </c:pt>
                <c:pt idx="168">
                  <c:v>1.8</c:v>
                </c:pt>
                <c:pt idx="169">
                  <c:v>1.8</c:v>
                </c:pt>
                <c:pt idx="170">
                  <c:v>1.8</c:v>
                </c:pt>
                <c:pt idx="171">
                  <c:v>1.8</c:v>
                </c:pt>
                <c:pt idx="172">
                  <c:v>1.8</c:v>
                </c:pt>
                <c:pt idx="173">
                  <c:v>1.8</c:v>
                </c:pt>
                <c:pt idx="174">
                  <c:v>1.8</c:v>
                </c:pt>
                <c:pt idx="175">
                  <c:v>1.8</c:v>
                </c:pt>
                <c:pt idx="176">
                  <c:v>1.8</c:v>
                </c:pt>
                <c:pt idx="177">
                  <c:v>1.8</c:v>
                </c:pt>
                <c:pt idx="178">
                  <c:v>1.8</c:v>
                </c:pt>
                <c:pt idx="184">
                  <c:v>2.8</c:v>
                </c:pt>
                <c:pt idx="185">
                  <c:v>2.8</c:v>
                </c:pt>
                <c:pt idx="186">
                  <c:v>2.8</c:v>
                </c:pt>
                <c:pt idx="187">
                  <c:v>2.8</c:v>
                </c:pt>
                <c:pt idx="188">
                  <c:v>2.8</c:v>
                </c:pt>
                <c:pt idx="189">
                  <c:v>2.8</c:v>
                </c:pt>
                <c:pt idx="190">
                  <c:v>2.8</c:v>
                </c:pt>
                <c:pt idx="191">
                  <c:v>2.8</c:v>
                </c:pt>
                <c:pt idx="192">
                  <c:v>2.8</c:v>
                </c:pt>
                <c:pt idx="193">
                  <c:v>2.8</c:v>
                </c:pt>
                <c:pt idx="194">
                  <c:v>2.8</c:v>
                </c:pt>
                <c:pt idx="195">
                  <c:v>2.8</c:v>
                </c:pt>
                <c:pt idx="196">
                  <c:v>2.8</c:v>
                </c:pt>
                <c:pt idx="197">
                  <c:v>2.8</c:v>
                </c:pt>
              </c:numCache>
            </c:numRef>
          </c:xVal>
          <c:yVal>
            <c:numRef>
              <c:f>'Мap dashboard calc'!$D$65:$D$262</c:f>
              <c:numCache>
                <c:formatCode>General</c:formatCode>
                <c:ptCount val="198"/>
                <c:pt idx="0">
                  <c:v>8.1</c:v>
                </c:pt>
                <c:pt idx="1">
                  <c:v>8.1</c:v>
                </c:pt>
                <c:pt idx="2">
                  <c:v>8.1</c:v>
                </c:pt>
                <c:pt idx="3">
                  <c:v>8.1</c:v>
                </c:pt>
                <c:pt idx="4">
                  <c:v>8.1</c:v>
                </c:pt>
                <c:pt idx="5">
                  <c:v>8.1</c:v>
                </c:pt>
                <c:pt idx="6">
                  <c:v>8.1</c:v>
                </c:pt>
                <c:pt idx="7">
                  <c:v>8.1</c:v>
                </c:pt>
                <c:pt idx="8">
                  <c:v>8.1</c:v>
                </c:pt>
                <c:pt idx="9">
                  <c:v>8.1</c:v>
                </c:pt>
                <c:pt idx="10">
                  <c:v>8.1</c:v>
                </c:pt>
                <c:pt idx="11">
                  <c:v>8.1</c:v>
                </c:pt>
                <c:pt idx="12">
                  <c:v>8.1</c:v>
                </c:pt>
                <c:pt idx="13">
                  <c:v>8.1</c:v>
                </c:pt>
                <c:pt idx="14">
                  <c:v>8.1</c:v>
                </c:pt>
                <c:pt idx="15">
                  <c:v>8.1</c:v>
                </c:pt>
                <c:pt idx="16">
                  <c:v>8.1</c:v>
                </c:pt>
                <c:pt idx="17">
                  <c:v>8.1</c:v>
                </c:pt>
                <c:pt idx="18">
                  <c:v>8.5</c:v>
                </c:pt>
                <c:pt idx="19">
                  <c:v>8.1</c:v>
                </c:pt>
                <c:pt idx="20">
                  <c:v>8.1</c:v>
                </c:pt>
                <c:pt idx="21">
                  <c:v>8.1</c:v>
                </c:pt>
                <c:pt idx="22">
                  <c:v>8.1</c:v>
                </c:pt>
                <c:pt idx="23">
                  <c:v>8.1</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8">
                  <c:v>7</c:v>
                </c:pt>
                <c:pt idx="89">
                  <c:v>7</c:v>
                </c:pt>
                <c:pt idx="90">
                  <c:v>7</c:v>
                </c:pt>
                <c:pt idx="91">
                  <c:v>7</c:v>
                </c:pt>
                <c:pt idx="92">
                  <c:v>7</c:v>
                </c:pt>
                <c:pt idx="93">
                  <c:v>7</c:v>
                </c:pt>
                <c:pt idx="94">
                  <c:v>7</c:v>
                </c:pt>
                <c:pt idx="95">
                  <c:v>7</c:v>
                </c:pt>
                <c:pt idx="96">
                  <c:v>7</c:v>
                </c:pt>
                <c:pt idx="97">
                  <c:v>7</c:v>
                </c:pt>
                <c:pt idx="98">
                  <c:v>7</c:v>
                </c:pt>
                <c:pt idx="99">
                  <c:v>7</c:v>
                </c:pt>
                <c:pt idx="100">
                  <c:v>7</c:v>
                </c:pt>
                <c:pt idx="101">
                  <c:v>7</c:v>
                </c:pt>
                <c:pt idx="102">
                  <c:v>7</c:v>
                </c:pt>
                <c:pt idx="103">
                  <c:v>7</c:v>
                </c:pt>
                <c:pt idx="104">
                  <c:v>7</c:v>
                </c:pt>
                <c:pt idx="105">
                  <c:v>7</c:v>
                </c:pt>
                <c:pt idx="106">
                  <c:v>7</c:v>
                </c:pt>
                <c:pt idx="107">
                  <c:v>7</c:v>
                </c:pt>
                <c:pt idx="108">
                  <c:v>7</c:v>
                </c:pt>
                <c:pt idx="109">
                  <c:v>7</c:v>
                </c:pt>
                <c:pt idx="110">
                  <c:v>7</c:v>
                </c:pt>
                <c:pt idx="111">
                  <c:v>7</c:v>
                </c:pt>
                <c:pt idx="112">
                  <c:v>7</c:v>
                </c:pt>
                <c:pt idx="113">
                  <c:v>7</c:v>
                </c:pt>
                <c:pt idx="114">
                  <c:v>7</c:v>
                </c:pt>
                <c:pt idx="115">
                  <c:v>7</c:v>
                </c:pt>
                <c:pt idx="116">
                  <c:v>7</c:v>
                </c:pt>
                <c:pt idx="117">
                  <c:v>7</c:v>
                </c:pt>
                <c:pt idx="118">
                  <c:v>7</c:v>
                </c:pt>
                <c:pt idx="119">
                  <c:v>7</c:v>
                </c:pt>
                <c:pt idx="120">
                  <c:v>7</c:v>
                </c:pt>
                <c:pt idx="121">
                  <c:v>7</c:v>
                </c:pt>
                <c:pt idx="122">
                  <c:v>7</c:v>
                </c:pt>
                <c:pt idx="123">
                  <c:v>7</c:v>
                </c:pt>
                <c:pt idx="124">
                  <c:v>7</c:v>
                </c:pt>
                <c:pt idx="125">
                  <c:v>7</c:v>
                </c:pt>
                <c:pt idx="126">
                  <c:v>7</c:v>
                </c:pt>
                <c:pt idx="127">
                  <c:v>7</c:v>
                </c:pt>
                <c:pt idx="128">
                  <c:v>7</c:v>
                </c:pt>
                <c:pt idx="129">
                  <c:v>7</c:v>
                </c:pt>
                <c:pt idx="130">
                  <c:v>7</c:v>
                </c:pt>
                <c:pt idx="131">
                  <c:v>7</c:v>
                </c:pt>
                <c:pt idx="132">
                  <c:v>7</c:v>
                </c:pt>
                <c:pt idx="133">
                  <c:v>7</c:v>
                </c:pt>
                <c:pt idx="134">
                  <c:v>7</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84">
                  <c:v>3.2</c:v>
                </c:pt>
                <c:pt idx="185">
                  <c:v>3.2</c:v>
                </c:pt>
                <c:pt idx="186">
                  <c:v>3.2</c:v>
                </c:pt>
                <c:pt idx="187">
                  <c:v>3.2</c:v>
                </c:pt>
                <c:pt idx="188">
                  <c:v>3.2</c:v>
                </c:pt>
                <c:pt idx="189">
                  <c:v>3.2</c:v>
                </c:pt>
                <c:pt idx="190">
                  <c:v>3.2</c:v>
                </c:pt>
                <c:pt idx="191">
                  <c:v>3.2</c:v>
                </c:pt>
                <c:pt idx="192">
                  <c:v>3.2</c:v>
                </c:pt>
                <c:pt idx="193">
                  <c:v>3.2</c:v>
                </c:pt>
                <c:pt idx="194">
                  <c:v>3.2</c:v>
                </c:pt>
                <c:pt idx="195">
                  <c:v>3.2</c:v>
                </c:pt>
                <c:pt idx="196">
                  <c:v>3.2</c:v>
                </c:pt>
                <c:pt idx="197">
                  <c:v>3.2</c:v>
                </c:pt>
              </c:numCache>
            </c:numRef>
          </c:yVal>
          <c:bubbleSize>
            <c:numRef>
              <c:f>'Мap dashboard calc'!$E$65:$E$262</c:f>
              <c:numCache>
                <c:formatCode>General</c:formatCode>
                <c:ptCount val="19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numCache>
            </c:numRef>
          </c:bubbleSize>
          <c:extLst>
            <c:ext xmlns:c16="http://schemas.microsoft.com/office/drawing/2014/chart" uri="{C3380CC4-5D6E-409C-BE32-E72D297353CC}">
              <c16:uniqueId val="{00000001-81C4-4A3D-882F-636EE0A14958}"/>
            </c:ext>
          </c:extLst>
        </c:ser>
        <c:bubbleScale val="10"/>
        <c:showNegBubbles val="0"/>
        <c:sizeRepresents val="w"/>
        <c:axId val="788015040"/>
        <c:axId val="165965536"/>
      </c:bubbleChart>
      <c:valAx>
        <c:axId val="788015040"/>
        <c:scaling>
          <c:orientation val="minMax"/>
          <c:max val="10"/>
          <c:min val="0"/>
        </c:scaling>
        <c:delete val="0"/>
        <c:axPos val="b"/>
        <c:numFmt formatCode="General" sourceLinked="1"/>
        <c:majorTickMark val="none"/>
        <c:minorTickMark val="none"/>
        <c:tickLblPos val="nextTo"/>
        <c:spPr>
          <a:noFill/>
          <a:ln w="9525" cap="flat" cmpd="sng">
            <a:solidFill>
              <a:schemeClr val="tx1">
                <a:lumMod val="25000"/>
                <a:lumOff val="75000"/>
              </a:schemeClr>
            </a:solidFill>
            <a:round/>
          </a:ln>
          <a:effectLst/>
        </c:spPr>
        <c:txPr>
          <a:bodyPr wrap="square"/>
          <a:lstStyle/>
          <a:p>
            <a:pPr>
              <a:defRPr lang="en-US" sz="900" b="0" i="0" u="none" baseline="0" kern="1200">
                <a:solidFill>
                  <a:schemeClr val="tx1">
                    <a:lumMod val="65000"/>
                    <a:lumOff val="35000"/>
                  </a:schemeClr>
                </a:solidFill>
                <a:latin typeface="+mn-lt"/>
                <a:ea typeface="+mn-ea"/>
                <a:cs typeface="+mn-cs"/>
              </a:defRPr>
            </a:pPr>
            <a:endParaRPr lang="en-US"/>
          </a:p>
        </c:txPr>
        <c:crossAx val="165965536"/>
        <c:crosses val="autoZero"/>
        <c:crossBetween val="midCat"/>
      </c:valAx>
      <c:valAx>
        <c:axId val="165965536"/>
        <c:scaling>
          <c:orientation val="minMax"/>
          <c:max val="10"/>
          <c:min val="0"/>
        </c:scaling>
        <c:delete val="0"/>
        <c:axPos val="l"/>
        <c:numFmt formatCode="General" sourceLinked="1"/>
        <c:majorTickMark val="none"/>
        <c:minorTickMark val="none"/>
        <c:tickLblPos val="nextTo"/>
        <c:spPr>
          <a:noFill/>
          <a:ln w="9525" cap="flat" cmpd="sng">
            <a:solidFill>
              <a:schemeClr val="tx1">
                <a:lumMod val="25000"/>
                <a:lumOff val="75000"/>
              </a:schemeClr>
            </a:solidFill>
            <a:round/>
          </a:ln>
          <a:effectLst/>
        </c:spPr>
        <c:txPr>
          <a:bodyPr wrap="square"/>
          <a:lstStyle/>
          <a:p>
            <a:pPr>
              <a:defRPr lang="en-US" sz="900" b="0" i="0" u="none" baseline="0" kern="1200">
                <a:solidFill>
                  <a:schemeClr val="tx1">
                    <a:lumMod val="65000"/>
                    <a:lumOff val="35000"/>
                  </a:schemeClr>
                </a:solidFill>
                <a:latin typeface="+mn-lt"/>
                <a:ea typeface="+mn-ea"/>
                <a:cs typeface="+mn-cs"/>
              </a:defRPr>
            </a:pPr>
            <a:endParaRPr lang="en-US"/>
          </a:p>
        </c:txPr>
        <c:crossAx val="788015040"/>
        <c:crosses val="autoZero"/>
        <c:crossBetween val="midCat"/>
      </c:valAx>
      <c:spPr>
        <a:blipFill>
          <a:blip r:embed="rId1">
            <a:alphaModFix amt="55000"/>
          </a:blip>
          <a:srcRect/>
          <a:stretch>
            <a:fillRect/>
          </a:stretch>
        </a:blipFill>
        <a:ln w="952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solidFill>
        <a:schemeClr val="tx1">
          <a:lumMod val="15000"/>
          <a:lumOff val="85000"/>
        </a:schemeClr>
      </a:solidFill>
      <a:round/>
    </a:ln>
    <a:effectLst/>
  </c:spPr>
</c:chartSpace>
</file>

<file path=xl/charts/colors5.xml><?xml version="1.0" encoding="utf-8"?>
<cs:colorStyle xmlns:cs="http://schemas.microsoft.com/office/drawing/2012/chartStyle" xmlns:a="http://schemas.openxmlformats.org/drawingml/2006/main" meth="withinLinearReversed" id="22">
  <a:schemeClr val="accent2"/>
</cs:color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Relationships xmlns="http://schemas.openxmlformats.org/package/2006/relationships"><Relationship Id="rId1" Type="http://schemas.openxmlformats.org/officeDocument/2006/relationships/chart" Target="../charts/chart1.xml" /><Relationship Id="rId2" Type="http://schemas.openxmlformats.org/officeDocument/2006/relationships/chart" Target="../charts/chart2.xml" /><Relationship Id="rId3" Type="http://schemas.openxmlformats.org/officeDocument/2006/relationships/chart" Target="../charts/chart3.xml" /><Relationship Id="rId4" Type="http://schemas.openxmlformats.org/officeDocument/2006/relationships/image" Target="../media/image2.emf" /><Relationship Id="rId5" Type="http://schemas.openxmlformats.org/officeDocument/2006/relationships/chart" Target="../charts/chart4.xml" /><Relationship Id="rId6" Type="http://schemas.openxmlformats.org/officeDocument/2006/relationships/image" Target="../media/image1.jpeg" /><Relationship Id="rId7" Type="http://schemas.microsoft.com/office/2014/relationships/chartEx" Target="../charts/chart5.xml" /><Relationship Id="rId8" Type="http://schemas.openxmlformats.org/officeDocument/2006/relationships/image" Target="../media/image3.emf" /></Relationships>
</file>

<file path=xl/drawings/_rels/drawing4.xml.rels><?xml version="1.0" encoding="UTF-8" standalone="yes"?><Relationships xmlns="http://schemas.openxmlformats.org/package/2006/relationships"><Relationship Id="rId1" Type="http://schemas.openxmlformats.org/officeDocument/2006/relationships/image" Target="../media/image11.emf" /><Relationship Id="rId2" Type="http://schemas.openxmlformats.org/officeDocument/2006/relationships/chart" Target="../charts/chart6.xml" /><Relationship Id="rId3" Type="http://schemas.openxmlformats.org/officeDocument/2006/relationships/image" Target="../media/image12.emf" /><Relationship Id="rId4" Type="http://schemas.openxmlformats.org/officeDocument/2006/relationships/chart" Target="../charts/chart7.xml" /><Relationship Id="rId5" Type="http://schemas.openxmlformats.org/officeDocument/2006/relationships/chart" Target="../charts/chart8.xml" /><Relationship Id="rId6" Type="http://schemas.openxmlformats.org/officeDocument/2006/relationships/image" Target="../media/image1.jpeg" /></Relationships>
</file>

<file path=xl/drawings/_rels/drawing5.xml.rels><?xml version="1.0" encoding="UTF-8" standalone="yes"?><Relationships xmlns="http://schemas.openxmlformats.org/package/2006/relationships"><Relationship Id="rId1" Type="http://schemas.openxmlformats.org/officeDocument/2006/relationships/image" Target="../media/image1.jpeg" /></Relationships>
</file>

<file path=xl/drawings/_rels/drawing6.xml.rels><?xml version="1.0" encoding="UTF-8" standalone="yes"?><Relationships xmlns="http://schemas.openxmlformats.org/package/2006/relationships"><Relationship Id="rId1" Type="http://schemas.openxmlformats.org/officeDocument/2006/relationships/image" Target="../media/image1.jpeg" /></Relationships>
</file>

<file path=xl/drawings/_rels/drawing7.xml.rels><?xml version="1.0" encoding="UTF-8" standalone="yes"?><Relationships xmlns="http://schemas.openxmlformats.org/package/2006/relationships"><Relationship Id="rId1" Type="http://schemas.openxmlformats.org/officeDocument/2006/relationships/image" Target="../media/image1.jpeg" /></Relationships>
</file>

<file path=xl/drawings/_rels/drawing8.xml.rels><?xml version="1.0" encoding="UTF-8" standalone="yes"?><Relationships xmlns="http://schemas.openxmlformats.org/package/2006/relationships"><Relationship Id="rId1" Type="http://schemas.openxmlformats.org/officeDocument/2006/relationships/image" Target="../media/image1.jpeg" /></Relationships>
</file>

<file path=xl/drawings/_rels/drawing9.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0.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1.xml.rels><?xml version="1.0" encoding="UTF-8" standalone="yes"?><Relationships xmlns="http://schemas.openxmlformats.org/package/2006/relationships"><Relationship Id="rId1" Type="http://schemas.openxmlformats.org/officeDocument/2006/relationships/chart" Target="../charts/chart9.xml" /><Relationship Id="rId2" Type="http://schemas.openxmlformats.org/officeDocument/2006/relationships/image" Target="../media/image1.jpeg" /></Relationships>
</file>

<file path=xl/drawings/_rels/drawing12.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3.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4.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5.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6.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7.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8.xml.rels><?xml version="1.0" encoding="UTF-8" standalone="yes"?><Relationships xmlns="http://schemas.openxmlformats.org/package/2006/relationships"><Relationship Id="rId1" Type="http://schemas.openxmlformats.org/officeDocument/2006/relationships/image" Target="../media/image1.jpeg" /></Relationships>
</file>

<file path=xl/drawings/_rels/drawing19.xml.rels><?xml version="1.0" encoding="UTF-8" standalone="yes"?><Relationships xmlns="http://schemas.openxmlformats.org/package/2006/relationships"><Relationship Id="rId1" Type="http://schemas.openxmlformats.org/officeDocument/2006/relationships/image" Target="../media/image1.jpeg" /></Relationships>
</file>

<file path=xl/drawings/_rels/drawing20.xml.rels><?xml version="1.0" encoding="UTF-8" standalone="yes"?><Relationships xmlns="http://schemas.openxmlformats.org/package/2006/relationships"><Relationship Id="rId1" Type="http://schemas.openxmlformats.org/officeDocument/2006/relationships/image" Target="../media/image1.jpeg" /></Relationships>
</file>

<file path=xl/drawings/_rels/drawing21.xml.rels><?xml version="1.0" encoding="UTF-8" standalone="yes"?><Relationships xmlns="http://schemas.openxmlformats.org/package/2006/relationships"><Relationship Id="rId1" Type="http://schemas.openxmlformats.org/officeDocument/2006/relationships/image" Target="../media/image1.jpeg" /></Relationships>
</file>

<file path=xl/drawings/_rels/drawing22.xml.rels><?xml version="1.0" encoding="UTF-8" standalone="yes"?><Relationships xmlns="http://schemas.openxmlformats.org/package/2006/relationships"><Relationship Id="rId1" Type="http://schemas.openxmlformats.org/officeDocument/2006/relationships/image" Target="../media/image1.jpeg" /></Relationships>
</file>

<file path=xl/drawings/_rels/drawing23.xml.rels><?xml version="1.0" encoding="UTF-8" standalone="yes"?><Relationships xmlns="http://schemas.openxmlformats.org/package/2006/relationships"><Relationship Id="rId1" Type="http://schemas.openxmlformats.org/officeDocument/2006/relationships/image" Target="../media/image1.jpeg" /></Relationships>
</file>

<file path=xl/drawings/_rels/drawing24.xml.rels><?xml version="1.0" encoding="UTF-8" standalone="yes"?><Relationships xmlns="http://schemas.openxmlformats.org/package/2006/relationships"><Relationship Id="rId1" Type="http://schemas.openxmlformats.org/officeDocument/2006/relationships/image" Target="../media/image1.jpeg" /></Relationships>
</file>

<file path=xl/drawings/_rels/drawing25.xml.rels><?xml version="1.0" encoding="UTF-8" standalone="yes"?><Relationships xmlns="http://schemas.openxmlformats.org/package/2006/relationships"><Relationship Id="rId1" Type="http://schemas.openxmlformats.org/officeDocument/2006/relationships/image" Target="../media/image1.jpeg" /></Relationships>
</file>

<file path=xl/drawings/_rels/drawing26.xml.rels><?xml version="1.0" encoding="UTF-8" standalone="yes"?><Relationships xmlns="http://schemas.openxmlformats.org/package/2006/relationships"><Relationship Id="rId1" Type="http://schemas.openxmlformats.org/officeDocument/2006/relationships/image" Target="../media/image1.jpeg" /></Relationships>
</file>

<file path=xl/drawings/_rels/drawing27.xml.rels><?xml version="1.0" encoding="UTF-8" standalone="yes"?><Relationships xmlns="http://schemas.openxmlformats.org/package/2006/relationships"><Relationship Id="rId1" Type="http://schemas.openxmlformats.org/officeDocument/2006/relationships/image" Target="../media/image1.jpeg" /></Relationships>
</file>

<file path=xl/drawings/_rels/drawing28.xml.rels><?xml version="1.0" encoding="UTF-8" standalone="yes"?><Relationships xmlns="http://schemas.openxmlformats.org/package/2006/relationships"><Relationship Id="rId1" Type="http://schemas.openxmlformats.org/officeDocument/2006/relationships/image" Target="../media/image3.png" /><Relationship Id="rId2" Type="http://schemas.openxmlformats.org/officeDocument/2006/relationships/image" Target="../media/image1.tif" /></Relationships>
</file>

<file path=xl/drawings/_rels/drawing29.xml.rels><?xml version="1.0" encoding="UTF-8" standalone="yes"?><Relationships xmlns="http://schemas.openxmlformats.org/package/2006/relationships"><Relationship Id="rId1" Type="http://schemas.openxmlformats.org/officeDocument/2006/relationships/image" Target="../media/image3.png" /><Relationship Id="rId2" Type="http://schemas.openxmlformats.org/officeDocument/2006/relationships/image" Target="../media/image1.tif" /><Relationship Id="rId3" Type="http://schemas.openxmlformats.org/officeDocument/2006/relationships/image" Target="../media/image4.png" /><Relationship Id="rId4" Type="http://schemas.openxmlformats.org/officeDocument/2006/relationships/image" Target="../media/image2.tif" /></Relationships>
</file>

<file path=xl/drawings/_rels/drawing30.xml.rels><?xml version="1.0" encoding="UTF-8" standalone="yes"?><Relationships xmlns="http://schemas.openxmlformats.org/package/2006/relationships"><Relationship Id="rId1" Type="http://schemas.openxmlformats.org/officeDocument/2006/relationships/image" Target="../media/image1.jpeg" /></Relationships>
</file>

<file path=xl/drawings/_rels/vmlDrawing1.vml.rels><?xml version="1.0" encoding="UTF-8" standalone="yes"?><Relationships xmlns="http://schemas.openxmlformats.org/package/2006/relationships"><Relationship Id="rId1" Type="http://schemas.openxmlformats.org/officeDocument/2006/relationships/image" Target="../media/image2.emf" /><Relationship Id="rId2" Type="http://schemas.openxmlformats.org/officeDocument/2006/relationships/image" Target="../media/image3.emf" /></Relationships>
</file>

<file path=xl/drawings/_rels/vmlDrawing2.vml.rels><?xml version="1.0" encoding="UTF-8" standalone="yes"?><Relationships xmlns="http://schemas.openxmlformats.org/package/2006/relationships"><Relationship Id="rId1" Type="http://schemas.openxmlformats.org/officeDocument/2006/relationships/image" Target="../media/image11.emf" /><Relationship Id="rId2" Type="http://schemas.openxmlformats.org/officeDocument/2006/relationships/image" Target="../media/image12.emf"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22</xdr:col>
      <xdr:colOff>194844</xdr:colOff>
      <xdr:row>4</xdr:row>
      <xdr:rowOff>6806</xdr:rowOff>
    </xdr:from>
    <xdr:to>
      <xdr:col>30</xdr:col>
      <xdr:colOff>378620</xdr:colOff>
      <xdr:row>19</xdr:row>
      <xdr:rowOff>927</xdr:rowOff>
    </xdr:to>
    <xdr:graphicFrame>
      <xdr:nvGraphicFramePr>
        <xdr:cNvPr id="2" name="Controls Failed Circle">
          <a:extLst>
            <a:ext uri="{FF2B5EF4-FFF2-40B4-BE49-F238E27FC236}">
              <a16:creationId xmlns:a16="http://schemas.microsoft.com/office/drawing/2014/main" id="{8073450f-54cf-49ba-a4cf-f3a4665a8428}"/>
            </a:ext>
          </a:extLst>
        </xdr:cNvPr>
        <xdr:cNvGraphicFramePr/>
      </xdr:nvGraphicFramePr>
      <xdr:xfrm>
        <a:off x="9667875" y="1095375"/>
        <a:ext cx="3505200" cy="3076575"/>
      </xdr:xfrm>
      <a:graphic>
        <a:graphicData uri="http://schemas.openxmlformats.org/drawingml/2006/chart">
          <c:chart xmlns:c="http://schemas.openxmlformats.org/drawingml/2006/chart" r:id="rId1"/>
        </a:graphicData>
      </a:graphic>
    </xdr:graphicFrame>
    <xdr:clientData/>
  </xdr:twoCellAnchor>
  <xdr:twoCellAnchor editAs="oneCell">
    <xdr:from>
      <xdr:col>14</xdr:col>
      <xdr:colOff>202210</xdr:colOff>
      <xdr:row>2</xdr:row>
      <xdr:rowOff>165990</xdr:rowOff>
    </xdr:from>
    <xdr:to>
      <xdr:col>24</xdr:col>
      <xdr:colOff>47045</xdr:colOff>
      <xdr:row>18</xdr:row>
      <xdr:rowOff>54429</xdr:rowOff>
    </xdr:to>
    <xdr:graphicFrame>
      <xdr:nvGraphicFramePr>
        <xdr:cNvPr id="3" name="Controls Warning Circle">
          <a:extLst>
            <a:ext uri="{FF2B5EF4-FFF2-40B4-BE49-F238E27FC236}">
              <a16:creationId xmlns:a16="http://schemas.microsoft.com/office/drawing/2014/main" id="{c18da560-f9e2-4d54-bef1-4a2e4039d08b}"/>
            </a:ext>
          </a:extLst>
        </xdr:cNvPr>
        <xdr:cNvGraphicFramePr/>
      </xdr:nvGraphicFramePr>
      <xdr:xfrm>
        <a:off x="6429375" y="895350"/>
        <a:ext cx="3695700" cy="3086100"/>
      </xdr:xfrm>
      <a:graphic>
        <a:graphicData uri="http://schemas.openxmlformats.org/drawingml/2006/chart">
          <c:chart xmlns:c="http://schemas.openxmlformats.org/drawingml/2006/chart" r:id="rId2"/>
        </a:graphicData>
      </a:graphic>
    </xdr:graphicFrame>
    <xdr:clientData/>
  </xdr:twoCellAnchor>
  <xdr:twoCellAnchor editAs="oneCell">
    <xdr:from>
      <xdr:col>8</xdr:col>
      <xdr:colOff>17723</xdr:colOff>
      <xdr:row>3</xdr:row>
      <xdr:rowOff>99786</xdr:rowOff>
    </xdr:from>
    <xdr:to>
      <xdr:col>14</xdr:col>
      <xdr:colOff>495672</xdr:colOff>
      <xdr:row>18</xdr:row>
      <xdr:rowOff>160631</xdr:rowOff>
    </xdr:to>
    <xdr:graphicFrame>
      <xdr:nvGraphicFramePr>
        <xdr:cNvPr id="4" name="Controls Passed Circle">
          <a:extLst>
            <a:ext uri="{FF2B5EF4-FFF2-40B4-BE49-F238E27FC236}">
              <a16:creationId xmlns:a16="http://schemas.microsoft.com/office/drawing/2014/main" id="{c08a2c6a-e47f-48c1-a191-2adaff034130}"/>
            </a:ext>
          </a:extLst>
        </xdr:cNvPr>
        <xdr:cNvGraphicFramePr/>
      </xdr:nvGraphicFramePr>
      <xdr:xfrm>
        <a:off x="2990850" y="990600"/>
        <a:ext cx="3733800" cy="3086100"/>
      </xdr:xfrm>
      <a:graphic>
        <a:graphicData uri="http://schemas.openxmlformats.org/drawingml/2006/chart">
          <c:chart xmlns:c="http://schemas.openxmlformats.org/drawingml/2006/chart" r:id="rId3"/>
        </a:graphicData>
      </a:graphic>
    </xdr:graphicFrame>
    <xdr:clientData/>
  </xdr:twoCellAnchor>
  <xdr:twoCellAnchor>
    <xdr:from>
      <xdr:col>1</xdr:col>
      <xdr:colOff>27214</xdr:colOff>
      <xdr:row>65</xdr:row>
      <xdr:rowOff>9071</xdr:rowOff>
    </xdr:from>
    <xdr:to>
      <xdr:col>35</xdr:col>
      <xdr:colOff>281214</xdr:colOff>
      <xdr:row>86</xdr:row>
      <xdr:rowOff>0</xdr:rowOff>
    </xdr:to>
    <xdr:cxnSp>
      <xdr:nvCxnSpPr>
        <xdr:cNvPr id="5" name="Connector: Elbow 35">
          <a:extLst>
            <a:ext uri="{FF2B5EF4-FFF2-40B4-BE49-F238E27FC236}">
              <a16:creationId xmlns:a16="http://schemas.microsoft.com/office/drawing/2014/main" id="{0139debc-c1e1-40b6-b252-f16d929c8e8f}"/>
            </a:ext>
          </a:extLst>
        </xdr:cNvPr>
        <xdr:cNvCxnSpPr/>
      </xdr:nvCxnSpPr>
      <xdr:spPr>
        <a:xfrm flipV="1">
          <a:off x="476250" y="12801600"/>
          <a:ext cx="15525750" cy="3476625"/>
        </a:xfrm>
        <a:prstGeom prst="bentConnector3">
          <a:avLst>
            <a:gd name="adj1" fmla="val 100056"/>
          </a:avLst>
        </a:prstGeom>
        <a:ln>
          <a:solidFill>
            <a:srgbClr val="A6A6A6">
              <a:lumMod val="65000"/>
            </a:srgbClr>
          </a:solidFill>
        </a:ln>
        <a:effectLst>
          <a:outerShdw blurRad="50800" dist="38100" dir="2700000" algn="tl" rotWithShape="0">
            <a:prstClr val="black">
              <a:alpha val="40000"/>
            </a:prstClr>
          </a:outerShdw>
        </a:effectLst>
      </xdr:spPr>
      <xdr:style>
        <a:lnRef idx="1">
          <a:schemeClr val="tx1"/>
        </a:lnRef>
        <a:fillRef idx="0">
          <a:schemeClr val="tx1"/>
        </a:fillRef>
        <a:effectRef idx="0">
          <a:schemeClr val="tx1"/>
        </a:effectRef>
        <a:fontRef idx="minor">
          <a:schemeClr val="tx1"/>
        </a:fontRef>
      </xdr:style>
    </xdr:cxnSp>
    <xdr:clientData/>
  </xdr:twoCellAnchor>
  <xdr:twoCellAnchor>
    <xdr:from>
      <xdr:col>1</xdr:col>
      <xdr:colOff>34473</xdr:colOff>
      <xdr:row>42</xdr:row>
      <xdr:rowOff>9071</xdr:rowOff>
    </xdr:from>
    <xdr:to>
      <xdr:col>36</xdr:col>
      <xdr:colOff>0</xdr:colOff>
      <xdr:row>63</xdr:row>
      <xdr:rowOff>215910</xdr:rowOff>
    </xdr:to>
    <xdr:cxnSp>
      <xdr:nvCxnSpPr>
        <xdr:cNvPr id="6" name="Connector: Elbow 39">
          <a:extLst>
            <a:ext uri="{FF2B5EF4-FFF2-40B4-BE49-F238E27FC236}">
              <a16:creationId xmlns:a16="http://schemas.microsoft.com/office/drawing/2014/main" id="{a4f9c1e8-7e4b-499e-bf7d-640fe68a12cb}"/>
            </a:ext>
          </a:extLst>
        </xdr:cNvPr>
        <xdr:cNvCxnSpPr/>
      </xdr:nvCxnSpPr>
      <xdr:spPr>
        <a:xfrm flipV="1">
          <a:off x="485775" y="7639050"/>
          <a:ext cx="15516225" cy="4972050"/>
        </a:xfrm>
        <a:prstGeom prst="bentConnector3">
          <a:avLst>
            <a:gd name="adj1" fmla="val 99994"/>
          </a:avLst>
        </a:prstGeom>
        <a:ln>
          <a:solidFill>
            <a:srgbClr val="A6A6A6">
              <a:lumMod val="65000"/>
            </a:srgbClr>
          </a:solidFill>
        </a:ln>
        <a:effectLst>
          <a:outerShdw blurRad="50800" dist="38100" dir="2700000" algn="tl" rotWithShape="0">
            <a:prstClr val="black">
              <a:alpha val="40000"/>
            </a:prstClr>
          </a:outerShdw>
        </a:effectLst>
      </xdr:spPr>
      <xdr:style>
        <a:lnRef idx="1">
          <a:schemeClr val="tx1"/>
        </a:lnRef>
        <a:fillRef idx="0">
          <a:schemeClr val="tx1"/>
        </a:fillRef>
        <a:effectRef idx="0">
          <a:schemeClr val="tx1"/>
        </a:effectRef>
        <a:fontRef idx="minor">
          <a:schemeClr val="tx1"/>
        </a:fontRef>
      </xdr:style>
    </xdr:cxnSp>
    <xdr:clientData/>
  </xdr:twoCellAnchor>
  <xdr:twoCellAnchor>
    <xdr:from>
      <xdr:col>1</xdr:col>
      <xdr:colOff>119062</xdr:colOff>
      <xdr:row>2</xdr:row>
      <xdr:rowOff>0</xdr:rowOff>
    </xdr:from>
    <xdr:to>
      <xdr:col>35</xdr:col>
      <xdr:colOff>263071</xdr:colOff>
      <xdr:row>18</xdr:row>
      <xdr:rowOff>11906</xdr:rowOff>
    </xdr:to>
    <xdr:cxnSp>
      <xdr:nvCxnSpPr>
        <xdr:cNvPr id="7" name="Connector: Elbow 42">
          <a:extLst>
            <a:ext uri="{FF2B5EF4-FFF2-40B4-BE49-F238E27FC236}">
              <a16:creationId xmlns:a16="http://schemas.microsoft.com/office/drawing/2014/main" id="{000c8693-3391-4543-ab68-f42c457e2aca}"/>
            </a:ext>
          </a:extLst>
        </xdr:cNvPr>
        <xdr:cNvCxnSpPr/>
      </xdr:nvCxnSpPr>
      <xdr:spPr>
        <a:xfrm flipV="1">
          <a:off x="561975" y="733425"/>
          <a:ext cx="15420975" cy="3200400"/>
        </a:xfrm>
        <a:prstGeom prst="bentConnector3">
          <a:avLst>
            <a:gd name="adj1" fmla="val 100035"/>
          </a:avLst>
        </a:prstGeom>
        <a:ln>
          <a:solidFill>
            <a:srgbClr val="A6A6A6">
              <a:lumMod val="65000"/>
            </a:srgbClr>
          </a:solidFill>
        </a:ln>
        <a:effectLst>
          <a:outerShdw blurRad="50800" dist="38100" dir="2700000" algn="tl" rotWithShape="0">
            <a:prstClr val="black">
              <a:alpha val="40000"/>
            </a:prstClr>
          </a:outerShdw>
        </a:effectLst>
      </xdr:spPr>
      <xdr:style>
        <a:lnRef idx="1">
          <a:schemeClr val="tx1"/>
        </a:lnRef>
        <a:fillRef idx="0">
          <a:schemeClr val="tx1"/>
        </a:fillRef>
        <a:effectRef idx="0">
          <a:schemeClr val="tx1"/>
        </a:effectRef>
        <a:fontRef idx="minor">
          <a:schemeClr val="tx1"/>
        </a:fontRef>
      </xdr:style>
    </xdr:cxnSp>
    <xdr:clientData/>
  </xdr:twoCellAnchor>
  <xdr:twoCellAnchor>
    <xdr:from>
      <xdr:col>1</xdr:col>
      <xdr:colOff>34473</xdr:colOff>
      <xdr:row>19</xdr:row>
      <xdr:rowOff>0</xdr:rowOff>
    </xdr:from>
    <xdr:to>
      <xdr:col>35</xdr:col>
      <xdr:colOff>272143</xdr:colOff>
      <xdr:row>40</xdr:row>
      <xdr:rowOff>215928</xdr:rowOff>
    </xdr:to>
    <xdr:cxnSp>
      <xdr:nvCxnSpPr>
        <xdr:cNvPr id="9" name="Connector: Elbow 63">
          <a:extLst>
            <a:ext uri="{FF2B5EF4-FFF2-40B4-BE49-F238E27FC236}">
              <a16:creationId xmlns:a16="http://schemas.microsoft.com/office/drawing/2014/main" id="{4ab45629-2042-43c2-99ee-5be0d1dea5e5}"/>
            </a:ext>
          </a:extLst>
        </xdr:cNvPr>
        <xdr:cNvCxnSpPr/>
      </xdr:nvCxnSpPr>
      <xdr:spPr>
        <a:xfrm flipV="1">
          <a:off x="485775" y="4171950"/>
          <a:ext cx="15516225" cy="3276600"/>
        </a:xfrm>
        <a:prstGeom prst="bentConnector3">
          <a:avLst>
            <a:gd name="adj1" fmla="val 100216"/>
          </a:avLst>
        </a:prstGeom>
        <a:ln>
          <a:solidFill>
            <a:srgbClr val="A6A6A6">
              <a:lumMod val="65000"/>
            </a:srgbClr>
          </a:solidFill>
        </a:ln>
        <a:effectLst>
          <a:outerShdw blurRad="50800" dist="38100" dir="2700000" algn="tl" rotWithShape="0">
            <a:prstClr val="black">
              <a:alpha val="40000"/>
            </a:prstClr>
          </a:outerShdw>
        </a:effectLst>
      </xdr:spPr>
      <xdr:style>
        <a:lnRef idx="1">
          <a:schemeClr val="tx1"/>
        </a:lnRef>
        <a:fillRef idx="0">
          <a:schemeClr val="tx1"/>
        </a:fillRef>
        <a:effectRef idx="0">
          <a:schemeClr val="tx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6</xdr:col>
          <xdr:colOff>68261</xdr:colOff>
          <xdr:row>23</xdr:row>
          <xdr:rowOff>107156</xdr:rowOff>
        </xdr:from>
        <xdr:to>
          <xdr:col>12</xdr:col>
          <xdr:colOff>190500</xdr:colOff>
          <xdr:row>39</xdr:row>
          <xdr:rowOff>21431</xdr:rowOff>
        </xdr:to>
        <xdr:pic>
          <xdr:nvPicPr>
            <xdr:cNvPr id="3082" name="Picture 58">
              <a:extLst>
                <a:ext uri="{63B3BB69-23CF-44E3-9099-C40C66FF867C}">
                  <a14:compatExt spid="_x0000_s3159"/>
                </a:ext>
                <a:ext uri="{FF2B5EF4-FFF2-40B4-BE49-F238E27FC236}">
                  <a16:creationId xmlns:a16="http://schemas.microsoft.com/office/drawing/2014/main" id="{c58bd801-dfb4-4da4-ac24-8a0b1e00766c}"/>
                </a:ext>
              </a:extLst>
            </xdr:cNvPr>
            <xdr:cNvPicPr>
              <a:picLocks noChangeArrowheads="1" noChangeAspect="1"/>
              <a:extLst>
                <a:ext uri="{84589F7E-364E-4C9E-8A38-B11213B215E9}">
                  <a14:cameraTool cellRange="Picture_expiry" spid="_x0000_s3159"/>
                </a:ext>
              </a:extLst>
            </xdr:cNvPicPr>
          </xdr:nvPicPr>
          <xdr:blipFill>
            <a:blip r:embed="rId4"/>
            <a:stretch>
              <a:fillRect/>
            </a:stretch>
          </xdr:blipFill>
          <xdr:spPr>
            <a:xfrm>
              <a:off x="1419225" y="4895850"/>
              <a:ext cx="4324350" cy="2247900"/>
            </a:xfrm>
            <a:prstGeom prst="rect"/>
            <a:noFill/>
          </xdr:spPr>
        </xdr:pic>
        <xdr:clientData/>
      </xdr:twoCellAnchor>
    </mc:Choice>
    <mc:Fallback/>
  </mc:AlternateContent>
  <xdr:twoCellAnchor editAs="absolute">
    <xdr:from>
      <xdr:col>10</xdr:col>
      <xdr:colOff>70527</xdr:colOff>
      <xdr:row>90</xdr:row>
      <xdr:rowOff>40029</xdr:rowOff>
    </xdr:from>
    <xdr:to>
      <xdr:col>30</xdr:col>
      <xdr:colOff>23812</xdr:colOff>
      <xdr:row>105</xdr:row>
      <xdr:rowOff>47625</xdr:rowOff>
    </xdr:to>
    <xdr:graphicFrame>
      <xdr:nvGraphicFramePr>
        <xdr:cNvPr id="11" name="Chart 2">
          <a:extLst>
            <a:ext uri="{FF2B5EF4-FFF2-40B4-BE49-F238E27FC236}">
              <a16:creationId xmlns:a16="http://schemas.microsoft.com/office/drawing/2014/main" id="{f167dafe-ed97-42bb-bcfc-765c074c68a8}"/>
            </a:ext>
          </a:extLst>
        </xdr:cNvPr>
        <xdr:cNvGraphicFramePr/>
      </xdr:nvGraphicFramePr>
      <xdr:xfrm>
        <a:off x="4400550" y="17059275"/>
        <a:ext cx="8420100" cy="4010025"/>
      </xdr:xfrm>
      <a:graphic>
        <a:graphicData uri="http://schemas.openxmlformats.org/drawingml/2006/chart">
          <c:chart xmlns:c="http://schemas.openxmlformats.org/drawingml/2006/chart" r:id="rId5"/>
        </a:graphicData>
      </a:graphic>
    </xdr:graphicFrame>
    <xdr:clientData/>
  </xdr:twoCellAnchor>
  <xdr:twoCellAnchor editAs="oneCell">
    <xdr:from>
      <xdr:col>0</xdr:col>
      <xdr:colOff>0</xdr:colOff>
      <xdr:row>0</xdr:row>
      <xdr:rowOff>0</xdr:rowOff>
    </xdr:from>
    <xdr:to>
      <xdr:col>36</xdr:col>
      <xdr:colOff>47625</xdr:colOff>
      <xdr:row>1</xdr:row>
      <xdr:rowOff>0</xdr:rowOff>
    </xdr:to>
    <xdr:pic>
      <xdr:nvPicPr>
        <xdr:cNvPr id="3084" name="eFrame Top Banner">
          <a:extLst>
            <a:ext uri="{FF2B5EF4-FFF2-40B4-BE49-F238E27FC236}">
              <a16:creationId xmlns:a16="http://schemas.microsoft.com/office/drawing/2014/main" id="{e7ab0053-6d74-4aef-8261-4727224ce1b1}"/>
            </a:ext>
          </a:extLst>
        </xdr:cNvPr>
        <xdr:cNvPicPr>
          <a:picLocks noChangeAspect="1"/>
        </xdr:cNvPicPr>
      </xdr:nvPicPr>
      <xdr:blipFill>
        <a:blip r:embed="rId6"/>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53</xdr:col>
      <xdr:colOff>333375</xdr:colOff>
      <xdr:row>0</xdr:row>
      <xdr:rowOff>495300</xdr:rowOff>
    </xdr:to>
    <xdr:sp>
      <xdr:nvSpPr>
        <xdr:cNvPr id="3085" name="TextBox 13">
          <a:extLst>
            <a:ext uri="{FF2B5EF4-FFF2-40B4-BE49-F238E27FC236}">
              <a16:creationId xmlns:a16="http://schemas.microsoft.com/office/drawing/2014/main" id="{2e0c0148-cf44-4114-a383-560f17759561}"/>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defRPr lang="en-US" sz="1600" u="none" b="1" baseline="0">
              <a:solidFill>
                <a:schemeClr val="bg1"/>
              </a:solidFill>
              <a:latin typeface="Arial"/>
              <a:ea typeface="Arial"/>
              <a:cs typeface="Arial"/>
            </a:defRPr>
          </a:pPr>
        </a:p>
      </xdr:txBody>
    </xdr:sp>
    <xdr:clientData/>
  </xdr:twoCellAnchor>
  <xdr:twoCellAnchor>
    <xdr:from>
      <xdr:col>4</xdr:col>
      <xdr:colOff>190501</xdr:colOff>
      <xdr:row>44</xdr:row>
      <xdr:rowOff>95250</xdr:rowOff>
    </xdr:from>
    <xdr:to>
      <xdr:col>33</xdr:col>
      <xdr:colOff>378166</xdr:colOff>
      <xdr:row>62</xdr:row>
      <xdr:rowOff>2267</xdr:rowOff>
    </xdr:to>
    <mc:AlternateContent xmlns:mc="http://schemas.openxmlformats.org/markup-compatibility/2006">
      <mc:Choice xmlns:cx1="http://schemas.microsoft.com/office/drawing/2015/9/8/chartex" Requires="cx1">
        <xdr:graphicFrame>
          <xdr:nvGraphicFramePr>
            <xdr:cNvPr id="10" name="Chart 9">
              <a:extLst>
                <a:ext uri="{FF2B5EF4-FFF2-40B4-BE49-F238E27FC236}">
                  <a16:creationId xmlns:a16="http://schemas.microsoft.com/office/drawing/2014/main" id="{53f9c8a8-934e-4ca2-903d-2867089bef5f}"/>
                </a:ext>
              </a:extLst>
            </xdr:cNvPr>
            <xdr:cNvGraphicFramePr/>
          </xdr:nvGraphicFramePr>
          <xdr:xfrm>
            <a:off x="1247775" y="8143875"/>
            <a:ext cx="14392275" cy="4000500"/>
          </xdr:xfrm>
          <a:graphic>
            <a:graphicData uri="http://schemas.microsoft.com/office/drawing/2014/chartex">
              <cx:chart xmlns:cx="http://schemas.microsoft.com/office/drawing/2014/chartex" r:id="rId7"/>
            </a:graphicData>
          </a:graphic>
        </xdr:graphicFrame>
      </mc:Choice>
      <mc:Fallback>
        <xdr:sp macro="" textlink="">
          <xdr:nvSpPr>
            <xdr:cNvPr id="10" name="Chart 9"/>
            <xdr:cNvSpPr>
              <a:spLocks noTextEdit="1"/>
            </xdr:cNvSpPr>
          </xdr:nvSpPr>
          <xdr:spPr>
            <xdr:xfrm>
              <a:off x="1247775" y="8143875"/>
              <a:ext cx="14392275" cy="4000500"/>
            </xdr: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12</xdr:col>
          <xdr:colOff>107156</xdr:colOff>
          <xdr:row>25</xdr:row>
          <xdr:rowOff>169070</xdr:rowOff>
        </xdr:from>
        <xdr:to>
          <xdr:col>31</xdr:col>
          <xdr:colOff>452438</xdr:colOff>
          <xdr:row>34</xdr:row>
          <xdr:rowOff>190501</xdr:rowOff>
        </xdr:to>
        <xdr:pic>
          <xdr:nvPicPr>
            <xdr:cNvPr id="10253" name="Picture 58">
              <a:extLst>
                <a:ext uri="{63B3BB69-23CF-44E3-9099-C40C66FF867C}">
                  <a14:compatExt spid="_x0000_s10253"/>
                </a:ext>
                <a:ext uri="{FF2B5EF4-FFF2-40B4-BE49-F238E27FC236}">
                  <a16:creationId xmlns:a16="http://schemas.microsoft.com/office/drawing/2014/main" id="{79f08c77-5aa1-4059-9e14-b17572ea719e}"/>
                </a:ext>
              </a:extLst>
            </xdr:cNvPr>
            <xdr:cNvPicPr>
              <a:picLocks noChangeArrowheads="1" noChangeAspect="1"/>
              <a:extLst>
                <a:ext uri="{84589F7E-364E-4C9E-8A38-B11213B215E9}">
                  <a14:cameraTool cellRange="Picture_inside" spid="_x0000_s3160"/>
                </a:ext>
              </a:extLst>
            </xdr:cNvPicPr>
          </xdr:nvPicPr>
          <xdr:blipFill>
            <a:blip r:embed="rId8"/>
            <a:stretch>
              <a:fillRect/>
            </a:stretch>
          </xdr:blipFill>
          <xdr:spPr>
            <a:xfrm>
              <a:off x="5657850" y="5381625"/>
              <a:ext cx="8553450" cy="1304925"/>
            </a:xfrm>
            <a:prstGeom prst="rect"/>
            <a:noFill/>
          </xdr:spPr>
        </xdr:pic>
        <xdr:clientData/>
      </xdr:twoCellAnchor>
    </mc:Choice>
    <mc:Fallback/>
  </mc:AlternateContent>
  <xdr:twoCellAnchor>
    <xdr:from>
      <xdr:col>1</xdr:col>
      <xdr:colOff>23812</xdr:colOff>
      <xdr:row>88</xdr:row>
      <xdr:rowOff>23813</xdr:rowOff>
    </xdr:from>
    <xdr:to>
      <xdr:col>35</xdr:col>
      <xdr:colOff>261938</xdr:colOff>
      <xdr:row>108</xdr:row>
      <xdr:rowOff>0</xdr:rowOff>
    </xdr:to>
    <xdr:cxnSp>
      <xdr:nvCxnSpPr>
        <xdr:cNvPr id="15" name="Connector: Elbow 35">
          <a:extLst>
            <a:ext uri="{FF2B5EF4-FFF2-40B4-BE49-F238E27FC236}">
              <a16:creationId xmlns:a16="http://schemas.microsoft.com/office/drawing/2014/main" id="{a22c9baf-cf35-4921-b935-43732bc3225f}"/>
            </a:ext>
          </a:extLst>
        </xdr:cNvPr>
        <xdr:cNvCxnSpPr/>
      </xdr:nvCxnSpPr>
      <xdr:spPr>
        <a:xfrm flipV="1">
          <a:off x="466725" y="16687800"/>
          <a:ext cx="15516225" cy="4972050"/>
        </a:xfrm>
        <a:prstGeom prst="bentConnector3">
          <a:avLst>
            <a:gd name="adj1" fmla="val 100115"/>
          </a:avLst>
        </a:prstGeom>
        <a:ln>
          <a:solidFill>
            <a:srgbClr val="A6A6A6">
              <a:lumMod val="65000"/>
            </a:srgbClr>
          </a:solidFill>
        </a:ln>
        <a:effectLst>
          <a:outerShdw blurRad="50800" dist="38100" dir="2700000" algn="tl" rotWithShape="0">
            <a:prstClr val="black">
              <a:alpha val="40000"/>
            </a:prstClr>
          </a:outerShdw>
        </a:effectLst>
      </xdr:spPr>
      <xdr:style>
        <a:lnRef idx="1">
          <a:schemeClr val="tx1"/>
        </a:lnRef>
        <a:fillRef idx="0">
          <a:schemeClr val="tx1"/>
        </a:fillRef>
        <a:effectRef idx="0">
          <a:schemeClr val="tx1"/>
        </a:effectRef>
        <a:fontRef idx="minor">
          <a:schemeClr val="tx1"/>
        </a:fontRef>
      </xdr:style>
    </xdr:cxnSp>
    <xdr:clientData/>
  </xdr:twoCellAnchor>
</xdr:wsDr>
</file>

<file path=xl/drawings/drawing2.xml><?xml version="1.0" encoding="utf-8"?>
<c:userShapes xmlns:c="http://schemas.openxmlformats.org/drawingml/2006/chart" xmlns:a="http://schemas.openxmlformats.org/drawingml/2006/main" xmlns:r="http://schemas.openxmlformats.org/officeDocument/2006/relationships" xmlns:a14="http://schemas.microsoft.com/office/drawing/2010/main">
  <cdr:relSizeAnchor xmlns:cdr="http://schemas.openxmlformats.org/drawingml/2006/chartDrawing">
    <cdr:from>
      <cdr:x>0.015</cdr:x>
      <cdr:y>0.022</cdr:y>
    </cdr:from>
    <cdr:to>
      <cdr:x>0.0575</cdr:x>
      <cdr:y>0.187</cdr:y>
    </cdr:to>
    <cdr:sp textlink="'Validation Results'!$F$5">
      <cdr:nvSpPr>
        <cdr:cNvPr id="2" name="TextBox 1">
          <a:extLst>
            <a:ext uri="{FF2B5EF4-FFF2-40B4-BE49-F238E27FC236}">
              <a16:creationId xmlns:a16="http://schemas.microsoft.com/office/drawing/2014/main" id="{de07d549-e6cb-4423-a786-6325a1d1d23f}"/>
            </a:ext>
          </a:extLst>
        </cdr:cNvPr>
        <cdr:cNvSpPr txBox="1"/>
      </cdr:nvSpPr>
      <cdr:spPr>
        <a:xfrm>
          <a:off x="161925" y="19050"/>
          <a:ext cx="466725" cy="200025"/>
        </a:xfrm>
        <a:prstGeom prst="rect"/>
        <a:solidFill>
          <a:srgbClr val="FFFFFF"/>
        </a:solidFill>
        <a:ln w="9525">
          <a:solidFill>
            <a:srgbClr val="BCBCBC"/>
          </a:solidFill>
        </a:ln>
      </cdr:spPr>
      <cdr:style>
        <a:lnRef idx="2">
          <a:schemeClr val="accent1">
            <a:shade val="50000"/>
          </a:schemeClr>
        </a:lnRef>
        <a:fillRef idx="1">
          <a:schemeClr val="accent1"/>
        </a:fillRef>
        <a:effectRef idx="0">
          <a:schemeClr val="accent1"/>
        </a:effectRef>
        <a:fontRef idx="minor">
          <a:schemeClr val="tx1"/>
        </a:fontRef>
      </cdr:style>
      <cdr:txBody>
        <a:bodyPr anchor="ctr" anchorCtr="1"/>
        <a:lstStyle xmlns:a="http://schemas.openxmlformats.org/drawingml/2006/main"/>
        <a:p>
          <a:pPr algn="ctr"/>
          <a:fld id="{71B6A85F-E122-4195-8B8D-3FCF53FB1D23}" type="TxLink">
            <a:rPr lang="en-US" u="none" baseline="0">
              <a:solidFill>
                <a:srgbClr val="556B2F"/>
              </a:solidFill>
            </a:rPr>
            <a:t>27</a:t>
          </a:fld>
          <a:endParaRPr lang="en-US" u="none" baseline="0">
            <a:solidFill>
              <a:srgbClr val="556B2F"/>
            </a:solidFill>
          </a:endParaRPr>
        </a:p>
      </cdr:txBody>
    </cdr:sp>
  </cdr:relSizeAnchor>
  <cdr:relSizeAnchor xmlns:cdr="http://schemas.openxmlformats.org/drawingml/2006/chartDrawing">
    <cdr:from>
      <cdr:x>0.075</cdr:x>
      <cdr:y>0.022</cdr:y>
    </cdr:from>
    <cdr:to>
      <cdr:x>0.117</cdr:x>
      <cdr:y>0.187</cdr:y>
    </cdr:to>
    <cdr:sp textlink="'Validation Results'!$G$5">
      <cdr:nvSpPr>
        <cdr:cNvPr id="3" name="TextBox 2">
          <a:extLst>
            <a:ext uri="{FF2B5EF4-FFF2-40B4-BE49-F238E27FC236}">
              <a16:creationId xmlns:a16="http://schemas.microsoft.com/office/drawing/2014/main" id="{53fa3981-1e14-4632-adc2-2e3e669312aa}"/>
            </a:ext>
          </a:extLst>
        </cdr:cNvPr>
        <cdr:cNvSpPr txBox="1"/>
      </cdr:nvSpPr>
      <cdr:spPr>
        <a:xfrm>
          <a:off x="819150" y="19050"/>
          <a:ext cx="466725" cy="200025"/>
        </a:xfrm>
        <a:prstGeom prst="rect"/>
        <a:solidFill>
          <a:srgbClr val="FFFFFF"/>
        </a:solidFill>
        <a:ln w="9525">
          <a:solidFill>
            <a:srgbClr val="BCBCBC"/>
          </a:solidFill>
        </a:ln>
      </cdr:spPr>
      <cdr:style>
        <a:lnRef idx="2">
          <a:schemeClr val="accent1">
            <a:shade val="50000"/>
          </a:schemeClr>
        </a:lnRef>
        <a:fillRef idx="1">
          <a:schemeClr val="accent1"/>
        </a:fillRef>
        <a:effectRef idx="0">
          <a:schemeClr val="accent1"/>
        </a:effectRef>
        <a:fontRef idx="minor">
          <a:schemeClr val="tx1"/>
        </a:fontRef>
      </cdr:style>
      <cdr:txBody>
        <a:bodyPr anchor="ctr" anchorCtr="1"/>
        <a:lstStyle xmlns:a="http://schemas.openxmlformats.org/drawingml/2006/main"/>
        <a:p>
          <a:pPr algn="ctr"/>
          <a:fld id="{07772538-518E-410B-9517-8175CDF6958E}" type="TxLink">
            <a:rPr lang="en-US" u="none" baseline="0">
              <a:solidFill>
                <a:srgbClr val="556B2F"/>
              </a:solidFill>
            </a:rPr>
            <a:t>27</a:t>
          </a:fld>
          <a:endParaRPr lang="en-US" u="none" baseline="0">
            <a:solidFill>
              <a:srgbClr val="556B2F"/>
            </a:solidFill>
          </a:endParaRPr>
        </a:p>
      </cdr:txBody>
    </cdr:sp>
  </cdr:relSizeAnchor>
</c:userShapes>
</file>

<file path=xl/drawings/drawing3.xml><?xml version="1.0" encoding="utf-8"?>
<c:userShapes xmlns:c="http://schemas.openxmlformats.org/drawingml/2006/chart" xmlns:a="http://schemas.openxmlformats.org/drawingml/2006/main" xmlns:r="http://schemas.openxmlformats.org/officeDocument/2006/relationships" xmlns:a14="http://schemas.microsoft.com/office/drawing/2010/main">
  <cdr:relSizeAnchor xmlns:cdr="http://schemas.openxmlformats.org/drawingml/2006/chartDrawing">
    <cdr:from>
      <cdr:x>0.015</cdr:x>
      <cdr:y>0.59625</cdr:y>
    </cdr:from>
    <cdr:to>
      <cdr:x>0.0575</cdr:x>
      <cdr:y>0.76125</cdr:y>
    </cdr:to>
    <cdr:sp textlink="'Validation Results'!$F$6">
      <cdr:nvSpPr>
        <cdr:cNvPr id="2" name="TextBox 1">
          <a:extLst>
            <a:ext uri="{FF2B5EF4-FFF2-40B4-BE49-F238E27FC236}">
              <a16:creationId xmlns:a16="http://schemas.microsoft.com/office/drawing/2014/main" id="{88148cbd-63e5-495c-b0f0-6b33b01bf163}"/>
            </a:ext>
          </a:extLst>
        </cdr:cNvPr>
        <cdr:cNvSpPr txBox="1"/>
      </cdr:nvSpPr>
      <cdr:spPr>
        <a:xfrm>
          <a:off x="161925" y="628650"/>
          <a:ext cx="466725" cy="171450"/>
        </a:xfrm>
        <a:prstGeom prst="rect"/>
        <a:solidFill>
          <a:srgbClr val="FFFFFF"/>
        </a:solidFill>
        <a:ln w="9525">
          <a:solidFill>
            <a:srgbClr val="BCBCBC"/>
          </a:solidFill>
        </a:ln>
      </cdr:spPr>
      <cdr:style>
        <a:lnRef idx="2">
          <a:schemeClr val="accent1">
            <a:shade val="50000"/>
          </a:schemeClr>
        </a:lnRef>
        <a:fillRef idx="1">
          <a:schemeClr val="accent1"/>
        </a:fillRef>
        <a:effectRef idx="0">
          <a:schemeClr val="accent1"/>
        </a:effectRef>
        <a:fontRef idx="minor">
          <a:schemeClr val="tx1"/>
        </a:fontRef>
      </cdr:style>
      <cdr:txBody>
        <a:bodyPr anchor="ctr" anchorCtr="1"/>
        <a:lstStyle xmlns:a="http://schemas.openxmlformats.org/drawingml/2006/main"/>
        <a:p>
          <a:pPr algn="ctr"/>
          <a:fld id="{8B83B53F-72E2-4731-A394-BB8B6A2881AF}" type="TxLink">
            <a:rPr lang="en-US" u="none" baseline="0">
              <a:solidFill>
                <a:srgbClr val="FFA500"/>
              </a:solidFill>
            </a:rPr>
            <a:t>0</a:t>
          </a:fld>
          <a:endParaRPr lang="en-US" u="none" baseline="0">
            <a:solidFill>
              <a:srgbClr val="FFA500"/>
            </a:solidFill>
          </a:endParaRPr>
        </a:p>
      </cdr:txBody>
    </cdr:sp>
  </cdr:relSizeAnchor>
  <cdr:relSizeAnchor xmlns:cdr="http://schemas.openxmlformats.org/drawingml/2006/chartDrawing">
    <cdr:from>
      <cdr:x>0.015</cdr:x>
      <cdr:y>0.79625</cdr:y>
    </cdr:from>
    <cdr:to>
      <cdr:x>0.0575</cdr:x>
      <cdr:y>0.96125</cdr:y>
    </cdr:to>
    <cdr:sp textlink="'Validation Results'!$F$7">
      <cdr:nvSpPr>
        <cdr:cNvPr id="3" name="TextBox 2">
          <a:extLst>
            <a:ext uri="{FF2B5EF4-FFF2-40B4-BE49-F238E27FC236}">
              <a16:creationId xmlns:a16="http://schemas.microsoft.com/office/drawing/2014/main" id="{5a4618bb-73c0-4029-a271-7de282660fe5}"/>
            </a:ext>
          </a:extLst>
        </cdr:cNvPr>
        <cdr:cNvSpPr txBox="1"/>
      </cdr:nvSpPr>
      <cdr:spPr>
        <a:xfrm>
          <a:off x="161925" y="847725"/>
          <a:ext cx="466725" cy="171450"/>
        </a:xfrm>
        <a:prstGeom prst="rect"/>
        <a:solidFill>
          <a:srgbClr val="FFFFFF"/>
        </a:solidFill>
        <a:ln w="9525">
          <a:solidFill>
            <a:srgbClr val="BCBCBC"/>
          </a:solidFill>
        </a:ln>
      </cdr:spPr>
      <cdr:style>
        <a:lnRef idx="2">
          <a:schemeClr val="accent1">
            <a:shade val="50000"/>
          </a:schemeClr>
        </a:lnRef>
        <a:fillRef idx="1">
          <a:schemeClr val="accent1"/>
        </a:fillRef>
        <a:effectRef idx="0">
          <a:schemeClr val="accent1"/>
        </a:effectRef>
        <a:fontRef idx="minor">
          <a:schemeClr val="tx1"/>
        </a:fontRef>
      </cdr:style>
      <cdr:txBody>
        <a:bodyPr anchor="ctr" anchorCtr="1"/>
        <a:lstStyle xmlns:a="http://schemas.openxmlformats.org/drawingml/2006/main"/>
        <a:p>
          <a:pPr algn="ctr"/>
          <a:fld id="{90116127-68D3-4054-BA1C-1E78E30FE32A}" type="TxLink">
            <a:rPr lang="en-US" u="none" baseline="0">
              <a:solidFill>
                <a:srgbClr val="9C0006"/>
              </a:solidFill>
            </a:rPr>
            <a:t>0</a:t>
          </a:fld>
          <a:endParaRPr lang="en-US" u="none" baseline="0">
            <a:solidFill>
              <a:srgbClr val="9C0006"/>
            </a:solidFill>
          </a:endParaRPr>
        </a:p>
      </cdr:txBody>
    </cdr:sp>
  </cdr:relSizeAnchor>
  <cdr:relSizeAnchor xmlns:cdr="http://schemas.openxmlformats.org/drawingml/2006/chartDrawing">
    <cdr:from>
      <cdr:x>0.075</cdr:x>
      <cdr:y>0.59625</cdr:y>
    </cdr:from>
    <cdr:to>
      <cdr:x>0.117</cdr:x>
      <cdr:y>0.76125</cdr:y>
    </cdr:to>
    <cdr:sp textlink="'Validation Results'!$G$6">
      <cdr:nvSpPr>
        <cdr:cNvPr id="4" name="TextBox 3">
          <a:extLst>
            <a:ext uri="{FF2B5EF4-FFF2-40B4-BE49-F238E27FC236}">
              <a16:creationId xmlns:a16="http://schemas.microsoft.com/office/drawing/2014/main" id="{6e483db8-5585-49ee-a9f6-63c4c0fa6ea8}"/>
            </a:ext>
          </a:extLst>
        </cdr:cNvPr>
        <cdr:cNvSpPr txBox="1"/>
      </cdr:nvSpPr>
      <cdr:spPr>
        <a:xfrm>
          <a:off x="819150" y="628650"/>
          <a:ext cx="466725" cy="171450"/>
        </a:xfrm>
        <a:prstGeom prst="rect"/>
        <a:solidFill>
          <a:srgbClr val="FFFFFF"/>
        </a:solidFill>
        <a:ln w="9525">
          <a:solidFill>
            <a:srgbClr val="BCBCBC"/>
          </a:solidFill>
        </a:ln>
      </cdr:spPr>
      <cdr:style>
        <a:lnRef idx="2">
          <a:schemeClr val="accent1">
            <a:shade val="50000"/>
          </a:schemeClr>
        </a:lnRef>
        <a:fillRef idx="1">
          <a:schemeClr val="accent1"/>
        </a:fillRef>
        <a:effectRef idx="0">
          <a:schemeClr val="accent1"/>
        </a:effectRef>
        <a:fontRef idx="minor">
          <a:schemeClr val="tx1"/>
        </a:fontRef>
      </cdr:style>
      <cdr:txBody>
        <a:bodyPr anchor="ctr" anchorCtr="1"/>
        <a:lstStyle xmlns:a="http://schemas.openxmlformats.org/drawingml/2006/main"/>
        <a:p>
          <a:pPr algn="ctr"/>
          <a:fld id="{2A80252B-E6F6-46FA-9B12-57CA2301BC66}" type="TxLink">
            <a:rPr lang="en-US" u="none" baseline="0">
              <a:solidFill>
                <a:srgbClr val="FFA500"/>
              </a:solidFill>
            </a:rPr>
            <a:t>0</a:t>
          </a:fld>
          <a:endParaRPr lang="en-US" u="none" baseline="0">
            <a:solidFill>
              <a:srgbClr val="FFA500"/>
            </a:solidFill>
          </a:endParaRPr>
        </a:p>
      </cdr:txBody>
    </cdr:sp>
  </cdr:relSizeAnchor>
  <cdr:relSizeAnchor xmlns:cdr="http://schemas.openxmlformats.org/drawingml/2006/chartDrawing">
    <cdr:from>
      <cdr:x>0.075</cdr:x>
      <cdr:y>0.79625</cdr:y>
    </cdr:from>
    <cdr:to>
      <cdr:x>0.117</cdr:x>
      <cdr:y>0.96125</cdr:y>
    </cdr:to>
    <cdr:sp textlink="'Validation Results'!$G$7">
      <cdr:nvSpPr>
        <cdr:cNvPr id="5" name="TextBox 4">
          <a:extLst>
            <a:ext uri="{FF2B5EF4-FFF2-40B4-BE49-F238E27FC236}">
              <a16:creationId xmlns:a16="http://schemas.microsoft.com/office/drawing/2014/main" id="{2cd0e7ae-0e49-4a77-a18e-4a62a2f8b7dc}"/>
            </a:ext>
          </a:extLst>
        </cdr:cNvPr>
        <cdr:cNvSpPr txBox="1"/>
      </cdr:nvSpPr>
      <cdr:spPr>
        <a:xfrm>
          <a:off x="819150" y="847725"/>
          <a:ext cx="466725" cy="171450"/>
        </a:xfrm>
        <a:prstGeom prst="rect"/>
        <a:solidFill>
          <a:srgbClr val="FFFFFF"/>
        </a:solidFill>
        <a:ln w="9525">
          <a:solidFill>
            <a:srgbClr val="BCBCBC"/>
          </a:solidFill>
        </a:ln>
      </cdr:spPr>
      <cdr:style>
        <a:lnRef idx="2">
          <a:schemeClr val="accent1">
            <a:shade val="50000"/>
          </a:schemeClr>
        </a:lnRef>
        <a:fillRef idx="1">
          <a:schemeClr val="accent1"/>
        </a:fillRef>
        <a:effectRef idx="0">
          <a:schemeClr val="accent1"/>
        </a:effectRef>
        <a:fontRef idx="minor">
          <a:schemeClr val="tx1"/>
        </a:fontRef>
      </cdr:style>
      <cdr:txBody>
        <a:bodyPr anchor="ctr" anchorCtr="1"/>
        <a:lstStyle xmlns:a="http://schemas.openxmlformats.org/drawingml/2006/main"/>
        <a:p>
          <a:pPr algn="ctr"/>
          <a:fld id="{FC740F57-8E57-4E50-AC34-6CE7231F8085}" type="TxLink">
            <a:rPr lang="en-US" u="none" baseline="0">
              <a:solidFill>
                <a:srgbClr val="9C0006"/>
              </a:solidFill>
            </a:rPr>
            <a:t>0</a:t>
          </a:fld>
          <a:endParaRPr lang="en-US" u="none" baseline="0">
            <a:solidFill>
              <a:srgbClr val="9C0006"/>
            </a:solidFill>
          </a:endParaRPr>
        </a:p>
      </cdr:txBody>
    </cdr:sp>
  </cdr:relSizeAnchor>
</c:userShapes>
</file>

<file path=xl/drawings/drawing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2</xdr:col>
      <xdr:colOff>31750</xdr:colOff>
      <xdr:row>4</xdr:row>
      <xdr:rowOff>38776</xdr:rowOff>
    </xdr:from>
    <xdr:to>
      <xdr:col>7</xdr:col>
      <xdr:colOff>5562600</xdr:colOff>
      <xdr:row>18</xdr:row>
      <xdr:rowOff>119062</xdr:rowOff>
    </xdr:to>
    <xdr:sp>
      <xdr:nvSpPr>
        <xdr:cNvPr id="8" name="Background">
          <a:extLst>
            <a:ext uri="{FF2B5EF4-FFF2-40B4-BE49-F238E27FC236}">
              <a16:creationId xmlns:a16="http://schemas.microsoft.com/office/drawing/2014/main" id="{45a173bf-882b-40f2-a42b-f2b9f39bdfb4}"/>
            </a:ext>
          </a:extLst>
        </xdr:cNvPr>
        <xdr:cNvSpPr/>
      </xdr:nvSpPr>
      <xdr:spPr>
        <a:xfrm>
          <a:off x="685800" y="1143000"/>
          <a:ext cx="13592175" cy="2343150"/>
        </a:xfrm>
        <a:prstGeom prst="rect"/>
        <a:solidFill>
          <a:srgbClr val="FFFFFF"/>
        </a:solidFill>
        <a:ln w="3175">
          <a:solidFill>
            <a:srgbClr val="BFBFBF">
              <a:lumMod val="75000"/>
            </a:srgbClr>
          </a:solidFill>
        </a:ln>
      </xdr:spPr>
      <xdr:style>
        <a:lnRef idx="2">
          <a:schemeClr val="accent1">
            <a:shade val="50000"/>
          </a:schemeClr>
        </a:lnRef>
        <a:fillRef idx="1">
          <a:schemeClr val="accent1"/>
        </a:fillRef>
        <a:effectRef idx="0">
          <a:schemeClr val="accent1"/>
        </a:effectRef>
        <a:fontRef idx="minor">
          <a:schemeClr val="bg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xdr:from>
          <xdr:col>2</xdr:col>
          <xdr:colOff>844138</xdr:colOff>
          <xdr:row>5</xdr:row>
          <xdr:rowOff>92791</xdr:rowOff>
        </xdr:from>
        <xdr:to>
          <xdr:col>3</xdr:col>
          <xdr:colOff>583751</xdr:colOff>
          <xdr:row>14</xdr:row>
          <xdr:rowOff>0</xdr:rowOff>
        </xdr:to>
        <xdr:pic>
          <xdr:nvPicPr>
            <xdr:cNvPr id="25602" name="Text in Circle">
              <a:extLst>
                <a:ext uri="{63B3BB69-23CF-44E3-9099-C40C66FF867C}">
                  <a14:compatExt spid="_x0000_s25682"/>
                </a:ext>
                <a:ext uri="{FF2B5EF4-FFF2-40B4-BE49-F238E27FC236}">
                  <a16:creationId xmlns:a16="http://schemas.microsoft.com/office/drawing/2014/main" id="{eccee6b5-db57-4644-988b-ceadebae02da}"/>
                </a:ext>
              </a:extLst>
            </xdr:cNvPr>
            <xdr:cNvPicPr>
              <a:picLocks noChangeAspect="1"/>
              <a:extLst>
                <a:ext uri="{84589F7E-364E-4C9E-8A38-B11213B215E9}">
                  <a14:cameraTool cellRange="MsgDescription" spid="_x0000_s25682"/>
                </a:ext>
              </a:extLst>
            </xdr:cNvPicPr>
          </xdr:nvPicPr>
          <xdr:blipFill>
            <a:blip r:embed="rId1"/>
            <a:stretch>
              <a:fillRect/>
            </a:stretch>
          </xdr:blipFill>
          <xdr:spPr>
            <a:xfrm>
              <a:off x="1504950" y="1362075"/>
              <a:ext cx="1238250" cy="1362075"/>
            </a:xfrm>
            <a:prstGeom prst="rect"/>
          </xdr:spPr>
        </xdr:pic>
        <xdr:clientData/>
      </xdr:twoCellAnchor>
    </mc:Choice>
    <mc:Fallback/>
  </mc:AlternateContent>
  <xdr:twoCellAnchor>
    <xdr:from>
      <xdr:col>2</xdr:col>
      <xdr:colOff>480060</xdr:colOff>
      <xdr:row>5</xdr:row>
      <xdr:rowOff>89630</xdr:rowOff>
    </xdr:from>
    <xdr:to>
      <xdr:col>3</xdr:col>
      <xdr:colOff>956772</xdr:colOff>
      <xdr:row>17</xdr:row>
      <xdr:rowOff>52450</xdr:rowOff>
    </xdr:to>
    <xdr:grpSp>
      <xdr:nvGrpSpPr>
        <xdr:cNvPr id="10" name="Circle with Picture">
          <a:extLst>
            <a:ext uri="{FF2B5EF4-FFF2-40B4-BE49-F238E27FC236}">
              <a16:creationId xmlns:a16="http://schemas.microsoft.com/office/drawing/2014/main" id="{a9993e4c-48c6-431a-a10c-f2aa2eebb841}"/>
            </a:ext>
          </a:extLst>
        </xdr:cNvPr>
        <xdr:cNvGrpSpPr>
          <a:grpSpLocks/>
        </xdr:cNvGrpSpPr>
      </xdr:nvGrpSpPr>
      <xdr:grpSpPr>
        <a:xfrm>
          <a:off x="1133475" y="1352550"/>
          <a:ext cx="1971675" cy="1905000"/>
          <a:chOff x="666751" y="627063"/>
          <a:chExt cx="3679032" cy="1899441"/>
        </a:xfrm>
      </xdr:grpSpPr>
      <xdr:graphicFrame>
        <xdr:nvGraphicFramePr>
          <xdr:cNvPr id="11" name="Pie">
            <a:extLst>
              <a:ext uri="{FF2B5EF4-FFF2-40B4-BE49-F238E27FC236}">
                <a16:creationId xmlns:a16="http://schemas.microsoft.com/office/drawing/2014/main" id="{ef8b8dd7-a212-4a80-901c-e7a2b7fd1b78}"/>
              </a:ext>
            </a:extLst>
          </xdr:cNvPr>
          <xdr:cNvGraphicFramePr/>
        </xdr:nvGraphicFramePr>
        <xdr:xfrm>
          <a:off x="666751" y="627063"/>
          <a:ext cx="3679032" cy="1899441"/>
        </xdr:xfrm>
        <a:graphic>
          <a:graphicData uri="http://schemas.openxmlformats.org/drawingml/2006/chart">
            <c:chart xmlns:c="http://schemas.openxmlformats.org/drawingml/2006/chart" r:id="rId2"/>
          </a:graphicData>
        </a:graphic>
      </xdr:graphicFrame>
      <xdr:pic>
        <xdr:nvPicPr>
          <xdr:cNvPr id="25605" name="Image">
            <a:extLst>
              <a:ext uri="{63B3BB69-23CF-44E3-9099-C40C66FF867C}">
                <a14:compatExt spid="_x0000_s25683"/>
              </a:ext>
              <a:ext uri="{FF2B5EF4-FFF2-40B4-BE49-F238E27FC236}">
                <a16:creationId xmlns:a16="http://schemas.microsoft.com/office/drawing/2014/main" id="{f715cee4-c0d4-4dba-ba5b-739e363c16be}"/>
              </a:ext>
            </a:extLst>
          </xdr:cNvPr>
          <xdr:cNvPicPr>
            <a:picLocks noChangeAspect="1"/>
            <a:extLst>
              <a:ext uri="{84589F7E-364E-4C9E-8A38-B11213B215E9}">
                <a14:cameraTool cellRange="Picture" spid="_x0000_s25683"/>
              </a:ext>
            </a:extLst>
          </xdr:cNvPicPr>
        </xdr:nvPicPr>
        <xdr:blipFill>
          <a:blip r:embed="rId3"/>
          <a:stretch>
            <a:fillRect/>
          </a:stretch>
        </xdr:blipFill>
        <xdr:spPr>
          <a:xfrm>
            <a:off x="1462413" y="917833"/>
            <a:ext cx="2038006" cy="1237118"/>
          </a:xfrm>
          <a:prstGeom prst="rect"/>
          <a:ln>
            <a:noFill/>
          </a:ln>
        </xdr:spPr>
      </xdr:pic>
    </xdr:grpSp>
    <xdr:clientData/>
  </xdr:twoCellAnchor>
  <xdr:twoCellAnchor>
    <xdr:from>
      <xdr:col>3</xdr:col>
      <xdr:colOff>933450</xdr:colOff>
      <xdr:row>4</xdr:row>
      <xdr:rowOff>76201</xdr:rowOff>
    </xdr:from>
    <xdr:to>
      <xdr:col>7</xdr:col>
      <xdr:colOff>5399577</xdr:colOff>
      <xdr:row>11</xdr:row>
      <xdr:rowOff>144780</xdr:rowOff>
    </xdr:to>
    <xdr:graphicFrame>
      <xdr:nvGraphicFramePr>
        <xdr:cNvPr id="13" name="Passed Validations Chart">
          <a:extLst>
            <a:ext uri="{FF2B5EF4-FFF2-40B4-BE49-F238E27FC236}">
              <a16:creationId xmlns:a16="http://schemas.microsoft.com/office/drawing/2014/main" id="{faecf407-fc97-4c47-a2c2-1490e21b9715}"/>
            </a:ext>
          </a:extLst>
        </xdr:cNvPr>
        <xdr:cNvGraphicFramePr/>
      </xdr:nvGraphicFramePr>
      <xdr:xfrm>
        <a:off x="3086100" y="1181100"/>
        <a:ext cx="11029950" cy="1200150"/>
      </xdr:xfrm>
      <a:graphic>
        <a:graphicData uri="http://schemas.openxmlformats.org/drawingml/2006/chart">
          <c:chart xmlns:c="http://schemas.openxmlformats.org/drawingml/2006/chart" r:id="rId4"/>
        </a:graphicData>
      </a:graphic>
    </xdr:graphicFrame>
    <xdr:clientData/>
  </xdr:twoCellAnchor>
  <xdr:twoCellAnchor>
    <xdr:from>
      <xdr:col>3</xdr:col>
      <xdr:colOff>933450</xdr:colOff>
      <xdr:row>12</xdr:row>
      <xdr:rowOff>0</xdr:rowOff>
    </xdr:from>
    <xdr:to>
      <xdr:col>7</xdr:col>
      <xdr:colOff>5400675</xdr:colOff>
      <xdr:row>18</xdr:row>
      <xdr:rowOff>99060</xdr:rowOff>
    </xdr:to>
    <xdr:graphicFrame>
      <xdr:nvGraphicFramePr>
        <xdr:cNvPr id="14" name="Failed Validations Chart">
          <a:extLst>
            <a:ext uri="{FF2B5EF4-FFF2-40B4-BE49-F238E27FC236}">
              <a16:creationId xmlns:a16="http://schemas.microsoft.com/office/drawing/2014/main" id="{96a3c0ed-aaf9-488d-8f8a-2386d8474689}"/>
            </a:ext>
          </a:extLst>
        </xdr:cNvPr>
        <xdr:cNvGraphicFramePr/>
      </xdr:nvGraphicFramePr>
      <xdr:xfrm>
        <a:off x="3086100" y="2400300"/>
        <a:ext cx="11029950" cy="1066800"/>
      </xdr:xfrm>
      <a:graphic>
        <a:graphicData uri="http://schemas.openxmlformats.org/drawingml/2006/chart">
          <c:chart xmlns:c="http://schemas.openxmlformats.org/drawingml/2006/chart" r:id="rId5"/>
        </a:graphicData>
      </a:graphic>
    </xdr:graphicFrame>
    <xdr:clientData/>
  </xdr:twoCellAnchor>
  <xdr:twoCellAnchor editAs="oneCell">
    <xdr:from>
      <xdr:col>0</xdr:col>
      <xdr:colOff>0</xdr:colOff>
      <xdr:row>0</xdr:row>
      <xdr:rowOff>0</xdr:rowOff>
    </xdr:from>
    <xdr:to>
      <xdr:col>14</xdr:col>
      <xdr:colOff>438150</xdr:colOff>
      <xdr:row>1</xdr:row>
      <xdr:rowOff>0</xdr:rowOff>
    </xdr:to>
    <xdr:pic>
      <xdr:nvPicPr>
        <xdr:cNvPr id="25608" name="eFrame Top Banner">
          <a:extLst>
            <a:ext uri="{FF2B5EF4-FFF2-40B4-BE49-F238E27FC236}">
              <a16:creationId xmlns:a16="http://schemas.microsoft.com/office/drawing/2014/main" id="{ee8b68f2-2bbe-4fae-a0de-f6be23ba88ea}"/>
            </a:ext>
          </a:extLst>
        </xdr:cNvPr>
        <xdr:cNvPicPr>
          <a:picLocks noChangeAspect="1"/>
        </xdr:cNvPicPr>
      </xdr:nvPicPr>
      <xdr:blipFill>
        <a:blip r:embed="rId6"/>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25</xdr:col>
      <xdr:colOff>161925</xdr:colOff>
      <xdr:row>0</xdr:row>
      <xdr:rowOff>495300</xdr:rowOff>
    </xdr:to>
    <xdr:sp>
      <xdr:nvSpPr>
        <xdr:cNvPr id="25609" name="TextBox 9">
          <a:extLst>
            <a:ext uri="{FF2B5EF4-FFF2-40B4-BE49-F238E27FC236}">
              <a16:creationId xmlns:a16="http://schemas.microsoft.com/office/drawing/2014/main" id="{8353cecf-bd5b-4be3-9425-ac864e56bc10}"/>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Value assertion list</a:t>
          </a:r>
        </a:p>
      </xdr:txBody>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23</xdr:col>
      <xdr:colOff>361950</xdr:colOff>
      <xdr:row>1</xdr:row>
      <xdr:rowOff>0</xdr:rowOff>
    </xdr:to>
    <xdr:pic>
      <xdr:nvPicPr>
        <xdr:cNvPr id="2" name="eFrame Top Banner">
          <a:extLst>
            <a:ext uri="{FF2B5EF4-FFF2-40B4-BE49-F238E27FC236}">
              <a16:creationId xmlns:a16="http://schemas.microsoft.com/office/drawing/2014/main" id="{441a39bd-afa4-4d4e-bbce-6a1825cbe2be}"/>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37</xdr:col>
      <xdr:colOff>38100</xdr:colOff>
      <xdr:row>0</xdr:row>
      <xdr:rowOff>495300</xdr:rowOff>
    </xdr:to>
    <xdr:sp>
      <xdr:nvSpPr>
        <xdr:cNvPr id="3" name="TextBox 2">
          <a:extLst>
            <a:ext uri="{FF2B5EF4-FFF2-40B4-BE49-F238E27FC236}">
              <a16:creationId xmlns:a16="http://schemas.microsoft.com/office/drawing/2014/main" id="{c9a612a8-ab0c-4ddc-8c13-6b806e89dd35}"/>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Validation precision configuration</a:t>
          </a:r>
        </a:p>
      </xdr:txBody>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14</xdr:col>
      <xdr:colOff>161925</xdr:colOff>
      <xdr:row>1</xdr:row>
      <xdr:rowOff>0</xdr:rowOff>
    </xdr:to>
    <xdr:pic>
      <xdr:nvPicPr>
        <xdr:cNvPr id="2" name="eFrame Top Banner">
          <a:extLst>
            <a:ext uri="{FF2B5EF4-FFF2-40B4-BE49-F238E27FC236}">
              <a16:creationId xmlns:a16="http://schemas.microsoft.com/office/drawing/2014/main" id="{8e758183-ba7e-4a0d-af87-f67b0e6cc29f}"/>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27</xdr:col>
      <xdr:colOff>447675</xdr:colOff>
      <xdr:row>0</xdr:row>
      <xdr:rowOff>495300</xdr:rowOff>
    </xdr:to>
    <xdr:sp>
      <xdr:nvSpPr>
        <xdr:cNvPr id="3" name="TextBox 2">
          <a:extLst>
            <a:ext uri="{FF2B5EF4-FFF2-40B4-BE49-F238E27FC236}">
              <a16:creationId xmlns:a16="http://schemas.microsoft.com/office/drawing/2014/main" id="{47e7ca8b-f6bf-4732-9bc8-47cb3b19b014}"/>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Table Of Contents</a:t>
          </a:r>
        </a:p>
      </xdr:txBody>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22</xdr:col>
      <xdr:colOff>476250</xdr:colOff>
      <xdr:row>1</xdr:row>
      <xdr:rowOff>0</xdr:rowOff>
    </xdr:to>
    <xdr:pic>
      <xdr:nvPicPr>
        <xdr:cNvPr id="2" name="eFrame Top Banner">
          <a:extLst>
            <a:ext uri="{FF2B5EF4-FFF2-40B4-BE49-F238E27FC236}">
              <a16:creationId xmlns:a16="http://schemas.microsoft.com/office/drawing/2014/main" id="{c7e09dfc-d5e4-470b-85b8-21d61590adac}"/>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36</xdr:col>
      <xdr:colOff>152400</xdr:colOff>
      <xdr:row>0</xdr:row>
      <xdr:rowOff>495300</xdr:rowOff>
    </xdr:to>
    <xdr:sp>
      <xdr:nvSpPr>
        <xdr:cNvPr id="3" name="TextBox 2">
          <a:extLst>
            <a:ext uri="{FF2B5EF4-FFF2-40B4-BE49-F238E27FC236}">
              <a16:creationId xmlns:a16="http://schemas.microsoft.com/office/drawing/2014/main" id="{9a8de092-c077-4e31-b31f-62c521e20aa1}"/>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(B_02.01) RT.02.01: Contractual arrangements – General Information</a:t>
          </a:r>
        </a:p>
      </xdr:txBody>
    </xdr:sp>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20</xdr:col>
      <xdr:colOff>561975</xdr:colOff>
      <xdr:row>1</xdr:row>
      <xdr:rowOff>0</xdr:rowOff>
    </xdr:to>
    <xdr:pic>
      <xdr:nvPicPr>
        <xdr:cNvPr id="9" name="eFrame Top Banner">
          <a:extLst>
            <a:ext uri="{FF2B5EF4-FFF2-40B4-BE49-F238E27FC236}">
              <a16:creationId xmlns:a16="http://schemas.microsoft.com/office/drawing/2014/main" id="{1bd9fdb1-062c-4a3d-9ab3-81b9de9c786f}"/>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27</xdr:col>
      <xdr:colOff>1628775</xdr:colOff>
      <xdr:row>0</xdr:row>
      <xdr:rowOff>495300</xdr:rowOff>
    </xdr:to>
    <xdr:sp>
      <xdr:nvSpPr>
        <xdr:cNvPr id="10" name="TextBox 10">
          <a:extLst>
            <a:ext uri="{FF2B5EF4-FFF2-40B4-BE49-F238E27FC236}">
              <a16:creationId xmlns:a16="http://schemas.microsoft.com/office/drawing/2014/main" id="{bc929b0a-95e7-404d-8730-46d0e0c7228c}"/>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(B_02.02) RT.02.02: Contractual arrangements – Specific information</a:t>
          </a:r>
        </a:p>
      </xdr:txBody>
    </xdr:sp>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25</xdr:col>
      <xdr:colOff>266700</xdr:colOff>
      <xdr:row>1</xdr:row>
      <xdr:rowOff>0</xdr:rowOff>
    </xdr:to>
    <xdr:pic>
      <xdr:nvPicPr>
        <xdr:cNvPr id="2" name="eFrame Top Banner">
          <a:extLst>
            <a:ext uri="{FF2B5EF4-FFF2-40B4-BE49-F238E27FC236}">
              <a16:creationId xmlns:a16="http://schemas.microsoft.com/office/drawing/2014/main" id="{28cdbe89-d120-4f0f-ade6-4eb959434203}"/>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38</xdr:col>
      <xdr:colOff>552450</xdr:colOff>
      <xdr:row>0</xdr:row>
      <xdr:rowOff>495300</xdr:rowOff>
    </xdr:to>
    <xdr:sp>
      <xdr:nvSpPr>
        <xdr:cNvPr id="3" name="TextBox 2">
          <a:extLst>
            <a:ext uri="{FF2B5EF4-FFF2-40B4-BE49-F238E27FC236}">
              <a16:creationId xmlns:a16="http://schemas.microsoft.com/office/drawing/2014/main" id="{c65ff724-94aa-4f60-908d-993b070697fa}"/>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(B_06.01)   RT.06.01: Functions identification</a:t>
          </a:r>
        </a:p>
      </xdr:txBody>
    </xdr:sp>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26</xdr:col>
      <xdr:colOff>142875</xdr:colOff>
      <xdr:row>1</xdr:row>
      <xdr:rowOff>0</xdr:rowOff>
    </xdr:to>
    <xdr:pic>
      <xdr:nvPicPr>
        <xdr:cNvPr id="2" name="eFrame Top Banner">
          <a:extLst>
            <a:ext uri="{FF2B5EF4-FFF2-40B4-BE49-F238E27FC236}">
              <a16:creationId xmlns:a16="http://schemas.microsoft.com/office/drawing/2014/main" id="{4c5985ec-5c04-40d4-a033-371f286f7b71}"/>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39</xdr:col>
      <xdr:colOff>428625</xdr:colOff>
      <xdr:row>0</xdr:row>
      <xdr:rowOff>495300</xdr:rowOff>
    </xdr:to>
    <xdr:sp>
      <xdr:nvSpPr>
        <xdr:cNvPr id="3" name="TextBox 2">
          <a:extLst>
            <a:ext uri="{FF2B5EF4-FFF2-40B4-BE49-F238E27FC236}">
              <a16:creationId xmlns:a16="http://schemas.microsoft.com/office/drawing/2014/main" id="{8183fad3-82be-4518-a9bc-fe9b56a7a6d7}"/>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defRPr lang="en-US" sz="1600" u="none" b="1" baseline="0">
              <a:solidFill>
                <a:schemeClr val="bg1"/>
              </a:solidFill>
              <a:latin typeface="Arial"/>
              <a:ea typeface="Arial"/>
              <a:cs typeface="Arial"/>
            </a:defRPr>
          </a:pPr>
        </a:p>
      </xdr:txBody>
    </xdr:sp>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absolute">
    <xdr:from>
      <xdr:col>3</xdr:col>
      <xdr:colOff>498473</xdr:colOff>
      <xdr:row>0</xdr:row>
      <xdr:rowOff>451645</xdr:rowOff>
    </xdr:from>
    <xdr:to>
      <xdr:col>19</xdr:col>
      <xdr:colOff>511968</xdr:colOff>
      <xdr:row>22</xdr:row>
      <xdr:rowOff>119064</xdr:rowOff>
    </xdr:to>
    <xdr:graphicFrame>
      <xdr:nvGraphicFramePr>
        <xdr:cNvPr id="2" name="Chart 2">
          <a:extLst>
            <a:ext uri="{FF2B5EF4-FFF2-40B4-BE49-F238E27FC236}">
              <a16:creationId xmlns:a16="http://schemas.microsoft.com/office/drawing/2014/main" id="{b6fd2ed2-8046-4c6c-9df9-ad48e6e66e72}"/>
            </a:ext>
          </a:extLst>
        </xdr:cNvPr>
        <xdr:cNvGraphicFramePr/>
      </xdr:nvGraphicFramePr>
      <xdr:xfrm>
        <a:off x="4619625" y="447675"/>
        <a:ext cx="11125200" cy="4038600"/>
      </xdr:xfrm>
      <a:graphic>
        <a:graphicData uri="http://schemas.openxmlformats.org/drawingml/2006/chart">
          <c:chart xmlns:c="http://schemas.openxmlformats.org/drawingml/2006/chart" r:id="rId1"/>
        </a:graphicData>
      </a:graphic>
    </xdr:graphicFrame>
    <xdr:clientData/>
  </xdr:twoCellAnchor>
  <xdr:twoCellAnchor editAs="oneCell">
    <xdr:from>
      <xdr:col>0</xdr:col>
      <xdr:colOff>0</xdr:colOff>
      <xdr:row>0</xdr:row>
      <xdr:rowOff>0</xdr:rowOff>
    </xdr:from>
    <xdr:to>
      <xdr:col>20</xdr:col>
      <xdr:colOff>200025</xdr:colOff>
      <xdr:row>1</xdr:row>
      <xdr:rowOff>0</xdr:rowOff>
    </xdr:to>
    <xdr:pic>
      <xdr:nvPicPr>
        <xdr:cNvPr id="3" name="eFrame Top Banner">
          <a:extLst>
            <a:ext uri="{FF2B5EF4-FFF2-40B4-BE49-F238E27FC236}">
              <a16:creationId xmlns:a16="http://schemas.microsoft.com/office/drawing/2014/main" id="{71db99ae-7bff-45f1-be88-9f14982dca81}"/>
            </a:ext>
          </a:extLst>
        </xdr:cNvPr>
        <xdr:cNvPicPr>
          <a:picLocks noChangeAspect="1"/>
        </xdr:cNvPicPr>
      </xdr:nvPicPr>
      <xdr:blipFill>
        <a:blip r:embed="rId2"/>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33</xdr:col>
      <xdr:colOff>485775</xdr:colOff>
      <xdr:row>0</xdr:row>
      <xdr:rowOff>495300</xdr:rowOff>
    </xdr:to>
    <xdr:sp>
      <xdr:nvSpPr>
        <xdr:cNvPr id="4" name="TextBox 3">
          <a:extLst>
            <a:ext uri="{FF2B5EF4-FFF2-40B4-BE49-F238E27FC236}">
              <a16:creationId xmlns:a16="http://schemas.microsoft.com/office/drawing/2014/main" id="{441bed67-e697-40c7-b102-a216840d2e62}"/>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Map Visualization </a:t>
          </a:r>
        </a:p>
      </xdr:txBody>
    </xdr:sp>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16</xdr:col>
      <xdr:colOff>104775</xdr:colOff>
      <xdr:row>1</xdr:row>
      <xdr:rowOff>0</xdr:rowOff>
    </xdr:to>
    <xdr:pic>
      <xdr:nvPicPr>
        <xdr:cNvPr id="2" name="eFrame Top Banner">
          <a:extLst>
            <a:ext uri="{FF2B5EF4-FFF2-40B4-BE49-F238E27FC236}">
              <a16:creationId xmlns:a16="http://schemas.microsoft.com/office/drawing/2014/main" id="{8ec09435-dc58-42bc-972c-5426a5a6f729}"/>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29</xdr:col>
      <xdr:colOff>390525</xdr:colOff>
      <xdr:row>0</xdr:row>
      <xdr:rowOff>495300</xdr:rowOff>
    </xdr:to>
    <xdr:sp>
      <xdr:nvSpPr>
        <xdr:cNvPr id="3" name="TextBox 3">
          <a:extLst>
            <a:ext uri="{FF2B5EF4-FFF2-40B4-BE49-F238E27FC236}">
              <a16:creationId xmlns:a16="http://schemas.microsoft.com/office/drawing/2014/main" id="{f2c584d3-6fe6-46e2-b8b2-c46af07e1b1e}"/>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Masterdata</a:t>
          </a:r>
        </a:p>
      </xdr:txBody>
    </xdr:sp>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11</xdr:col>
      <xdr:colOff>1314450</xdr:colOff>
      <xdr:row>1</xdr:row>
      <xdr:rowOff>0</xdr:rowOff>
    </xdr:to>
    <xdr:pic>
      <xdr:nvPicPr>
        <xdr:cNvPr id="3" name="eFrame Top Banner">
          <a:extLst>
            <a:ext uri="{FF2B5EF4-FFF2-40B4-BE49-F238E27FC236}">
              <a16:creationId xmlns:a16="http://schemas.microsoft.com/office/drawing/2014/main" id="{9af0d6f4-09b3-47a8-9b5c-020b6e5ad668}"/>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20</xdr:col>
      <xdr:colOff>342900</xdr:colOff>
      <xdr:row>0</xdr:row>
      <xdr:rowOff>495300</xdr:rowOff>
    </xdr:to>
    <xdr:sp>
      <xdr:nvSpPr>
        <xdr:cNvPr id="4" name="TextBox 4">
          <a:extLst>
            <a:ext uri="{FF2B5EF4-FFF2-40B4-BE49-F238E27FC236}">
              <a16:creationId xmlns:a16="http://schemas.microsoft.com/office/drawing/2014/main" id="{7bd0cc08-b78b-4891-84dd-cfca769d5682}"/>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Masterdata</a:t>
          </a:r>
        </a:p>
      </xdr:txBody>
    </xdr:sp>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18</xdr:col>
      <xdr:colOff>523875</xdr:colOff>
      <xdr:row>1</xdr:row>
      <xdr:rowOff>0</xdr:rowOff>
    </xdr:to>
    <xdr:pic>
      <xdr:nvPicPr>
        <xdr:cNvPr id="2" name="eFrame Top Banner">
          <a:extLst>
            <a:ext uri="{FF2B5EF4-FFF2-40B4-BE49-F238E27FC236}">
              <a16:creationId xmlns:a16="http://schemas.microsoft.com/office/drawing/2014/main" id="{fed0a246-fe7e-49e6-a61c-3765a1594517}"/>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32</xdr:col>
      <xdr:colOff>200025</xdr:colOff>
      <xdr:row>0</xdr:row>
      <xdr:rowOff>495300</xdr:rowOff>
    </xdr:to>
    <xdr:sp>
      <xdr:nvSpPr>
        <xdr:cNvPr id="3" name="TextBox 3">
          <a:extLst>
            <a:ext uri="{FF2B5EF4-FFF2-40B4-BE49-F238E27FC236}">
              <a16:creationId xmlns:a16="http://schemas.microsoft.com/office/drawing/2014/main" id="{2c069b91-48a6-4c51-ab23-0cc8ecc73f4e}"/>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Masterdata</a:t>
          </a:r>
        </a:p>
      </xdr:txBody>
    </xdr:sp>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11</xdr:col>
      <xdr:colOff>695325</xdr:colOff>
      <xdr:row>1</xdr:row>
      <xdr:rowOff>0</xdr:rowOff>
    </xdr:to>
    <xdr:pic>
      <xdr:nvPicPr>
        <xdr:cNvPr id="4" name="eFrame Top Banner">
          <a:extLst>
            <a:ext uri="{FF2B5EF4-FFF2-40B4-BE49-F238E27FC236}">
              <a16:creationId xmlns:a16="http://schemas.microsoft.com/office/drawing/2014/main" id="{dc287c78-5fcb-49f9-a78c-fa8ce93b9a5c}"/>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20</xdr:col>
      <xdr:colOff>542925</xdr:colOff>
      <xdr:row>0</xdr:row>
      <xdr:rowOff>495300</xdr:rowOff>
    </xdr:to>
    <xdr:sp>
      <xdr:nvSpPr>
        <xdr:cNvPr id="5" name="TextBox 5">
          <a:extLst>
            <a:ext uri="{FF2B5EF4-FFF2-40B4-BE49-F238E27FC236}">
              <a16:creationId xmlns:a16="http://schemas.microsoft.com/office/drawing/2014/main" id="{a1047309-851a-420c-a516-c1e0f8437c7b}"/>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Masterdata</a:t>
          </a:r>
        </a:p>
      </xdr:txBody>
    </xdr:sp>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15</xdr:col>
      <xdr:colOff>95250</xdr:colOff>
      <xdr:row>1</xdr:row>
      <xdr:rowOff>0</xdr:rowOff>
    </xdr:to>
    <xdr:pic>
      <xdr:nvPicPr>
        <xdr:cNvPr id="3" name="eFrame Top Banner">
          <a:extLst>
            <a:ext uri="{FF2B5EF4-FFF2-40B4-BE49-F238E27FC236}">
              <a16:creationId xmlns:a16="http://schemas.microsoft.com/office/drawing/2014/main" id="{6b15f2a3-5fa5-4988-9f0c-ba4402d5381f}"/>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28</xdr:col>
      <xdr:colOff>381000</xdr:colOff>
      <xdr:row>0</xdr:row>
      <xdr:rowOff>495300</xdr:rowOff>
    </xdr:to>
    <xdr:sp>
      <xdr:nvSpPr>
        <xdr:cNvPr id="4" name="TextBox 4">
          <a:extLst>
            <a:ext uri="{FF2B5EF4-FFF2-40B4-BE49-F238E27FC236}">
              <a16:creationId xmlns:a16="http://schemas.microsoft.com/office/drawing/2014/main" id="{94ff6ac6-de18-4872-8f1e-966a263c0b9a}"/>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Contractual arrangements</a:t>
          </a:r>
        </a:p>
      </xdr:txBody>
    </xdr:sp>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11</xdr:col>
      <xdr:colOff>1314450</xdr:colOff>
      <xdr:row>1</xdr:row>
      <xdr:rowOff>0</xdr:rowOff>
    </xdr:to>
    <xdr:pic>
      <xdr:nvPicPr>
        <xdr:cNvPr id="2" name="eFrame Top Banner">
          <a:extLst>
            <a:ext uri="{FF2B5EF4-FFF2-40B4-BE49-F238E27FC236}">
              <a16:creationId xmlns:a16="http://schemas.microsoft.com/office/drawing/2014/main" id="{c112303e-2a85-4dbd-9a5d-b83809fc9f5a}"/>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17</xdr:col>
      <xdr:colOff>952500</xdr:colOff>
      <xdr:row>0</xdr:row>
      <xdr:rowOff>495300</xdr:rowOff>
    </xdr:to>
    <xdr:sp>
      <xdr:nvSpPr>
        <xdr:cNvPr id="3" name="TextBox 2">
          <a:extLst>
            <a:ext uri="{FF2B5EF4-FFF2-40B4-BE49-F238E27FC236}">
              <a16:creationId xmlns:a16="http://schemas.microsoft.com/office/drawing/2014/main" id="{a43bb4d7-2cc8-45a3-a781-42053c33a3d5}"/>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Contractual arrangements</a:t>
          </a:r>
        </a:p>
      </xdr:txBody>
    </xdr:sp>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22</xdr:col>
      <xdr:colOff>342900</xdr:colOff>
      <xdr:row>1</xdr:row>
      <xdr:rowOff>0</xdr:rowOff>
    </xdr:to>
    <xdr:pic>
      <xdr:nvPicPr>
        <xdr:cNvPr id="2" name="eFrame Top Banner">
          <a:extLst>
            <a:ext uri="{FF2B5EF4-FFF2-40B4-BE49-F238E27FC236}">
              <a16:creationId xmlns:a16="http://schemas.microsoft.com/office/drawing/2014/main" id="{9a5d99be-026a-4902-9c2d-dea87ab815ea}"/>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36</xdr:col>
      <xdr:colOff>19050</xdr:colOff>
      <xdr:row>0</xdr:row>
      <xdr:rowOff>495300</xdr:rowOff>
    </xdr:to>
    <xdr:sp>
      <xdr:nvSpPr>
        <xdr:cNvPr id="3" name="TextBox 2">
          <a:extLst>
            <a:ext uri="{FF2B5EF4-FFF2-40B4-BE49-F238E27FC236}">
              <a16:creationId xmlns:a16="http://schemas.microsoft.com/office/drawing/2014/main" id="{e1f484cc-ff92-4543-94c1-978244e493c3}"/>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Connecting tables</a:t>
          </a:r>
        </a:p>
      </xdr:txBody>
    </xdr:sp>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22</xdr:col>
      <xdr:colOff>342900</xdr:colOff>
      <xdr:row>1</xdr:row>
      <xdr:rowOff>0</xdr:rowOff>
    </xdr:to>
    <xdr:pic>
      <xdr:nvPicPr>
        <xdr:cNvPr id="2" name="eFrame Top Banner">
          <a:extLst>
            <a:ext uri="{FF2B5EF4-FFF2-40B4-BE49-F238E27FC236}">
              <a16:creationId xmlns:a16="http://schemas.microsoft.com/office/drawing/2014/main" id="{ef6cea2e-c838-4128-a84b-67dfc87e12d9}"/>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36</xdr:col>
      <xdr:colOff>19050</xdr:colOff>
      <xdr:row>0</xdr:row>
      <xdr:rowOff>495300</xdr:rowOff>
    </xdr:to>
    <xdr:sp>
      <xdr:nvSpPr>
        <xdr:cNvPr id="3" name="TextBox 2">
          <a:extLst>
            <a:ext uri="{FF2B5EF4-FFF2-40B4-BE49-F238E27FC236}">
              <a16:creationId xmlns:a16="http://schemas.microsoft.com/office/drawing/2014/main" id="{cd6bcd11-285d-4428-a565-742f717a5692}"/>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Connecting tables</a:t>
          </a:r>
        </a:p>
      </xdr:txBody>
    </xdr:sp>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21</xdr:col>
      <xdr:colOff>133350</xdr:colOff>
      <xdr:row>1</xdr:row>
      <xdr:rowOff>0</xdr:rowOff>
    </xdr:to>
    <xdr:pic>
      <xdr:nvPicPr>
        <xdr:cNvPr id="2" name="eFrame Top Banner">
          <a:extLst>
            <a:ext uri="{FF2B5EF4-FFF2-40B4-BE49-F238E27FC236}">
              <a16:creationId xmlns:a16="http://schemas.microsoft.com/office/drawing/2014/main" id="{33124ab0-bf82-42a2-9824-e61160a8747d}"/>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34</xdr:col>
      <xdr:colOff>419100</xdr:colOff>
      <xdr:row>0</xdr:row>
      <xdr:rowOff>495300</xdr:rowOff>
    </xdr:to>
    <xdr:sp>
      <xdr:nvSpPr>
        <xdr:cNvPr id="3" name="TextBox 2">
          <a:extLst>
            <a:ext uri="{FF2B5EF4-FFF2-40B4-BE49-F238E27FC236}">
              <a16:creationId xmlns:a16="http://schemas.microsoft.com/office/drawing/2014/main" id="{14a7ad98-5972-4233-a05a-688624b283f1}"/>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Connecting tables</a:t>
          </a:r>
        </a:p>
      </xdr:txBody>
    </xdr:sp>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22</xdr:col>
      <xdr:colOff>342900</xdr:colOff>
      <xdr:row>1</xdr:row>
      <xdr:rowOff>0</xdr:rowOff>
    </xdr:to>
    <xdr:pic>
      <xdr:nvPicPr>
        <xdr:cNvPr id="2" name="eFrame Top Banner">
          <a:extLst>
            <a:ext uri="{FF2B5EF4-FFF2-40B4-BE49-F238E27FC236}">
              <a16:creationId xmlns:a16="http://schemas.microsoft.com/office/drawing/2014/main" id="{85f424f2-587b-4e98-a3ba-3cc1f4176c22}"/>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36</xdr:col>
      <xdr:colOff>19050</xdr:colOff>
      <xdr:row>0</xdr:row>
      <xdr:rowOff>495300</xdr:rowOff>
    </xdr:to>
    <xdr:sp>
      <xdr:nvSpPr>
        <xdr:cNvPr id="3" name="TextBox 2">
          <a:extLst>
            <a:ext uri="{FF2B5EF4-FFF2-40B4-BE49-F238E27FC236}">
              <a16:creationId xmlns:a16="http://schemas.microsoft.com/office/drawing/2014/main" id="{79afeca9-e92e-4034-8fdb-aca1e87deebd}"/>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Connecting tables</a:t>
          </a:r>
        </a:p>
      </xdr:txBody>
    </xdr:sp>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18</xdr:col>
      <xdr:colOff>523875</xdr:colOff>
      <xdr:row>1</xdr:row>
      <xdr:rowOff>0</xdr:rowOff>
    </xdr:to>
    <xdr:pic>
      <xdr:nvPicPr>
        <xdr:cNvPr id="2" name="eFrame Top Banner">
          <a:extLst>
            <a:ext uri="{FF2B5EF4-FFF2-40B4-BE49-F238E27FC236}">
              <a16:creationId xmlns:a16="http://schemas.microsoft.com/office/drawing/2014/main" id="{15ede86b-bdcc-4fcc-9678-78c12fb4a36d}"/>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32</xdr:col>
      <xdr:colOff>200025</xdr:colOff>
      <xdr:row>0</xdr:row>
      <xdr:rowOff>495300</xdr:rowOff>
    </xdr:to>
    <xdr:sp>
      <xdr:nvSpPr>
        <xdr:cNvPr id="3" name="TextBox 3">
          <a:extLst>
            <a:ext uri="{FF2B5EF4-FFF2-40B4-BE49-F238E27FC236}">
              <a16:creationId xmlns:a16="http://schemas.microsoft.com/office/drawing/2014/main" id="{0e3f8ea8-80f5-4ff9-b7af-9d97f00e0498}"/>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Connecting tables</a:t>
          </a:r>
        </a:p>
      </xdr:txBody>
    </xdr:sp>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17</xdr:col>
      <xdr:colOff>114300</xdr:colOff>
      <xdr:row>1</xdr:row>
      <xdr:rowOff>0</xdr:rowOff>
    </xdr:to>
    <xdr:pic>
      <xdr:nvPicPr>
        <xdr:cNvPr id="2" name="eFrame Top Banner">
          <a:extLst>
            <a:ext uri="{FF2B5EF4-FFF2-40B4-BE49-F238E27FC236}">
              <a16:creationId xmlns:a16="http://schemas.microsoft.com/office/drawing/2014/main" id="{f404bb76-dd4e-4ea4-b26b-a10394c4af5e}"/>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30</xdr:col>
      <xdr:colOff>400050</xdr:colOff>
      <xdr:row>0</xdr:row>
      <xdr:rowOff>495300</xdr:rowOff>
    </xdr:to>
    <xdr:sp>
      <xdr:nvSpPr>
        <xdr:cNvPr id="3" name="TextBox 2">
          <a:extLst>
            <a:ext uri="{FF2B5EF4-FFF2-40B4-BE49-F238E27FC236}">
              <a16:creationId xmlns:a16="http://schemas.microsoft.com/office/drawing/2014/main" id="{8cb10a08-a3c7-489d-ab2d-3450e9d708cc}"/>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Other</a:t>
          </a:r>
        </a:p>
      </xdr:txBody>
    </xdr:sp>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11</xdr:col>
      <xdr:colOff>1314450</xdr:colOff>
      <xdr:row>1</xdr:row>
      <xdr:rowOff>0</xdr:rowOff>
    </xdr:to>
    <xdr:pic>
      <xdr:nvPicPr>
        <xdr:cNvPr id="4" name="eFrame Top Banner">
          <a:extLst>
            <a:ext uri="{FF2B5EF4-FFF2-40B4-BE49-F238E27FC236}">
              <a16:creationId xmlns:a16="http://schemas.microsoft.com/office/drawing/2014/main" id="{93dbd494-1edf-4a71-b3b6-9e08c77ecd9d}"/>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19</xdr:col>
      <xdr:colOff>333375</xdr:colOff>
      <xdr:row>0</xdr:row>
      <xdr:rowOff>495300</xdr:rowOff>
    </xdr:to>
    <xdr:sp>
      <xdr:nvSpPr>
        <xdr:cNvPr id="5" name="TextBox 5">
          <a:extLst>
            <a:ext uri="{FF2B5EF4-FFF2-40B4-BE49-F238E27FC236}">
              <a16:creationId xmlns:a16="http://schemas.microsoft.com/office/drawing/2014/main" id="{ea1ba245-ec00-4949-9841-90dd65d9da39}"/>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Other</a:t>
          </a:r>
        </a:p>
      </xdr:txBody>
    </xdr:sp>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11</xdr:col>
      <xdr:colOff>1314450</xdr:colOff>
      <xdr:row>1</xdr:row>
      <xdr:rowOff>0</xdr:rowOff>
    </xdr:to>
    <xdr:pic>
      <xdr:nvPicPr>
        <xdr:cNvPr id="7" name="eFrame Top Banner">
          <a:extLst>
            <a:ext uri="{FF2B5EF4-FFF2-40B4-BE49-F238E27FC236}">
              <a16:creationId xmlns:a16="http://schemas.microsoft.com/office/drawing/2014/main" id="{95400c5b-9227-4669-b3ca-0fedf7ba2904}"/>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16</xdr:col>
      <xdr:colOff>523875</xdr:colOff>
      <xdr:row>0</xdr:row>
      <xdr:rowOff>495300</xdr:rowOff>
    </xdr:to>
    <xdr:sp>
      <xdr:nvSpPr>
        <xdr:cNvPr id="8" name="TextBox 8">
          <a:extLst>
            <a:ext uri="{FF2B5EF4-FFF2-40B4-BE49-F238E27FC236}">
              <a16:creationId xmlns:a16="http://schemas.microsoft.com/office/drawing/2014/main" id="{1610fef2-8060-4556-b727-0392564cf7ae}"/>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Other</a:t>
          </a:r>
        </a:p>
      </xdr:txBody>
    </xdr:sp>
    <xdr:clientData/>
  </xdr:two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11</xdr:col>
      <xdr:colOff>647700</xdr:colOff>
      <xdr:row>1</xdr:row>
      <xdr:rowOff>0</xdr:rowOff>
    </xdr:to>
    <xdr:pic>
      <xdr:nvPicPr>
        <xdr:cNvPr id="2" name="eFrame Top Banner">
          <a:extLst>
            <a:ext uri="{FF2B5EF4-FFF2-40B4-BE49-F238E27FC236}">
              <a16:creationId xmlns:a16="http://schemas.microsoft.com/office/drawing/2014/main" id="{ec8e0679-c3e2-450b-9b4b-a83b4f2a66e4}"/>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17</xdr:col>
      <xdr:colOff>285750</xdr:colOff>
      <xdr:row>0</xdr:row>
      <xdr:rowOff>495300</xdr:rowOff>
    </xdr:to>
    <xdr:sp>
      <xdr:nvSpPr>
        <xdr:cNvPr id="3" name="TextBox 2">
          <a:extLst>
            <a:ext uri="{FF2B5EF4-FFF2-40B4-BE49-F238E27FC236}">
              <a16:creationId xmlns:a16="http://schemas.microsoft.com/office/drawing/2014/main" id="{41c13920-6cdc-4599-a283-83444fb2ac68}"/>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Internal_definitions</a:t>
          </a:r>
        </a:p>
      </xdr:txBody>
    </xdr:sp>
    <xdr:clientData/>
  </xdr:two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26</xdr:col>
      <xdr:colOff>0</xdr:colOff>
      <xdr:row>1</xdr:row>
      <xdr:rowOff>0</xdr:rowOff>
    </xdr:to>
    <xdr:pic>
      <xdr:nvPicPr>
        <xdr:cNvPr id="2" name="eFrame Top Banner">
          <a:extLst>
            <a:ext uri="{FF2B5EF4-FFF2-40B4-BE49-F238E27FC236}">
              <a16:creationId xmlns:a16="http://schemas.microsoft.com/office/drawing/2014/main" id="{ab55d06f-4919-4b7a-ab94-e5cd47d226aa}"/>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39</xdr:col>
      <xdr:colOff>285750</xdr:colOff>
      <xdr:row>0</xdr:row>
      <xdr:rowOff>495300</xdr:rowOff>
    </xdr:to>
    <xdr:sp>
      <xdr:nvSpPr>
        <xdr:cNvPr id="3" name="TextBox 2">
          <a:extLst>
            <a:ext uri="{FF2B5EF4-FFF2-40B4-BE49-F238E27FC236}">
              <a16:creationId xmlns:a16="http://schemas.microsoft.com/office/drawing/2014/main" id="{9421c175-38e4-460b-83d1-78573774486b}"/>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r>
            <a:rPr lang="en-US" sz="1600" u="none" b="1" baseline="0">
              <a:solidFill>
                <a:schemeClr val="bg1"/>
              </a:solidFill>
              <a:latin typeface="Arial"/>
              <a:ea typeface="Arial"/>
              <a:cs typeface="Arial"/>
            </a:rPr>
            <a:t>QRT</a:t>
          </a:r>
        </a:p>
      </xdr:txBody>
    </xdr:sp>
    <xdr:clientData/>
  </xdr:two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1</xdr:col>
      <xdr:colOff>762000</xdr:colOff>
      <xdr:row>5</xdr:row>
      <xdr:rowOff>66675</xdr:rowOff>
    </xdr:from>
    <xdr:ext cx="180975" cy="266700"/>
    <xdr:sp>
      <xdr:nvSpPr>
        <xdr:cNvPr id="2" name="TextBox 17">
          <a:extLst>
            <a:ext uri="{FF2B5EF4-FFF2-40B4-BE49-F238E27FC236}">
              <a16:creationId xmlns:a16="http://schemas.microsoft.com/office/drawing/2014/main" id="{6884a598-08de-4b69-9c6b-b61cc7e4928e}"/>
            </a:ext>
          </a:extLst>
        </xdr:cNvPr>
        <xdr:cNvSpPr txBox="1"/>
      </xdr:nvSpPr>
      <xdr:spPr>
        <a:xfrm>
          <a:off x="1371600" y="2324100"/>
          <a:ext cx="180975" cy="266700"/>
        </a:xfrm>
        <a:prstGeom prst="rect"/>
        <a:noFill/>
      </xdr:spPr>
      <xdr:style>
        <a:lnRef idx="0">
          <a:srgbClr val="000000"/>
        </a:lnRef>
        <a:fillRef idx="0">
          <a:srgbClr val="000000"/>
        </a:fillRef>
        <a:effectRef idx="0">
          <a:srgbClr val="00000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xdr:col>
      <xdr:colOff>304800</xdr:colOff>
      <xdr:row>1</xdr:row>
      <xdr:rowOff>190500</xdr:rowOff>
    </xdr:from>
    <xdr:ext cx="561975" cy="600075"/>
    <xdr:pic>
      <xdr:nvPicPr>
        <xdr:cNvPr id="4" name="Picture 3">
          <a:extLst>
            <a:ext uri="{FF2B5EF4-FFF2-40B4-BE49-F238E27FC236}">
              <a16:creationId xmlns:a16="http://schemas.microsoft.com/office/drawing/2014/main" id="{eab0722e-aca3-4fa6-9caf-faae9e2459f8}"/>
            </a:ext>
          </a:extLst>
        </xdr:cNvPr>
        <xdr:cNvPicPr>
          <a:picLocks noChangeAspect="1"/>
        </xdr:cNvPicPr>
      </xdr:nvPicPr>
      <xdr:blipFill>
        <a:blip r:embed="rId1">
          <a:extLst>
            <a:ext uri="{28A0092B-C50C-407E-A947-70E740481C1C}">
              <a14:useLocalDpi xmlns:a14="http://schemas.microsoft.com/office/drawing/2010/main"/>
            </a:ext>
            <a:ext uri="{BEBA8EAE-BF5A-486C-A8C5-ECC9F3942E4B}">
              <a14:imgProps>
                <a14:imgLayer r:embed="rId2">
                  <a14:imgEffect>
                    <a14:brightnessContrast bright="20000" contrast="-40000"/>
                  </a14:imgEffect>
                </a14:imgLayer>
              </a14:imgProps>
            </a:ext>
          </a:extLst>
        </a:blip>
        <a:stretch>
          <a:fillRect/>
        </a:stretch>
      </xdr:blipFill>
      <xdr:spPr>
        <a:xfrm>
          <a:off x="914400" y="685800"/>
          <a:ext cx="561975" cy="600075"/>
        </a:xfrm>
        <a:prstGeom prst="rect"/>
      </xdr:spPr>
    </xdr:pic>
    <xdr:clientData/>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oneCellAnchor>
    <xdr:from>
      <xdr:col>1</xdr:col>
      <xdr:colOff>762000</xdr:colOff>
      <xdr:row>5</xdr:row>
      <xdr:rowOff>66675</xdr:rowOff>
    </xdr:from>
    <xdr:ext cx="180975" cy="266700"/>
    <xdr:sp>
      <xdr:nvSpPr>
        <xdr:cNvPr id="2" name="TextBox 1">
          <a:extLst>
            <a:ext uri="{FF2B5EF4-FFF2-40B4-BE49-F238E27FC236}">
              <a16:creationId xmlns:a16="http://schemas.microsoft.com/office/drawing/2014/main" id="{7ae30208-4687-4795-a4ce-96175b3b7ca6}"/>
            </a:ext>
          </a:extLst>
        </xdr:cNvPr>
        <xdr:cNvSpPr txBox="1"/>
      </xdr:nvSpPr>
      <xdr:spPr>
        <a:xfrm>
          <a:off x="1371600" y="2628900"/>
          <a:ext cx="180975" cy="266700"/>
        </a:xfrm>
        <a:prstGeom prst="rect"/>
        <a:noFill/>
      </xdr:spPr>
      <xdr:style>
        <a:lnRef idx="0">
          <a:srgbClr val="000000"/>
        </a:lnRef>
        <a:fillRef idx="0">
          <a:srgbClr val="000000"/>
        </a:fillRef>
        <a:effectRef idx="0">
          <a:srgbClr val="00000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2</xdr:col>
      <xdr:colOff>533400</xdr:colOff>
      <xdr:row>1</xdr:row>
      <xdr:rowOff>314325</xdr:rowOff>
    </xdr:from>
    <xdr:ext cx="447675" cy="762000"/>
    <xdr:pic>
      <xdr:nvPicPr>
        <xdr:cNvPr id="3" name="Picture 2">
          <a:extLst>
            <a:ext uri="{FF2B5EF4-FFF2-40B4-BE49-F238E27FC236}">
              <a16:creationId xmlns:a16="http://schemas.microsoft.com/office/drawing/2014/main" id="{4d5b0fe9-5966-4f6c-9c85-de157fb29a7d}"/>
            </a:ext>
          </a:extLst>
        </xdr:cNvPr>
        <xdr:cNvPicPr>
          <a:picLocks noChangeAspect="1"/>
        </xdr:cNvPicPr>
      </xdr:nvPicPr>
      <xdr:blipFill>
        <a:blip r:embed="rId1">
          <a:extLst>
            <a:ext uri="{28A0092B-C50C-407E-A947-70E740481C1C}">
              <a14:useLocalDpi xmlns:a14="http://schemas.microsoft.com/office/drawing/2010/main"/>
            </a:ext>
            <a:ext uri="{BEBA8EAE-BF5A-486C-A8C5-ECC9F3942E4B}">
              <a14:imgProps>
                <a14:imgLayer r:embed="rId2">
                  <a14:imgEffect>
                    <a14:brightnessContrast bright="20000" contrast="-40000"/>
                  </a14:imgEffect>
                </a14:imgLayer>
              </a14:imgProps>
            </a:ext>
          </a:extLst>
        </a:blip>
        <a:stretch>
          <a:fillRect/>
        </a:stretch>
      </xdr:blipFill>
      <xdr:spPr>
        <a:xfrm>
          <a:off x="3676650" y="885825"/>
          <a:ext cx="447675" cy="762000"/>
        </a:xfrm>
        <a:prstGeom prst="rect"/>
      </xdr:spPr>
    </xdr:pic>
    <xdr:clientData/>
  </xdr:oneCellAnchor>
  <xdr:twoCellAnchor editAs="oneCell">
    <xdr:from>
      <xdr:col>1</xdr:col>
      <xdr:colOff>247650</xdr:colOff>
      <xdr:row>1</xdr:row>
      <xdr:rowOff>85725</xdr:rowOff>
    </xdr:from>
    <xdr:to>
      <xdr:col>1</xdr:col>
      <xdr:colOff>2162810</xdr:colOff>
      <xdr:row>1</xdr:row>
      <xdr:rowOff>1190625</xdr:rowOff>
    </xdr:to>
    <xdr:pic>
      <xdr:nvPicPr>
        <xdr:cNvPr id="4" name="Picture 3">
          <a:extLst>
            <a:ext uri="{FF2B5EF4-FFF2-40B4-BE49-F238E27FC236}">
              <a16:creationId xmlns:a16="http://schemas.microsoft.com/office/drawing/2014/main" id="{424fb896-91e0-380a-f2b9-07c072c06974}"/>
            </a:ext>
          </a:extLst>
        </xdr:cNvPr>
        <xdr:cNvPicPr>
          <a:picLocks noChangeAspect="1"/>
        </xdr:cNvPicPr>
      </xdr:nvPicPr>
      <xdr:blipFill>
        <a:blip r:embed="rId3">
          <a:duotone>
            <a:schemeClr val="accent1">
              <a:shade val="45000"/>
              <a:satMod val="135000"/>
            </a:schemeClr>
            <a:srgbClr val="FFFFFF"/>
          </a:duotone>
          <a:extLst>
            <a:ext uri="{BEBA8EAE-BF5A-486C-A8C5-ECC9F3942E4B}">
              <a14:imgProps>
                <a14:imgLayer r:embed="rId4">
                  <a14:imgEffect>
                    <a14:saturation sat="398000"/>
                  </a14:imgEffect>
                  <a14:imgEffect>
                    <a14:brightnessContrast bright="40000" contrast="40000"/>
                  </a14:imgEffect>
                </a14:imgLayer>
              </a14:imgProps>
            </a:ext>
          </a:extLst>
        </a:blip>
        <a:stretch>
          <a:fillRect/>
        </a:stretch>
      </xdr:blipFill>
      <xdr:spPr>
        <a:xfrm>
          <a:off x="857250" y="657225"/>
          <a:ext cx="1914525" cy="1104900"/>
        </a:xfrm>
        <a:prstGeom prst="rect"/>
      </xdr:spPr>
    </xdr:pic>
    <xdr:clientData/>
  </xdr:two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0</xdr:row>
      <xdr:rowOff>0</xdr:rowOff>
    </xdr:from>
    <xdr:to>
      <xdr:col>23</xdr:col>
      <xdr:colOff>180975</xdr:colOff>
      <xdr:row>1</xdr:row>
      <xdr:rowOff>0</xdr:rowOff>
    </xdr:to>
    <xdr:pic>
      <xdr:nvPicPr>
        <xdr:cNvPr id="2" name="eFrame Top Banner">
          <a:extLst>
            <a:ext uri="{FF2B5EF4-FFF2-40B4-BE49-F238E27FC236}">
              <a16:creationId xmlns:a16="http://schemas.microsoft.com/office/drawing/2014/main" id="{a6addf91-dbbe-43ac-9360-a0e130ac48c7}"/>
            </a:ext>
          </a:extLst>
        </xdr:cNvPr>
        <xdr:cNvPicPr>
          <a:picLocks noChangeAspect="1"/>
        </xdr:cNvPicPr>
      </xdr:nvPicPr>
      <xdr:blipFill>
        <a:blip r:embed="rId1"/>
        <a:stretch>
          <a:fillRect/>
        </a:stretch>
      </xdr:blipFill>
      <xdr:spPr>
        <a:xfrm>
          <a:off x="0" y="0"/>
          <a:ext cx="16049625" cy="571500"/>
        </a:xfrm>
        <a:prstGeom prst="rect"/>
      </xdr:spPr>
    </xdr:pic>
    <xdr:clientData/>
  </xdr:twoCellAnchor>
  <xdr:twoCellAnchor editAs="absolute">
    <xdr:from>
      <xdr:col>1</xdr:col>
      <xdr:colOff>0</xdr:colOff>
      <xdr:row>0</xdr:row>
      <xdr:rowOff>114300</xdr:rowOff>
    </xdr:from>
    <xdr:to>
      <xdr:col>29</xdr:col>
      <xdr:colOff>419100</xdr:colOff>
      <xdr:row>0</xdr:row>
      <xdr:rowOff>495300</xdr:rowOff>
    </xdr:to>
    <xdr:sp>
      <xdr:nvSpPr>
        <xdr:cNvPr id="3" name="TextBox 2">
          <a:extLst>
            <a:ext uri="{FF2B5EF4-FFF2-40B4-BE49-F238E27FC236}">
              <a16:creationId xmlns:a16="http://schemas.microsoft.com/office/drawing/2014/main" id="{95dacf49-681d-4bd1-948b-56dc3aea654d}"/>
            </a:ext>
          </a:extLst>
        </xdr:cNvPr>
        <xdr:cNvSpPr txBox="1"/>
      </xdr:nvSpPr>
      <xdr:spPr>
        <a:xfrm>
          <a:off x="447675" y="114300"/>
          <a:ext cx="23812500" cy="381000"/>
        </a:xfrm>
        <a:prstGeom prst="rect"/>
        <a:noFill/>
        <a:ln w="9525">
          <a:noFill/>
        </a:ln>
      </xdr:spPr>
      <xdr:style>
        <a:lnRef idx="2">
          <a:schemeClr val="accent1">
            <a:shade val="50000"/>
          </a:schemeClr>
        </a:lnRef>
        <a:fillRef idx="1">
          <a:schemeClr val="accent1"/>
        </a:fillRef>
        <a:effectRef idx="0">
          <a:schemeClr val="accent1"/>
        </a:effectRef>
        <a:fontRef idx="minor">
          <a:schemeClr val="tx1"/>
        </a:fontRef>
      </xdr:style>
      <xdr:txBody>
        <a:bodyPr/>
        <a:lstStyle/>
        <a:p>
          <a:pPr>
            <a:defRPr lang="en-US" sz="1600" u="none" b="1" baseline="0">
              <a:solidFill>
                <a:schemeClr val="bg1"/>
              </a:solidFill>
              <a:latin typeface="Arial"/>
              <a:ea typeface="Arial"/>
              <a:cs typeface="Arial"/>
            </a:defRPr>
          </a:pPr>
        </a:p>
      </xdr:txBody>
    </xdr:sp>
    <xdr:clientData/>
  </xdr:twoCellAnchor>
</xdr:wsDr>
</file>

<file path=xl/externalLinks/_rels/externalLink1.xml.rels><?xml version="1.0" encoding="UTF-8" standalone="yes"?><Relationships xmlns="http://schemas.openxmlformats.org/package/2006/relationships"><Relationship Id="rId1" Type="http://schemas.openxmlformats.org/officeDocument/2006/relationships/externalLinkPath" Target="/dev/taxonomy-eiopa-solvencyii/config/validation-template.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Validations"/>
      <sheetName val="vcat"/>
      <sheetName val="vp"/>
      <sheetName val="images"/>
      <sheetName val="Validation Results"/>
    </sheetNames>
    <sheetDataSet>
      <sheetData sheetId="0"/>
      <sheetData sheetId="1"/>
      <sheetData sheetId="2"/>
      <sheetData sheetId="3"/>
      <sheetData sheetId="4">
        <row r="6">
          <cell r="U6">
            <v>0</v>
          </cell>
        </row>
        <row r="7">
          <cell r="U7">
            <v>0</v>
          </cell>
        </row>
      </sheetData>
    </sheetDataSet>
  </externalBook>
</externalLink>
</file>

<file path=xl/tables/table1.xml><?xml version="1.0" encoding="utf-8"?>
<table xmlns="http://schemas.openxmlformats.org/spreadsheetml/2006/main" id="39" name="value_assertions" displayName="value_assertions" ref="C23:K104" totalsRowShown="0" dataDxfId="254" tableBorderDxfId="253" totalsRowBorderDxfId="252" headerRowCellStyle="SF_TABLE_HEADER" dataCellStyle="SF_ROW_LABEL_1">
  <autoFilter ref="C23:K104"/>
  <tableColumns count="9">
    <tableColumn id="1" name="Status" dataDxfId="251" dataCellStyle="SF_ROW_LABEL_1"/>
    <tableColumn id="2" name="Precondition" dataDxfId="250" dataCellStyle="SF_ROW_LABEL_1"/>
    <tableColumn id="3" name="Validation" dataDxfId="249" dataCellStyle="SF_ROW_LABEL_1"/>
    <tableColumn id="4" name="Category" dataDxfId="248" dataCellStyle="SF_ROW_LABEL_1"/>
    <tableColumn id="5" name="Sub Category" dataDxfId="247" dataCellStyle="SF_ROW_LABEL_1"/>
    <tableColumn id="6" name="Description" dataDxfId="246" dataCellStyle="SF_ROW_LABEL_1"/>
    <tableColumn id="8" name="Severity" dataDxfId="245" dataCellStyle="SF_ROW_LABEL_1"/>
    <tableColumn id="9" name="Code" dataDxfId="244" dataCellStyle="SF_ROW_LABEL_1"/>
    <tableColumn id="7" name="Category orig" dataDxfId="243" dataCellStyle="SF_ROW_LABEL_1"/>
  </tableColumns>
  <tableStyleInfo name="empty" showFirstColumn="0" showLastColumn="0" showRowStripes="0" showColumnStripes="0"/>
</table>
</file>

<file path=xl/tables/table2.xml><?xml version="1.0" encoding="utf-8"?>
<table xmlns="http://schemas.openxmlformats.org/spreadsheetml/2006/main" id="6" name="DB_02.01" displayName="DB_02.01" ref="C7:I17" totalsRowShown="0" headerRowDxfId="242" tableBorderDxfId="240" headerRowBorderDxfId="241" totalsRowBorderDxfId="239" headerRowCellStyle="SF_ROW_INDICATOR">
  <autoFilter ref="C7:I17"/>
  <sortState ref="C8:I17">
    <sortCondition sortBy="value" ref="E8:E17"/>
  </sortState>
  <tableColumns count="7">
    <tableColumn id="1" name="0010" dataDxfId="238" dataCellStyle="SF_DATA_CELL"/>
    <tableColumn id="9" name="description" dataDxfId="237" dataCellStyle="SF_DATA_CELL_IGNORE">
      <calculatedColumnFormula>DB_02.01[[#This Row],[0010]]&amp;"contract"</calculatedColumnFormula>
    </tableColumn>
    <tableColumn id="5" name="0050" dataDxfId="236" dataCellStyle="SF_DATA_CELL"/>
    <tableColumn id="6" name="Ranking" dataCellStyle="SF_FORMULA_ACCOUNTING">
      <calculatedColumnFormula>IF(DB_02.01[[#This Row],[0050]]="","",RANK(DB_02.01[[#This Row],[0050]],[0050]))</calculatedColumnFormula>
    </tableColumn>
    <tableColumn id="2" name="0020" dataCellStyle="SF_DATA_CELL"/>
    <tableColumn id="3" name="0030" dataCellStyle="SF_DATA_CELL"/>
    <tableColumn id="4" name="0040" dataCellStyle="SF_DATA_CELL"/>
  </tableColumns>
  <tableStyleInfo name="TableStyleMedium2" showFirstColumn="0" showLastColumn="0" showRowStripes="1" showColumnStripes="0"/>
</table>
</file>

<file path=xl/tables/table3.xml><?xml version="1.0" encoding="utf-8"?>
<table xmlns="http://schemas.openxmlformats.org/spreadsheetml/2006/main" id="7" name="B_02.02" displayName="B_02.02" ref="B15:AG25" totalsRowShown="0">
  <autoFilter ref="B15:AG25"/>
  <sortState ref="B16:AG25"/>
  <tableColumns count="32">
    <tableColumn id="1" name="0060" dataDxfId="235"/>
    <tableColumn id="23" name="description" dataDxfId="234" dataCellStyle="SF_DATA_CELL_IGNORE">
      <calculatedColumnFormula>B_02.02[[#This Row],[0010]]&amp;"contract"</calculatedColumnFormula>
    </tableColumn>
    <tableColumn id="2" name="0010" dataDxfId="233"/>
    <tableColumn id="3" name="0030"/>
    <tableColumn id="4" name="0040"/>
    <tableColumn id="5" name="0020"/>
    <tableColumn id="6" name="0050" dataDxfId="232"/>
    <tableColumn id="20" name="0051" dataCellStyle="SF_FORMULA_ACCOUNTING">
      <calculatedColumnFormula>INDEX(Table1[0050],MATCH(B_02.02[[#This Row],[0050]],Table1[0010],0))</calculatedColumnFormula>
    </tableColumn>
    <tableColumn id="7" name="0070" dataDxfId="231"/>
    <tableColumn id="8" name="0080"/>
    <tableColumn id="9" name="0090" dataDxfId="230"/>
    <tableColumn id="10" name="0100" dataDxfId="229"/>
    <tableColumn id="11" name="0110" dataDxfId="228"/>
    <tableColumn id="21" name="0110_date" dataCellStyle="SF_FORMULA_ACCOUNTING">
      <calculatedColumnFormula>IF(B_02.02[[#This Row],[0080]]="","",B_02.02[[#This Row],[0080]]-B_02.02[[#This Row],[0100]])</calculatedColumnFormula>
    </tableColumn>
    <tableColumn id="19" name="0111" dataCellStyle="SF_FORMULA_ACCOUNTING">
      <calculatedColumnFormula>IF(B_02.02[[#This Row],[0080]]="","",IF(B_02.02[[#This Row],[0080]]&gt;TODAY(),AND(B_02.02[[#This Row],[0080]]-B_02.02[[#This Row],[0100]]-45&lt;TODAY(),B_02.02[[#This Row],[0080]]-B_02.02[[#This Row],[0100]]&gt;TODAY()),"change date"))</calculatedColumnFormula>
    </tableColumn>
    <tableColumn id="22" name="0112" dataCellStyle="SF_FORMULA_ACCOUNTING">
      <calculatedColumnFormula>IF(B_02.02[[#This Row],[0111]]=TRUE,COUNTIF($P$16:P16,TRUE),"")</calculatedColumnFormula>
    </tableColumn>
    <tableColumn id="12" name="0120" dataDxfId="227"/>
    <tableColumn id="13" name="0130" dataDxfId="226" dataCellStyle="SF_DATA_CELL"/>
    <tableColumn id="14" name="0140" dataDxfId="225" dataCellStyle="SF_DATA_CELL"/>
    <tableColumn id="15" name="0150" dataDxfId="224" dataCellStyle="SF_DATA_CELL"/>
    <tableColumn id="16" name="0160" dataDxfId="223" dataCellStyle="SF_DATA_CELL"/>
    <tableColumn id="17" name="0170" dataDxfId="222" dataCellStyle="SF_DATA_CELL"/>
    <tableColumn id="18" name="0180" dataDxfId="221" dataCellStyle="SF_DATA_CELL"/>
    <tableColumn id="24" name="190" dataCellStyle="SF_FORMULA_ACCOUNTING">
      <calculatedColumnFormula>INDEX(DB_02.01[0050],MATCH(B_02.02[[#This Row],[0010]],DB_02.01[0010],0))</calculatedColumnFormula>
    </tableColumn>
    <tableColumn id="25" name="v22872_a - 1.1"/>
    <tableColumn id="26" name="v22873_a - 1.1"/>
    <tableColumn id="27" name="v22873_a - 1.2"/>
    <tableColumn id="28" name="v22873_a - 1.3"/>
    <tableColumn id="29" name="v22876_a - 1.1"/>
    <tableColumn id="30" name="v22877_a - 1.1"/>
    <tableColumn id="31" name="v22878_a - 1.1"/>
    <tableColumn id="32" name="v22880_a - 1.1"/>
  </tableColumns>
  <tableStyleInfo showFirstColumn="0" showLastColumn="0" showRowStripes="1" showColumnStripes="0"/>
</table>
</file>

<file path=xl/tables/table4.xml><?xml version="1.0" encoding="utf-8"?>
<table xmlns="http://schemas.openxmlformats.org/spreadsheetml/2006/main" id="1" name="Table1" displayName="Table1" ref="C5:G6" totalsRowShown="0" headerRowDxfId="220" tableBorderDxfId="218" headerRowBorderDxfId="219" totalsRowBorderDxfId="217" headerRowCellStyle="SF_ROW_INDICATOR" dataCellStyle="SF_DATA_CELL">
  <autoFilter ref="C5:G6"/>
  <tableColumns count="5">
    <tableColumn id="1" name="0040" dataDxfId="216" dataCellStyle="SF_DATA_CELL"/>
    <tableColumn id="2" name="0010" dataDxfId="215" dataCellStyle="SF_DATA_CELL"/>
    <tableColumn id="3" name="0020" dataDxfId="214" dataCellStyle="SF_DATA_CELL"/>
    <tableColumn id="4" name="0030" dataDxfId="213" dataCellStyle="SF_DATA_CELL"/>
    <tableColumn id="5" name="0050" dataDxfId="212" dataCellStyle="SF_DATA_CELL"/>
  </tableColumns>
  <tableStyleInfo name="TableStyleMedium9" showFirstColumn="0" showLastColumn="0" showRowStripes="1" showColumnStripes="0"/>
</table>
</file>

<file path=xl/tables/table5.xml><?xml version="1.0" encoding="utf-8"?>
<table xmlns="http://schemas.openxmlformats.org/spreadsheetml/2006/main" id="8" name="Table6" displayName="Table6" ref="B28:K262" totalsRowShown="0" headerRowDxfId="211" tableBorderDxfId="210">
  <autoFilter ref="B28:K262"/>
  <tableColumns count="10">
    <tableColumn id="1" name="Country of data at rest" dataDxfId="209"/>
    <tableColumn id="2" name="X"/>
    <tableColumn id="3" name="Y"/>
    <tableColumn id="4" name="In EU"/>
    <tableColumn id="5" name="Elsewhere"/>
    <tableColumn id="6" name="Africa"/>
    <tableColumn id="7" name="Asia"/>
    <tableColumn id="8" name="North America"/>
    <tableColumn id="9" name="South America"/>
    <tableColumn id="10" name="Column1" dataDxfId="208">
      <calculatedColumnFormula>IF(NOT(ISERROR(MATCH(Table6[[#This Row],[Country of data at rest]],B_02.02[0150],0))),TRUE,FALSE)</calculatedColumnFormula>
    </tableColumn>
  </tableColumns>
  <tableStyleInfo name="TableStyleLight9" showFirstColumn="0" showLastColumn="0" showRowStripes="1" showColumnStripes="0"/>
</table>
</file>

<file path=xl/tables/table6.xml><?xml version="1.0" encoding="utf-8"?>
<table xmlns="http://schemas.openxmlformats.org/spreadsheetml/2006/main" id="9" name="Table7" displayName="Table7" ref="B2:C8" totalsRowShown="0">
  <autoFilter ref="B2:C8"/>
  <tableColumns count="2">
    <tableColumn id="1" name="Data location"/>
    <tableColumn id="2" name="Identifier"/>
  </tableColumns>
  <tableStyleInfo name="TableStyleMedium20" showFirstColumn="0" showLastColumn="0" showRowStripes="1" showColumnStripes="0"/>
</table>
</file>

<file path=xl/tables/table7.xml><?xml version="1.0" encoding="utf-8"?>
<table xmlns="http://schemas.openxmlformats.org/spreadsheetml/2006/main" id="11" name="B_01.01" displayName="B_01.01" ref="B7:H10" totalsRowShown="0">
  <autoFilter ref="B7:H10"/>
  <sortState ref="B8:H10"/>
  <tableColumns count="7">
    <tableColumn id="1" name="0010"/>
    <tableColumn id="2" name="0020"/>
    <tableColumn id="3" name="0030"/>
    <tableColumn id="4" name="0040"/>
    <tableColumn id="5" name="0050"/>
    <tableColumn id="6" name="0060"/>
    <tableColumn id="7" name="v22862_a - 1.1"/>
  </tableColumns>
  <tableStyleInfo showFirstColumn="0" showLastColumn="0" showRowStripes="1" showColumnStripes="0"/>
</table>
</file>

<file path=xl/tables/table8.xml><?xml version="1.0" encoding="utf-8"?>
<table xmlns="http://schemas.openxmlformats.org/spreadsheetml/2006/main" id="13" name="B_01.02" displayName="B_01.02" ref="B7:N10" totalsRowShown="0">
  <autoFilter ref="B7:N10"/>
  <sortState ref="B8:N10"/>
  <tableColumns count="13">
    <tableColumn id="1" name="0010"/>
    <tableColumn id="2" name="0020"/>
    <tableColumn id="3" name="0030"/>
    <tableColumn id="4" name="0040"/>
    <tableColumn id="5" name="0050"/>
    <tableColumn id="6" name="0060"/>
    <tableColumn id="7" name="0070"/>
    <tableColumn id="8" name="0080"/>
    <tableColumn id="9" name="0090"/>
    <tableColumn id="10" name="0100"/>
    <tableColumn id="11" name="0110"/>
    <tableColumn id="12" name="v22864_a - 1.1"/>
    <tableColumn id="13" name="v22866_a - 1.1"/>
  </tableColumns>
  <tableStyleInfo showFirstColumn="0" showLastColumn="0" showRowStripes="1" showColumnStripes="0"/>
</table>
</file>

<file path=xl/tables/table9.xml><?xml version="1.0" encoding="utf-8"?>
<table xmlns="http://schemas.openxmlformats.org/spreadsheetml/2006/main" id="15" name="B_01.03" displayName="B_01.03" ref="B7:F11" totalsRowShown="0">
  <autoFilter ref="B7:F11"/>
  <sortState ref="B8:F11"/>
  <tableColumns count="5">
    <tableColumn id="1" name="0010"/>
    <tableColumn id="2" name="0020"/>
    <tableColumn id="3" name="0030"/>
    <tableColumn id="4" name="0040"/>
    <tableColumn id="5" name="v22868_a - 1.1"/>
  </tableColumns>
  <tableStyleInfo showFirstColumn="0" showLastColumn="0" showRowStripes="1" showColumnStripes="0"/>
</table>
</file>

<file path=xl/tables/table10.xml><?xml version="1.0" encoding="utf-8"?>
<table xmlns="http://schemas.openxmlformats.org/spreadsheetml/2006/main" id="17" name="B_05.01" displayName="B_05.01" ref="B7:M8" totalsRowShown="0">
  <autoFilter ref="B7:M8"/>
  <tableColumns count="12">
    <tableColumn id="1" name="0010"/>
    <tableColumn id="2" name="0020"/>
    <tableColumn id="3" name="0030"/>
    <tableColumn id="4" name="0040"/>
    <tableColumn id="5" name="0050"/>
    <tableColumn id="6" name="0060"/>
    <tableColumn id="7" name="0070"/>
    <tableColumn id="8" name="0080"/>
    <tableColumn id="9" name="0090"/>
    <tableColumn id="10" name="v22841_a - 1.1"/>
    <tableColumn id="11" name="v22861_a - 1.1"/>
    <tableColumn id="12" name="v22874_a - 1.1"/>
  </tableColumns>
  <tableStyleInfo showFirstColumn="0" showLastColumn="0" showRowStripes="1" showColumnStripes="0"/>
</table>
</file>

<file path=xl/tables/table11.xml><?xml version="1.0" encoding="utf-8"?>
<table xmlns="http://schemas.openxmlformats.org/spreadsheetml/2006/main" id="19" name="B_02.01" displayName="B_02.01" ref="B7:H17" totalsRowShown="0">
  <autoFilter ref="B7:H17"/>
  <sortState ref="B8:H17"/>
  <tableColumns count="7">
    <tableColumn id="1" name="0010"/>
    <tableColumn id="2" name="0020"/>
    <tableColumn id="3" name="0030"/>
    <tableColumn id="4" name="0040"/>
    <tableColumn id="5" name="0050"/>
    <tableColumn id="6" name="v22865_a - 1.1"/>
    <tableColumn id="7" name="v22870_a - 1.1"/>
  </tableColumns>
  <tableStyleInfo showFirstColumn="0" showLastColumn="0" showRowStripes="1" showColumnStripes="0"/>
</table>
</file>

<file path=xl/tables/table12.xml><?xml version="1.0" encoding="utf-8"?>
<table xmlns="http://schemas.openxmlformats.org/spreadsheetml/2006/main" id="21" name="Table21" displayName="Table21" ref="B7:S17" totalsRowShown="0">
  <autoFilter ref="B7:S17"/>
  <sortState ref="B8:S17"/>
  <tableColumns count="18">
    <tableColumn id="1" name="0060"/>
    <tableColumn id="2" name="0010"/>
    <tableColumn id="3" name="0030"/>
    <tableColumn id="4" name="0040"/>
    <tableColumn id="5" name="0020"/>
    <tableColumn id="6" name="0050"/>
    <tableColumn id="7" name="0070"/>
    <tableColumn id="8" name="0080"/>
    <tableColumn id="9" name="0090"/>
    <tableColumn id="10" name="0100"/>
    <tableColumn id="11" name="0110"/>
    <tableColumn id="12" name="0120"/>
    <tableColumn id="13" name="0130"/>
    <tableColumn id="14" name="0140"/>
    <tableColumn id="15" name="0150"/>
    <tableColumn id="16" name="0160"/>
    <tableColumn id="17" name="0170"/>
    <tableColumn id="18" name="0180"/>
  </tableColumns>
  <tableStyleInfo showFirstColumn="0" showLastColumn="0" showRowStripes="1" showColumnStripes="0"/>
</table>
</file>

<file path=xl/tables/table13.xml><?xml version="1.0" encoding="utf-8"?>
<table xmlns="http://schemas.openxmlformats.org/spreadsheetml/2006/main" id="23" name="B_02.03" displayName="B_02.03" ref="B7:D8" totalsRowShown="0">
  <autoFilter ref="B7:D8"/>
  <tableColumns count="3">
    <tableColumn id="1" name="0010"/>
    <tableColumn id="2" name="0020"/>
    <tableColumn id="3" name="0030"/>
  </tableColumns>
  <tableStyleInfo showFirstColumn="0" showLastColumn="0" showRowStripes="1" showColumnStripes="0"/>
</table>
</file>

<file path=xl/tables/table14.xml><?xml version="1.0" encoding="utf-8"?>
<table xmlns="http://schemas.openxmlformats.org/spreadsheetml/2006/main" id="25" name="B_03.01" displayName="B_03.01" ref="B7:D8" totalsRowShown="0">
  <autoFilter ref="B7:D8"/>
  <tableColumns count="3">
    <tableColumn id="1" name="0010"/>
    <tableColumn id="2" name="0020"/>
    <tableColumn id="3" name="0030"/>
  </tableColumns>
  <tableStyleInfo showFirstColumn="0" showLastColumn="0" showRowStripes="1" showColumnStripes="0"/>
</table>
</file>

<file path=xl/tables/table15.xml><?xml version="1.0" encoding="utf-8"?>
<table xmlns="http://schemas.openxmlformats.org/spreadsheetml/2006/main" id="27" name="B_03.02" displayName="B_03.02" ref="B7:E8" totalsRowShown="0">
  <autoFilter ref="B7:E8"/>
  <tableColumns count="4">
    <tableColumn id="1" name="0010"/>
    <tableColumn id="2" name="0020"/>
    <tableColumn id="3" name="0030"/>
    <tableColumn id="4" name="0045"/>
  </tableColumns>
  <tableStyleInfo showFirstColumn="0" showLastColumn="0" showRowStripes="1" showColumnStripes="0"/>
</table>
</file>

<file path=xl/tables/table16.xml><?xml version="1.0" encoding="utf-8"?>
<table xmlns="http://schemas.openxmlformats.org/spreadsheetml/2006/main" id="29" name="B_03.03" displayName="B_03.03" ref="B7:D8" totalsRowShown="0">
  <autoFilter ref="B7:D8"/>
  <tableColumns count="3">
    <tableColumn id="1" name="0010"/>
    <tableColumn id="2" name="0020"/>
    <tableColumn id="3" name="0031"/>
  </tableColumns>
  <tableStyleInfo showFirstColumn="0" showLastColumn="0" showRowStripes="1" showColumnStripes="0"/>
</table>
</file>

<file path=xl/tables/table17.xml><?xml version="1.0" encoding="utf-8"?>
<table xmlns="http://schemas.openxmlformats.org/spreadsheetml/2006/main" id="31" name="B_04.01" displayName="B_04.01" ref="B7:F8" totalsRowShown="0">
  <autoFilter ref="B7:F8"/>
  <tableColumns count="5">
    <tableColumn id="1" name="0010"/>
    <tableColumn id="2" name="0020"/>
    <tableColumn id="3" name="0040"/>
    <tableColumn id="4" name="0030"/>
    <tableColumn id="5" name="v22887_a - 1.1"/>
  </tableColumns>
  <tableStyleInfo showFirstColumn="0" showLastColumn="0" showRowStripes="1" showColumnStripes="0"/>
</table>
</file>

<file path=xl/tables/table18.xml><?xml version="1.0" encoding="utf-8"?>
<table xmlns="http://schemas.openxmlformats.org/spreadsheetml/2006/main" id="33" name="B_05.02" displayName="B_05.02" ref="B7:H8" totalsRowShown="0">
  <autoFilter ref="B7:H8"/>
  <tableColumns count="7">
    <tableColumn id="1" name="0010"/>
    <tableColumn id="2" name="0030"/>
    <tableColumn id="3" name="0040"/>
    <tableColumn id="4" name="0020"/>
    <tableColumn id="5" name="0050"/>
    <tableColumn id="6" name="0060"/>
    <tableColumn id="7" name="0070"/>
  </tableColumns>
  <tableStyleInfo showFirstColumn="0" showLastColumn="0" showRowStripes="1" showColumnStripes="0"/>
</table>
</file>

<file path=xl/tables/table19.xml><?xml version="1.0" encoding="utf-8"?>
<table xmlns="http://schemas.openxmlformats.org/spreadsheetml/2006/main" id="35" name="B_06.01" displayName="B_06.01" ref="B7:N8" totalsRowShown="0">
  <autoFilter ref="B7:N8"/>
  <tableColumns count="13">
    <tableColumn id="1" name="0040"/>
    <tableColumn id="2" name="0010"/>
    <tableColumn id="3" name="0020"/>
    <tableColumn id="4" name="0030"/>
    <tableColumn id="5" name="0050"/>
    <tableColumn id="6" name="0060"/>
    <tableColumn id="7" name="0070"/>
    <tableColumn id="8" name="0080"/>
    <tableColumn id="9" name="0090"/>
    <tableColumn id="10" name="0100"/>
    <tableColumn id="11" name="v22834_a - 1.1"/>
    <tableColumn id="12" name="v22875_a - 1.1"/>
    <tableColumn id="13" name="v22892_a - 1.1"/>
  </tableColumns>
  <tableStyleInfo showFirstColumn="0" showLastColumn="0" showRowStripes="1" showColumnStripes="0"/>
</table>
</file>

<file path=xl/tables/table20.xml><?xml version="1.0" encoding="utf-8"?>
<table xmlns="http://schemas.openxmlformats.org/spreadsheetml/2006/main" id="37" name="B_07.01" displayName="B_07.01" ref="B7:S8" totalsRowShown="0">
  <autoFilter ref="B7:S8"/>
  <tableColumns count="18">
    <tableColumn id="1" name="0010"/>
    <tableColumn id="2" name="0020"/>
    <tableColumn id="3" name="0030"/>
    <tableColumn id="4" name="0040"/>
    <tableColumn id="5" name="0050"/>
    <tableColumn id="6" name="0060"/>
    <tableColumn id="7" name="0070"/>
    <tableColumn id="8" name="0080"/>
    <tableColumn id="9" name="0090"/>
    <tableColumn id="10" name="0100"/>
    <tableColumn id="11" name="0110"/>
    <tableColumn id="12" name="0120"/>
    <tableColumn id="13" name="v22895_a - 1.1"/>
    <tableColumn id="14" name="v22896_a - 1.1"/>
    <tableColumn id="15" name="v22897_a - 1.1"/>
    <tableColumn id="16" name="v22898_a - 1.1"/>
    <tableColumn id="17" name="v22899_a - 1.1"/>
    <tableColumn id="18" name="v22900_a - 1.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Relationships xmlns="http://schemas.openxmlformats.org/package/2006/relationships"><Relationship Id="rId1" Type="http://schemas.openxmlformats.org/officeDocument/2006/relationships/drawing" Target="../drawings/drawing1.xml" /><Relationship Id="rId2" Type="http://schemas.openxmlformats.org/officeDocument/2006/relationships/vmlDrawing" Target="../drawings/vmlDrawing1.vml" /><Relationship Id="rId3" Type="http://schemas.openxmlformats.org/officeDocument/2006/relationships/printerSettings" Target="../printerSettings/printerSettings1.bin" /></Relationships>
</file>

<file path=xl/worksheets/_rels/sheet3.xml.rels><?xml version="1.0" encoding="UTF-8" standalone="yes"?><Relationships xmlns="http://schemas.openxmlformats.org/package/2006/relationships"><Relationship Id="rId1" Type="http://schemas.openxmlformats.org/officeDocument/2006/relationships/table" Target="../tables/table1.xml" /><Relationship Id="rId2" Type="http://schemas.openxmlformats.org/officeDocument/2006/relationships/drawing" Target="../drawings/drawing4.xml" /><Relationship Id="rId3" Type="http://schemas.openxmlformats.org/officeDocument/2006/relationships/vmlDrawing" Target="../drawings/vmlDrawing2.vml" /><Relationship Id="rId4" Type="http://schemas.openxmlformats.org/officeDocument/2006/relationships/printerSettings" Target="../printerSettings/printerSettings2.bin" /></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5.xml" /><Relationship Id="rId2" Type="http://schemas.openxmlformats.org/officeDocument/2006/relationships/printerSettings" Target="../printerSettings/printerSettings3.bin" /></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6.xml" /><Relationship Id="rId2" Type="http://schemas.openxmlformats.org/officeDocument/2006/relationships/printerSettings" Target="../printerSettings/printerSettings4.bin" /></Relationships>
</file>

<file path=xl/worksheets/_rels/sheet7.xml.rels><?xml version="1.0" encoding="UTF-8" standalone="yes"?><Relationships xmlns="http://schemas.openxmlformats.org/package/2006/relationships"><Relationship Id="rId1" Type="http://schemas.openxmlformats.org/officeDocument/2006/relationships/table" Target="../tables/table2.xml" /><Relationship Id="rId2" Type="http://schemas.openxmlformats.org/officeDocument/2006/relationships/drawing" Target="../drawings/drawing7.xml" /></Relationships>
</file>

<file path=xl/worksheets/_rels/sheet8.xml.rels><?xml version="1.0" encoding="UTF-8" standalone="yes"?><Relationships xmlns="http://schemas.openxmlformats.org/package/2006/relationships"><Relationship Id="rId1" Type="http://schemas.openxmlformats.org/officeDocument/2006/relationships/comments" Target="../comments8.xml" /><Relationship Id="rId2" Type="http://schemas.openxmlformats.org/officeDocument/2006/relationships/table" Target="../tables/table3.xml" /><Relationship Id="rId3" Type="http://schemas.openxmlformats.org/officeDocument/2006/relationships/drawing" Target="../drawings/drawing8.xml" /><Relationship Id="rId4" Type="http://schemas.openxmlformats.org/officeDocument/2006/relationships/vmlDrawing" Target="../drawings/vmlDrawing3.vml" /></Relationships>
</file>

<file path=xl/worksheets/_rels/sheet9.xml.rels><?xml version="1.0" encoding="UTF-8" standalone="yes"?><Relationships xmlns="http://schemas.openxmlformats.org/package/2006/relationships"><Relationship Id="rId1" Type="http://schemas.openxmlformats.org/officeDocument/2006/relationships/table" Target="../tables/table4.xml" /><Relationship Id="rId2" Type="http://schemas.openxmlformats.org/officeDocument/2006/relationships/drawing" Target="../drawings/drawing9.xml" /></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 /></Relationships>
</file>

<file path=xl/worksheets/_rels/sheet11.xml.rels><?xml version="1.0" encoding="UTF-8" standalone="yes"?><Relationships xmlns="http://schemas.openxmlformats.org/package/2006/relationships"><Relationship Id="rId1" Type="http://schemas.openxmlformats.org/officeDocument/2006/relationships/table" Target="../tables/table5.xml" /><Relationship Id="rId2" Type="http://schemas.openxmlformats.org/officeDocument/2006/relationships/table" Target="../tables/table6.xml" /><Relationship Id="rId3" Type="http://schemas.openxmlformats.org/officeDocument/2006/relationships/drawing" Target="../drawings/drawing11.xml" /></Relationships>
</file>

<file path=xl/worksheets/_rels/sheet12.xml.rels><?xml version="1.0" encoding="UTF-8" standalone="yes"?><Relationships xmlns="http://schemas.openxmlformats.org/package/2006/relationships"><Relationship Id="rId1" Type="http://schemas.openxmlformats.org/officeDocument/2006/relationships/comments" Target="../comments12.xml" /><Relationship Id="rId2" Type="http://schemas.openxmlformats.org/officeDocument/2006/relationships/table" Target="../tables/table7.xml" /><Relationship Id="rId3" Type="http://schemas.openxmlformats.org/officeDocument/2006/relationships/drawing" Target="../drawings/drawing12.xml" /><Relationship Id="rId4" Type="http://schemas.openxmlformats.org/officeDocument/2006/relationships/vmlDrawing" Target="../drawings/vmlDrawing4.vml" /></Relationships>
</file>

<file path=xl/worksheets/_rels/sheet13.xml.rels><?xml version="1.0" encoding="UTF-8" standalone="yes"?><Relationships xmlns="http://schemas.openxmlformats.org/package/2006/relationships"><Relationship Id="rId1" Type="http://schemas.openxmlformats.org/officeDocument/2006/relationships/comments" Target="../comments13.xml" /><Relationship Id="rId2" Type="http://schemas.openxmlformats.org/officeDocument/2006/relationships/table" Target="../tables/table8.xml" /><Relationship Id="rId3" Type="http://schemas.openxmlformats.org/officeDocument/2006/relationships/drawing" Target="../drawings/drawing13.xml" /><Relationship Id="rId4" Type="http://schemas.openxmlformats.org/officeDocument/2006/relationships/vmlDrawing" Target="../drawings/vmlDrawing5.vml" /></Relationships>
</file>

<file path=xl/worksheets/_rels/sheet14.xml.rels><?xml version="1.0" encoding="UTF-8" standalone="yes"?><Relationships xmlns="http://schemas.openxmlformats.org/package/2006/relationships"><Relationship Id="rId1" Type="http://schemas.openxmlformats.org/officeDocument/2006/relationships/comments" Target="../comments14.xml" /><Relationship Id="rId2" Type="http://schemas.openxmlformats.org/officeDocument/2006/relationships/table" Target="../tables/table9.xml" /><Relationship Id="rId3" Type="http://schemas.openxmlformats.org/officeDocument/2006/relationships/drawing" Target="../drawings/drawing14.xml" /><Relationship Id="rId4" Type="http://schemas.openxmlformats.org/officeDocument/2006/relationships/vmlDrawing" Target="../drawings/vmlDrawing6.vml" /></Relationships>
</file>

<file path=xl/worksheets/_rels/sheet15.xml.rels><?xml version="1.0" encoding="UTF-8" standalone="yes"?><Relationships xmlns="http://schemas.openxmlformats.org/package/2006/relationships"><Relationship Id="rId1" Type="http://schemas.openxmlformats.org/officeDocument/2006/relationships/comments" Target="../comments15.xml" /><Relationship Id="rId2" Type="http://schemas.openxmlformats.org/officeDocument/2006/relationships/table" Target="../tables/table10.xml" /><Relationship Id="rId3" Type="http://schemas.openxmlformats.org/officeDocument/2006/relationships/drawing" Target="../drawings/drawing15.xml" /><Relationship Id="rId4" Type="http://schemas.openxmlformats.org/officeDocument/2006/relationships/vmlDrawing" Target="../drawings/vmlDrawing7.vml" /></Relationships>
</file>

<file path=xl/worksheets/_rels/sheet16.xml.rels><?xml version="1.0" encoding="UTF-8" standalone="yes"?><Relationships xmlns="http://schemas.openxmlformats.org/package/2006/relationships"><Relationship Id="rId1" Type="http://schemas.openxmlformats.org/officeDocument/2006/relationships/comments" Target="../comments16.xml" /><Relationship Id="rId2" Type="http://schemas.openxmlformats.org/officeDocument/2006/relationships/table" Target="../tables/table11.xml" /><Relationship Id="rId3" Type="http://schemas.openxmlformats.org/officeDocument/2006/relationships/drawing" Target="../drawings/drawing16.xml" /><Relationship Id="rId4" Type="http://schemas.openxmlformats.org/officeDocument/2006/relationships/vmlDrawing" Target="../drawings/vmlDrawing8.vml" /></Relationships>
</file>

<file path=xl/worksheets/_rels/sheet17.xml.rels><?xml version="1.0" encoding="UTF-8" standalone="yes"?><Relationships xmlns="http://schemas.openxmlformats.org/package/2006/relationships"><Relationship Id="rId1" Type="http://schemas.openxmlformats.org/officeDocument/2006/relationships/table" Target="../tables/table12.xml" /><Relationship Id="rId2" Type="http://schemas.openxmlformats.org/officeDocument/2006/relationships/drawing" Target="../drawings/drawing17.xml" /></Relationships>
</file>

<file path=xl/worksheets/_rels/sheet18.xml.rels><?xml version="1.0" encoding="UTF-8" standalone="yes"?><Relationships xmlns="http://schemas.openxmlformats.org/package/2006/relationships"><Relationship Id="rId1" Type="http://schemas.openxmlformats.org/officeDocument/2006/relationships/table" Target="../tables/table13.xml" /><Relationship Id="rId2" Type="http://schemas.openxmlformats.org/officeDocument/2006/relationships/drawing" Target="../drawings/drawing18.xml" /></Relationships>
</file>

<file path=xl/worksheets/_rels/sheet19.xml.rels><?xml version="1.0" encoding="UTF-8" standalone="yes"?><Relationships xmlns="http://schemas.openxmlformats.org/package/2006/relationships"><Relationship Id="rId1" Type="http://schemas.openxmlformats.org/officeDocument/2006/relationships/table" Target="../tables/table14.xml" /><Relationship Id="rId2" Type="http://schemas.openxmlformats.org/officeDocument/2006/relationships/drawing" Target="../drawings/drawing19.xml" /></Relationships>
</file>

<file path=xl/worksheets/_rels/sheet20.xml.rels><?xml version="1.0" encoding="UTF-8" standalone="yes"?><Relationships xmlns="http://schemas.openxmlformats.org/package/2006/relationships"><Relationship Id="rId1" Type="http://schemas.openxmlformats.org/officeDocument/2006/relationships/table" Target="../tables/table15.xml" /><Relationship Id="rId2" Type="http://schemas.openxmlformats.org/officeDocument/2006/relationships/drawing" Target="../drawings/drawing20.xml" /></Relationships>
</file>

<file path=xl/worksheets/_rels/sheet21.xml.rels><?xml version="1.0" encoding="UTF-8" standalone="yes"?><Relationships xmlns="http://schemas.openxmlformats.org/package/2006/relationships"><Relationship Id="rId1" Type="http://schemas.openxmlformats.org/officeDocument/2006/relationships/table" Target="../tables/table16.xml" /><Relationship Id="rId2" Type="http://schemas.openxmlformats.org/officeDocument/2006/relationships/drawing" Target="../drawings/drawing21.xml" /></Relationships>
</file>

<file path=xl/worksheets/_rels/sheet22.xml.rels><?xml version="1.0" encoding="UTF-8" standalone="yes"?><Relationships xmlns="http://schemas.openxmlformats.org/package/2006/relationships"><Relationship Id="rId1" Type="http://schemas.openxmlformats.org/officeDocument/2006/relationships/comments" Target="../comments22.xml" /><Relationship Id="rId2" Type="http://schemas.openxmlformats.org/officeDocument/2006/relationships/table" Target="../tables/table17.xml" /><Relationship Id="rId3" Type="http://schemas.openxmlformats.org/officeDocument/2006/relationships/drawing" Target="../drawings/drawing22.xml" /><Relationship Id="rId4" Type="http://schemas.openxmlformats.org/officeDocument/2006/relationships/vmlDrawing" Target="../drawings/vmlDrawing9.vml" /></Relationships>
</file>

<file path=xl/worksheets/_rels/sheet23.xml.rels><?xml version="1.0" encoding="UTF-8" standalone="yes"?><Relationships xmlns="http://schemas.openxmlformats.org/package/2006/relationships"><Relationship Id="rId1" Type="http://schemas.openxmlformats.org/officeDocument/2006/relationships/table" Target="../tables/table18.xml" /><Relationship Id="rId2" Type="http://schemas.openxmlformats.org/officeDocument/2006/relationships/drawing" Target="../drawings/drawing23.xml" /></Relationships>
</file>

<file path=xl/worksheets/_rels/sheet24.xml.rels><?xml version="1.0" encoding="UTF-8" standalone="yes"?><Relationships xmlns="http://schemas.openxmlformats.org/package/2006/relationships"><Relationship Id="rId1" Type="http://schemas.openxmlformats.org/officeDocument/2006/relationships/comments" Target="../comments24.xml" /><Relationship Id="rId2" Type="http://schemas.openxmlformats.org/officeDocument/2006/relationships/table" Target="../tables/table19.xml" /><Relationship Id="rId3" Type="http://schemas.openxmlformats.org/officeDocument/2006/relationships/drawing" Target="../drawings/drawing24.xml" /><Relationship Id="rId4" Type="http://schemas.openxmlformats.org/officeDocument/2006/relationships/vmlDrawing" Target="../drawings/vmlDrawing10.vml" /></Relationships>
</file>

<file path=xl/worksheets/_rels/sheet25.xml.rels><?xml version="1.0" encoding="UTF-8" standalone="yes"?><Relationships xmlns="http://schemas.openxmlformats.org/package/2006/relationships"><Relationship Id="rId1" Type="http://schemas.openxmlformats.org/officeDocument/2006/relationships/comments" Target="../comments25.xml" /><Relationship Id="rId2" Type="http://schemas.openxmlformats.org/officeDocument/2006/relationships/table" Target="../tables/table20.xml" /><Relationship Id="rId3" Type="http://schemas.openxmlformats.org/officeDocument/2006/relationships/drawing" Target="../drawings/drawing25.xml" /><Relationship Id="rId4" Type="http://schemas.openxmlformats.org/officeDocument/2006/relationships/vmlDrawing" Target="../drawings/vmlDrawing11.vml" /></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 /></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 /><Relationship Id="rId2" Type="http://schemas.openxmlformats.org/officeDocument/2006/relationships/printerSettings" Target="../printerSettings/printerSettings5.bin" /></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 /><Relationship Id="rId2" Type="http://schemas.openxmlformats.org/officeDocument/2006/relationships/printerSettings" Target="../printerSettings/printerSettings6.bin" /></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 /><Relationship Id="rId2" Type="http://schemas.openxmlformats.org/officeDocument/2006/relationships/printerSettings" Target="../printerSettings/printerSettings7.bin" /></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 /><Relationship Id="rId2" Type="http://schemas.openxmlformats.org/officeDocument/2006/relationships/printerSettings" Target="../printerSettings/printerSettings8.bin"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CE455B4D-D289-421E-B2D4-6AA00EA08A41}">
  <dimension ref="A1:D21"/>
  <sheetViews>
    <sheetView workbookViewId="0" topLeftCell="A1"/>
  </sheetViews>
  <sheetFormatPr defaultRowHeight="12.75"/>
  <cols>
    <col min="2" max="2" width="42.8571428571429" customWidth="1"/>
    <col min="3" max="3" width="10" customWidth="1"/>
    <col min="4" max="4" width="85.7142857142857" customWidth="1"/>
  </cols>
  <sheetData>
    <row r="1" spans="1:1" ht="12.75">
      <c r="A1" t="s">
        <v>632</v>
      </c>
    </row>
    <row r="3" spans="2:2" ht="12.75">
      <c r="B3" s="23" t="s">
        <v>633</v>
      </c>
    </row>
    <row r="4" spans="2:2" ht="12.75">
      <c r="B4" s="17" t="s">
        <v>634</v>
      </c>
    </row>
    <row r="6" spans="2:4" ht="12.75">
      <c r="B6" s="159"/>
      <c r="C6" s="160"/>
      <c r="D6" s="8"/>
    </row>
    <row r="7" spans="2:4" ht="12.75">
      <c r="B7" s="160"/>
      <c r="C7" s="160"/>
      <c r="D7" s="13" t="s">
        <v>635</v>
      </c>
    </row>
    <row r="8" spans="2:4" ht="12.75">
      <c r="B8" s="11" t="s">
        <v>636</v>
      </c>
      <c r="C8" s="13" t="s">
        <v>637</v>
      </c>
      <c r="D8" s="27"/>
    </row>
    <row r="9" spans="2:4" ht="12.75">
      <c r="B9" s="12" t="s">
        <v>638</v>
      </c>
      <c r="C9" s="13" t="s">
        <v>639</v>
      </c>
      <c r="D9" s="15" t="s">
        <v>640</v>
      </c>
    </row>
    <row r="10" spans="2:4" ht="12.75">
      <c r="B10" s="12" t="s">
        <v>1</v>
      </c>
      <c r="C10" s="13" t="s">
        <v>641</v>
      </c>
      <c r="D10" s="15" t="s">
        <v>642</v>
      </c>
    </row>
    <row r="11" spans="2:4" ht="12.75">
      <c r="B11" s="12" t="s">
        <v>643</v>
      </c>
      <c r="C11" s="13" t="s">
        <v>644</v>
      </c>
      <c r="D11" s="15" t="s">
        <v>645</v>
      </c>
    </row>
    <row r="12" spans="2:4" ht="12.75">
      <c r="B12" s="12" t="s">
        <v>646</v>
      </c>
      <c r="C12" s="13" t="s">
        <v>647</v>
      </c>
      <c r="D12" s="15" t="s">
        <v>648</v>
      </c>
    </row>
    <row r="13" spans="2:4" ht="12.75">
      <c r="B13" s="12" t="s">
        <v>649</v>
      </c>
      <c r="C13" s="13" t="s">
        <v>650</v>
      </c>
      <c r="D13" s="15" t="s">
        <v>631</v>
      </c>
    </row>
    <row r="14" spans="2:4" ht="12.75">
      <c r="B14" s="12" t="s">
        <v>651</v>
      </c>
      <c r="C14" s="13" t="s">
        <v>652</v>
      </c>
      <c r="D14" s="15" t="s">
        <v>631</v>
      </c>
    </row>
    <row r="15" spans="2:4" ht="12.75">
      <c r="B15" s="12" t="s">
        <v>653</v>
      </c>
      <c r="C15" s="13" t="s">
        <v>654</v>
      </c>
      <c r="D15" s="15" t="s">
        <v>631</v>
      </c>
    </row>
    <row r="16" spans="2:4" ht="12.75">
      <c r="B16" s="12" t="s">
        <v>655</v>
      </c>
      <c r="C16" s="13" t="s">
        <v>656</v>
      </c>
      <c r="D16" s="15" t="s">
        <v>657</v>
      </c>
    </row>
    <row r="17" spans="2:4" ht="12.75">
      <c r="B17" s="12" t="s">
        <v>658</v>
      </c>
      <c r="C17" s="13" t="s">
        <v>659</v>
      </c>
      <c r="D17" s="15" t="s">
        <v>660</v>
      </c>
    </row>
    <row r="18" spans="2:4" ht="12.75">
      <c r="B18" s="12" t="s">
        <v>661</v>
      </c>
      <c r="C18" s="13" t="s">
        <v>662</v>
      </c>
      <c r="D18" s="15" t="s">
        <v>663</v>
      </c>
    </row>
    <row r="19" spans="2:4" ht="12.75">
      <c r="B19" s="11" t="s">
        <v>664</v>
      </c>
      <c r="C19" s="13" t="s">
        <v>665</v>
      </c>
      <c r="D19" s="27"/>
    </row>
    <row r="20" spans="2:4" ht="12.75">
      <c r="B20" s="12" t="s">
        <v>638</v>
      </c>
      <c r="C20" s="13" t="s">
        <v>666</v>
      </c>
      <c r="D20" s="15" t="s">
        <v>667</v>
      </c>
    </row>
    <row r="21" spans="2:4" ht="12.75">
      <c r="B21" s="12" t="s">
        <v>643</v>
      </c>
      <c r="C21" s="13" t="s">
        <v>668</v>
      </c>
      <c r="D21" s="15" t="s">
        <v>669</v>
      </c>
    </row>
  </sheetData>
  <sheetProtection password="FCE3" sheet="1" objects="1" scenarios="1"/>
  <mergeCells count="1">
    <mergeCell ref="B6:C7"/>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85D98759-550D-4A51-B565-4ADC444854BF}">
  <sheetPr codeName="Sheet2">
    <outlinePr summaryBelow="0"/>
  </sheetPr>
  <dimension ref="A1:AO111"/>
  <sheetViews>
    <sheetView showGridLines="0" zoomScale="80" zoomScaleNormal="80" workbookViewId="0" topLeftCell="A1">
      <pane ySplit="1" topLeftCell="A2" activePane="bottomLeft" state="frozen"/>
      <selection pane="topLeft" activeCell="H17" sqref="H17"/>
      <selection pane="bottomLeft" activeCell="AF29" sqref="AF29:AG29"/>
    </sheetView>
  </sheetViews>
  <sheetFormatPr defaultColWidth="9.14428571428571" defaultRowHeight="15" customHeight="1"/>
  <cols>
    <col min="1" max="1" width="6.71428571428571" style="36" customWidth="1"/>
    <col min="2" max="2" width="7.14285714285714" style="112" customWidth="1"/>
    <col min="3" max="3" width="1.42857142857143" style="112" customWidth="1"/>
    <col min="4" max="4" width="0.571428571428571" style="112" customWidth="1"/>
    <col min="5" max="5" width="3.57142857142857" style="112" customWidth="1"/>
    <col min="6" max="6" width="0.857142857142857" style="112" customWidth="1"/>
    <col min="7" max="7" width="9.14285714285714" style="112"/>
    <col min="8" max="8" width="15.1428571428571" style="112" customWidth="1"/>
    <col min="9" max="9" width="12" style="112" customWidth="1"/>
    <col min="10" max="10" width="8.42857142857143" style="112" customWidth="1"/>
    <col min="11" max="11" width="9.14285714285714" style="112"/>
    <col min="12" max="13" width="9.14285714285714" style="112" customWidth="1"/>
    <col min="14" max="14" width="1" style="112" customWidth="1"/>
    <col min="15" max="15" width="14.1428571428571" style="112" customWidth="1"/>
    <col min="16" max="16" width="6.85714285714286" style="112" customWidth="1"/>
    <col min="17" max="17" width="12.8571428571429" style="112" customWidth="1"/>
    <col min="18" max="19" width="0.857142857142857" style="112" customWidth="1"/>
    <col min="20" max="20" width="8.57142857142857" style="112" customWidth="1"/>
    <col min="21" max="21" width="1.14285714285714" style="112" customWidth="1"/>
    <col min="22" max="22" width="3.42857142857143" style="112" customWidth="1"/>
    <col min="23" max="23" width="8.14285714285714" style="112" customWidth="1"/>
    <col min="24" max="24" width="0.857142857142857" style="112" customWidth="1"/>
    <col min="25" max="25" width="8.57142857142857" style="112" customWidth="1"/>
    <col min="26" max="26" width="8.85714285714286" style="112" customWidth="1"/>
    <col min="27" max="27" width="2.42857142857143" style="112" customWidth="1"/>
    <col min="28" max="28" width="8.85714285714286" style="112" customWidth="1"/>
    <col min="29" max="29" width="5" style="112" customWidth="1"/>
    <col min="30" max="30" width="7.14285714285714" style="112" customWidth="1"/>
    <col min="31" max="31" width="14.4285714285714" style="112" customWidth="1"/>
    <col min="32" max="32" width="13.4285714285714" style="112" customWidth="1"/>
    <col min="33" max="33" width="9" style="112" customWidth="1"/>
    <col min="34" max="34" width="6.14285714285714" style="112" customWidth="1"/>
    <col min="35" max="35" width="0.857142857142857" style="112" customWidth="1"/>
    <col min="36" max="36" width="4.14285714285714" style="112" customWidth="1"/>
    <col min="37" max="37" width="9.14285714285714" style="36"/>
    <col min="38" max="38" width="0" style="36" hidden="1" customWidth="1"/>
    <col min="39" max="41" width="0" style="112" hidden="1" customWidth="1"/>
    <col min="42" max="16384" width="9.14285714285714" style="112"/>
  </cols>
  <sheetData>
    <row r="1" spans="1:1" s="138" customFormat="1" ht="45.4" customHeight="1">
      <c r="A1" s="36" t="s">
        <v>631</v>
      </c>
    </row>
    <row r="2" s="36" customFormat="1" ht="12.75"/>
    <row r="3" spans="2:36" s="36" customFormat="1" ht="12.75">
      <c r="B3" s="187" t="s">
        <v>292</v>
      </c>
      <c r="C3" s="37"/>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37"/>
      <c r="AH3" s="37"/>
      <c r="AI3" s="37"/>
      <c r="AJ3" s="38"/>
    </row>
    <row r="4" spans="2:36" s="36" customFormat="1" ht="15">
      <c r="B4" s="187"/>
      <c r="C4" s="39"/>
      <c r="D4" s="39"/>
      <c r="E4" s="40"/>
      <c r="F4" s="40"/>
      <c r="G4" s="40"/>
      <c r="H4" s="40"/>
      <c r="I4" s="40"/>
      <c r="J4" s="40"/>
      <c r="K4" s="40"/>
      <c r="L4" s="40"/>
      <c r="M4" s="40"/>
      <c r="N4" s="40"/>
      <c r="O4" s="40"/>
      <c r="P4" s="40"/>
      <c r="Q4" s="40"/>
      <c r="R4" s="40"/>
      <c r="S4" s="40"/>
      <c r="T4" s="40"/>
      <c r="U4" s="40"/>
      <c r="V4" s="40"/>
      <c r="W4" s="40"/>
      <c r="X4" s="40"/>
      <c r="Y4" s="40"/>
      <c r="Z4" s="40"/>
      <c r="AA4" s="40"/>
      <c r="AB4" s="40"/>
      <c r="AC4" s="40"/>
      <c r="AD4" s="40"/>
      <c r="AE4" s="40"/>
      <c r="AF4" s="41"/>
      <c r="AG4" s="41"/>
      <c r="AH4" s="41"/>
      <c r="AI4" s="41"/>
      <c r="AJ4" s="42"/>
    </row>
    <row r="5" spans="2:36" s="36" customFormat="1" ht="15">
      <c r="B5" s="187"/>
      <c r="C5" s="39"/>
      <c r="D5" s="39"/>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c r="AH5" s="40"/>
      <c r="AI5" s="40"/>
      <c r="AJ5" s="42"/>
    </row>
    <row r="6" spans="2:36" s="36" customFormat="1" ht="23.45" customHeight="1">
      <c r="B6" s="187"/>
      <c r="C6" s="39"/>
      <c r="D6" s="39"/>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1"/>
      <c r="AH6" s="41"/>
      <c r="AI6" s="41"/>
      <c r="AJ6" s="42"/>
    </row>
    <row r="7" spans="2:36" s="36" customFormat="1" ht="12" customHeight="1">
      <c r="B7" s="187"/>
      <c r="C7" s="39"/>
      <c r="D7" s="39"/>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0"/>
      <c r="AH7" s="43"/>
      <c r="AI7" s="43"/>
      <c r="AJ7" s="42"/>
    </row>
    <row r="8" spans="2:36" s="36" customFormat="1" ht="26.45" customHeight="1">
      <c r="B8" s="187"/>
      <c r="C8" s="39"/>
      <c r="D8" s="39"/>
      <c r="E8" s="40"/>
      <c r="F8" s="40"/>
      <c r="G8" s="40"/>
      <c r="H8" s="40"/>
      <c r="I8" s="44"/>
      <c r="J8" s="188">
        <f>Controls!D4</f>
        <v>27</v>
      </c>
      <c r="K8" s="188"/>
      <c r="L8" s="188"/>
      <c r="M8" s="188"/>
      <c r="N8" s="7"/>
      <c r="O8" s="45"/>
      <c r="Q8" s="189">
        <f>Controls!D5</f>
        <v>0</v>
      </c>
      <c r="R8" s="189"/>
      <c r="S8" s="189"/>
      <c r="T8" s="189"/>
      <c r="U8" s="6"/>
      <c r="W8" s="44"/>
      <c r="X8" s="44"/>
      <c r="Y8" s="44"/>
      <c r="Z8" s="189">
        <f>Controls!D6</f>
        <v>0</v>
      </c>
      <c r="AA8" s="189"/>
      <c r="AB8" s="189"/>
      <c r="AC8" s="189"/>
      <c r="AD8" s="189"/>
      <c r="AE8" s="44"/>
      <c r="AF8" s="43"/>
      <c r="AG8" s="43"/>
      <c r="AH8" s="43"/>
      <c r="AI8" s="43"/>
      <c r="AJ8" s="42"/>
    </row>
    <row r="9" spans="2:36" s="36" customFormat="1" ht="14.45" customHeight="1">
      <c r="B9" s="187"/>
      <c r="C9" s="39"/>
      <c r="D9" s="39"/>
      <c r="E9" s="40"/>
      <c r="F9" s="40"/>
      <c r="G9" s="40"/>
      <c r="H9" s="40"/>
      <c r="I9" s="44"/>
      <c r="J9" s="188"/>
      <c r="K9" s="188"/>
      <c r="L9" s="188"/>
      <c r="M9" s="188"/>
      <c r="N9" s="7"/>
      <c r="O9" s="45"/>
      <c r="P9" s="46"/>
      <c r="Q9" s="189"/>
      <c r="R9" s="189"/>
      <c r="S9" s="189"/>
      <c r="T9" s="189"/>
      <c r="U9" s="6"/>
      <c r="W9" s="44"/>
      <c r="X9" s="44"/>
      <c r="Y9" s="44"/>
      <c r="Z9" s="189"/>
      <c r="AA9" s="189"/>
      <c r="AB9" s="189"/>
      <c r="AC9" s="189"/>
      <c r="AD9" s="189"/>
      <c r="AE9" s="44"/>
      <c r="AF9" s="43"/>
      <c r="AG9" s="43"/>
      <c r="AH9" s="43"/>
      <c r="AI9" s="43"/>
      <c r="AJ9" s="42"/>
    </row>
    <row r="10" spans="2:36" s="36" customFormat="1" ht="14.45" customHeight="1">
      <c r="B10" s="187"/>
      <c r="C10" s="39"/>
      <c r="D10" s="39"/>
      <c r="E10" s="40"/>
      <c r="F10" s="40"/>
      <c r="G10" s="40"/>
      <c r="H10" s="40"/>
      <c r="I10" s="44"/>
      <c r="J10" s="44"/>
      <c r="K10" s="44"/>
      <c r="L10" s="47"/>
      <c r="M10" s="47"/>
      <c r="N10" s="47"/>
      <c r="O10" s="47"/>
      <c r="P10" s="48"/>
      <c r="W10" s="44"/>
      <c r="X10" s="44"/>
      <c r="Y10" s="44"/>
      <c r="Z10" s="44"/>
      <c r="AA10" s="44"/>
      <c r="AB10" s="44"/>
      <c r="AC10" s="44"/>
      <c r="AD10" s="44"/>
      <c r="AE10" s="44"/>
      <c r="AF10" s="43"/>
      <c r="AG10" s="43"/>
      <c r="AH10" s="43"/>
      <c r="AI10" s="43"/>
      <c r="AJ10" s="42"/>
    </row>
    <row r="11" spans="2:36" s="36" customFormat="1" ht="14.45" customHeight="1">
      <c r="B11" s="187"/>
      <c r="C11" s="39"/>
      <c r="D11" s="39"/>
      <c r="E11" s="40"/>
      <c r="F11" s="40"/>
      <c r="G11" s="40"/>
      <c r="H11" s="40"/>
      <c r="I11" s="44"/>
      <c r="J11" s="190" t="str">
        <f>IF(J8=1,"Passed Validation","Passed Validations")</f>
        <v>Passed Validations</v>
      </c>
      <c r="K11" s="190"/>
      <c r="L11" s="190"/>
      <c r="M11" s="190"/>
      <c r="N11" s="5"/>
      <c r="O11" s="49"/>
      <c r="P11" s="48"/>
      <c r="Q11" s="191" t="str">
        <f>IF(Q8=1,"Warning","Warnings")</f>
        <v>Warnings</v>
      </c>
      <c r="R11" s="191"/>
      <c r="S11" s="191"/>
      <c r="T11" s="191"/>
      <c r="U11" s="191"/>
      <c r="W11" s="44"/>
      <c r="X11" s="44"/>
      <c r="Y11" s="44"/>
      <c r="Z11" s="191" t="str">
        <f>IF(Z8=1,"Failed Validation","Failed Validations")</f>
        <v>Failed Validations</v>
      </c>
      <c r="AA11" s="191"/>
      <c r="AB11" s="191"/>
      <c r="AC11" s="191"/>
      <c r="AD11" s="191"/>
      <c r="AE11" s="44"/>
      <c r="AF11" s="43"/>
      <c r="AG11" s="43"/>
      <c r="AH11" s="43"/>
      <c r="AI11" s="43"/>
      <c r="AJ11" s="42"/>
    </row>
    <row r="12" spans="2:36" s="36" customFormat="1" ht="14.45" customHeight="1">
      <c r="B12" s="187"/>
      <c r="C12" s="39"/>
      <c r="D12" s="39"/>
      <c r="E12" s="40"/>
      <c r="F12" s="40"/>
      <c r="G12" s="40"/>
      <c r="H12" s="40"/>
      <c r="I12" s="44"/>
      <c r="J12" s="190"/>
      <c r="K12" s="190"/>
      <c r="L12" s="190"/>
      <c r="M12" s="190"/>
      <c r="N12" s="5"/>
      <c r="O12" s="49"/>
      <c r="P12" s="4"/>
      <c r="Q12" s="191"/>
      <c r="R12" s="191"/>
      <c r="S12" s="191"/>
      <c r="T12" s="191"/>
      <c r="U12" s="191"/>
      <c r="W12" s="44"/>
      <c r="X12" s="44"/>
      <c r="Y12" s="44"/>
      <c r="Z12" s="191"/>
      <c r="AA12" s="191"/>
      <c r="AB12" s="191"/>
      <c r="AC12" s="191"/>
      <c r="AD12" s="191"/>
      <c r="AE12" s="44"/>
      <c r="AF12" s="43"/>
      <c r="AG12" s="43"/>
      <c r="AH12" s="43"/>
      <c r="AI12" s="43"/>
      <c r="AJ12" s="42"/>
    </row>
    <row r="13" spans="2:36" s="36" customFormat="1" ht="14.45" customHeight="1">
      <c r="B13" s="187"/>
      <c r="C13" s="39"/>
      <c r="D13" s="39"/>
      <c r="E13" s="40"/>
      <c r="F13" s="40"/>
      <c r="G13" s="40"/>
      <c r="H13" s="40"/>
      <c r="I13" s="44"/>
      <c r="J13" s="44"/>
      <c r="K13" s="44"/>
      <c r="L13" s="49"/>
      <c r="M13" s="49"/>
      <c r="N13" s="49"/>
      <c r="O13" s="49"/>
      <c r="P13" s="44"/>
      <c r="Q13" s="44"/>
      <c r="R13" s="44"/>
      <c r="S13" s="44"/>
      <c r="T13" s="44"/>
      <c r="U13" s="44"/>
      <c r="W13" s="44"/>
      <c r="X13" s="44"/>
      <c r="Y13" s="44"/>
      <c r="Z13" s="44"/>
      <c r="AA13" s="44"/>
      <c r="AB13" s="44"/>
      <c r="AC13" s="44"/>
      <c r="AD13" s="44"/>
      <c r="AE13" s="44"/>
      <c r="AF13" s="43"/>
      <c r="AG13" s="43"/>
      <c r="AH13" s="43"/>
      <c r="AI13" s="43"/>
      <c r="AJ13" s="42"/>
    </row>
    <row r="14" spans="2:36" s="36" customFormat="1" ht="14.45" customHeight="1">
      <c r="B14" s="187"/>
      <c r="C14" s="39"/>
      <c r="D14" s="39"/>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3"/>
      <c r="AH14" s="43"/>
      <c r="AI14" s="43"/>
      <c r="AJ14" s="42"/>
    </row>
    <row r="15" spans="2:36" s="36" customFormat="1" ht="15">
      <c r="B15" s="187"/>
      <c r="C15" s="39"/>
      <c r="D15" s="39"/>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50"/>
      <c r="AG15" s="50"/>
      <c r="AH15" s="50"/>
      <c r="AI15" s="50"/>
      <c r="AJ15" s="42"/>
    </row>
    <row r="16" spans="2:36" s="36" customFormat="1" ht="15">
      <c r="B16" s="187"/>
      <c r="C16" s="39"/>
      <c r="D16" s="39"/>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40"/>
      <c r="AF16" s="50"/>
      <c r="AG16" s="50"/>
      <c r="AH16" s="50"/>
      <c r="AI16" s="50"/>
      <c r="AJ16" s="42"/>
    </row>
    <row r="17" spans="2:36" s="36" customFormat="1" ht="19.5" customHeight="1">
      <c r="B17" s="187"/>
      <c r="C17" s="39"/>
      <c r="D17" s="39"/>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t="str">
        <f>HYPERLINK("#Validations!B22","null")</f>
        <v>null</v>
      </c>
      <c r="AE17" s="40"/>
      <c r="AF17" s="51" t="s">
        <v>293</v>
      </c>
      <c r="AG17" s="50"/>
      <c r="AH17" s="50"/>
      <c r="AI17" s="50"/>
      <c r="AJ17" s="42"/>
    </row>
    <row r="18" spans="2:36" s="36" customFormat="1" ht="12.6" customHeight="1">
      <c r="B18" s="187"/>
      <c r="C18" s="52"/>
      <c r="D18" s="52"/>
      <c r="E18" s="52"/>
      <c r="F18" s="52"/>
      <c r="G18" s="52"/>
      <c r="H18" s="52"/>
      <c r="I18" s="52"/>
      <c r="J18" s="52"/>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3"/>
    </row>
    <row r="19" s="36" customFormat="1" ht="20.1" customHeight="1"/>
    <row r="20" spans="2:36" s="36" customFormat="1" ht="16.5" customHeight="1">
      <c r="B20" s="168" t="s">
        <v>294</v>
      </c>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8"/>
    </row>
    <row r="21" spans="2:36" s="36" customFormat="1" ht="9" customHeight="1">
      <c r="B21" s="16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42"/>
    </row>
    <row r="22" spans="2:36" s="36" customFormat="1" ht="8.45" customHeight="1">
      <c r="B22" s="16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42"/>
    </row>
    <row r="23" spans="2:36" s="36" customFormat="1" ht="15.6" customHeight="1">
      <c r="B23" s="169"/>
      <c r="C23" s="39"/>
      <c r="D23" s="39"/>
      <c r="E23" s="39"/>
      <c r="F23" s="39"/>
      <c r="G23" s="179" t="s">
        <v>295</v>
      </c>
      <c r="H23" s="171"/>
      <c r="I23" s="171"/>
      <c r="J23" s="171"/>
      <c r="K23" s="171"/>
      <c r="L23" s="171"/>
      <c r="M23" s="171"/>
      <c r="N23" s="171"/>
      <c r="O23" s="171"/>
      <c r="P23" s="171"/>
      <c r="Q23" s="171"/>
      <c r="R23" s="171"/>
      <c r="S23" s="171"/>
      <c r="T23" s="171"/>
      <c r="U23" s="171"/>
      <c r="V23" s="171"/>
      <c r="W23" s="171"/>
      <c r="X23" s="171"/>
      <c r="Y23" s="171"/>
      <c r="Z23" s="171"/>
      <c r="AA23" s="171"/>
      <c r="AB23" s="171"/>
      <c r="AC23" s="171"/>
      <c r="AD23" s="171"/>
      <c r="AE23" s="171"/>
      <c r="AF23" s="171"/>
      <c r="AG23" s="171"/>
      <c r="AH23" s="180"/>
      <c r="AI23" s="39"/>
      <c r="AJ23" s="42"/>
    </row>
    <row r="24" spans="2:36" s="36" customFormat="1" ht="17.1" customHeight="1">
      <c r="B24" s="169"/>
      <c r="C24" s="39"/>
      <c r="D24" s="39"/>
      <c r="E24" s="39"/>
      <c r="F24" s="39"/>
      <c r="G24" s="181"/>
      <c r="H24" s="172"/>
      <c r="I24" s="172"/>
      <c r="J24" s="172"/>
      <c r="K24" s="172"/>
      <c r="L24" s="172"/>
      <c r="M24" s="172"/>
      <c r="N24" s="172"/>
      <c r="O24" s="172"/>
      <c r="P24" s="172"/>
      <c r="Q24" s="172"/>
      <c r="R24" s="172"/>
      <c r="S24" s="172"/>
      <c r="T24" s="172"/>
      <c r="U24" s="172"/>
      <c r="V24" s="172"/>
      <c r="W24" s="172"/>
      <c r="X24" s="172"/>
      <c r="Y24" s="172"/>
      <c r="Z24" s="172"/>
      <c r="AA24" s="172"/>
      <c r="AB24" s="172"/>
      <c r="AC24" s="172"/>
      <c r="AD24" s="172"/>
      <c r="AE24" s="172"/>
      <c r="AF24" s="172"/>
      <c r="AG24" s="172"/>
      <c r="AH24" s="182"/>
      <c r="AI24" s="39"/>
      <c r="AJ24" s="42"/>
    </row>
    <row r="25" spans="2:36" s="36" customFormat="1" ht="17.1" customHeight="1">
      <c r="B25" s="169"/>
      <c r="C25" s="39"/>
      <c r="D25" s="39"/>
      <c r="E25" s="39"/>
      <c r="F25" s="39"/>
      <c r="G25" s="54"/>
      <c r="H25"/>
      <c r="I25"/>
      <c r="J25"/>
      <c r="K25"/>
      <c r="L25" s="55"/>
      <c r="M25" s="55"/>
      <c r="N25" s="55"/>
      <c r="O25" s="55"/>
      <c r="P25" s="55"/>
      <c r="Q25" s="55"/>
      <c r="R25" s="55"/>
      <c r="S25" s="55"/>
      <c r="T25" s="55"/>
      <c r="U25" s="55"/>
      <c r="V25" s="55"/>
      <c r="W25" s="56"/>
      <c r="X25" s="56"/>
      <c r="Y25" s="56"/>
      <c r="Z25" s="56"/>
      <c r="AA25" s="56"/>
      <c r="AB25" s="56"/>
      <c r="AC25" s="56"/>
      <c r="AD25" s="56"/>
      <c r="AE25" s="56"/>
      <c r="AF25" s="56"/>
      <c r="AG25" s="56"/>
      <c r="AH25" s="57"/>
      <c r="AI25" s="39"/>
      <c r="AJ25" s="42"/>
    </row>
    <row r="26" spans="2:36" s="36" customFormat="1" ht="26.25" customHeight="1">
      <c r="B26" s="169"/>
      <c r="C26" s="39"/>
      <c r="D26" s="39"/>
      <c r="E26" s="39"/>
      <c r="F26" s="39"/>
      <c r="G26" s="54"/>
      <c r="H26" s="178"/>
      <c r="I26" s="178"/>
      <c r="J26" s="178"/>
      <c r="K26"/>
      <c r="L26" s="55"/>
      <c r="M26" s="58" t="s">
        <v>296</v>
      </c>
      <c r="N26" s="174" t="s">
        <v>1</v>
      </c>
      <c r="O26" s="174"/>
      <c r="P26" s="174"/>
      <c r="Q26" s="174"/>
      <c r="T26" s="173" t="s">
        <v>297</v>
      </c>
      <c r="U26" s="173"/>
      <c r="V26" s="173"/>
      <c r="W26" s="173"/>
      <c r="X26" s="59"/>
      <c r="Y26" s="59"/>
      <c r="Z26" s="173" t="s">
        <v>298</v>
      </c>
      <c r="AA26" s="173"/>
      <c r="AB26" s="173"/>
      <c r="AC26" s="173"/>
      <c r="AD26" s="173" t="s">
        <v>299</v>
      </c>
      <c r="AE26" s="173"/>
      <c r="AF26" s="175" t="s">
        <v>300</v>
      </c>
      <c r="AG26" s="175"/>
      <c r="AH26" s="60"/>
      <c r="AI26" s="39"/>
      <c r="AJ26" s="42"/>
    </row>
    <row r="27" spans="2:36" s="36" customFormat="1" ht="10.5" customHeight="1">
      <c r="B27" s="169"/>
      <c r="C27" s="39"/>
      <c r="D27" s="39"/>
      <c r="E27" s="39"/>
      <c r="F27" s="39"/>
      <c r="G27" s="54"/>
      <c r="H27" s="178"/>
      <c r="I27" s="178"/>
      <c r="J27" s="178"/>
      <c r="K27"/>
      <c r="L27" s="55"/>
      <c r="M27" s="61"/>
      <c r="N27" s="176"/>
      <c r="O27" s="176"/>
      <c r="P27" s="176"/>
      <c r="Q27" s="176"/>
      <c r="T27" s="176"/>
      <c r="U27" s="176"/>
      <c r="V27" s="176"/>
      <c r="W27" s="176"/>
      <c r="X27" s="61"/>
      <c r="Y27" s="61"/>
      <c r="Z27" s="61"/>
      <c r="AA27" s="61"/>
      <c r="AB27" s="61"/>
      <c r="AC27" s="61"/>
      <c r="AD27" s="61"/>
      <c r="AE27" s="61"/>
      <c r="AF27" s="61"/>
      <c r="AG27" s="61"/>
      <c r="AH27" s="62"/>
      <c r="AI27" s="39"/>
      <c r="AJ27" s="42"/>
    </row>
    <row r="28" spans="2:36" s="36" customFormat="1" ht="3.95" customHeight="1">
      <c r="B28" s="169"/>
      <c r="C28" s="39"/>
      <c r="D28" s="39"/>
      <c r="E28" s="39"/>
      <c r="F28" s="39"/>
      <c r="G28" s="54"/>
      <c r="H28" s="178"/>
      <c r="I28" s="178"/>
      <c r="J28" s="178"/>
      <c r="K28"/>
      <c r="L28" s="55"/>
      <c r="M28" s="1"/>
      <c r="N28" s="162"/>
      <c r="O28" s="162"/>
      <c r="P28" s="162"/>
      <c r="Q28" s="162"/>
      <c r="T28" s="162"/>
      <c r="U28" s="162"/>
      <c r="V28" s="162"/>
      <c r="W28" s="162"/>
      <c r="X28" s="1"/>
      <c r="Y28" s="1"/>
      <c r="Z28" s="1"/>
      <c r="AA28" s="1"/>
      <c r="AB28" s="1"/>
      <c r="AC28" s="1"/>
      <c r="AD28" s="1"/>
      <c r="AE28" s="1"/>
      <c r="AF28" s="1"/>
      <c r="AG28" s="1"/>
      <c r="AH28" s="63"/>
      <c r="AI28" s="39"/>
      <c r="AJ28" s="42"/>
    </row>
    <row r="29" spans="2:36" s="36" customFormat="1" ht="17.1" customHeight="1">
      <c r="B29" s="169"/>
      <c r="C29" s="39"/>
      <c r="D29" s="39"/>
      <c r="E29" s="39"/>
      <c r="F29" s="39"/>
      <c r="G29" s="54"/>
      <c r="H29" s="178"/>
      <c r="I29" s="178"/>
      <c r="J29" s="178"/>
      <c r="K29"/>
      <c r="L29" s="55"/>
      <c r="M29" s="58">
        <f ca="1">IFERROR(IF(MATCH(ROW()-ROW($M$28),B_02.02[0112],0)&gt;=0,(ROW()-ROW($M$28))),"")</f>
        <v>1</v>
      </c>
      <c r="N29" s="164" t="str">
        <f ca="1">IF(M29="","",INDEX(B_02.02[description],MATCH(M29,B_02.02[0112],0)))</f>
        <v>C2387contract</v>
      </c>
      <c r="O29" s="164"/>
      <c r="P29" s="164"/>
      <c r="Q29" s="164"/>
      <c r="T29" s="162" t="str">
        <f ca="1">IF(M29="","",INDEX(B_02.02[0010],MATCH(M29,B_02.02[0112],0)))</f>
        <v>C2387</v>
      </c>
      <c r="U29" s="162"/>
      <c r="V29" s="162"/>
      <c r="W29" s="162"/>
      <c r="X29" s="65"/>
      <c r="Y29" s="65"/>
      <c r="Z29" s="184">
        <f ca="1">IF(M29="","",INDEX(B_02.02[0110_date],MATCH(M29,B_02.02[0112],0)))</f>
        <v>45718</v>
      </c>
      <c r="AA29" s="184"/>
      <c r="AB29" s="184"/>
      <c r="AC29" s="184"/>
      <c r="AD29" s="186">
        <f ca="1">IF(M29="","",Z29-TODAY())</f>
        <v>38</v>
      </c>
      <c r="AE29" s="186"/>
      <c r="AF29" s="185" t="str">
        <f ca="1">IF(M29="","",INDEX(B_02.02[0010],MATCH(MAX(B_02.02[190]),B_02.02[190],0)))</f>
        <v>C2360</v>
      </c>
      <c r="AG29" s="185"/>
      <c r="AH29" s="66"/>
      <c r="AI29" s="39"/>
      <c r="AJ29" s="42"/>
    </row>
    <row r="30" spans="2:36" s="36" customFormat="1" ht="3.95" customHeight="1">
      <c r="B30" s="169"/>
      <c r="C30" s="39"/>
      <c r="D30" s="39"/>
      <c r="E30" s="39"/>
      <c r="F30" s="39"/>
      <c r="G30" s="54"/>
      <c r="H30" s="178"/>
      <c r="I30" s="178"/>
      <c r="J30" s="178"/>
      <c r="K30"/>
      <c r="L30" s="55"/>
      <c r="M30" s="58"/>
      <c r="N30" s="164"/>
      <c r="O30" s="164"/>
      <c r="P30" s="164"/>
      <c r="Q30" s="164"/>
      <c r="T30" s="162"/>
      <c r="U30" s="162"/>
      <c r="V30" s="162"/>
      <c r="W30" s="162"/>
      <c r="X30" s="65"/>
      <c r="Y30" s="65"/>
      <c r="Z30" s="184"/>
      <c r="AA30" s="184"/>
      <c r="AB30" s="184"/>
      <c r="AC30" s="184"/>
      <c r="AD30" s="186"/>
      <c r="AE30" s="186"/>
      <c r="AF30" s="185" t="str">
        <f>IF(M30="","",INDEX(B_02.02[0010],MATCH(MAX(B_02.02[190]),B_02.02[190],0)))</f>
        <v/>
      </c>
      <c r="AG30" s="185"/>
      <c r="AH30" s="66"/>
      <c r="AI30" s="39"/>
      <c r="AJ30" s="42"/>
    </row>
    <row r="31" spans="2:36" s="36" customFormat="1" ht="17.1" customHeight="1">
      <c r="B31" s="169"/>
      <c r="C31" s="39"/>
      <c r="D31" s="39"/>
      <c r="E31" s="39"/>
      <c r="F31" s="39"/>
      <c r="G31" s="54"/>
      <c r="H31" s="178"/>
      <c r="I31" s="178"/>
      <c r="J31" s="178"/>
      <c r="K31"/>
      <c r="L31" s="55"/>
      <c r="M31" s="58" t="str">
        <f ca="1">IFERROR(IF(MATCH(ROW()-ROW($M$28),B_02.02[0112],0)&gt;=0,(ROW()-ROW($M$28))),"")</f>
        <v/>
      </c>
      <c r="N31" s="164" t="str">
        <f ca="1">IF(M31="","",INDEX(B_02.02[description],MATCH(M31,B_02.02[0112],0)))</f>
        <v/>
      </c>
      <c r="O31" s="164"/>
      <c r="P31" s="164"/>
      <c r="Q31" s="164"/>
      <c r="T31" s="162" t="str">
        <f ca="1">IF(M31="","",INDEX(B_02.02[0010],MATCH(M31,B_02.02[0112],0)))</f>
        <v/>
      </c>
      <c r="U31" s="162"/>
      <c r="V31" s="162"/>
      <c r="W31" s="162"/>
      <c r="X31" s="65"/>
      <c r="Y31" s="65"/>
      <c r="Z31" s="184" t="str">
        <f ca="1">IF(M31="","",INDEX(B_02.02[0110_date],MATCH(M31,B_02.02[0112],0)))</f>
        <v/>
      </c>
      <c r="AA31" s="184"/>
      <c r="AB31" s="184"/>
      <c r="AC31" s="184"/>
      <c r="AD31" s="186" t="str">
        <f ca="1">IF(M31="","",Z31-TODAY())</f>
        <v/>
      </c>
      <c r="AE31" s="186"/>
      <c r="AF31" s="185" t="str">
        <f ca="1">IF(M31="","",INDEX(B_02.02[0010],MATCH(MAX(B_02.02[190]),B_02.02[190],0)))</f>
        <v/>
      </c>
      <c r="AG31" s="185"/>
      <c r="AH31" s="66"/>
      <c r="AI31" s="39"/>
      <c r="AJ31" s="42"/>
    </row>
    <row r="32" spans="2:36" s="36" customFormat="1" ht="3.95" customHeight="1">
      <c r="B32" s="169"/>
      <c r="C32" s="39"/>
      <c r="D32" s="39"/>
      <c r="E32" s="39"/>
      <c r="F32" s="39"/>
      <c r="G32" s="54"/>
      <c r="H32"/>
      <c r="I32"/>
      <c r="J32"/>
      <c r="K32"/>
      <c r="L32" s="55"/>
      <c r="M32" s="58"/>
      <c r="N32" s="164"/>
      <c r="O32" s="164"/>
      <c r="P32" s="164"/>
      <c r="Q32" s="164"/>
      <c r="T32" s="162"/>
      <c r="U32" s="162"/>
      <c r="V32" s="162"/>
      <c r="W32" s="162"/>
      <c r="X32" s="65"/>
      <c r="Y32" s="65"/>
      <c r="Z32" s="184"/>
      <c r="AA32" s="184"/>
      <c r="AB32" s="184"/>
      <c r="AC32" s="184"/>
      <c r="AD32" s="186"/>
      <c r="AE32" s="186"/>
      <c r="AF32" s="185" t="str">
        <f>IF(M32="","",INDEX(B_02.02[0010],MATCH(MAX(B_02.02[190]),B_02.02[190],0)))</f>
        <v/>
      </c>
      <c r="AG32" s="185"/>
      <c r="AH32" s="66"/>
      <c r="AI32" s="39"/>
      <c r="AJ32" s="42"/>
    </row>
    <row r="33" spans="2:36" s="36" customFormat="1" ht="17.1" customHeight="1">
      <c r="B33" s="169"/>
      <c r="C33" s="39"/>
      <c r="D33" s="39"/>
      <c r="E33" s="39"/>
      <c r="F33" s="39"/>
      <c r="G33" s="54"/>
      <c r="H33"/>
      <c r="I33"/>
      <c r="J33"/>
      <c r="K33"/>
      <c r="L33" s="55"/>
      <c r="M33" s="58" t="str">
        <f ca="1">IFERROR(IF(MATCH(ROW()-ROW($M$28),B_02.02[0112],0)&gt;=0,(ROW()-ROW($M$28))),"")</f>
        <v/>
      </c>
      <c r="N33" s="164" t="str">
        <f ca="1">IF(M33="","",INDEX(B_02.02[description],MATCH(M33,B_02.02[0112],0)))</f>
        <v/>
      </c>
      <c r="O33" s="164"/>
      <c r="P33" s="164"/>
      <c r="Q33" s="164"/>
      <c r="T33" s="162" t="str">
        <f ca="1">IF(M33="","",INDEX(B_02.02[0010],MATCH(M33,B_02.02[0112],0)))</f>
        <v/>
      </c>
      <c r="U33" s="162"/>
      <c r="V33" s="162"/>
      <c r="W33" s="162"/>
      <c r="X33" s="65"/>
      <c r="Y33" s="65"/>
      <c r="Z33" s="184" t="str">
        <f ca="1">IF(M33="","",INDEX(B_02.02[0110_date],MATCH(M33,B_02.02[0112],0)))</f>
        <v/>
      </c>
      <c r="AA33" s="184"/>
      <c r="AB33" s="184"/>
      <c r="AC33" s="184"/>
      <c r="AD33" s="186" t="str">
        <f ca="1">IF(M33="","",Z33-TODAY())</f>
        <v/>
      </c>
      <c r="AE33" s="186"/>
      <c r="AF33" s="185" t="str">
        <f ca="1">IF(M33="","",INDEX(B_02.02[0010],MATCH(MAX(B_02.02[190]),B_02.02[190],0)))</f>
        <v/>
      </c>
      <c r="AG33" s="185"/>
      <c r="AH33" s="66"/>
      <c r="AI33" s="39"/>
      <c r="AJ33" s="42"/>
    </row>
    <row r="34" spans="2:36" s="36" customFormat="1" ht="3.95" customHeight="1">
      <c r="B34" s="169"/>
      <c r="C34" s="39"/>
      <c r="D34" s="39"/>
      <c r="E34" s="39"/>
      <c r="F34" s="39"/>
      <c r="G34" s="54"/>
      <c r="H34"/>
      <c r="I34"/>
      <c r="J34"/>
      <c r="K34"/>
      <c r="L34" s="55"/>
      <c r="M34" s="58"/>
      <c r="N34" s="164"/>
      <c r="O34" s="164"/>
      <c r="P34" s="164"/>
      <c r="Q34" s="164"/>
      <c r="T34" s="162"/>
      <c r="U34" s="162"/>
      <c r="V34" s="162"/>
      <c r="W34" s="162"/>
      <c r="X34" s="65"/>
      <c r="Y34" s="65"/>
      <c r="Z34" s="184"/>
      <c r="AA34" s="184"/>
      <c r="AB34" s="184"/>
      <c r="AC34" s="184"/>
      <c r="AD34" s="186"/>
      <c r="AE34" s="186"/>
      <c r="AF34" s="185" t="str">
        <f>IF(M34="","",INDEX(B_02.02[0010],MATCH(MAX(B_02.02[190]),B_02.02[190],0)))</f>
        <v/>
      </c>
      <c r="AG34" s="185"/>
      <c r="AH34" s="66"/>
      <c r="AI34" s="39"/>
      <c r="AJ34" s="42"/>
    </row>
    <row r="35" spans="2:36" s="36" customFormat="1" ht="17.1" customHeight="1">
      <c r="B35" s="169"/>
      <c r="C35" s="39"/>
      <c r="D35" s="39"/>
      <c r="E35" s="39"/>
      <c r="F35" s="39"/>
      <c r="G35" s="54"/>
      <c r="H35"/>
      <c r="I35"/>
      <c r="J35"/>
      <c r="K35"/>
      <c r="L35" s="55"/>
      <c r="M35" s="58" t="str">
        <f ca="1">IFERROR(IF(MATCH(ROW()-ROW($M$28),B_02.02[0112],0)&gt;=0,(ROW()-ROW($M$28))),"")</f>
        <v/>
      </c>
      <c r="N35" s="164" t="str">
        <f ca="1">IF(M35="","",INDEX(B_02.02[description],MATCH(M35,B_02.02[0112],0)))</f>
        <v/>
      </c>
      <c r="O35" s="164"/>
      <c r="P35" s="164"/>
      <c r="Q35" s="164"/>
      <c r="T35" s="162" t="str">
        <f ca="1">IF(M35="","",INDEX(B_02.02[0010],MATCH(M35,B_02.02[0112],0)))</f>
        <v/>
      </c>
      <c r="U35" s="162"/>
      <c r="V35" s="162"/>
      <c r="W35" s="162"/>
      <c r="X35" s="65"/>
      <c r="Y35" s="65"/>
      <c r="Z35" s="184" t="str">
        <f ca="1">IF(M35="","",INDEX(B_02.02[0110_date],MATCH(M35,B_02.02[0112],0)))</f>
        <v/>
      </c>
      <c r="AA35" s="184"/>
      <c r="AB35" s="184"/>
      <c r="AC35" s="184"/>
      <c r="AD35" s="186" t="str">
        <f ca="1">IF(M35="","",Z35-TODAY())</f>
        <v/>
      </c>
      <c r="AE35" s="186"/>
      <c r="AF35" s="185" t="str">
        <f ca="1">IF(M35="","",INDEX(B_02.02[0010],MATCH(MAX(B_02.02[190]),B_02.02[190],0)))</f>
        <v/>
      </c>
      <c r="AG35" s="185"/>
      <c r="AH35" s="66"/>
      <c r="AI35" s="39"/>
      <c r="AJ35" s="42"/>
    </row>
    <row r="36" spans="2:36" s="36" customFormat="1" ht="3.95" customHeight="1">
      <c r="B36" s="169"/>
      <c r="C36" s="39"/>
      <c r="D36" s="39"/>
      <c r="E36" s="39"/>
      <c r="F36" s="39"/>
      <c r="G36" s="54"/>
      <c r="H36"/>
      <c r="I36"/>
      <c r="J36"/>
      <c r="K36"/>
      <c r="L36" s="55"/>
      <c r="M36" s="58"/>
      <c r="N36" s="164"/>
      <c r="O36" s="164"/>
      <c r="P36" s="164"/>
      <c r="Q36" s="164"/>
      <c r="T36" s="162"/>
      <c r="U36" s="162"/>
      <c r="V36" s="162"/>
      <c r="W36" s="162"/>
      <c r="X36" s="65"/>
      <c r="Y36" s="65"/>
      <c r="Z36" s="184"/>
      <c r="AA36" s="184"/>
      <c r="AB36" s="184"/>
      <c r="AC36" s="184"/>
      <c r="AD36" s="186"/>
      <c r="AE36" s="186"/>
      <c r="AF36" s="185" t="str">
        <f>IF(M36="","",INDEX(B_02.02[0010],MATCH(MAX(B_02.02[190]),B_02.02[190],0)))</f>
        <v/>
      </c>
      <c r="AG36" s="185"/>
      <c r="AH36" s="66"/>
      <c r="AI36" s="39"/>
      <c r="AJ36" s="42"/>
    </row>
    <row r="37" spans="2:36" s="36" customFormat="1" ht="17.1" customHeight="1">
      <c r="B37" s="169"/>
      <c r="C37" s="39"/>
      <c r="D37" s="39"/>
      <c r="E37" s="39"/>
      <c r="F37" s="39"/>
      <c r="G37" s="54"/>
      <c r="H37"/>
      <c r="I37"/>
      <c r="J37"/>
      <c r="K37"/>
      <c r="L37" s="55"/>
      <c r="M37" s="58" t="str">
        <f ca="1">IFERROR(IF(MATCH(ROW()-ROW($M$28),B_02.02[0112],0)&gt;=0,(ROW()-ROW($M$28))),"")</f>
        <v/>
      </c>
      <c r="N37" s="164" t="str">
        <f ca="1">IF(M37="","",INDEX(B_02.02[description],MATCH(M37,B_02.02[0112],0)))</f>
        <v/>
      </c>
      <c r="O37" s="164"/>
      <c r="P37" s="164"/>
      <c r="Q37" s="164"/>
      <c r="T37" s="162" t="str">
        <f ca="1">IF(M37="","",INDEX(B_02.02[0010],MATCH(M37,B_02.02[0112],0)))</f>
        <v/>
      </c>
      <c r="U37" s="162"/>
      <c r="V37" s="162"/>
      <c r="W37" s="162"/>
      <c r="X37" s="65"/>
      <c r="Y37" s="65"/>
      <c r="Z37" s="184" t="str">
        <f ca="1">IF(M37="","",INDEX(B_02.02[0110_date],MATCH(M37,B_02.02[0112],0)))</f>
        <v/>
      </c>
      <c r="AA37" s="184"/>
      <c r="AB37" s="184"/>
      <c r="AC37" s="184"/>
      <c r="AD37" s="186" t="str">
        <f ca="1">IF(M37="","",Z37-TODAY())</f>
        <v/>
      </c>
      <c r="AE37" s="186"/>
      <c r="AF37" s="185" t="str">
        <f ca="1">IF(M37="","",INDEX(B_02.02[0010],MATCH(MAX(B_02.02[190]),B_02.02[190],0)))</f>
        <v/>
      </c>
      <c r="AG37" s="185"/>
      <c r="AH37" s="66"/>
      <c r="AI37" s="39"/>
      <c r="AJ37" s="42"/>
    </row>
    <row r="38" spans="2:36" s="36" customFormat="1" ht="3.95" customHeight="1">
      <c r="B38" s="169"/>
      <c r="C38" s="39"/>
      <c r="D38" s="39"/>
      <c r="E38" s="39"/>
      <c r="F38" s="39"/>
      <c r="G38" s="54"/>
      <c r="H38"/>
      <c r="I38" s="67"/>
      <c r="J38" s="67"/>
      <c r="K38" s="67"/>
      <c r="L38" s="55"/>
      <c r="M38" s="68"/>
      <c r="N38" s="183"/>
      <c r="O38" s="183"/>
      <c r="P38" s="183"/>
      <c r="Q38" s="183"/>
      <c r="R38" s="68"/>
      <c r="S38" s="68"/>
      <c r="T38" s="68"/>
      <c r="U38" s="68"/>
      <c r="V38" s="68"/>
      <c r="W38" s="64"/>
      <c r="X38" s="64"/>
      <c r="Y38" s="64"/>
      <c r="Z38" s="64"/>
      <c r="AA38" s="64"/>
      <c r="AB38" s="64"/>
      <c r="AC38" s="64"/>
      <c r="AD38" s="64"/>
      <c r="AE38" s="64"/>
      <c r="AF38" s="64"/>
      <c r="AG38" s="64"/>
      <c r="AH38" s="69"/>
      <c r="AI38" s="39"/>
      <c r="AJ38" s="42"/>
    </row>
    <row r="39" spans="2:36" s="36" customFormat="1" ht="9.6" customHeight="1">
      <c r="B39" s="169"/>
      <c r="C39" s="39"/>
      <c r="D39" s="39"/>
      <c r="E39" s="39"/>
      <c r="F39" s="39"/>
      <c r="G39" s="70"/>
      <c r="H39" s="71"/>
      <c r="I39" s="72"/>
      <c r="J39" s="72"/>
      <c r="K39" s="72"/>
      <c r="L39" s="73"/>
      <c r="M39" s="73"/>
      <c r="N39" s="73"/>
      <c r="O39" s="73"/>
      <c r="P39" s="73"/>
      <c r="Q39" s="73"/>
      <c r="R39" s="73"/>
      <c r="S39" s="73"/>
      <c r="T39" s="73"/>
      <c r="U39" s="73"/>
      <c r="V39" s="73"/>
      <c r="W39" s="74"/>
      <c r="X39" s="74"/>
      <c r="Y39" s="74"/>
      <c r="Z39" s="74"/>
      <c r="AA39" s="74"/>
      <c r="AB39" s="74"/>
      <c r="AC39" s="74"/>
      <c r="AD39" s="74"/>
      <c r="AE39" s="74"/>
      <c r="AF39" s="74"/>
      <c r="AG39" s="74"/>
      <c r="AH39" s="75"/>
      <c r="AI39" s="39"/>
      <c r="AJ39" s="42"/>
    </row>
    <row r="40" spans="2:36" s="36" customFormat="1" ht="9.6" customHeight="1">
      <c r="B40" s="169"/>
      <c r="C40" s="39"/>
      <c r="D40" s="39"/>
      <c r="E40" s="39"/>
      <c r="F40" s="39"/>
      <c r="G40" s="76"/>
      <c r="H40" s="77"/>
      <c r="I40" s="39"/>
      <c r="J40" s="39"/>
      <c r="K40" s="39"/>
      <c r="L40" s="39"/>
      <c r="M40" s="39"/>
      <c r="N40" s="39"/>
      <c r="O40" s="39"/>
      <c r="P40" s="39"/>
      <c r="Q40" s="39"/>
      <c r="R40" s="39"/>
      <c r="S40" s="39"/>
      <c r="T40" s="39"/>
      <c r="U40" s="39"/>
      <c r="V40" s="39"/>
      <c r="W40" s="78"/>
      <c r="X40" s="78"/>
      <c r="Y40" s="78"/>
      <c r="Z40" s="78"/>
      <c r="AA40" s="78"/>
      <c r="AB40" s="78"/>
      <c r="AC40" s="78"/>
      <c r="AD40" s="78"/>
      <c r="AE40" s="78"/>
      <c r="AF40" s="78"/>
      <c r="AG40" s="78"/>
      <c r="AH40" s="78"/>
      <c r="AI40" s="39"/>
      <c r="AJ40" s="42"/>
    </row>
    <row r="41" spans="2:36" s="36" customFormat="1" ht="17.1" customHeight="1">
      <c r="B41" s="170"/>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3"/>
    </row>
    <row r="42" spans="2:36" s="36" customFormat="1" ht="14.25">
      <c r="B42" s="79"/>
      <c r="C42" s="79"/>
      <c r="D42" s="79"/>
      <c r="E42" s="79"/>
      <c r="F42" s="79"/>
      <c r="G42" s="79"/>
      <c r="H42" s="79"/>
      <c r="I42" s="79"/>
      <c r="J42" s="79"/>
      <c r="K42" s="79"/>
      <c r="L42" s="79"/>
      <c r="M42" s="79"/>
      <c r="N42" s="79"/>
      <c r="O42" s="79"/>
      <c r="P42" s="79"/>
      <c r="Q42" s="79"/>
      <c r="R42" s="79"/>
      <c r="S42" s="79"/>
      <c r="T42" s="79"/>
      <c r="U42" s="79"/>
      <c r="V42" s="79"/>
      <c r="W42"/>
      <c r="X42"/>
      <c r="Y42" s="79"/>
      <c r="Z42" s="79"/>
      <c r="AA42" s="79"/>
      <c r="AB42"/>
      <c r="AC42" s="79"/>
      <c r="AD42" s="79"/>
      <c r="AE42" s="79"/>
      <c r="AF42" s="79"/>
      <c r="AG42" s="79"/>
      <c r="AH42" s="79"/>
      <c r="AI42" s="79"/>
      <c r="AJ42" s="79"/>
    </row>
    <row r="43" spans="2:36" s="36" customFormat="1" ht="16.5" customHeight="1">
      <c r="B43" s="168" t="s">
        <v>301</v>
      </c>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8"/>
    </row>
    <row r="44" spans="2:36" s="36" customFormat="1" ht="17.1" customHeight="1">
      <c r="B44" s="16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42"/>
    </row>
    <row r="45" spans="2:36" s="36" customFormat="1" ht="17.1" customHeight="1">
      <c r="B45" s="16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42"/>
    </row>
    <row r="46" spans="2:36" s="36" customFormat="1" ht="17.1" customHeight="1">
      <c r="B46" s="16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42"/>
    </row>
    <row r="47" spans="2:36" s="36" customFormat="1" ht="17.1" customHeight="1">
      <c r="B47" s="16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42"/>
    </row>
    <row r="48" spans="2:36" s="36" customFormat="1" ht="17.1" customHeight="1">
      <c r="B48" s="16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42"/>
    </row>
    <row r="49" spans="2:36" s="36" customFormat="1" ht="17.1" customHeight="1">
      <c r="B49" s="16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42"/>
    </row>
    <row r="50" spans="2:36" s="36" customFormat="1" ht="17.1" customHeight="1">
      <c r="B50" s="16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42"/>
    </row>
    <row r="51" spans="2:36" s="36" customFormat="1" ht="17.1" customHeight="1">
      <c r="B51" s="16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42"/>
    </row>
    <row r="52" spans="2:36" s="36" customFormat="1" ht="17.1" customHeight="1">
      <c r="B52" s="16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42"/>
    </row>
    <row r="53" spans="2:36" s="36" customFormat="1" ht="17.1" customHeight="1">
      <c r="B53" s="16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42"/>
    </row>
    <row r="54" spans="2:36" s="36" customFormat="1" ht="17.1" customHeight="1">
      <c r="B54" s="16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42"/>
    </row>
    <row r="55" spans="2:36" s="36" customFormat="1" ht="17.45" customHeight="1">
      <c r="B55" s="169"/>
      <c r="C55" s="39"/>
      <c r="D55" s="39"/>
      <c r="E55" s="39"/>
      <c r="F55" s="39"/>
      <c r="G55" s="39"/>
      <c r="H55" s="39"/>
      <c r="I55" s="39"/>
      <c r="J55" s="39"/>
      <c r="K55" s="39"/>
      <c r="L55" s="39"/>
      <c r="M55" s="39"/>
      <c r="N55" s="39"/>
      <c r="O55" s="192"/>
      <c r="P55" s="192"/>
      <c r="Q55" s="192"/>
      <c r="R55" s="2"/>
      <c r="S55" s="2"/>
      <c r="T55" s="192"/>
      <c r="U55" s="192"/>
      <c r="V55" s="192"/>
      <c r="W55" s="192"/>
      <c r="X55" s="2"/>
      <c r="Y55" s="39"/>
      <c r="Z55" s="192"/>
      <c r="AA55" s="192"/>
      <c r="AB55" s="192"/>
      <c r="AC55" s="39"/>
      <c r="AD55" s="39"/>
      <c r="AE55" s="192"/>
      <c r="AF55" s="192"/>
      <c r="AG55" s="2"/>
      <c r="AH55" s="39"/>
      <c r="AI55" s="39"/>
      <c r="AJ55" s="42"/>
    </row>
    <row r="56" spans="2:36" s="36" customFormat="1" ht="8.1" customHeight="1">
      <c r="B56" s="16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42"/>
    </row>
    <row r="57" spans="2:36" s="36" customFormat="1" ht="8.1" customHeight="1">
      <c r="B57" s="16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42"/>
    </row>
    <row r="58" spans="2:36" s="36" customFormat="1" ht="17.1" customHeight="1">
      <c r="B58" s="16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42"/>
    </row>
    <row r="59" spans="2:36" s="36" customFormat="1" ht="43.5" customHeight="1">
      <c r="B59" s="16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42"/>
    </row>
    <row r="60" spans="2:36" s="36" customFormat="1" ht="15.6" customHeight="1">
      <c r="B60" s="16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42"/>
    </row>
    <row r="61" spans="2:36" s="36" customFormat="1" ht="30.95" customHeight="1">
      <c r="B61" s="16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42"/>
    </row>
    <row r="62" spans="2:36" s="36" customFormat="1" ht="19.5" customHeight="1">
      <c r="B62" s="16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42"/>
    </row>
    <row r="63" spans="2:36" s="36" customFormat="1" ht="20.45" customHeight="1">
      <c r="B63" s="16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42"/>
    </row>
    <row r="64" spans="2:36" s="36" customFormat="1" ht="17.1" customHeight="1">
      <c r="B64" s="170"/>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3"/>
    </row>
    <row r="65" spans="2:36" s="36" customFormat="1" ht="14.25">
      <c r="B65" s="79"/>
      <c r="C65" s="79"/>
      <c r="D65" s="79"/>
      <c r="E65" s="79"/>
      <c r="F65" s="79"/>
      <c r="G65" s="79"/>
      <c r="H65" s="79"/>
      <c r="I65" s="79"/>
      <c r="J65" s="79"/>
      <c r="K65" s="79"/>
      <c r="L65" s="79"/>
      <c r="M65" s="79"/>
      <c r="N65" s="79"/>
      <c r="O65" s="79"/>
      <c r="P65" s="79"/>
      <c r="Q65" s="79"/>
      <c r="R65" s="79"/>
      <c r="S65" s="79"/>
      <c r="T65" s="79"/>
      <c r="U65" s="79"/>
      <c r="V65" s="79"/>
      <c r="W65"/>
      <c r="X65"/>
      <c r="Y65" s="79"/>
      <c r="Z65" s="79"/>
      <c r="AA65" s="79"/>
      <c r="AB65"/>
      <c r="AC65" s="79"/>
      <c r="AD65" s="79"/>
      <c r="AE65" s="79"/>
      <c r="AF65" s="79"/>
      <c r="AG65" s="79"/>
      <c r="AH65" s="79"/>
      <c r="AI65" s="79"/>
      <c r="AJ65" s="79"/>
    </row>
    <row r="66" spans="2:41" s="36" customFormat="1" ht="16.5" customHeight="1">
      <c r="B66" s="168" t="s">
        <v>302</v>
      </c>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8"/>
      <c r="AL66" s="80"/>
      <c r="AM66" s="81"/>
      <c r="AN66" s="81"/>
      <c r="AO66" s="82"/>
    </row>
    <row r="67" spans="2:41" s="36" customFormat="1" ht="16.5" customHeight="1">
      <c r="B67" s="16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42"/>
      <c r="AL67" s="83"/>
      <c r="AM67" s="84"/>
      <c r="AN67" s="84"/>
      <c r="AO67" s="85"/>
    </row>
    <row r="68" spans="2:41" s="36" customFormat="1" ht="16.5" customHeight="1">
      <c r="B68" s="169"/>
      <c r="C68" s="39"/>
      <c r="D68" s="39"/>
      <c r="E68" s="39"/>
      <c r="F68" s="86"/>
      <c r="G68" s="171" t="s">
        <v>303</v>
      </c>
      <c r="H68" s="171"/>
      <c r="I68" s="171"/>
      <c r="J68" s="171"/>
      <c r="K68" s="171"/>
      <c r="L68" s="171"/>
      <c r="M68" s="171"/>
      <c r="N68" s="171"/>
      <c r="O68" s="171"/>
      <c r="P68" s="171"/>
      <c r="Q68" s="171"/>
      <c r="R68" s="171"/>
      <c r="S68" s="171"/>
      <c r="T68" s="171"/>
      <c r="U68" s="171"/>
      <c r="V68" s="171"/>
      <c r="W68" s="171"/>
      <c r="X68" s="171"/>
      <c r="Y68" s="171"/>
      <c r="Z68" s="171"/>
      <c r="AA68" s="171"/>
      <c r="AB68" s="171"/>
      <c r="AC68" s="171"/>
      <c r="AD68" s="171"/>
      <c r="AE68" s="171"/>
      <c r="AF68" s="171"/>
      <c r="AG68" s="171"/>
      <c r="AH68" s="171"/>
      <c r="AI68" s="87"/>
      <c r="AJ68" s="42"/>
      <c r="AL68" s="83"/>
      <c r="AM68" s="84"/>
      <c r="AN68" s="84"/>
      <c r="AO68" s="85"/>
    </row>
    <row r="69" spans="2:41" s="36" customFormat="1" ht="16.5" customHeight="1">
      <c r="B69" s="169"/>
      <c r="C69" s="39"/>
      <c r="D69" s="39"/>
      <c r="E69" s="39"/>
      <c r="F69" s="88"/>
      <c r="G69" s="172"/>
      <c r="H69" s="172"/>
      <c r="I69" s="172"/>
      <c r="J69" s="172"/>
      <c r="K69" s="172"/>
      <c r="L69" s="172"/>
      <c r="M69" s="172"/>
      <c r="N69" s="172"/>
      <c r="O69" s="172"/>
      <c r="P69" s="172"/>
      <c r="Q69" s="172"/>
      <c r="R69" s="172"/>
      <c r="S69" s="172"/>
      <c r="T69" s="172"/>
      <c r="U69" s="172"/>
      <c r="V69" s="172"/>
      <c r="W69" s="172"/>
      <c r="X69" s="172"/>
      <c r="Y69" s="172"/>
      <c r="Z69" s="172"/>
      <c r="AA69" s="172"/>
      <c r="AB69" s="172"/>
      <c r="AC69" s="172"/>
      <c r="AD69" s="172"/>
      <c r="AE69" s="172"/>
      <c r="AF69" s="172"/>
      <c r="AG69" s="172"/>
      <c r="AH69" s="172"/>
      <c r="AI69" s="89"/>
      <c r="AJ69" s="42"/>
      <c r="AL69" s="83"/>
      <c r="AM69" s="84"/>
      <c r="AN69" s="84"/>
      <c r="AO69" s="85"/>
    </row>
    <row r="70" spans="2:41" s="36" customFormat="1" ht="16.5" customHeight="1">
      <c r="B70" s="169"/>
      <c r="C70" s="39"/>
      <c r="D70" s="39"/>
      <c r="E70" s="39"/>
      <c r="F70" s="88"/>
      <c r="G70" s="55"/>
      <c r="H70" s="55"/>
      <c r="I70" s="55"/>
      <c r="J70" s="55"/>
      <c r="K70" s="55"/>
      <c r="L70" s="55"/>
      <c r="M70" s="55"/>
      <c r="N70" s="55"/>
      <c r="O70" s="55"/>
      <c r="P70" s="55"/>
      <c r="Q70" s="55"/>
      <c r="R70" s="55"/>
      <c r="S70" s="55"/>
      <c r="T70" s="55"/>
      <c r="U70" s="55"/>
      <c r="V70" s="55"/>
      <c r="W70" s="56"/>
      <c r="X70" s="56"/>
      <c r="Y70" s="56"/>
      <c r="Z70" s="56"/>
      <c r="AA70" s="56"/>
      <c r="AB70" s="56"/>
      <c r="AC70" s="56"/>
      <c r="AD70" s="56"/>
      <c r="AE70" s="56"/>
      <c r="AF70" s="56"/>
      <c r="AG70" s="56"/>
      <c r="AH70" s="56"/>
      <c r="AI70" s="57"/>
      <c r="AJ70" s="42"/>
      <c r="AL70" s="83"/>
      <c r="AM70" s="84"/>
      <c r="AN70" s="84"/>
      <c r="AO70" s="85"/>
    </row>
    <row r="71" spans="2:41" s="90" customFormat="1" ht="17.1" customHeight="1">
      <c r="B71" s="169"/>
      <c r="C71" s="39"/>
      <c r="D71" s="39"/>
      <c r="E71" s="39"/>
      <c r="F71" s="88"/>
      <c r="G71" s="58" t="s">
        <v>296</v>
      </c>
      <c r="H71" s="59" t="s">
        <v>1</v>
      </c>
      <c r="I71" s="59"/>
      <c r="J71" s="59"/>
      <c r="K71" s="59"/>
      <c r="L71" s="173" t="s">
        <v>297</v>
      </c>
      <c r="M71" s="173"/>
      <c r="N71" s="173"/>
      <c r="O71" s="173"/>
      <c r="P71" s="173" t="s">
        <v>300</v>
      </c>
      <c r="Q71" s="173"/>
      <c r="R71" s="91"/>
      <c r="S71" s="55"/>
      <c r="T71" s="58" t="s">
        <v>296</v>
      </c>
      <c r="U71" s="55"/>
      <c r="V71" s="174" t="s">
        <v>1</v>
      </c>
      <c r="W71" s="174"/>
      <c r="X71" s="174"/>
      <c r="Y71" s="174"/>
      <c r="Z71" s="174"/>
      <c r="AA71" s="174"/>
      <c r="AB71" s="174"/>
      <c r="AC71" s="59"/>
      <c r="AD71" s="173" t="s">
        <v>297</v>
      </c>
      <c r="AE71" s="173"/>
      <c r="AF71" s="175" t="s">
        <v>300</v>
      </c>
      <c r="AG71" s="175"/>
      <c r="AH71" s="92"/>
      <c r="AI71" s="60"/>
      <c r="AJ71" s="42"/>
      <c r="AL71" s="93"/>
      <c r="AM71" s="94"/>
      <c r="AN71" s="94"/>
      <c r="AO71" s="95"/>
    </row>
    <row r="72" spans="2:41" s="36" customFormat="1" ht="17.1" customHeight="1">
      <c r="B72" s="169"/>
      <c r="C72" s="39"/>
      <c r="D72" s="39"/>
      <c r="E72" s="39"/>
      <c r="F72" s="88"/>
      <c r="G72" s="61"/>
      <c r="H72" s="61"/>
      <c r="I72" s="61"/>
      <c r="J72" s="61"/>
      <c r="K72" s="61"/>
      <c r="L72" s="176"/>
      <c r="M72" s="176"/>
      <c r="N72" s="176"/>
      <c r="O72" s="176"/>
      <c r="P72" s="176"/>
      <c r="Q72" s="176"/>
      <c r="R72" s="96"/>
      <c r="S72" s="68"/>
      <c r="T72" s="61"/>
      <c r="U72" s="68"/>
      <c r="V72" s="176"/>
      <c r="W72" s="176"/>
      <c r="X72" s="176"/>
      <c r="Y72" s="176"/>
      <c r="Z72" s="176"/>
      <c r="AA72" s="176"/>
      <c r="AB72" s="176"/>
      <c r="AC72" s="61"/>
      <c r="AD72" s="61"/>
      <c r="AE72" s="61"/>
      <c r="AF72" s="61"/>
      <c r="AG72" s="61"/>
      <c r="AH72" s="58"/>
      <c r="AI72" s="62"/>
      <c r="AJ72" s="42"/>
      <c r="AL72" s="83"/>
      <c r="AM72" s="84" t="s">
        <v>304</v>
      </c>
      <c r="AN72" s="84"/>
      <c r="AO72" s="85"/>
    </row>
    <row r="73" spans="2:41" s="36" customFormat="1" ht="5.1" customHeight="1">
      <c r="B73" s="169"/>
      <c r="C73" s="39"/>
      <c r="D73" s="39"/>
      <c r="E73" s="39"/>
      <c r="F73" s="88"/>
      <c r="G73" s="1"/>
      <c r="H73" s="1"/>
      <c r="I73" s="1"/>
      <c r="J73" s="1"/>
      <c r="K73" s="1"/>
      <c r="L73" s="162"/>
      <c r="M73" s="162"/>
      <c r="N73" s="162"/>
      <c r="O73" s="162"/>
      <c r="P73" s="162"/>
      <c r="Q73" s="162"/>
      <c r="R73" s="97"/>
      <c r="S73" s="68"/>
      <c r="T73" s="1"/>
      <c r="U73" s="68"/>
      <c r="V73" s="162"/>
      <c r="W73" s="162"/>
      <c r="X73" s="162"/>
      <c r="Y73" s="162"/>
      <c r="Z73" s="162"/>
      <c r="AA73" s="162"/>
      <c r="AB73" s="162"/>
      <c r="AC73" s="1"/>
      <c r="AD73" s="1"/>
      <c r="AE73" s="1"/>
      <c r="AF73" s="1"/>
      <c r="AG73" s="1"/>
      <c r="AH73" s="98"/>
      <c r="AI73" s="63"/>
      <c r="AJ73" s="42"/>
      <c r="AL73" s="83"/>
      <c r="AM73" s="84"/>
      <c r="AN73" s="84"/>
      <c r="AO73" s="85"/>
    </row>
    <row r="74" spans="2:41" s="36" customFormat="1" ht="17.1" customHeight="1">
      <c r="B74" s="169"/>
      <c r="C74" s="39"/>
      <c r="D74" s="39"/>
      <c r="E74" s="39"/>
      <c r="F74" s="88"/>
      <c r="G74" s="58">
        <v>1</v>
      </c>
      <c r="H74" s="64" t="str">
        <f>INDEX(DB_02.01[description],MATCH(G74,DB_02.01[Ranking],0))</f>
        <v>C2360contract</v>
      </c>
      <c r="I74" s="64"/>
      <c r="J74" s="64"/>
      <c r="K74" s="64"/>
      <c r="L74" s="162" t="str">
        <f>INDEX(DB_02.01[0010],MATCH(G74,DB_02.01[Ranking],0))</f>
        <v>C2360</v>
      </c>
      <c r="M74" s="162"/>
      <c r="N74" s="162"/>
      <c r="O74" s="162"/>
      <c r="P74" s="163">
        <f>INDEX(DB_02.01[0050],MATCH(G74,DB_02.01[Ranking],0))</f>
        <v>441631.36821439245</v>
      </c>
      <c r="Q74" s="163"/>
      <c r="R74" s="99"/>
      <c r="S74" s="68"/>
      <c r="T74" s="58">
        <v>6</v>
      </c>
      <c r="U74" s="68"/>
      <c r="V74" s="164" t="str">
        <f>INDEX(DB_02.01[description],MATCH(T74,DB_02.01[Ranking],0))</f>
        <v>C2355contract</v>
      </c>
      <c r="W74" s="164"/>
      <c r="X74" s="164"/>
      <c r="Y74" s="164"/>
      <c r="Z74" s="164"/>
      <c r="AA74" s="164"/>
      <c r="AB74" s="164"/>
      <c r="AC74" s="64"/>
      <c r="AD74" s="165" t="str">
        <f>INDEX(DB_02.01[0010],MATCH(T74,DB_02.01[Ranking],0))</f>
        <v>C2355</v>
      </c>
      <c r="AE74" s="165"/>
      <c r="AF74" s="166">
        <f>INDEX(DB_02.01[0050],MATCH(T74,DB_02.01[Ranking],0))</f>
        <v>244555.45356328963</v>
      </c>
      <c r="AG74" s="166"/>
      <c r="AH74" s="101"/>
      <c r="AI74" s="66"/>
      <c r="AJ74" s="42"/>
      <c r="AL74" s="83">
        <v>1</v>
      </c>
      <c r="AM74" s="84" t="e">
        <f>INDEX(B_02.02[0051],MATCH(Dashboard!L74,B_02.02[0010],0))</f>
        <v>#N/A</v>
      </c>
      <c r="AN74" s="84">
        <v>6</v>
      </c>
      <c r="AO74" s="85" t="e">
        <f>INDEX(B_02.02[0051],MATCH(Dashboard!AD74,B_02.02[0010],0))</f>
        <v>#N/A</v>
      </c>
    </row>
    <row r="75" spans="2:41" s="36" customFormat="1" ht="5.1" customHeight="1">
      <c r="B75" s="169"/>
      <c r="C75" s="39"/>
      <c r="D75" s="39"/>
      <c r="E75" s="39"/>
      <c r="F75" s="88"/>
      <c r="G75" s="58"/>
      <c r="H75" s="64"/>
      <c r="I75" s="64"/>
      <c r="J75" s="64"/>
      <c r="K75" s="64"/>
      <c r="L75" s="162"/>
      <c r="M75" s="162"/>
      <c r="N75" s="162"/>
      <c r="O75" s="162"/>
      <c r="P75" s="167"/>
      <c r="Q75" s="167"/>
      <c r="R75" s="102"/>
      <c r="S75" s="68"/>
      <c r="T75" s="58"/>
      <c r="U75" s="68"/>
      <c r="V75" s="164"/>
      <c r="W75" s="164"/>
      <c r="X75" s="164"/>
      <c r="Y75" s="164"/>
      <c r="Z75" s="164"/>
      <c r="AA75" s="164"/>
      <c r="AB75" s="164"/>
      <c r="AC75" s="64"/>
      <c r="AD75" s="165"/>
      <c r="AE75" s="165"/>
      <c r="AF75" s="177"/>
      <c r="AG75" s="177"/>
      <c r="AH75" s="101"/>
      <c r="AI75" s="66"/>
      <c r="AJ75" s="42"/>
      <c r="AL75" s="83"/>
      <c r="AM75" s="84"/>
      <c r="AN75" s="84"/>
      <c r="AO75" s="85"/>
    </row>
    <row r="76" spans="2:41" s="36" customFormat="1" ht="17.1" customHeight="1">
      <c r="B76" s="169"/>
      <c r="C76" s="39"/>
      <c r="D76" s="39"/>
      <c r="E76" s="39"/>
      <c r="F76" s="88"/>
      <c r="G76" s="58">
        <v>2</v>
      </c>
      <c r="H76" s="64" t="str">
        <f>INDEX(DB_02.01[description],MATCH(G76,DB_02.01[Ranking],0))</f>
        <v>C2357contract</v>
      </c>
      <c r="I76" s="64"/>
      <c r="J76" s="64"/>
      <c r="K76" s="64"/>
      <c r="L76" s="162" t="str">
        <f>INDEX(DB_02.01[0010],MATCH(G76,DB_02.01[Ranking],0))</f>
        <v>C2357</v>
      </c>
      <c r="M76" s="162"/>
      <c r="N76" s="162"/>
      <c r="O76" s="162"/>
      <c r="P76" s="163">
        <f>INDEX(DB_02.01[0050],MATCH(G76,DB_02.01[Ranking],0))</f>
        <v>417344.41494148504</v>
      </c>
      <c r="Q76" s="163"/>
      <c r="R76" s="99"/>
      <c r="S76" s="68"/>
      <c r="T76" s="58">
        <v>7</v>
      </c>
      <c r="U76" s="68"/>
      <c r="V76" s="164" t="str">
        <f>INDEX(DB_02.01[description],MATCH(T76,DB_02.01[Ranking],0))</f>
        <v>C2354contract</v>
      </c>
      <c r="W76" s="164"/>
      <c r="X76" s="164"/>
      <c r="Y76" s="164"/>
      <c r="Z76" s="164"/>
      <c r="AA76" s="164"/>
      <c r="AB76" s="164"/>
      <c r="AC76" s="64"/>
      <c r="AD76" s="165" t="str">
        <f>INDEX(DB_02.01[0010],MATCH(T76,DB_02.01[Ranking],0))</f>
        <v>C2354</v>
      </c>
      <c r="AE76" s="165"/>
      <c r="AF76" s="166">
        <f>INDEX(DB_02.01[0050],MATCH(T76,DB_02.01[Ranking],0))</f>
        <v>210939.00966385848</v>
      </c>
      <c r="AG76" s="166"/>
      <c r="AH76" s="101"/>
      <c r="AI76" s="66"/>
      <c r="AJ76" s="42"/>
      <c r="AL76" s="83">
        <v>2</v>
      </c>
      <c r="AM76" s="84" t="e">
        <f>INDEX(B_02.02[0051],MATCH(Dashboard!L76,B_02.02[0010],0))</f>
        <v>#N/A</v>
      </c>
      <c r="AN76" s="84">
        <v>7</v>
      </c>
      <c r="AO76" s="85" t="e">
        <f>INDEX(B_02.02[0051],MATCH(Dashboard!AD76,B_02.02[0010],0))</f>
        <v>#N/A</v>
      </c>
    </row>
    <row r="77" spans="2:41" s="36" customFormat="1" ht="5.1" customHeight="1">
      <c r="B77" s="169"/>
      <c r="C77" s="39"/>
      <c r="D77" s="39"/>
      <c r="E77" s="39"/>
      <c r="F77" s="88"/>
      <c r="G77" s="58"/>
      <c r="H77" s="64"/>
      <c r="I77" s="64"/>
      <c r="J77" s="64"/>
      <c r="K77" s="64"/>
      <c r="L77" s="162"/>
      <c r="M77" s="162"/>
      <c r="N77" s="162"/>
      <c r="O77" s="162"/>
      <c r="P77" s="167"/>
      <c r="Q77" s="167"/>
      <c r="R77" s="102"/>
      <c r="S77" s="68"/>
      <c r="T77" s="58"/>
      <c r="U77" s="68"/>
      <c r="V77" s="164"/>
      <c r="W77" s="164"/>
      <c r="X77" s="164"/>
      <c r="Y77" s="164"/>
      <c r="Z77" s="164"/>
      <c r="AA77" s="164"/>
      <c r="AB77" s="164"/>
      <c r="AC77" s="64"/>
      <c r="AD77" s="165"/>
      <c r="AE77" s="165"/>
      <c r="AF77" s="166"/>
      <c r="AG77" s="166"/>
      <c r="AH77" s="101"/>
      <c r="AI77" s="66"/>
      <c r="AJ77" s="42"/>
      <c r="AL77" s="83"/>
      <c r="AM77" s="84"/>
      <c r="AN77" s="84"/>
      <c r="AO77" s="85"/>
    </row>
    <row r="78" spans="2:41" s="36" customFormat="1" ht="17.1" customHeight="1">
      <c r="B78" s="169"/>
      <c r="C78" s="39"/>
      <c r="D78" s="39"/>
      <c r="E78" s="39"/>
      <c r="F78" s="88"/>
      <c r="G78" s="58">
        <v>3</v>
      </c>
      <c r="H78" s="64" t="str">
        <f>INDEX(DB_02.01[description],MATCH(G78,DB_02.01[Ranking],0))</f>
        <v>C2353contract</v>
      </c>
      <c r="I78" s="64"/>
      <c r="J78" s="64"/>
      <c r="K78" s="64"/>
      <c r="L78" s="162" t="str">
        <f>INDEX(DB_02.01[0010],MATCH(G78,DB_02.01[Ranking],0))</f>
        <v>C2353</v>
      </c>
      <c r="M78" s="162"/>
      <c r="N78" s="162"/>
      <c r="O78" s="162"/>
      <c r="P78" s="163">
        <f>INDEX(DB_02.01[0050],MATCH(G78,DB_02.01[Ranking],0))</f>
        <v>282165.17352013034</v>
      </c>
      <c r="Q78" s="163"/>
      <c r="R78" s="99"/>
      <c r="S78" s="68"/>
      <c r="T78" s="58">
        <v>8</v>
      </c>
      <c r="U78" s="68"/>
      <c r="V78" s="164" t="str">
        <f>INDEX(DB_02.01[description],MATCH(T78,DB_02.01[Ranking],0))</f>
        <v>C2358contract</v>
      </c>
      <c r="W78" s="164"/>
      <c r="X78" s="164"/>
      <c r="Y78" s="164"/>
      <c r="Z78" s="164"/>
      <c r="AA78" s="164"/>
      <c r="AB78" s="164"/>
      <c r="AC78" s="64"/>
      <c r="AD78" s="165" t="str">
        <f>INDEX(DB_02.01[0010],MATCH(T78,DB_02.01[Ranking],0))</f>
        <v>C2358</v>
      </c>
      <c r="AE78" s="165"/>
      <c r="AF78" s="166">
        <f>INDEX(DB_02.01[0050],MATCH(T78,DB_02.01[Ranking],0))</f>
        <v>187179.09887945128</v>
      </c>
      <c r="AG78" s="166"/>
      <c r="AH78" s="101"/>
      <c r="AI78" s="66"/>
      <c r="AJ78" s="42"/>
      <c r="AL78" s="83">
        <v>3</v>
      </c>
      <c r="AM78" s="84" t="e">
        <f>INDEX(B_02.02[0051],MATCH(Dashboard!L78,B_02.02[0010],0))</f>
        <v>#N/A</v>
      </c>
      <c r="AN78" s="84">
        <v>8</v>
      </c>
      <c r="AO78" s="85" t="e">
        <f>INDEX(B_02.02[0051],MATCH(Dashboard!AD78,B_02.02[0010],0))</f>
        <v>#N/A</v>
      </c>
    </row>
    <row r="79" spans="2:41" s="36" customFormat="1" ht="5.1" customHeight="1">
      <c r="B79" s="169"/>
      <c r="C79" s="39"/>
      <c r="D79" s="39"/>
      <c r="E79" s="39"/>
      <c r="F79" s="88"/>
      <c r="G79" s="58"/>
      <c r="H79" s="64"/>
      <c r="I79" s="64"/>
      <c r="J79" s="64"/>
      <c r="K79" s="64"/>
      <c r="L79" s="162"/>
      <c r="M79" s="162"/>
      <c r="N79" s="162"/>
      <c r="O79" s="162"/>
      <c r="P79" s="167"/>
      <c r="Q79" s="167"/>
      <c r="R79" s="102"/>
      <c r="S79" s="68"/>
      <c r="T79" s="58"/>
      <c r="U79" s="68"/>
      <c r="V79" s="164"/>
      <c r="W79" s="164"/>
      <c r="X79" s="164"/>
      <c r="Y79" s="164"/>
      <c r="Z79" s="164"/>
      <c r="AA79" s="164"/>
      <c r="AB79" s="164"/>
      <c r="AC79" s="64"/>
      <c r="AD79" s="165"/>
      <c r="AE79" s="165"/>
      <c r="AF79" s="166"/>
      <c r="AG79" s="166"/>
      <c r="AH79" s="101"/>
      <c r="AI79" s="66"/>
      <c r="AJ79" s="42"/>
      <c r="AL79" s="83"/>
      <c r="AM79" s="84"/>
      <c r="AN79" s="84"/>
      <c r="AO79" s="85"/>
    </row>
    <row r="80" spans="2:41" s="36" customFormat="1" ht="17.1" customHeight="1">
      <c r="B80" s="169"/>
      <c r="C80" s="39"/>
      <c r="D80" s="39"/>
      <c r="E80" s="39"/>
      <c r="F80" s="88"/>
      <c r="G80" s="58">
        <v>4</v>
      </c>
      <c r="H80" s="64" t="str">
        <f>INDEX(DB_02.01[description],MATCH(G80,DB_02.01[Ranking],0))</f>
        <v>C2359contract</v>
      </c>
      <c r="I80" s="64"/>
      <c r="J80" s="64"/>
      <c r="K80" s="64"/>
      <c r="L80" s="162" t="str">
        <f>INDEX(DB_02.01[0010],MATCH(G80,DB_02.01[Ranking],0))</f>
        <v>C2359</v>
      </c>
      <c r="M80" s="162"/>
      <c r="N80" s="162"/>
      <c r="O80" s="162"/>
      <c r="P80" s="163">
        <f>INDEX(DB_02.01[0050],MATCH(G80,DB_02.01[Ranking],0))</f>
        <v>262665.79988566024</v>
      </c>
      <c r="Q80" s="163"/>
      <c r="R80" s="99"/>
      <c r="S80" s="68"/>
      <c r="T80" s="58">
        <v>9</v>
      </c>
      <c r="U80" s="68"/>
      <c r="V80" s="164" t="str">
        <f>INDEX(DB_02.01[description],MATCH(T80,DB_02.01[Ranking],0))</f>
        <v>C2356contract</v>
      </c>
      <c r="W80" s="164"/>
      <c r="X80" s="164"/>
      <c r="Y80" s="164"/>
      <c r="Z80" s="164"/>
      <c r="AA80" s="164"/>
      <c r="AB80" s="164"/>
      <c r="AC80" s="64"/>
      <c r="AD80" s="165" t="str">
        <f>INDEX(DB_02.01[0010],MATCH(T80,DB_02.01[Ranking],0))</f>
        <v>C2356</v>
      </c>
      <c r="AE80" s="165"/>
      <c r="AF80" s="166">
        <f>INDEX(DB_02.01[0050],MATCH(T80,DB_02.01[Ranking],0))</f>
        <v>150666.23267045026</v>
      </c>
      <c r="AG80" s="166"/>
      <c r="AH80" s="101"/>
      <c r="AI80" s="66"/>
      <c r="AJ80" s="42"/>
      <c r="AL80" s="83">
        <v>4</v>
      </c>
      <c r="AM80" s="84" t="e">
        <f>INDEX(B_02.02[0051],MATCH(Dashboard!L80,B_02.02[0010],0))</f>
        <v>#N/A</v>
      </c>
      <c r="AN80" s="84">
        <v>9</v>
      </c>
      <c r="AO80" s="85" t="e">
        <f>INDEX(B_02.02[0051],MATCH(Dashboard!AD80,B_02.02[0010],0))</f>
        <v>#N/A</v>
      </c>
    </row>
    <row r="81" spans="2:41" s="36" customFormat="1" ht="5.1" customHeight="1">
      <c r="B81" s="169"/>
      <c r="C81" s="39"/>
      <c r="D81" s="39"/>
      <c r="E81" s="39"/>
      <c r="F81" s="88"/>
      <c r="G81" s="58"/>
      <c r="H81" s="64"/>
      <c r="I81" s="64"/>
      <c r="J81" s="64"/>
      <c r="K81" s="64"/>
      <c r="L81" s="162"/>
      <c r="M81" s="162"/>
      <c r="N81" s="162"/>
      <c r="O81" s="162"/>
      <c r="P81" s="167"/>
      <c r="Q81" s="167"/>
      <c r="R81" s="102"/>
      <c r="S81" s="68"/>
      <c r="T81" s="58"/>
      <c r="U81" s="68"/>
      <c r="V81" s="164"/>
      <c r="W81" s="164"/>
      <c r="X81" s="164"/>
      <c r="Y81" s="164"/>
      <c r="Z81" s="164"/>
      <c r="AA81" s="164"/>
      <c r="AB81" s="164"/>
      <c r="AC81" s="64"/>
      <c r="AD81" s="165"/>
      <c r="AE81" s="165"/>
      <c r="AF81" s="166"/>
      <c r="AG81" s="166"/>
      <c r="AH81" s="101"/>
      <c r="AI81" s="66"/>
      <c r="AJ81" s="42"/>
      <c r="AL81" s="83"/>
      <c r="AM81" s="84"/>
      <c r="AN81" s="84"/>
      <c r="AO81" s="85"/>
    </row>
    <row r="82" spans="2:41" s="36" customFormat="1" ht="17.1" customHeight="1">
      <c r="B82" s="169"/>
      <c r="C82" s="39"/>
      <c r="D82" s="39"/>
      <c r="E82" s="39"/>
      <c r="F82" s="88"/>
      <c r="G82" s="58">
        <v>5</v>
      </c>
      <c r="H82" s="64" t="str">
        <f>INDEX(DB_02.01[description],MATCH(G82,DB_02.01[Ranking],0))</f>
        <v>C2352contract</v>
      </c>
      <c r="I82" s="64"/>
      <c r="J82" s="64"/>
      <c r="K82" s="64"/>
      <c r="L82" s="162" t="str">
        <f>INDEX(DB_02.01[0010],MATCH(G82,DB_02.01[Ranking],0))</f>
        <v>C2352</v>
      </c>
      <c r="M82" s="162"/>
      <c r="N82" s="162"/>
      <c r="O82" s="162"/>
      <c r="P82" s="163">
        <f>INDEX(DB_02.01[0050],MATCH(G82,DB_02.01[Ranking],0))</f>
        <v>247568.68248670426</v>
      </c>
      <c r="Q82" s="163"/>
      <c r="R82" s="99"/>
      <c r="S82" s="68"/>
      <c r="T82" s="58">
        <v>10</v>
      </c>
      <c r="U82" s="68"/>
      <c r="V82" s="164" t="str">
        <f>INDEX(DB_02.01[description],MATCH(T82,DB_02.01[Ranking],0))</f>
        <v>C2387contract</v>
      </c>
      <c r="W82" s="164"/>
      <c r="X82" s="164"/>
      <c r="Y82" s="164"/>
      <c r="Z82" s="164"/>
      <c r="AA82" s="164"/>
      <c r="AB82" s="164"/>
      <c r="AC82" s="64"/>
      <c r="AD82" s="165" t="str">
        <f>INDEX(DB_02.01[0010],MATCH(T82,DB_02.01[Ranking],0))</f>
        <v>C2387</v>
      </c>
      <c r="AE82" s="165"/>
      <c r="AF82" s="166">
        <f>INDEX(DB_02.01[0050],MATCH(T82,DB_02.01[Ranking],0))</f>
        <v>50000</v>
      </c>
      <c r="AG82" s="166"/>
      <c r="AH82" s="101"/>
      <c r="AI82" s="66"/>
      <c r="AJ82" s="42"/>
      <c r="AL82" s="83">
        <v>5</v>
      </c>
      <c r="AM82" s="84" t="e">
        <f>INDEX(B_02.02[0051],MATCH(Dashboard!L82,B_02.02[0010],0))</f>
        <v>#N/A</v>
      </c>
      <c r="AN82" s="84">
        <v>10</v>
      </c>
      <c r="AO82" s="85" t="e">
        <f>INDEX(B_02.02[0051],MATCH(Dashboard!AD82,B_02.02[0010],0))</f>
        <v>#N/A</v>
      </c>
    </row>
    <row r="83" spans="2:41" s="36" customFormat="1" ht="5.1" customHeight="1">
      <c r="B83" s="169"/>
      <c r="C83" s="39"/>
      <c r="D83" s="39"/>
      <c r="E83" s="39"/>
      <c r="F83" s="88"/>
      <c r="G83" s="103"/>
      <c r="H83" s="100"/>
      <c r="I83" s="68"/>
      <c r="J83" s="68"/>
      <c r="K83" s="68"/>
      <c r="L83" s="68"/>
      <c r="M83" s="68"/>
      <c r="N83" s="68"/>
      <c r="O83" s="68"/>
      <c r="P83" s="68"/>
      <c r="Q83" s="68"/>
      <c r="R83" s="68"/>
      <c r="S83" s="68"/>
      <c r="T83" s="68"/>
      <c r="U83" s="68"/>
      <c r="V83" s="68"/>
      <c r="W83" s="64"/>
      <c r="X83" s="64"/>
      <c r="Y83" s="64"/>
      <c r="Z83" s="64"/>
      <c r="AA83" s="64"/>
      <c r="AB83" s="64"/>
      <c r="AC83" s="64"/>
      <c r="AD83" s="64"/>
      <c r="AE83" s="64"/>
      <c r="AF83" s="64"/>
      <c r="AG83" s="64"/>
      <c r="AH83" s="104"/>
      <c r="AI83" s="69"/>
      <c r="AJ83" s="42"/>
      <c r="AL83" s="83"/>
      <c r="AM83" s="84"/>
      <c r="AN83" s="84"/>
      <c r="AO83" s="85"/>
    </row>
    <row r="84" spans="2:41" s="36" customFormat="1" ht="17.1" customHeight="1">
      <c r="B84" s="169"/>
      <c r="C84" s="39"/>
      <c r="D84" s="39"/>
      <c r="E84" s="39"/>
      <c r="F84" s="105"/>
      <c r="G84" s="106"/>
      <c r="H84" s="107"/>
      <c r="I84" s="73"/>
      <c r="J84" s="73"/>
      <c r="K84" s="73"/>
      <c r="L84" s="73"/>
      <c r="M84" s="73"/>
      <c r="N84" s="73"/>
      <c r="O84" s="73"/>
      <c r="P84" s="73"/>
      <c r="Q84" s="73"/>
      <c r="R84" s="73"/>
      <c r="S84" s="73"/>
      <c r="T84" s="73"/>
      <c r="U84" s="73"/>
      <c r="V84" s="73"/>
      <c r="W84" s="74"/>
      <c r="X84" s="74"/>
      <c r="Y84" s="74"/>
      <c r="Z84" s="74"/>
      <c r="AA84" s="74"/>
      <c r="AB84" s="74"/>
      <c r="AC84" s="74"/>
      <c r="AD84" s="74"/>
      <c r="AE84" s="74"/>
      <c r="AF84" s="74"/>
      <c r="AG84" s="74"/>
      <c r="AH84" s="74"/>
      <c r="AI84" s="75"/>
      <c r="AJ84" s="42"/>
      <c r="AL84" s="83"/>
      <c r="AM84" s="84"/>
      <c r="AN84" s="84"/>
      <c r="AO84" s="85"/>
    </row>
    <row r="85" spans="2:41" s="36" customFormat="1" ht="17.1" customHeight="1">
      <c r="B85" s="16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42"/>
      <c r="AL85" s="83"/>
      <c r="AM85" s="84"/>
      <c r="AN85" s="84"/>
      <c r="AO85" s="85"/>
    </row>
    <row r="86" spans="2:41" s="36" customFormat="1" ht="17.1" customHeight="1">
      <c r="B86" s="170"/>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53"/>
      <c r="AL86" s="108"/>
      <c r="AM86" s="109"/>
      <c r="AN86" s="109"/>
      <c r="AO86" s="110"/>
    </row>
    <row r="89" spans="2:36" ht="14.25">
      <c r="B89" s="168" t="s">
        <v>305</v>
      </c>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8"/>
    </row>
    <row r="90" spans="2:36" ht="14.25">
      <c r="B90" s="169"/>
      <c r="C90" s="39"/>
      <c r="D90" s="39"/>
      <c r="E90" s="39"/>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42"/>
    </row>
    <row r="91" spans="2:36" ht="18">
      <c r="B91" s="169"/>
      <c r="C91" s="39"/>
      <c r="D91" s="39"/>
      <c r="E91" s="39"/>
      <c r="F91" s="86"/>
      <c r="G91" s="171"/>
      <c r="H91" s="171"/>
      <c r="I91" s="171"/>
      <c r="J91" s="171"/>
      <c r="K91" s="171"/>
      <c r="L91" s="171"/>
      <c r="M91" s="171"/>
      <c r="N91" s="171"/>
      <c r="O91" s="171"/>
      <c r="P91" s="171"/>
      <c r="Q91" s="171"/>
      <c r="R91" s="171"/>
      <c r="S91" s="171"/>
      <c r="T91" s="171"/>
      <c r="U91" s="171"/>
      <c r="V91" s="171"/>
      <c r="W91" s="171"/>
      <c r="X91" s="171"/>
      <c r="Y91" s="171"/>
      <c r="Z91" s="171"/>
      <c r="AA91" s="171"/>
      <c r="AB91" s="171"/>
      <c r="AC91" s="171"/>
      <c r="AD91" s="171"/>
      <c r="AE91" s="171"/>
      <c r="AF91" s="171"/>
      <c r="AG91" s="171"/>
      <c r="AH91" s="171"/>
      <c r="AI91" s="87"/>
      <c r="AJ91" s="42"/>
    </row>
    <row r="92" spans="2:36" ht="18">
      <c r="B92" s="169"/>
      <c r="C92" s="39"/>
      <c r="D92" s="39"/>
      <c r="E92" s="39"/>
      <c r="F92" s="88"/>
      <c r="G92" s="172"/>
      <c r="H92" s="172"/>
      <c r="I92" s="172"/>
      <c r="J92" s="172"/>
      <c r="K92" s="172"/>
      <c r="L92" s="172"/>
      <c r="M92" s="172"/>
      <c r="N92" s="172"/>
      <c r="O92" s="172"/>
      <c r="P92" s="172"/>
      <c r="Q92" s="172"/>
      <c r="R92" s="172"/>
      <c r="S92" s="172"/>
      <c r="T92" s="172"/>
      <c r="U92" s="172"/>
      <c r="V92" s="172"/>
      <c r="W92" s="172"/>
      <c r="X92" s="172"/>
      <c r="Y92" s="172"/>
      <c r="Z92" s="172"/>
      <c r="AA92" s="172"/>
      <c r="AB92" s="172"/>
      <c r="AC92" s="172"/>
      <c r="AD92" s="172"/>
      <c r="AE92" s="172"/>
      <c r="AF92" s="172"/>
      <c r="AG92" s="172"/>
      <c r="AH92" s="172"/>
      <c r="AI92" s="89"/>
      <c r="AJ92" s="42"/>
    </row>
    <row r="93" spans="2:36" ht="18">
      <c r="B93" s="169"/>
      <c r="C93" s="39"/>
      <c r="D93" s="39"/>
      <c r="E93" s="39"/>
      <c r="F93" s="88"/>
      <c r="G93" s="55"/>
      <c r="H93" s="111"/>
      <c r="I93" s="55"/>
      <c r="J93" s="55"/>
      <c r="K93" s="161"/>
      <c r="L93" s="161"/>
      <c r="M93" s="55"/>
      <c r="N93" s="55"/>
      <c r="O93" s="55"/>
      <c r="P93" s="55"/>
      <c r="Q93" s="55"/>
      <c r="R93" s="55"/>
      <c r="S93" s="55"/>
      <c r="T93" s="55"/>
      <c r="U93" s="55"/>
      <c r="V93" s="55"/>
      <c r="W93" s="56"/>
      <c r="X93" s="56"/>
      <c r="Y93" s="56"/>
      <c r="Z93" s="56"/>
      <c r="AA93" s="56"/>
      <c r="AB93" s="56"/>
      <c r="AC93" s="56"/>
      <c r="AD93" s="56"/>
      <c r="AE93" s="56"/>
      <c r="AF93" s="56"/>
      <c r="AG93" s="56"/>
      <c r="AH93" s="56"/>
      <c r="AI93" s="57"/>
      <c r="AJ93" s="42"/>
    </row>
    <row r="94" spans="2:37" ht="14.25">
      <c r="B94" s="169"/>
      <c r="C94" s="39"/>
      <c r="D94" s="39"/>
      <c r="E94" s="39"/>
      <c r="F94" s="88"/>
      <c r="G94" s="58"/>
      <c r="H94" s="59"/>
      <c r="I94" s="59"/>
      <c r="J94" s="59"/>
      <c r="K94" s="59"/>
      <c r="L94" s="173"/>
      <c r="M94" s="173"/>
      <c r="N94" s="173"/>
      <c r="O94" s="173"/>
      <c r="P94" s="173"/>
      <c r="Q94" s="173"/>
      <c r="R94" s="91"/>
      <c r="S94" s="55"/>
      <c r="T94" s="58"/>
      <c r="U94" s="55"/>
      <c r="V94" s="174"/>
      <c r="W94" s="174"/>
      <c r="X94" s="174"/>
      <c r="Y94" s="174"/>
      <c r="Z94" s="174"/>
      <c r="AA94" s="174"/>
      <c r="AB94" s="174"/>
      <c r="AC94" s="59"/>
      <c r="AD94" s="173"/>
      <c r="AE94" s="173"/>
      <c r="AF94" s="175"/>
      <c r="AG94" s="175"/>
      <c r="AH94" s="92"/>
      <c r="AI94" s="60"/>
      <c r="AJ94" s="42"/>
      <c r="AK94" s="90"/>
    </row>
    <row r="95" spans="2:36" ht="39" customHeight="1">
      <c r="B95" s="169"/>
      <c r="C95" s="39"/>
      <c r="D95" s="39"/>
      <c r="E95" s="39"/>
      <c r="F95" s="88"/>
      <c r="G95" s="61"/>
      <c r="H95" s="58"/>
      <c r="J95" s="58"/>
      <c r="K95" s="58"/>
      <c r="L95" s="176"/>
      <c r="M95" s="176"/>
      <c r="N95" s="176"/>
      <c r="O95" s="176"/>
      <c r="P95" s="176"/>
      <c r="Q95" s="176"/>
      <c r="R95" s="96"/>
      <c r="S95" s="68"/>
      <c r="T95" s="61"/>
      <c r="U95" s="68"/>
      <c r="V95" s="176"/>
      <c r="W95" s="176"/>
      <c r="X95" s="176"/>
      <c r="Y95" s="176"/>
      <c r="Z95" s="176"/>
      <c r="AA95" s="176"/>
      <c r="AB95" s="176"/>
      <c r="AC95" s="61"/>
      <c r="AD95" s="61"/>
      <c r="AE95" s="61"/>
      <c r="AF95" s="61"/>
      <c r="AG95" s="61"/>
      <c r="AH95" s="58"/>
      <c r="AI95" s="62"/>
      <c r="AJ95" s="42"/>
    </row>
    <row r="96" spans="2:36" ht="18.75">
      <c r="B96" s="169"/>
      <c r="C96" s="39"/>
      <c r="D96" s="39"/>
      <c r="E96" s="39"/>
      <c r="F96" s="88"/>
      <c r="G96" s="1"/>
      <c r="H96" s="58"/>
      <c r="I96" s="1"/>
      <c r="J96" s="58"/>
      <c r="K96" s="58"/>
      <c r="L96" s="162"/>
      <c r="M96" s="162"/>
      <c r="N96" s="162"/>
      <c r="O96" s="162"/>
      <c r="P96" s="162"/>
      <c r="Q96" s="162"/>
      <c r="R96" s="97"/>
      <c r="S96" s="68"/>
      <c r="T96" s="1"/>
      <c r="U96" s="68"/>
      <c r="V96" s="162"/>
      <c r="W96" s="162"/>
      <c r="X96" s="162"/>
      <c r="Y96" s="162"/>
      <c r="Z96" s="162"/>
      <c r="AA96" s="162"/>
      <c r="AB96" s="162"/>
      <c r="AC96" s="1"/>
      <c r="AD96" s="1"/>
      <c r="AE96" s="1"/>
      <c r="AF96" s="1"/>
      <c r="AG96" s="1"/>
      <c r="AH96" s="98"/>
      <c r="AI96" s="63"/>
      <c r="AJ96" s="42"/>
    </row>
    <row r="97" spans="2:36" ht="21">
      <c r="B97" s="169"/>
      <c r="C97" s="39"/>
      <c r="D97" s="39"/>
      <c r="E97" s="39"/>
      <c r="F97" s="88"/>
      <c r="G97" s="58"/>
      <c r="H97" s="58"/>
      <c r="I97" s="64"/>
      <c r="J97" s="58"/>
      <c r="K97" s="58"/>
      <c r="L97" s="162"/>
      <c r="M97" s="162"/>
      <c r="N97" s="162"/>
      <c r="O97" s="162"/>
      <c r="P97" s="163"/>
      <c r="Q97" s="163"/>
      <c r="R97" s="99"/>
      <c r="S97" s="68"/>
      <c r="T97" s="58"/>
      <c r="U97" s="68"/>
      <c r="V97" s="164"/>
      <c r="W97" s="164"/>
      <c r="X97" s="164"/>
      <c r="Y97" s="164"/>
      <c r="Z97" s="164"/>
      <c r="AA97" s="164"/>
      <c r="AB97" s="164"/>
      <c r="AC97" s="64"/>
      <c r="AD97" s="165"/>
      <c r="AE97" s="165"/>
      <c r="AF97" s="166"/>
      <c r="AG97" s="166"/>
      <c r="AH97" s="101"/>
      <c r="AI97" s="66"/>
      <c r="AJ97" s="42"/>
    </row>
    <row r="98" spans="2:36" ht="21">
      <c r="B98" s="169"/>
      <c r="C98" s="39"/>
      <c r="D98" s="39"/>
      <c r="E98" s="39"/>
      <c r="F98" s="88"/>
      <c r="G98" s="58"/>
      <c r="H98" s="58"/>
      <c r="I98" s="64"/>
      <c r="J98" s="58"/>
      <c r="K98" s="58"/>
      <c r="L98" s="162"/>
      <c r="M98" s="162"/>
      <c r="N98" s="162"/>
      <c r="O98" s="162"/>
      <c r="P98" s="167"/>
      <c r="Q98" s="167"/>
      <c r="R98" s="102"/>
      <c r="S98" s="68"/>
      <c r="T98" s="58"/>
      <c r="U98" s="68"/>
      <c r="V98" s="164"/>
      <c r="W98" s="164"/>
      <c r="X98" s="164"/>
      <c r="Y98" s="164"/>
      <c r="Z98" s="164"/>
      <c r="AA98" s="164"/>
      <c r="AB98" s="164"/>
      <c r="AC98" s="64"/>
      <c r="AD98" s="165"/>
      <c r="AE98" s="165"/>
      <c r="AF98" s="177"/>
      <c r="AG98" s="177"/>
      <c r="AH98" s="101"/>
      <c r="AI98" s="66"/>
      <c r="AJ98" s="42"/>
    </row>
    <row r="99" spans="2:36" ht="21">
      <c r="B99" s="169"/>
      <c r="C99" s="39"/>
      <c r="D99" s="39"/>
      <c r="E99" s="39"/>
      <c r="F99" s="88"/>
      <c r="G99" s="58"/>
      <c r="H99" s="58"/>
      <c r="I99" s="64"/>
      <c r="J99" s="58"/>
      <c r="K99" s="58"/>
      <c r="L99" s="162"/>
      <c r="M99" s="162"/>
      <c r="N99" s="162"/>
      <c r="O99" s="162"/>
      <c r="P99" s="163"/>
      <c r="Q99" s="163"/>
      <c r="R99" s="99"/>
      <c r="S99" s="68"/>
      <c r="T99" s="58"/>
      <c r="U99" s="68"/>
      <c r="V99" s="164"/>
      <c r="W99" s="164"/>
      <c r="X99" s="164"/>
      <c r="Y99" s="164"/>
      <c r="Z99" s="164"/>
      <c r="AA99" s="164"/>
      <c r="AB99" s="164"/>
      <c r="AC99" s="64"/>
      <c r="AD99" s="165"/>
      <c r="AE99" s="165"/>
      <c r="AF99" s="166"/>
      <c r="AG99" s="166"/>
      <c r="AH99" s="101"/>
      <c r="AI99" s="66"/>
      <c r="AJ99" s="42"/>
    </row>
    <row r="100" spans="2:36" ht="21">
      <c r="B100" s="169"/>
      <c r="C100" s="39"/>
      <c r="D100" s="39"/>
      <c r="E100" s="39"/>
      <c r="F100" s="88"/>
      <c r="G100" s="58"/>
      <c r="H100" s="58"/>
      <c r="I100" s="64"/>
      <c r="J100" s="58"/>
      <c r="K100" s="58"/>
      <c r="L100" s="162"/>
      <c r="M100" s="162"/>
      <c r="N100" s="162"/>
      <c r="O100" s="162"/>
      <c r="P100" s="167"/>
      <c r="Q100" s="167"/>
      <c r="R100" s="102"/>
      <c r="S100" s="68"/>
      <c r="T100" s="58"/>
      <c r="U100" s="68"/>
      <c r="V100" s="164"/>
      <c r="W100" s="164"/>
      <c r="X100" s="164"/>
      <c r="Y100" s="164"/>
      <c r="Z100" s="164"/>
      <c r="AA100" s="164"/>
      <c r="AB100" s="164"/>
      <c r="AC100" s="64"/>
      <c r="AD100" s="165"/>
      <c r="AE100" s="165"/>
      <c r="AF100" s="166"/>
      <c r="AG100" s="166"/>
      <c r="AH100" s="101"/>
      <c r="AI100" s="66"/>
      <c r="AJ100" s="42"/>
    </row>
    <row r="101" spans="2:36" ht="21">
      <c r="B101" s="169"/>
      <c r="C101" s="39"/>
      <c r="D101" s="39"/>
      <c r="E101" s="39"/>
      <c r="F101" s="88"/>
      <c r="G101" s="58"/>
      <c r="H101" s="58"/>
      <c r="I101" s="64"/>
      <c r="J101" s="58"/>
      <c r="K101" s="58"/>
      <c r="L101" s="162"/>
      <c r="M101" s="162"/>
      <c r="N101" s="162"/>
      <c r="O101" s="162"/>
      <c r="P101" s="163"/>
      <c r="Q101" s="163"/>
      <c r="R101" s="99"/>
      <c r="S101" s="68"/>
      <c r="T101" s="58"/>
      <c r="U101" s="68"/>
      <c r="V101" s="164"/>
      <c r="W101" s="164"/>
      <c r="X101" s="164"/>
      <c r="Y101" s="164"/>
      <c r="Z101" s="164"/>
      <c r="AA101" s="164"/>
      <c r="AB101" s="164"/>
      <c r="AC101" s="64"/>
      <c r="AD101" s="165"/>
      <c r="AE101" s="165"/>
      <c r="AF101" s="166"/>
      <c r="AG101" s="166"/>
      <c r="AH101" s="101"/>
      <c r="AI101" s="66"/>
      <c r="AJ101" s="42"/>
    </row>
    <row r="102" spans="2:36" ht="21">
      <c r="B102" s="169"/>
      <c r="C102" s="39"/>
      <c r="D102" s="39"/>
      <c r="E102" s="39"/>
      <c r="F102" s="88"/>
      <c r="G102" s="58"/>
      <c r="H102" s="58"/>
      <c r="I102" s="64"/>
      <c r="J102" s="58"/>
      <c r="K102" s="58"/>
      <c r="L102" s="162"/>
      <c r="M102" s="162"/>
      <c r="N102" s="162"/>
      <c r="O102" s="162"/>
      <c r="P102" s="167"/>
      <c r="Q102" s="167"/>
      <c r="R102" s="102"/>
      <c r="S102" s="68"/>
      <c r="T102" s="58"/>
      <c r="U102" s="68"/>
      <c r="V102" s="164"/>
      <c r="W102" s="164"/>
      <c r="X102" s="164"/>
      <c r="Y102" s="164"/>
      <c r="Z102" s="164"/>
      <c r="AA102" s="164"/>
      <c r="AB102" s="164"/>
      <c r="AC102" s="64"/>
      <c r="AD102" s="165"/>
      <c r="AE102" s="165"/>
      <c r="AF102" s="166"/>
      <c r="AG102" s="166"/>
      <c r="AH102" s="101"/>
      <c r="AI102" s="66"/>
      <c r="AJ102" s="42"/>
    </row>
    <row r="103" spans="2:36" ht="21">
      <c r="B103" s="169"/>
      <c r="C103" s="39"/>
      <c r="D103" s="39"/>
      <c r="E103" s="39"/>
      <c r="F103" s="88"/>
      <c r="G103" s="58"/>
      <c r="H103" s="58"/>
      <c r="I103" s="64"/>
      <c r="J103" s="58"/>
      <c r="K103" s="58"/>
      <c r="L103" s="162"/>
      <c r="M103" s="162"/>
      <c r="N103" s="162"/>
      <c r="O103" s="162"/>
      <c r="U103" s="68"/>
      <c r="V103" s="164"/>
      <c r="W103" s="164"/>
      <c r="X103" s="164"/>
      <c r="Y103" s="164"/>
      <c r="Z103" s="164"/>
      <c r="AA103" s="164"/>
      <c r="AB103" s="164"/>
      <c r="AC103" s="64"/>
      <c r="AD103" s="165"/>
      <c r="AE103" s="165"/>
      <c r="AF103" s="166"/>
      <c r="AG103" s="166"/>
      <c r="AH103" s="101"/>
      <c r="AI103" s="66"/>
      <c r="AJ103" s="42"/>
    </row>
    <row r="104" spans="2:36" ht="21">
      <c r="B104" s="169"/>
      <c r="C104" s="39"/>
      <c r="D104" s="39"/>
      <c r="E104" s="39"/>
      <c r="F104" s="88"/>
      <c r="G104" s="58"/>
      <c r="H104" s="58"/>
      <c r="I104" s="64"/>
      <c r="J104" s="58"/>
      <c r="K104" s="58"/>
      <c r="L104" s="1"/>
      <c r="M104" s="1"/>
      <c r="N104" s="1"/>
      <c r="O104" s="1"/>
      <c r="U104" s="68"/>
      <c r="V104" s="64"/>
      <c r="W104" s="64"/>
      <c r="X104" s="64"/>
      <c r="Y104" s="64"/>
      <c r="Z104" s="64"/>
      <c r="AA104" s="64"/>
      <c r="AB104" s="64"/>
      <c r="AC104" s="64"/>
      <c r="AD104" s="100"/>
      <c r="AE104" s="100"/>
      <c r="AF104" s="3"/>
      <c r="AG104" s="3"/>
      <c r="AH104" s="101"/>
      <c r="AI104" s="66"/>
      <c r="AJ104" s="42"/>
    </row>
    <row r="105" spans="2:36" ht="21">
      <c r="B105" s="169"/>
      <c r="C105" s="39"/>
      <c r="D105" s="39"/>
      <c r="E105" s="39"/>
      <c r="F105" s="88"/>
      <c r="G105" s="58"/>
      <c r="H105" s="64"/>
      <c r="I105" s="64"/>
      <c r="J105" s="64"/>
      <c r="K105" s="64"/>
      <c r="L105" s="162"/>
      <c r="M105" s="162"/>
      <c r="N105" s="162"/>
      <c r="O105" s="162"/>
      <c r="P105" s="163"/>
      <c r="Q105" s="163"/>
      <c r="R105" s="99"/>
      <c r="S105" s="68"/>
      <c r="T105" s="58"/>
      <c r="U105" s="68"/>
      <c r="V105" s="164"/>
      <c r="W105" s="164"/>
      <c r="X105" s="164"/>
      <c r="Y105" s="164"/>
      <c r="Z105" s="164"/>
      <c r="AA105" s="164"/>
      <c r="AB105" s="164"/>
      <c r="AC105" s="64"/>
      <c r="AD105" s="165"/>
      <c r="AE105" s="165"/>
      <c r="AF105" s="166"/>
      <c r="AG105" s="166"/>
      <c r="AH105" s="101"/>
      <c r="AI105" s="66"/>
      <c r="AJ105" s="42"/>
    </row>
    <row r="106" spans="2:36" ht="21">
      <c r="B106" s="169"/>
      <c r="C106" s="39"/>
      <c r="D106" s="39"/>
      <c r="E106" s="39"/>
      <c r="F106" s="88"/>
      <c r="G106" s="139"/>
      <c r="H106" s="140"/>
      <c r="I106" s="140"/>
      <c r="J106" s="140"/>
      <c r="K106" s="140"/>
      <c r="L106" s="141"/>
      <c r="M106" s="141"/>
      <c r="N106" s="141"/>
      <c r="O106" s="141"/>
      <c r="P106" s="142"/>
      <c r="Q106" s="142"/>
      <c r="R106" s="142"/>
      <c r="S106" s="142"/>
      <c r="T106" s="139"/>
      <c r="U106" s="143"/>
      <c r="V106" s="140"/>
      <c r="W106" s="140"/>
      <c r="X106" s="140"/>
      <c r="Y106" s="140"/>
      <c r="Z106" s="140"/>
      <c r="AA106" s="140"/>
      <c r="AB106" s="140"/>
      <c r="AC106" s="140"/>
      <c r="AD106" s="144"/>
      <c r="AE106" s="144"/>
      <c r="AF106" s="145"/>
      <c r="AG106" s="145"/>
      <c r="AH106" s="146"/>
      <c r="AI106" s="147"/>
      <c r="AJ106" s="42"/>
    </row>
    <row r="107" spans="2:36" ht="14.25">
      <c r="B107" s="16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42"/>
    </row>
    <row r="108" spans="2:36" ht="15" customHeight="1">
      <c r="B108" s="169"/>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2"/>
      <c r="AH108" s="52"/>
      <c r="AI108" s="52"/>
      <c r="AJ108" s="53"/>
    </row>
    <row r="109" spans="2:36" ht="14.25" hidden="1">
      <c r="B109" s="169"/>
      <c r="AJ109" s="148"/>
    </row>
    <row r="110" spans="2:36" ht="14.25" hidden="1">
      <c r="B110" s="16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149"/>
    </row>
    <row r="111" spans="2:36" ht="14.25" hidden="1">
      <c r="B111" s="170"/>
      <c r="C111" s="52"/>
      <c r="D111" s="52"/>
      <c r="E111" s="52"/>
      <c r="F111" s="52"/>
      <c r="G111" s="52"/>
      <c r="H111" s="52"/>
      <c r="I111" s="52"/>
      <c r="J111" s="52"/>
      <c r="K111" s="52"/>
      <c r="L111" s="52"/>
      <c r="M111" s="52"/>
      <c r="N111" s="52"/>
      <c r="O111" s="52"/>
      <c r="P111" s="52"/>
      <c r="Q111" s="52"/>
      <c r="R111" s="52"/>
      <c r="S111" s="52"/>
      <c r="U111" s="52"/>
      <c r="V111" s="52"/>
      <c r="W111" s="52"/>
      <c r="X111" s="52"/>
      <c r="Y111" s="52"/>
      <c r="Z111" s="52"/>
      <c r="AA111" s="52"/>
      <c r="AB111" s="52"/>
      <c r="AC111" s="52"/>
      <c r="AD111" s="52"/>
      <c r="AE111" s="52"/>
      <c r="AF111" s="52"/>
      <c r="AG111" s="52"/>
      <c r="AH111" s="52"/>
      <c r="AI111" s="52"/>
      <c r="AJ111" s="150"/>
    </row>
  </sheetData>
  <protectedRanges>
    <protectedRange sqref="Z45:AB49" name="Range1_2"/>
    <protectedRange sqref="W57:X60 Z54:AB54 AG55 AB55:AB56" name="Range1_1_1"/>
  </protectedRanges>
  <mergeCells count="181">
    <mergeCell ref="AF82:AG82"/>
    <mergeCell ref="B66:B86"/>
    <mergeCell ref="B20:B41"/>
    <mergeCell ref="B43:B64"/>
    <mergeCell ref="O55:Q55"/>
    <mergeCell ref="T55:W55"/>
    <mergeCell ref="Z55:AB55"/>
    <mergeCell ref="AE55:AF55"/>
    <mergeCell ref="T28:W28"/>
    <mergeCell ref="T29:W29"/>
    <mergeCell ref="T31:W31"/>
    <mergeCell ref="AD82:AE82"/>
    <mergeCell ref="AD71:AE71"/>
    <mergeCell ref="V78:AB78"/>
    <mergeCell ref="V79:AB79"/>
    <mergeCell ref="V80:AB80"/>
    <mergeCell ref="G68:AH69"/>
    <mergeCell ref="AF79:AG79"/>
    <mergeCell ref="AF80:AG80"/>
    <mergeCell ref="AF81:AG81"/>
    <mergeCell ref="AD78:AE78"/>
    <mergeCell ref="AD79:AE79"/>
    <mergeCell ref="AD80:AE80"/>
    <mergeCell ref="AD81:AE81"/>
    <mergeCell ref="B3:B18"/>
    <mergeCell ref="J8:M9"/>
    <mergeCell ref="Q8:T9"/>
    <mergeCell ref="Z8:AD9"/>
    <mergeCell ref="J11:M12"/>
    <mergeCell ref="Q11:U12"/>
    <mergeCell ref="Z11:AD12"/>
    <mergeCell ref="AF71:AG71"/>
    <mergeCell ref="AF74:AG74"/>
    <mergeCell ref="AD75:AE75"/>
    <mergeCell ref="AD76:AE76"/>
    <mergeCell ref="AD77:AE77"/>
    <mergeCell ref="AF75:AG75"/>
    <mergeCell ref="AF76:AG76"/>
    <mergeCell ref="AF77:AG77"/>
    <mergeCell ref="AF78:AG78"/>
    <mergeCell ref="AF26:AG26"/>
    <mergeCell ref="T27:W27"/>
    <mergeCell ref="V82:AB82"/>
    <mergeCell ref="L71:O71"/>
    <mergeCell ref="L72:O72"/>
    <mergeCell ref="L73:O73"/>
    <mergeCell ref="L74:O74"/>
    <mergeCell ref="L75:O75"/>
    <mergeCell ref="L76:O76"/>
    <mergeCell ref="L77:O77"/>
    <mergeCell ref="L78:O78"/>
    <mergeCell ref="L79:O79"/>
    <mergeCell ref="V71:AB71"/>
    <mergeCell ref="V72:AB72"/>
    <mergeCell ref="V73:AB73"/>
    <mergeCell ref="V74:AB74"/>
    <mergeCell ref="V75:AB75"/>
    <mergeCell ref="L80:O80"/>
    <mergeCell ref="L81:O81"/>
    <mergeCell ref="P82:Q82"/>
    <mergeCell ref="P72:Q72"/>
    <mergeCell ref="P73:Q73"/>
    <mergeCell ref="P71:Q71"/>
    <mergeCell ref="P74:Q74"/>
    <mergeCell ref="AD31:AE31"/>
    <mergeCell ref="T32:W32"/>
    <mergeCell ref="AD32:AE32"/>
    <mergeCell ref="N32:Q32"/>
    <mergeCell ref="AD29:AE29"/>
    <mergeCell ref="T30:W30"/>
    <mergeCell ref="AD30:AE30"/>
    <mergeCell ref="L82:O82"/>
    <mergeCell ref="T26:W26"/>
    <mergeCell ref="AD26:AE26"/>
    <mergeCell ref="P75:Q75"/>
    <mergeCell ref="P76:Q76"/>
    <mergeCell ref="P77:Q77"/>
    <mergeCell ref="P78:Q78"/>
    <mergeCell ref="P79:Q79"/>
    <mergeCell ref="P80:Q80"/>
    <mergeCell ref="V76:AB76"/>
    <mergeCell ref="V77:AB77"/>
    <mergeCell ref="P81:Q81"/>
    <mergeCell ref="V81:AB81"/>
    <mergeCell ref="AD74:AE74"/>
    <mergeCell ref="Z29:AC29"/>
    <mergeCell ref="Z30:AC30"/>
    <mergeCell ref="Z31:AC31"/>
    <mergeCell ref="Z32:AC32"/>
    <mergeCell ref="Z33:AC33"/>
    <mergeCell ref="AF34:AG34"/>
    <mergeCell ref="AF35:AG35"/>
    <mergeCell ref="AF36:AG36"/>
    <mergeCell ref="T37:W37"/>
    <mergeCell ref="AD37:AE37"/>
    <mergeCell ref="AF37:AG37"/>
    <mergeCell ref="AF29:AG29"/>
    <mergeCell ref="AF30:AG30"/>
    <mergeCell ref="AF31:AG31"/>
    <mergeCell ref="AF32:AG32"/>
    <mergeCell ref="AF33:AG33"/>
    <mergeCell ref="T35:W35"/>
    <mergeCell ref="AD35:AE35"/>
    <mergeCell ref="T36:W36"/>
    <mergeCell ref="AD36:AE36"/>
    <mergeCell ref="T33:W33"/>
    <mergeCell ref="AD33:AE33"/>
    <mergeCell ref="T34:W34"/>
    <mergeCell ref="AD34:AE34"/>
    <mergeCell ref="P98:Q98"/>
    <mergeCell ref="V98:AB98"/>
    <mergeCell ref="AD98:AE98"/>
    <mergeCell ref="AF98:AG98"/>
    <mergeCell ref="L99:O99"/>
    <mergeCell ref="H26:J31"/>
    <mergeCell ref="G23:AH24"/>
    <mergeCell ref="N33:Q33"/>
    <mergeCell ref="N34:Q34"/>
    <mergeCell ref="N35:Q35"/>
    <mergeCell ref="N36:Q36"/>
    <mergeCell ref="N37:Q37"/>
    <mergeCell ref="N38:Q38"/>
    <mergeCell ref="N26:Q26"/>
    <mergeCell ref="N27:Q27"/>
    <mergeCell ref="N28:Q28"/>
    <mergeCell ref="N29:Q29"/>
    <mergeCell ref="N30:Q30"/>
    <mergeCell ref="N31:Q31"/>
    <mergeCell ref="Z34:AC34"/>
    <mergeCell ref="Z35:AC35"/>
    <mergeCell ref="Z36:AC36"/>
    <mergeCell ref="Z37:AC37"/>
    <mergeCell ref="Z26:AC26"/>
    <mergeCell ref="L100:O100"/>
    <mergeCell ref="P100:Q100"/>
    <mergeCell ref="V100:AB100"/>
    <mergeCell ref="AD100:AE100"/>
    <mergeCell ref="AF100:AG100"/>
    <mergeCell ref="B89:B111"/>
    <mergeCell ref="G91:AH92"/>
    <mergeCell ref="L94:O94"/>
    <mergeCell ref="P94:Q94"/>
    <mergeCell ref="V94:AB94"/>
    <mergeCell ref="AD94:AE94"/>
    <mergeCell ref="AF94:AG94"/>
    <mergeCell ref="L95:O95"/>
    <mergeCell ref="P95:Q95"/>
    <mergeCell ref="V95:AB95"/>
    <mergeCell ref="L96:O96"/>
    <mergeCell ref="P96:Q96"/>
    <mergeCell ref="V96:AB96"/>
    <mergeCell ref="L97:O97"/>
    <mergeCell ref="P97:Q97"/>
    <mergeCell ref="V97:AB97"/>
    <mergeCell ref="AD97:AE97"/>
    <mergeCell ref="AF97:AG97"/>
    <mergeCell ref="L98:O98"/>
    <mergeCell ref="K93:L93"/>
    <mergeCell ref="L103:O103"/>
    <mergeCell ref="P105:Q105"/>
    <mergeCell ref="V103:AB103"/>
    <mergeCell ref="AD103:AE103"/>
    <mergeCell ref="AF103:AG103"/>
    <mergeCell ref="L105:O105"/>
    <mergeCell ref="V105:AB105"/>
    <mergeCell ref="AD105:AE105"/>
    <mergeCell ref="AF105:AG105"/>
    <mergeCell ref="L101:O101"/>
    <mergeCell ref="P101:Q101"/>
    <mergeCell ref="V101:AB101"/>
    <mergeCell ref="AD101:AE101"/>
    <mergeCell ref="AF101:AG101"/>
    <mergeCell ref="L102:O102"/>
    <mergeCell ref="P102:Q102"/>
    <mergeCell ref="V102:AB102"/>
    <mergeCell ref="AD102:AE102"/>
    <mergeCell ref="AF102:AG102"/>
    <mergeCell ref="P99:Q99"/>
    <mergeCell ref="V99:AB99"/>
    <mergeCell ref="AD99:AE99"/>
    <mergeCell ref="AF99:AG99"/>
  </mergeCells>
  <conditionalFormatting sqref="J8:N9">
    <cfRule type="expression" priority="17" dxfId="207">
      <formula>$J$8&gt;0</formula>
    </cfRule>
  </conditionalFormatting>
  <conditionalFormatting sqref="J11:N12">
    <cfRule type="expression" priority="16" dxfId="207">
      <formula>$J$8&gt;0</formula>
    </cfRule>
  </conditionalFormatting>
  <conditionalFormatting sqref="L25:L38 M29:N38 T29:W37 AF29:AF37 I38:K38 H39:Q39 G40:Q40 G74:Q84 H95:H104 J95:K104 G97:G104 I97:I104 L97:Q102 L103:O104 G105:Q106 R106:S106">
    <cfRule type="expression" priority="10" dxfId="205">
      <formula>INDIRECT(ADDRESS(ROW(),COLUMN($AM$74)))="Yes"</formula>
    </cfRule>
  </conditionalFormatting>
  <conditionalFormatting sqref="Q8:R8 Q11:R11">
    <cfRule type="expression" priority="15" dxfId="204">
      <formula>$Q$8&gt;0</formula>
    </cfRule>
  </conditionalFormatting>
  <conditionalFormatting sqref="T29:Z37 AD29:AF37 AH29:AH37 T97:AH102 U103:AH104 T105:AH106">
    <cfRule type="expression" priority="5" dxfId="205">
      <formula>INDIRECT(ADDRESS(ROW(),COLUMN($AO$74)))="Yes"</formula>
    </cfRule>
  </conditionalFormatting>
  <conditionalFormatting sqref="T74:AH82">
    <cfRule type="expression" priority="9" dxfId="205">
      <formula>INDIRECT(ADDRESS(ROW(),COLUMN($AO$74)))="Yes"</formula>
    </cfRule>
  </conditionalFormatting>
  <conditionalFormatting sqref="Z8:AD9">
    <cfRule type="expression" priority="14" dxfId="201">
      <formula>$Z$8&gt;0</formula>
    </cfRule>
  </conditionalFormatting>
  <conditionalFormatting sqref="Z11:AD12">
    <cfRule type="expression" priority="13" dxfId="201">
      <formula>$Z$8&gt;0</formula>
    </cfRule>
  </conditionalFormatting>
  <conditionalFormatting sqref="AF17">
    <cfRule type="expression" priority="20" dxfId="199">
      <formula>Z8&gt;0</formula>
    </cfRule>
    <cfRule type="expression" priority="21" dxfId="204">
      <formula>Q8&gt;0</formula>
    </cfRule>
  </conditionalFormatting>
  <conditionalFormatting sqref="AG38">
    <cfRule type="cellIs" priority="7" dxfId="197" operator="lessThan">
      <formula>0</formula>
    </cfRule>
    <cfRule type="cellIs" priority="8" dxfId="196" operator="greaterThan">
      <formula>0</formula>
    </cfRule>
  </conditionalFormatting>
  <conditionalFormatting sqref="AG83">
    <cfRule type="cellIs" priority="18" dxfId="197" operator="lessThan">
      <formula>0</formula>
    </cfRule>
    <cfRule type="cellIs" priority="19" dxfId="196" operator="greaterThan">
      <formula>0</formula>
    </cfRule>
  </conditionalFormatting>
  <pageMargins left="0.7" right="0.7" top="0.75" bottom="0.75" header="0.3" footer="0.3"/>
  <pageSetup orientation="portrait" paperSize="1" r:id="rId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8D626DE-574D-4FA7-ACF2-3F74B415532A}">
  <sheetPr codeName="Sheet25">
    <outlinePr summaryBelow="0"/>
  </sheetPr>
  <dimension ref="A1:L105"/>
  <sheetViews>
    <sheetView showGridLines="0" zoomScale="80" zoomScaleNormal="80" workbookViewId="0" topLeftCell="A1">
      <pane ySplit="1" topLeftCell="A18" activePane="bottomLeft" state="frozen"/>
      <selection pane="topLeft" activeCell="H17" sqref="H17"/>
      <selection pane="bottomLeft" activeCell="H17" sqref="H17"/>
    </sheetView>
  </sheetViews>
  <sheetFormatPr defaultColWidth="8.57428571428571" defaultRowHeight="15" customHeight="1" outlineLevelRow="1"/>
  <cols>
    <col min="1" max="1" width="6.71428571428571" customWidth="1"/>
    <col min="2" max="2" width="3.14285714285714" customWidth="1"/>
    <col min="3" max="3" width="22.4285714285714" customWidth="1"/>
    <col min="4" max="4" width="22" customWidth="1"/>
    <col min="5" max="6" width="25.4285714285714" customWidth="1"/>
    <col min="7" max="7" width="25.5714285714286" customWidth="1"/>
    <col min="8" max="8" width="83.4285714285714" customWidth="1"/>
    <col min="9" max="11" width="10.4285714285714" hidden="1" customWidth="1"/>
    <col min="12" max="12" width="2.85714285714286" customWidth="1"/>
    <col min="20" max="20" width="26.5714285714286" customWidth="1"/>
    <col min="21" max="21" width="23.5714285714286" customWidth="1"/>
  </cols>
  <sheetData>
    <row r="1" spans="1:1" s="138" customFormat="1" ht="45.4" customHeight="1">
      <c r="A1" t="s">
        <v>631</v>
      </c>
    </row>
    <row r="3" spans="2:12" ht="12.95" customHeight="1">
      <c r="B3" s="193" t="s">
        <v>504</v>
      </c>
      <c r="C3" s="194"/>
      <c r="D3" s="194"/>
      <c r="E3" s="194"/>
      <c r="F3" s="194"/>
      <c r="G3" s="194"/>
      <c r="H3" s="194"/>
      <c r="I3" s="194"/>
      <c r="J3" s="194"/>
      <c r="K3" s="194"/>
      <c r="L3" s="195"/>
    </row>
    <row r="4" spans="2:12" ht="14.85" customHeight="1">
      <c r="B4" s="118" t="s">
        <v>495</v>
      </c>
      <c r="C4" s="115" t="s">
        <v>495</v>
      </c>
      <c r="D4" s="115"/>
      <c r="E4" s="115"/>
      <c r="F4" s="115"/>
      <c r="G4" s="115"/>
      <c r="H4" s="37"/>
      <c r="I4" s="37"/>
      <c r="J4" s="37"/>
      <c r="K4" s="37"/>
      <c r="L4" s="119"/>
    </row>
    <row r="5" spans="2:12" ht="12.75">
      <c r="B5" s="120"/>
      <c r="C5" s="39"/>
      <c r="D5" s="39"/>
      <c r="E5" s="39"/>
      <c r="F5" s="39"/>
      <c r="G5" s="39"/>
      <c r="H5" s="39"/>
      <c r="I5" s="39"/>
      <c r="J5" s="39"/>
      <c r="K5" s="39"/>
      <c r="L5" s="121"/>
    </row>
    <row r="6" spans="2:12" ht="12.75">
      <c r="B6" s="120"/>
      <c r="C6" s="39"/>
      <c r="D6" s="39"/>
      <c r="E6" s="39"/>
      <c r="F6" s="39"/>
      <c r="G6" s="39"/>
      <c r="H6" s="39"/>
      <c r="I6" s="39"/>
      <c r="J6" s="39"/>
      <c r="K6" s="39"/>
      <c r="L6" s="121"/>
    </row>
    <row r="7" spans="2:12" ht="12.75">
      <c r="B7" s="120"/>
      <c r="C7" s="39"/>
      <c r="D7" s="39"/>
      <c r="E7" s="39"/>
      <c r="F7" s="39"/>
      <c r="G7" s="39"/>
      <c r="H7" s="39"/>
      <c r="I7" s="39"/>
      <c r="J7" s="39"/>
      <c r="K7" s="39"/>
      <c r="L7" s="121"/>
    </row>
    <row r="8" spans="2:12" ht="12.75">
      <c r="B8" s="120"/>
      <c r="C8" s="39"/>
      <c r="D8" s="39"/>
      <c r="E8" s="39"/>
      <c r="F8" s="39"/>
      <c r="G8" s="39"/>
      <c r="H8" s="39"/>
      <c r="I8" s="39"/>
      <c r="J8" s="39"/>
      <c r="K8" s="39"/>
      <c r="L8" s="121"/>
    </row>
    <row r="9" spans="2:12" ht="12.75">
      <c r="B9" s="120"/>
      <c r="C9" s="39"/>
      <c r="D9" s="39"/>
      <c r="E9" s="39"/>
      <c r="F9" s="39"/>
      <c r="G9" s="39"/>
      <c r="H9" s="39"/>
      <c r="I9" s="39"/>
      <c r="J9" s="39"/>
      <c r="K9" s="39"/>
      <c r="L9" s="121"/>
    </row>
    <row r="10" spans="2:12" ht="12.75">
      <c r="B10" s="120"/>
      <c r="C10" s="39"/>
      <c r="D10" s="39"/>
      <c r="E10" s="39"/>
      <c r="F10" s="39"/>
      <c r="G10" s="39"/>
      <c r="H10" s="39"/>
      <c r="I10" s="39"/>
      <c r="J10" s="39"/>
      <c r="K10" s="39"/>
      <c r="L10" s="121"/>
    </row>
    <row r="11" spans="2:12" ht="12.75">
      <c r="B11" s="120"/>
      <c r="C11" s="39"/>
      <c r="D11" s="39"/>
      <c r="E11" s="39"/>
      <c r="F11" s="39"/>
      <c r="G11" s="39"/>
      <c r="H11" s="39"/>
      <c r="I11" s="39"/>
      <c r="J11" s="39"/>
      <c r="K11" s="39"/>
      <c r="L11" s="121"/>
    </row>
    <row r="12" spans="2:12" ht="12.75">
      <c r="B12" s="120"/>
      <c r="C12" s="39"/>
      <c r="D12" s="39"/>
      <c r="E12" s="39"/>
      <c r="F12" s="39"/>
      <c r="G12" s="39"/>
      <c r="H12" s="39"/>
      <c r="I12" s="39"/>
      <c r="J12" s="39"/>
      <c r="K12" s="39"/>
      <c r="L12" s="121"/>
    </row>
    <row r="13" spans="2:12" ht="12.75">
      <c r="B13" s="120"/>
      <c r="C13" s="39"/>
      <c r="D13" s="39"/>
      <c r="E13" s="39"/>
      <c r="F13" s="39"/>
      <c r="G13" s="39"/>
      <c r="H13" s="39"/>
      <c r="I13" s="39"/>
      <c r="J13" s="39"/>
      <c r="K13" s="39"/>
      <c r="L13" s="121"/>
    </row>
    <row r="14" spans="2:12" ht="12.75">
      <c r="B14" s="120"/>
      <c r="C14" s="39"/>
      <c r="D14" s="39"/>
      <c r="E14" s="39"/>
      <c r="F14" s="39"/>
      <c r="G14" s="39"/>
      <c r="H14" s="39"/>
      <c r="I14" s="39"/>
      <c r="J14" s="39"/>
      <c r="K14" s="39"/>
      <c r="L14" s="121"/>
    </row>
    <row r="15" spans="2:12" ht="12.75">
      <c r="B15" s="120"/>
      <c r="C15" s="39"/>
      <c r="D15" s="39"/>
      <c r="E15" s="39"/>
      <c r="F15" s="39"/>
      <c r="G15" s="39"/>
      <c r="H15" s="39"/>
      <c r="I15" s="39"/>
      <c r="J15" s="39"/>
      <c r="K15" s="39"/>
      <c r="L15" s="121"/>
    </row>
    <row r="16" spans="2:12" ht="12.75">
      <c r="B16" s="120"/>
      <c r="C16" s="39"/>
      <c r="D16" s="39"/>
      <c r="E16" s="39"/>
      <c r="F16" s="39"/>
      <c r="G16" s="39"/>
      <c r="H16" s="39"/>
      <c r="I16" s="39"/>
      <c r="J16" s="39"/>
      <c r="K16" s="39"/>
      <c r="L16" s="121"/>
    </row>
    <row r="17" spans="2:12" ht="12.75">
      <c r="B17" s="120"/>
      <c r="C17" s="39"/>
      <c r="D17" s="39"/>
      <c r="E17" s="39"/>
      <c r="F17" s="39"/>
      <c r="G17" s="39"/>
      <c r="H17" s="39"/>
      <c r="I17" s="39"/>
      <c r="J17" s="39"/>
      <c r="K17" s="39"/>
      <c r="L17" s="121"/>
    </row>
    <row r="18" spans="2:12" ht="12.75">
      <c r="B18" s="120"/>
      <c r="C18" s="39"/>
      <c r="D18" s="39"/>
      <c r="E18" s="39"/>
      <c r="F18" s="39"/>
      <c r="G18" s="39"/>
      <c r="H18" s="39"/>
      <c r="I18" s="39"/>
      <c r="J18" s="39"/>
      <c r="K18" s="39"/>
      <c r="L18" s="121"/>
    </row>
    <row r="19" spans="2:12" ht="12.75">
      <c r="B19" s="120"/>
      <c r="C19" s="39"/>
      <c r="D19" s="39"/>
      <c r="E19" s="39"/>
      <c r="F19" s="39"/>
      <c r="G19" s="39"/>
      <c r="H19" s="39"/>
      <c r="I19" s="39"/>
      <c r="J19" s="39"/>
      <c r="K19" s="39"/>
      <c r="L19" s="121"/>
    </row>
    <row r="20" spans="2:12" ht="12.75">
      <c r="B20" s="122"/>
      <c r="C20" s="116"/>
      <c r="D20" s="116"/>
      <c r="E20" s="116"/>
      <c r="F20" s="116"/>
      <c r="G20" s="116"/>
      <c r="H20" s="116"/>
      <c r="I20" s="116"/>
      <c r="J20" s="116"/>
      <c r="K20" s="116"/>
      <c r="L20" s="123"/>
    </row>
    <row r="22" spans="2:12" ht="12.75">
      <c r="B22" s="118" t="s">
        <v>495</v>
      </c>
      <c r="C22" s="115" t="s">
        <v>495</v>
      </c>
      <c r="D22" s="115"/>
      <c r="E22" s="115"/>
      <c r="F22" s="115"/>
      <c r="G22" s="115"/>
      <c r="H22" s="115"/>
      <c r="I22" s="115"/>
      <c r="J22" s="115"/>
      <c r="K22" s="115"/>
      <c r="L22" s="124"/>
    </row>
    <row r="23" spans="2:12" ht="25.5">
      <c r="B23" s="24"/>
      <c r="C23" s="8" t="s">
        <v>496</v>
      </c>
      <c r="D23" s="8" t="s">
        <v>497</v>
      </c>
      <c r="E23" s="8" t="s">
        <v>498</v>
      </c>
      <c r="F23" s="8" t="s">
        <v>499</v>
      </c>
      <c r="G23" s="8" t="s">
        <v>500</v>
      </c>
      <c r="H23" s="8" t="s">
        <v>1</v>
      </c>
      <c r="I23" s="8" t="s">
        <v>501</v>
      </c>
      <c r="J23" s="8" t="s">
        <v>502</v>
      </c>
      <c r="K23" s="8" t="s">
        <v>503</v>
      </c>
      <c r="L23" s="125"/>
    </row>
    <row r="24" spans="2:12" ht="25.5" collapsed="1">
      <c r="B24" s="24"/>
      <c r="C24" s="21" t="str">
        <f>IF(NOT(value_assertions[[#This Row],[Precondition]]),"Not Applicable",IF(ISNA(value_assertions[[#This Row],[Validation]]),"Failed",IF(value_assertions[[#This Row],[Validation]],"Pass",value_assertions[[#This Row],[Severity]])))</f>
        <v>Pass</v>
      </c>
      <c r="D24" s="21" t="b">
        <f>IF(value_assertions[[#This Row],[Category]]="Disabled",FALSE,TRUE)</f>
        <v>1</v>
      </c>
      <c r="E24" s="21" t="b">
        <f>OR(COUNTA(B_06.01[0040])=0,IF(ISNA(SUM(B_06.01[v22834_a - 1.1])),FALSE,ISNA(MATCH(FALSE,B_06.01[v22834_a - 1.1],0))))</f>
        <v>1</v>
      </c>
      <c r="F24" s="21" t="str">
        <f>value_assertions[[#This Row],[Category orig]]</f>
        <v>Other</v>
      </c>
      <c r="G24" s="21" t="s">
        <v>531</v>
      </c>
      <c r="H24" s="21" t="s">
        <v>562</v>
      </c>
      <c r="I24" s="21" t="s">
        <v>327</v>
      </c>
      <c r="J24" s="21" t="s">
        <v>563</v>
      </c>
      <c r="K24" s="125" t="s">
        <v>425</v>
      </c>
      <c r="L24" s="125"/>
    </row>
    <row r="25" spans="2:12" ht="25.5" hidden="1" outlineLevel="1">
      <c r="B25" s="24"/>
      <c r="C25" s="22"/>
      <c r="D25" s="19" t="str">
        <f>HYPERLINK("#'B_06.01.B 06.01'!L6","{eba_v22834_a#1.1} result")</f>
        <v>{eba_v22834_a#1.1} result</v>
      </c>
      <c r="E25" s="20" t="s">
        <v>567</v>
      </c>
      <c r="F25" s="20"/>
      <c r="G25" s="19" t="s">
        <v>564</v>
      </c>
      <c r="H25" s="19" t="s">
        <v>531</v>
      </c>
      <c r="I25" s="19"/>
      <c r="J25" s="19"/>
      <c r="K25" s="125"/>
      <c r="L25" s="126"/>
    </row>
    <row r="26" spans="2:11" ht="12.75" hidden="1" outlineLevel="1">
      <c r="B26" s="24"/>
      <c r="C26" s="22"/>
      <c r="D26" s="19"/>
      <c r="E26" s="20"/>
      <c r="F26" s="20"/>
      <c r="G26" s="19" t="s">
        <v>565</v>
      </c>
      <c r="H26" s="19" t="s">
        <v>566</v>
      </c>
      <c r="I26" s="19"/>
      <c r="J26" s="19"/>
      <c r="K26" s="125"/>
    </row>
    <row r="27" spans="2:12" ht="25.5" collapsed="1">
      <c r="B27" s="24"/>
      <c r="C27" s="21" t="str">
        <f>IF(NOT(value_assertions[[#This Row],[Precondition]]),"Not Applicable",IF(ISNA(value_assertions[[#This Row],[Validation]]),"Failed",IF(value_assertions[[#This Row],[Validation]],"Pass",value_assertions[[#This Row],[Severity]])))</f>
        <v>Pass</v>
      </c>
      <c r="D27" s="21" t="b">
        <f>IF(value_assertions[[#This Row],[Category]]="Disabled",FALSE,TRUE)</f>
        <v>1</v>
      </c>
      <c r="E27" s="21" t="b">
        <f>OR(COUNTA(B_05.01[0010])=0,IF(ISNA(SUM(B_05.01[v22841_a - 1.1])),FALSE,ISNA(MATCH(FALSE,B_05.01[v22841_a - 1.1],0))))</f>
        <v>1</v>
      </c>
      <c r="F27" s="21" t="str">
        <f>value_assertions[[#This Row],[Category orig]]</f>
        <v>Other</v>
      </c>
      <c r="G27" s="21" t="s">
        <v>529</v>
      </c>
      <c r="H27" s="21" t="s">
        <v>568</v>
      </c>
      <c r="I27" s="21" t="s">
        <v>327</v>
      </c>
      <c r="J27" s="21" t="s">
        <v>569</v>
      </c>
      <c r="K27" s="125" t="s">
        <v>425</v>
      </c>
      <c r="L27" s="125"/>
    </row>
    <row r="28" spans="2:11" ht="25.5" hidden="1" outlineLevel="1">
      <c r="B28" s="24"/>
      <c r="C28" s="22"/>
      <c r="D28" s="19" t="str">
        <f>HYPERLINK("#'B_05.01.B 05.01'!K6","{eba_v22841_a#1.1} result")</f>
        <v>{eba_v22841_a#1.1} result</v>
      </c>
      <c r="E28" s="20" t="s">
        <v>567</v>
      </c>
      <c r="F28" s="20"/>
      <c r="G28" s="19" t="s">
        <v>564</v>
      </c>
      <c r="H28" s="19" t="s">
        <v>529</v>
      </c>
      <c r="I28" s="19"/>
      <c r="J28" s="19"/>
      <c r="K28" s="125"/>
    </row>
    <row r="29" spans="2:11" ht="12.75" hidden="1" outlineLevel="1">
      <c r="B29" s="24"/>
      <c r="C29" s="22"/>
      <c r="D29" s="19"/>
      <c r="E29" s="20"/>
      <c r="F29" s="20"/>
      <c r="G29" s="19" t="s">
        <v>565</v>
      </c>
      <c r="H29" s="19" t="s">
        <v>570</v>
      </c>
      <c r="I29" s="19"/>
      <c r="J29" s="19"/>
      <c r="K29" s="125"/>
    </row>
    <row r="30" spans="2:12" ht="409.5" collapsed="1">
      <c r="B30" s="24"/>
      <c r="C30" s="21" t="str">
        <f>IF(NOT(value_assertions[[#This Row],[Precondition]]),"Not Applicable",IF(ISNA(value_assertions[[#This Row],[Validation]]),"Failed",IF(value_assertions[[#This Row],[Validation]],"Pass",value_assertions[[#This Row],[Severity]])))</f>
        <v>Pass</v>
      </c>
      <c r="D30" s="21" t="b">
        <f>IF(value_assertions[[#This Row],[Category]]="Disabled",FALSE,OR(OR(TRUE,TRUE),TRUE))</f>
        <v>1</v>
      </c>
      <c r="E30" s="21" t="b">
        <f>OR(COUNTA(B_05.01[0010])=0,IF(ISNA(SUM(B_05.01[v22861_a - 1.1])),FALSE,ISNA(MATCH(FALSE,B_05.01[v22861_a - 1.1],0))))</f>
        <v>1</v>
      </c>
      <c r="F30" s="21" t="str">
        <f>value_assertions[[#This Row],[Category orig]]</f>
        <v>Other</v>
      </c>
      <c r="G30" s="21" t="s">
        <v>519</v>
      </c>
      <c r="H30" s="21" t="s">
        <v>571</v>
      </c>
      <c r="I30" s="21" t="s">
        <v>327</v>
      </c>
      <c r="J30" s="21" t="s">
        <v>572</v>
      </c>
      <c r="K30" s="125" t="s">
        <v>425</v>
      </c>
      <c r="L30" s="125"/>
    </row>
    <row r="31" spans="2:11" ht="25.5" hidden="1" outlineLevel="1">
      <c r="B31" s="24"/>
      <c r="C31" s="22"/>
      <c r="D31" s="19" t="str">
        <f>HYPERLINK("#'B_05.01.B 05.01'!L6","{eba_v22861_a#1.1} result")</f>
        <v>{eba_v22861_a#1.1} result</v>
      </c>
      <c r="E31" s="20" t="s">
        <v>567</v>
      </c>
      <c r="F31" s="20"/>
      <c r="G31" s="19" t="s">
        <v>564</v>
      </c>
      <c r="H31" s="19" t="s">
        <v>519</v>
      </c>
      <c r="I31" s="19"/>
      <c r="J31" s="19"/>
      <c r="K31" s="125"/>
    </row>
    <row r="32" spans="2:11" ht="12.75" hidden="1" outlineLevel="1">
      <c r="B32" s="24"/>
      <c r="C32" s="22"/>
      <c r="D32" s="19"/>
      <c r="E32" s="20"/>
      <c r="F32" s="20"/>
      <c r="G32" s="19" t="s">
        <v>565</v>
      </c>
      <c r="H32" s="19" t="s">
        <v>566</v>
      </c>
      <c r="I32" s="19"/>
      <c r="J32" s="19"/>
      <c r="K32" s="125"/>
    </row>
    <row r="33" spans="2:12" ht="51" collapsed="1">
      <c r="B33" s="24"/>
      <c r="C33" s="21" t="str">
        <f>IF(NOT(value_assertions[[#This Row],[Precondition]]),"Not Applicable",IF(ISNA(value_assertions[[#This Row],[Validation]]),"Failed",IF(value_assertions[[#This Row],[Validation]],"Pass",value_assertions[[#This Row],[Severity]])))</f>
        <v>Pass</v>
      </c>
      <c r="D33" s="21" t="b">
        <f>IF(value_assertions[[#This Row],[Category]]="Disabled",FALSE,TRUE)</f>
        <v>1</v>
      </c>
      <c r="E33" s="21" t="b">
        <f>OR(COUNTA(B_01.01[0010])=0,IF(ISNA(SUM(B_01.01[v22862_a - 1.1])),FALSE,ISNA(MATCH(FALSE,B_01.01[v22862_a - 1.1],0))))</f>
        <v>1</v>
      </c>
      <c r="F33" s="21" t="str">
        <f>value_assertions[[#This Row],[Category orig]]</f>
        <v>Other</v>
      </c>
      <c r="G33" s="21" t="s">
        <v>519</v>
      </c>
      <c r="H33" s="21" t="s">
        <v>573</v>
      </c>
      <c r="I33" s="21" t="s">
        <v>327</v>
      </c>
      <c r="J33" s="21" t="s">
        <v>574</v>
      </c>
      <c r="K33" s="125" t="s">
        <v>425</v>
      </c>
      <c r="L33" s="125"/>
    </row>
    <row r="34" spans="2:11" ht="25.5" hidden="1" outlineLevel="1">
      <c r="B34" s="24"/>
      <c r="C34" s="22"/>
      <c r="D34" s="19" t="str">
        <f>HYPERLINK("#'B_01.01.B 01.01'!H6","{eba_v22862_a#1.1} result")</f>
        <v>{eba_v22862_a#1.1} result</v>
      </c>
      <c r="E34" s="20" t="s">
        <v>567</v>
      </c>
      <c r="F34" s="20"/>
      <c r="G34" s="19" t="s">
        <v>564</v>
      </c>
      <c r="H34" s="19" t="s">
        <v>519</v>
      </c>
      <c r="I34" s="19"/>
      <c r="J34" s="19"/>
      <c r="K34" s="125"/>
    </row>
    <row r="35" spans="2:11" ht="12.75" hidden="1" outlineLevel="1">
      <c r="B35" s="24"/>
      <c r="C35" s="22"/>
      <c r="D35" s="19"/>
      <c r="E35" s="20"/>
      <c r="F35" s="20"/>
      <c r="G35" s="19" t="s">
        <v>565</v>
      </c>
      <c r="H35" s="19" t="s">
        <v>570</v>
      </c>
      <c r="I35" s="19"/>
      <c r="J35" s="19"/>
      <c r="K35" s="125"/>
    </row>
    <row r="36" spans="2:12" ht="25.5" collapsed="1">
      <c r="B36" s="24"/>
      <c r="C36" s="21" t="str">
        <f>IF(NOT(value_assertions[[#This Row],[Precondition]]),"Not Applicable",IF(ISNA(value_assertions[[#This Row],[Validation]]),"Failed",IF(value_assertions[[#This Row],[Validation]],"Pass",value_assertions[[#This Row],[Severity]])))</f>
        <v>Pass</v>
      </c>
      <c r="D36" s="21" t="b">
        <f>IF(value_assertions[[#This Row],[Category]]="Disabled",FALSE,TRUE)</f>
        <v>1</v>
      </c>
      <c r="E36" s="21" t="b">
        <f>OR(COUNTA(B_01.02[0010])=0,IF(ISNA(SUM(B_01.02[v22864_a - 1.1])),FALSE,ISNA(MATCH(FALSE,B_01.02[v22864_a - 1.1],0))))</f>
        <v>1</v>
      </c>
      <c r="F36" s="21" t="str">
        <f>value_assertions[[#This Row],[Category orig]]</f>
        <v>Other</v>
      </c>
      <c r="G36" s="21" t="s">
        <v>520</v>
      </c>
      <c r="H36" s="21" t="s">
        <v>575</v>
      </c>
      <c r="I36" s="21" t="s">
        <v>327</v>
      </c>
      <c r="J36" s="21" t="s">
        <v>576</v>
      </c>
      <c r="K36" s="125" t="s">
        <v>425</v>
      </c>
      <c r="L36" s="125"/>
    </row>
    <row r="37" spans="2:11" ht="25.5" hidden="1" outlineLevel="1">
      <c r="B37" s="24"/>
      <c r="C37" s="22"/>
      <c r="D37" s="19" t="str">
        <f>HYPERLINK("#'B_01.02.B 01.02'!M6","{eba_v22864_a#1.1} result")</f>
        <v>{eba_v22864_a#1.1} result</v>
      </c>
      <c r="E37" s="20" t="s">
        <v>567</v>
      </c>
      <c r="F37" s="20"/>
      <c r="G37" s="19" t="s">
        <v>564</v>
      </c>
      <c r="H37" s="19" t="s">
        <v>520</v>
      </c>
      <c r="I37" s="19"/>
      <c r="J37" s="19"/>
      <c r="K37" s="125"/>
    </row>
    <row r="38" spans="2:11" ht="12.75" hidden="1" outlineLevel="1">
      <c r="B38" s="24"/>
      <c r="C38" s="22"/>
      <c r="D38" s="19"/>
      <c r="E38" s="20"/>
      <c r="F38" s="20"/>
      <c r="G38" s="19" t="s">
        <v>565</v>
      </c>
      <c r="H38" s="19" t="s">
        <v>566</v>
      </c>
      <c r="I38" s="19"/>
      <c r="J38" s="19"/>
      <c r="K38" s="125"/>
    </row>
    <row r="39" spans="2:12" ht="382.5" collapsed="1">
      <c r="B39" s="24"/>
      <c r="C39" s="21" t="str">
        <f>IF(NOT(value_assertions[[#This Row],[Precondition]]),"Not Applicable",IF(ISNA(value_assertions[[#This Row],[Validation]]),"Failed",IF(value_assertions[[#This Row],[Validation]],"Pass",value_assertions[[#This Row],[Severity]])))</f>
        <v>Pass</v>
      </c>
      <c r="D39" s="21" t="b">
        <f>IF(value_assertions[[#This Row],[Category]]="Disabled",FALSE,OR(OR(TRUE,TRUE),TRUE))</f>
        <v>1</v>
      </c>
      <c r="E39" s="21" t="b">
        <f>OR(COUNTA(B_02.01[0010])=0,IF(ISNA(SUM(B_02.01[v22865_a - 1.1])),FALSE,ISNA(MATCH(FALSE,B_02.01[v22865_a - 1.1],0))))</f>
        <v>1</v>
      </c>
      <c r="F39" s="21" t="str">
        <f>value_assertions[[#This Row],[Category orig]]</f>
        <v>Other</v>
      </c>
      <c r="G39" s="21" t="s">
        <v>520</v>
      </c>
      <c r="H39" s="21" t="s">
        <v>577</v>
      </c>
      <c r="I39" s="21" t="s">
        <v>327</v>
      </c>
      <c r="J39" s="21" t="s">
        <v>578</v>
      </c>
      <c r="K39" s="125" t="s">
        <v>425</v>
      </c>
      <c r="L39" s="125"/>
    </row>
    <row r="40" spans="2:11" ht="25.5" hidden="1" outlineLevel="1">
      <c r="B40" s="24"/>
      <c r="C40" s="22"/>
      <c r="D40" s="19" t="str">
        <f>HYPERLINK("#'B_02.01.B 02.01'!G6","{eba_v22865_a#1.1} result")</f>
        <v>{eba_v22865_a#1.1} result</v>
      </c>
      <c r="E40" s="20" t="s">
        <v>567</v>
      </c>
      <c r="F40" s="20"/>
      <c r="G40" s="19" t="s">
        <v>564</v>
      </c>
      <c r="H40" s="19" t="s">
        <v>520</v>
      </c>
      <c r="I40" s="19"/>
      <c r="J40" s="19"/>
      <c r="K40" s="125"/>
    </row>
    <row r="41" spans="2:11" ht="12.75" hidden="1" outlineLevel="1">
      <c r="B41" s="24"/>
      <c r="C41" s="22"/>
      <c r="D41" s="19"/>
      <c r="E41" s="20"/>
      <c r="F41" s="20"/>
      <c r="G41" s="19" t="s">
        <v>565</v>
      </c>
      <c r="H41" s="19" t="s">
        <v>570</v>
      </c>
      <c r="I41" s="19"/>
      <c r="J41" s="19"/>
      <c r="K41" s="125"/>
    </row>
    <row r="42" spans="2:12" ht="63.75" collapsed="1">
      <c r="B42" s="24"/>
      <c r="C42" s="21" t="str">
        <f>IF(NOT(value_assertions[[#This Row],[Precondition]]),"Not Applicable",IF(ISNA(value_assertions[[#This Row],[Validation]]),"Failed",IF(value_assertions[[#This Row],[Validation]],"Pass",value_assertions[[#This Row],[Severity]])))</f>
        <v>Pass</v>
      </c>
      <c r="D42" s="21" t="b">
        <f>IF(value_assertions[[#This Row],[Category]]="Disabled",FALSE,TRUE)</f>
        <v>1</v>
      </c>
      <c r="E42" s="21" t="b">
        <f>OR(COUNTA(B_01.02[0010])=0,IF(ISNA(SUM(B_01.02[v22866_a - 1.1])),FALSE,ISNA(MATCH(FALSE,B_01.02[v22866_a - 1.1],0))))</f>
        <v>1</v>
      </c>
      <c r="F42" s="21" t="str">
        <f>value_assertions[[#This Row],[Category orig]]</f>
        <v>Other</v>
      </c>
      <c r="G42" s="21" t="s">
        <v>520</v>
      </c>
      <c r="H42" s="21" t="s">
        <v>579</v>
      </c>
      <c r="I42" s="21" t="s">
        <v>327</v>
      </c>
      <c r="J42" s="21" t="s">
        <v>580</v>
      </c>
      <c r="K42" s="125" t="s">
        <v>425</v>
      </c>
      <c r="L42" s="125"/>
    </row>
    <row r="43" spans="2:11" ht="25.5" hidden="1" outlineLevel="1">
      <c r="B43" s="24"/>
      <c r="C43" s="22"/>
      <c r="D43" s="19" t="str">
        <f>HYPERLINK("#'B_01.02.B 01.02'!N6","{eba_v22866_a#1.1} result")</f>
        <v>{eba_v22866_a#1.1} result</v>
      </c>
      <c r="E43" s="20" t="s">
        <v>567</v>
      </c>
      <c r="F43" s="20"/>
      <c r="G43" s="19" t="s">
        <v>564</v>
      </c>
      <c r="H43" s="19" t="s">
        <v>520</v>
      </c>
      <c r="I43" s="19"/>
      <c r="J43" s="19"/>
      <c r="K43" s="125"/>
    </row>
    <row r="44" spans="2:11" ht="12.75" hidden="1" outlineLevel="1">
      <c r="B44" s="24"/>
      <c r="C44" s="22"/>
      <c r="D44" s="19"/>
      <c r="E44" s="20"/>
      <c r="F44" s="20"/>
      <c r="G44" s="19" t="s">
        <v>565</v>
      </c>
      <c r="H44" s="19" t="s">
        <v>570</v>
      </c>
      <c r="I44" s="19"/>
      <c r="J44" s="19"/>
      <c r="K44" s="125"/>
    </row>
    <row r="45" spans="2:12" ht="409.5" collapsed="1">
      <c r="B45" s="24"/>
      <c r="C45" s="21" t="str">
        <f>IF(NOT(value_assertions[[#This Row],[Precondition]]),"Not Applicable",IF(ISNA(value_assertions[[#This Row],[Validation]]),"Failed",IF(value_assertions[[#This Row],[Validation]],"Pass",value_assertions[[#This Row],[Severity]])))</f>
        <v>Pass</v>
      </c>
      <c r="D45" s="21" t="b">
        <f>IF(value_assertions[[#This Row],[Category]]="Disabled",FALSE,TRUE)</f>
        <v>1</v>
      </c>
      <c r="E45" s="21" t="b">
        <f>OR(COUNTA(B_01.03[0010])=0,IF(ISNA(SUM(B_01.03[v22868_a - 1.1])),FALSE,ISNA(MATCH(FALSE,B_01.03[v22868_a - 1.1],0))))</f>
        <v>1</v>
      </c>
      <c r="F45" s="21" t="str">
        <f>value_assertions[[#This Row],[Category orig]]</f>
        <v>Other</v>
      </c>
      <c r="G45" s="21" t="s">
        <v>521</v>
      </c>
      <c r="H45" s="21" t="s">
        <v>581</v>
      </c>
      <c r="I45" s="21" t="s">
        <v>327</v>
      </c>
      <c r="J45" s="21" t="s">
        <v>582</v>
      </c>
      <c r="K45" s="125" t="s">
        <v>425</v>
      </c>
      <c r="L45" s="125"/>
    </row>
    <row r="46" spans="2:11" ht="25.5" hidden="1" outlineLevel="1">
      <c r="B46" s="24"/>
      <c r="C46" s="22"/>
      <c r="D46" s="19" t="str">
        <f>HYPERLINK("#'B_01.03.B 01.03'!F6","{eba_v22868_a#1.1} result")</f>
        <v>{eba_v22868_a#1.1} result</v>
      </c>
      <c r="E46" s="20" t="s">
        <v>567</v>
      </c>
      <c r="F46" s="20"/>
      <c r="G46" s="19" t="s">
        <v>564</v>
      </c>
      <c r="H46" s="19" t="s">
        <v>521</v>
      </c>
      <c r="I46" s="19"/>
      <c r="J46" s="19"/>
      <c r="K46" s="125"/>
    </row>
    <row r="47" spans="2:11" ht="12.75" hidden="1" outlineLevel="1">
      <c r="B47" s="24"/>
      <c r="C47" s="22"/>
      <c r="D47" s="19"/>
      <c r="E47" s="20"/>
      <c r="F47" s="20"/>
      <c r="G47" s="19" t="s">
        <v>565</v>
      </c>
      <c r="H47" s="19" t="s">
        <v>570</v>
      </c>
      <c r="I47" s="19"/>
      <c r="J47" s="19"/>
      <c r="K47" s="125"/>
    </row>
    <row r="48" spans="2:12" ht="25.5" collapsed="1">
      <c r="B48" s="24"/>
      <c r="C48" s="21" t="str">
        <f>IF(NOT(value_assertions[[#This Row],[Precondition]]),"Not Applicable",IF(ISNA(value_assertions[[#This Row],[Validation]]),"Failed",IF(value_assertions[[#This Row],[Validation]],"Pass",value_assertions[[#This Row],[Severity]])))</f>
        <v>Pass</v>
      </c>
      <c r="D48" s="21" t="b">
        <f>IF(value_assertions[[#This Row],[Category]]="Disabled",FALSE,TRUE)</f>
        <v>1</v>
      </c>
      <c r="E48" s="21" t="b">
        <f>OR(COUNTA(B_02.01[0010])=0,IF(ISNA(SUM(B_02.01[v22870_a - 1.1])),FALSE,ISNA(MATCH(FALSE,B_02.01[v22870_a - 1.1],0))))</f>
        <v>1</v>
      </c>
      <c r="F48" s="21" t="str">
        <f>value_assertions[[#This Row],[Category orig]]</f>
        <v>Other</v>
      </c>
      <c r="G48" s="21" t="s">
        <v>522</v>
      </c>
      <c r="H48" s="21" t="s">
        <v>583</v>
      </c>
      <c r="I48" s="21" t="s">
        <v>327</v>
      </c>
      <c r="J48" s="21" t="s">
        <v>584</v>
      </c>
      <c r="K48" s="125" t="s">
        <v>425</v>
      </c>
      <c r="L48" s="125"/>
    </row>
    <row r="49" spans="2:11" ht="25.5" hidden="1" outlineLevel="1">
      <c r="B49" s="24"/>
      <c r="C49" s="22"/>
      <c r="D49" s="19" t="str">
        <f>HYPERLINK("#'B_02.01.B 02.01'!H6","{eba_v22870_a#1.1} result")</f>
        <v>{eba_v22870_a#1.1} result</v>
      </c>
      <c r="E49" s="20" t="s">
        <v>567</v>
      </c>
      <c r="F49" s="20"/>
      <c r="G49" s="19" t="s">
        <v>564</v>
      </c>
      <c r="H49" s="19" t="s">
        <v>522</v>
      </c>
      <c r="I49" s="19"/>
      <c r="J49" s="19"/>
      <c r="K49" s="125"/>
    </row>
    <row r="50" spans="2:11" ht="12.75" hidden="1" outlineLevel="1">
      <c r="B50" s="24"/>
      <c r="C50" s="22"/>
      <c r="D50" s="19"/>
      <c r="E50" s="20"/>
      <c r="F50" s="20"/>
      <c r="G50" s="19" t="s">
        <v>565</v>
      </c>
      <c r="H50" s="19" t="s">
        <v>585</v>
      </c>
      <c r="I50" s="19"/>
      <c r="J50" s="19"/>
      <c r="K50" s="125"/>
    </row>
    <row r="51" spans="2:12" ht="409.5" collapsed="1">
      <c r="B51" s="24"/>
      <c r="C51" s="21" t="str">
        <f>IF(NOT(value_assertions[[#This Row],[Precondition]]),"Not Applicable",IF(ISNA(value_assertions[[#This Row],[Validation]]),"Failed",IF(value_assertions[[#This Row],[Validation]],"Pass",value_assertions[[#This Row],[Severity]])))</f>
        <v>Pass</v>
      </c>
      <c r="D51" s="21" t="b">
        <f>IF(value_assertions[[#This Row],[Category]]="Disabled",FALSE,TRUE)</f>
        <v>1</v>
      </c>
      <c r="E51" s="21" t="b">
        <f>OR(COUNTA(B_02.02[0060])=0,IF(ISNA(SUM(B_02.02[v22872_a - 1.1])),FALSE,ISNA(MATCH(FALSE,B_02.02[v22872_a - 1.1],0))))</f>
        <v>1</v>
      </c>
      <c r="F51" s="21" t="str">
        <f>value_assertions[[#This Row],[Category orig]]</f>
        <v>Other</v>
      </c>
      <c r="G51" s="21" t="s">
        <v>523</v>
      </c>
      <c r="H51" s="21" t="s">
        <v>586</v>
      </c>
      <c r="I51" s="21" t="s">
        <v>327</v>
      </c>
      <c r="J51" s="21" t="s">
        <v>587</v>
      </c>
      <c r="K51" s="125" t="s">
        <v>425</v>
      </c>
      <c r="L51" s="125"/>
    </row>
    <row r="52" spans="2:11" ht="25.5" hidden="1" outlineLevel="1">
      <c r="B52" s="24"/>
      <c r="C52" s="22"/>
      <c r="D52" s="19" t="str">
        <f>HYPERLINK("#'02.02 dashboard calc'!Z14","{eba_v22872_a#1.1} result")</f>
        <v>{eba_v22872_a#1.1} result</v>
      </c>
      <c r="E52" s="20" t="s">
        <v>567</v>
      </c>
      <c r="F52" s="20"/>
      <c r="G52" s="19" t="s">
        <v>564</v>
      </c>
      <c r="H52" s="19" t="s">
        <v>523</v>
      </c>
      <c r="I52" s="19"/>
      <c r="J52" s="19"/>
      <c r="K52" s="125"/>
    </row>
    <row r="53" spans="2:11" ht="12.75" hidden="1" outlineLevel="1">
      <c r="B53" s="24"/>
      <c r="C53" s="22"/>
      <c r="D53" s="19"/>
      <c r="E53" s="20"/>
      <c r="F53" s="20"/>
      <c r="G53" s="19" t="s">
        <v>565</v>
      </c>
      <c r="H53" s="19" t="s">
        <v>588</v>
      </c>
      <c r="I53" s="19"/>
      <c r="J53" s="19"/>
      <c r="K53" s="125"/>
    </row>
    <row r="54" spans="2:12" ht="409.5" collapsed="1">
      <c r="B54" s="24"/>
      <c r="C54" s="21" t="str">
        <f>IF(NOT(value_assertions[[#This Row],[Precondition]]),"Not Applicable",IF(ISNA(value_assertions[[#This Row],[Validation]]),"Failed",IF(value_assertions[[#This Row],[Validation]],"Pass",value_assertions[[#This Row],[Severity]])))</f>
        <v>Pass</v>
      </c>
      <c r="D54" s="21" t="b">
        <f>IF(value_assertions[[#This Row],[Category]]="Disabled",FALSE,TRUE)</f>
        <v>1</v>
      </c>
      <c r="E54" s="21" t="b">
        <f>OR(COUNTA(B_02.02[0060])=0,IF(ISNA(SUM(B_02.02[v22873_a - 1.1])),FALSE,ISNA(MATCH(FALSE,B_02.02[v22873_a - 1.1],0))))</f>
        <v>1</v>
      </c>
      <c r="F54" s="21" t="str">
        <f>value_assertions[[#This Row],[Category orig]]</f>
        <v>Other</v>
      </c>
      <c r="G54" s="21" t="s">
        <v>523</v>
      </c>
      <c r="H54" s="21" t="s">
        <v>589</v>
      </c>
      <c r="I54" s="21" t="s">
        <v>327</v>
      </c>
      <c r="J54" s="21" t="s">
        <v>590</v>
      </c>
      <c r="K54" s="125" t="s">
        <v>425</v>
      </c>
      <c r="L54" s="125"/>
    </row>
    <row r="55" spans="2:11" ht="25.5" hidden="1" outlineLevel="1">
      <c r="B55" s="24"/>
      <c r="C55" s="22"/>
      <c r="D55" s="19" t="str">
        <f>HYPERLINK("#'02.02 dashboard calc'!AA14","{eba_v22873_a#1.1} result")</f>
        <v>{eba_v22873_a#1.1} result</v>
      </c>
      <c r="E55" s="20" t="s">
        <v>567</v>
      </c>
      <c r="F55" s="20"/>
      <c r="G55" s="19" t="s">
        <v>564</v>
      </c>
      <c r="H55" s="19" t="s">
        <v>523</v>
      </c>
      <c r="I55" s="19"/>
      <c r="J55" s="19"/>
      <c r="K55" s="125"/>
    </row>
    <row r="56" spans="2:11" ht="12.75" hidden="1" outlineLevel="1">
      <c r="B56" s="24"/>
      <c r="C56" s="22"/>
      <c r="D56" s="19"/>
      <c r="E56" s="20"/>
      <c r="F56" s="20"/>
      <c r="G56" s="19" t="s">
        <v>565</v>
      </c>
      <c r="H56" s="19" t="s">
        <v>591</v>
      </c>
      <c r="I56" s="19"/>
      <c r="J56" s="19"/>
      <c r="K56" s="125"/>
    </row>
    <row r="57" spans="2:12" ht="409.5" collapsed="1">
      <c r="B57" s="24"/>
      <c r="C57" s="21" t="str">
        <f>IF(NOT(value_assertions[[#This Row],[Precondition]]),"Not Applicable",IF(ISNA(value_assertions[[#This Row],[Validation]]),"Failed",IF(value_assertions[[#This Row],[Validation]],"Pass",value_assertions[[#This Row],[Severity]])))</f>
        <v>Pass</v>
      </c>
      <c r="D57" s="21" t="b">
        <f>IF(value_assertions[[#This Row],[Category]]="Disabled",FALSE,TRUE)</f>
        <v>1</v>
      </c>
      <c r="E57" s="21" t="b">
        <f>OR(COUNTA(B_02.02[0060])=0,IF(ISNA(SUM(B_02.02[v22873_a - 1.2])),FALSE,ISNA(MATCH(FALSE,B_02.02[v22873_a - 1.2],0))))</f>
        <v>1</v>
      </c>
      <c r="F57" s="21" t="str">
        <f>value_assertions[[#This Row],[Category orig]]</f>
        <v>Other</v>
      </c>
      <c r="G57" s="21" t="s">
        <v>523</v>
      </c>
      <c r="H57" s="21" t="s">
        <v>589</v>
      </c>
      <c r="I57" s="21" t="s">
        <v>327</v>
      </c>
      <c r="J57" s="21" t="s">
        <v>590</v>
      </c>
      <c r="K57" s="125" t="s">
        <v>425</v>
      </c>
      <c r="L57" s="125"/>
    </row>
    <row r="58" spans="2:11" ht="25.5" hidden="1" outlineLevel="1">
      <c r="B58" s="24"/>
      <c r="C58" s="22"/>
      <c r="D58" s="19" t="str">
        <f>HYPERLINK("#'02.02 dashboard calc'!AB14","{eba_v22873_a#1.2} result")</f>
        <v>{eba_v22873_a#1.2} result</v>
      </c>
      <c r="E58" s="20" t="s">
        <v>567</v>
      </c>
      <c r="F58" s="20"/>
      <c r="G58" s="19" t="s">
        <v>564</v>
      </c>
      <c r="H58" s="19" t="s">
        <v>523</v>
      </c>
      <c r="I58" s="19"/>
      <c r="J58" s="19"/>
      <c r="K58" s="125"/>
    </row>
    <row r="59" spans="2:11" ht="12.75" hidden="1" outlineLevel="1">
      <c r="B59" s="24"/>
      <c r="C59" s="22"/>
      <c r="D59" s="19"/>
      <c r="E59" s="20"/>
      <c r="F59" s="20"/>
      <c r="G59" s="19" t="s">
        <v>565</v>
      </c>
      <c r="H59" s="19" t="s">
        <v>592</v>
      </c>
      <c r="I59" s="19"/>
      <c r="J59" s="19"/>
      <c r="K59" s="125"/>
    </row>
    <row r="60" spans="2:12" ht="409.5" collapsed="1">
      <c r="B60" s="24"/>
      <c r="C60" s="21" t="str">
        <f>IF(NOT(value_assertions[[#This Row],[Precondition]]),"Not Applicable",IF(ISNA(value_assertions[[#This Row],[Validation]]),"Failed",IF(value_assertions[[#This Row],[Validation]],"Pass",value_assertions[[#This Row],[Severity]])))</f>
        <v>Pass</v>
      </c>
      <c r="D60" s="21" t="b">
        <f>IF(value_assertions[[#This Row],[Category]]="Disabled",FALSE,TRUE)</f>
        <v>1</v>
      </c>
      <c r="E60" s="21" t="b">
        <f>OR(COUNTA(B_02.02[0060])=0,IF(ISNA(SUM(B_02.02[v22873_a - 1.3])),FALSE,ISNA(MATCH(FALSE,B_02.02[v22873_a - 1.3],0))))</f>
        <v>1</v>
      </c>
      <c r="F60" s="21" t="str">
        <f>value_assertions[[#This Row],[Category orig]]</f>
        <v>Other</v>
      </c>
      <c r="G60" s="21" t="s">
        <v>523</v>
      </c>
      <c r="H60" s="21" t="s">
        <v>589</v>
      </c>
      <c r="I60" s="21" t="s">
        <v>327</v>
      </c>
      <c r="J60" s="21" t="s">
        <v>590</v>
      </c>
      <c r="K60" s="125" t="s">
        <v>425</v>
      </c>
      <c r="L60" s="125"/>
    </row>
    <row r="61" spans="2:11" ht="25.5" hidden="1" outlineLevel="1">
      <c r="B61" s="24"/>
      <c r="C61" s="22"/>
      <c r="D61" s="19" t="str">
        <f>HYPERLINK("#'02.02 dashboard calc'!AC14","{eba_v22873_a#1.3} result")</f>
        <v>{eba_v22873_a#1.3} result</v>
      </c>
      <c r="E61" s="20" t="s">
        <v>567</v>
      </c>
      <c r="F61" s="20"/>
      <c r="G61" s="19" t="s">
        <v>564</v>
      </c>
      <c r="H61" s="19" t="s">
        <v>523</v>
      </c>
      <c r="I61" s="19"/>
      <c r="J61" s="19"/>
      <c r="K61" s="125"/>
    </row>
    <row r="62" spans="2:11" ht="12.75" hidden="1" outlineLevel="1">
      <c r="B62" s="24"/>
      <c r="C62" s="22"/>
      <c r="D62" s="19"/>
      <c r="E62" s="20"/>
      <c r="F62" s="20"/>
      <c r="G62" s="19" t="s">
        <v>565</v>
      </c>
      <c r="H62" s="19" t="s">
        <v>593</v>
      </c>
      <c r="I62" s="19"/>
      <c r="J62" s="19"/>
      <c r="K62" s="125"/>
    </row>
    <row r="63" spans="2:12" ht="25.5" collapsed="1">
      <c r="B63" s="24"/>
      <c r="C63" s="21" t="str">
        <f>IF(NOT(value_assertions[[#This Row],[Precondition]]),"Not Applicable",IF(ISNA(value_assertions[[#This Row],[Validation]]),"Failed",IF(value_assertions[[#This Row],[Validation]],"Pass",value_assertions[[#This Row],[Severity]])))</f>
        <v>Pass</v>
      </c>
      <c r="D63" s="21" t="b">
        <f>IF(value_assertions[[#This Row],[Category]]="Disabled",FALSE,TRUE)</f>
        <v>1</v>
      </c>
      <c r="E63" s="21" t="b">
        <f>OR(COUNTA(B_05.01[0010])=0,IF(ISNA(SUM(B_05.01[v22874_a - 1.1])),FALSE,ISNA(MATCH(FALSE,B_05.01[v22874_a - 1.1],0))))</f>
        <v>1</v>
      </c>
      <c r="F63" s="21" t="str">
        <f>value_assertions[[#This Row],[Category orig]]</f>
        <v>Other</v>
      </c>
      <c r="G63" s="21" t="s">
        <v>529</v>
      </c>
      <c r="H63" s="21" t="s">
        <v>594</v>
      </c>
      <c r="I63" s="21" t="s">
        <v>327</v>
      </c>
      <c r="J63" s="21" t="s">
        <v>595</v>
      </c>
      <c r="K63" s="125" t="s">
        <v>425</v>
      </c>
      <c r="L63" s="125"/>
    </row>
    <row r="64" spans="2:11" ht="25.5" hidden="1" outlineLevel="1">
      <c r="B64" s="24"/>
      <c r="C64" s="22"/>
      <c r="D64" s="19" t="str">
        <f>HYPERLINK("#'B_05.01.B 05.01'!M6","{eba_v22874_a#1.1} result")</f>
        <v>{eba_v22874_a#1.1} result</v>
      </c>
      <c r="E64" s="20" t="s">
        <v>567</v>
      </c>
      <c r="F64" s="20"/>
      <c r="G64" s="19" t="s">
        <v>564</v>
      </c>
      <c r="H64" s="19" t="s">
        <v>529</v>
      </c>
      <c r="I64" s="19"/>
      <c r="J64" s="19"/>
      <c r="K64" s="125"/>
    </row>
    <row r="65" spans="2:11" ht="12.75" hidden="1" outlineLevel="1">
      <c r="B65" s="24"/>
      <c r="C65" s="22"/>
      <c r="D65" s="19"/>
      <c r="E65" s="20"/>
      <c r="F65" s="20"/>
      <c r="G65" s="19" t="s">
        <v>565</v>
      </c>
      <c r="H65" s="19" t="s">
        <v>570</v>
      </c>
      <c r="I65" s="19"/>
      <c r="J65" s="19"/>
      <c r="K65" s="125"/>
    </row>
    <row r="66" spans="2:12" ht="25.5" collapsed="1">
      <c r="B66" s="24"/>
      <c r="C66" s="21" t="str">
        <f>IF(NOT(value_assertions[[#This Row],[Precondition]]),"Not Applicable",IF(ISNA(value_assertions[[#This Row],[Validation]]),"Failed",IF(value_assertions[[#This Row],[Validation]],"Pass",value_assertions[[#This Row],[Severity]])))</f>
        <v>Pass</v>
      </c>
      <c r="D66" s="21" t="b">
        <f>IF(value_assertions[[#This Row],[Category]]="Disabled",FALSE,TRUE)</f>
        <v>1</v>
      </c>
      <c r="E66" s="21" t="b">
        <f>OR(COUNTA(B_06.01[0040])=0,IF(ISNA(SUM(B_06.01[v22875_a - 1.1])),FALSE,ISNA(MATCH(FALSE,B_06.01[v22875_a - 1.1],0))))</f>
        <v>1</v>
      </c>
      <c r="F66" s="21" t="str">
        <f>value_assertions[[#This Row],[Category orig]]</f>
        <v>Other</v>
      </c>
      <c r="G66" s="21" t="s">
        <v>531</v>
      </c>
      <c r="H66" s="21" t="s">
        <v>596</v>
      </c>
      <c r="I66" s="21" t="s">
        <v>327</v>
      </c>
      <c r="J66" s="21" t="s">
        <v>597</v>
      </c>
      <c r="K66" s="125" t="s">
        <v>425</v>
      </c>
      <c r="L66" s="125"/>
    </row>
    <row r="67" spans="2:11" ht="25.5" hidden="1" outlineLevel="1">
      <c r="B67" s="24"/>
      <c r="C67" s="22"/>
      <c r="D67" s="19" t="str">
        <f>HYPERLINK("#'B_06.01.B 06.01'!M6","{eba_v22875_a#1.1} result")</f>
        <v>{eba_v22875_a#1.1} result</v>
      </c>
      <c r="E67" s="20" t="s">
        <v>567</v>
      </c>
      <c r="F67" s="20"/>
      <c r="G67" s="19" t="s">
        <v>564</v>
      </c>
      <c r="H67" s="19" t="s">
        <v>531</v>
      </c>
      <c r="I67" s="19"/>
      <c r="J67" s="19"/>
      <c r="K67" s="125"/>
    </row>
    <row r="68" spans="2:11" ht="12.75" hidden="1" outlineLevel="1">
      <c r="B68" s="24"/>
      <c r="C68" s="22"/>
      <c r="D68" s="19"/>
      <c r="E68" s="20"/>
      <c r="F68" s="20"/>
      <c r="G68" s="19" t="s">
        <v>565</v>
      </c>
      <c r="H68" s="19" t="s">
        <v>566</v>
      </c>
      <c r="I68" s="19"/>
      <c r="J68" s="19"/>
      <c r="K68" s="125"/>
    </row>
    <row r="69" spans="2:12" ht="25.5" collapsed="1">
      <c r="B69" s="24"/>
      <c r="C69" s="21" t="str">
        <f>IF(NOT(value_assertions[[#This Row],[Precondition]]),"Not Applicable",IF(ISNA(value_assertions[[#This Row],[Validation]]),"Failed",IF(value_assertions[[#This Row],[Validation]],"Pass",value_assertions[[#This Row],[Severity]])))</f>
        <v>Pass</v>
      </c>
      <c r="D69" s="21" t="b">
        <f>IF(value_assertions[[#This Row],[Category]]="Disabled",FALSE,TRUE)</f>
        <v>1</v>
      </c>
      <c r="E69" s="21" t="b">
        <f>OR(COUNTA(B_02.02[0060])=0,IF(ISNA(SUM(B_02.02[v22876_a - 1.1])),FALSE,ISNA(MATCH(FALSE,B_02.02[v22876_a - 1.1],0))))</f>
        <v>1</v>
      </c>
      <c r="F69" s="21" t="str">
        <f>value_assertions[[#This Row],[Category orig]]</f>
        <v>Other</v>
      </c>
      <c r="G69" s="21" t="s">
        <v>523</v>
      </c>
      <c r="H69" s="21" t="s">
        <v>598</v>
      </c>
      <c r="I69" s="21" t="s">
        <v>327</v>
      </c>
      <c r="J69" s="21" t="s">
        <v>599</v>
      </c>
      <c r="K69" s="125" t="s">
        <v>425</v>
      </c>
      <c r="L69" s="125"/>
    </row>
    <row r="70" spans="2:11" ht="25.5" hidden="1" outlineLevel="1">
      <c r="B70" s="24"/>
      <c r="C70" s="22"/>
      <c r="D70" s="19" t="str">
        <f>HYPERLINK("#'02.02 dashboard calc'!AD14","{eba_v22876_a#1.1} result")</f>
        <v>{eba_v22876_a#1.1} result</v>
      </c>
      <c r="E70" s="20" t="s">
        <v>567</v>
      </c>
      <c r="F70" s="20"/>
      <c r="G70" s="19" t="s">
        <v>564</v>
      </c>
      <c r="H70" s="19" t="s">
        <v>523</v>
      </c>
      <c r="I70" s="19"/>
      <c r="J70" s="19"/>
      <c r="K70" s="125"/>
    </row>
    <row r="71" spans="2:11" ht="12.75" hidden="1" outlineLevel="1">
      <c r="B71" s="24"/>
      <c r="C71" s="22"/>
      <c r="D71" s="19"/>
      <c r="E71" s="20"/>
      <c r="F71" s="20"/>
      <c r="G71" s="19" t="s">
        <v>565</v>
      </c>
      <c r="H71" s="19" t="s">
        <v>600</v>
      </c>
      <c r="I71" s="19"/>
      <c r="J71" s="19"/>
      <c r="K71" s="125"/>
    </row>
    <row r="72" spans="2:12" ht="25.5" collapsed="1">
      <c r="B72" s="24"/>
      <c r="C72" s="21" t="str">
        <f>IF(NOT(value_assertions[[#This Row],[Precondition]]),"Not Applicable",IF(ISNA(value_assertions[[#This Row],[Validation]]),"Failed",IF(value_assertions[[#This Row],[Validation]],"Pass",value_assertions[[#This Row],[Severity]])))</f>
        <v>Pass</v>
      </c>
      <c r="D72" s="21" t="b">
        <f>IF(value_assertions[[#This Row],[Category]]="Disabled",FALSE,TRUE)</f>
        <v>1</v>
      </c>
      <c r="E72" s="21" t="b">
        <f>OR(COUNTA(B_02.02[0060])=0,IF(ISNA(SUM(B_02.02[v22877_a - 1.1])),FALSE,ISNA(MATCH(FALSE,B_02.02[v22877_a - 1.1],0))))</f>
        <v>1</v>
      </c>
      <c r="F72" s="21" t="str">
        <f>value_assertions[[#This Row],[Category orig]]</f>
        <v>Other</v>
      </c>
      <c r="G72" s="21" t="s">
        <v>523</v>
      </c>
      <c r="H72" s="21" t="s">
        <v>601</v>
      </c>
      <c r="I72" s="21" t="s">
        <v>327</v>
      </c>
      <c r="J72" s="21" t="s">
        <v>602</v>
      </c>
      <c r="K72" s="125" t="s">
        <v>425</v>
      </c>
      <c r="L72" s="125"/>
    </row>
    <row r="73" spans="2:11" ht="25.5" hidden="1" outlineLevel="1">
      <c r="B73" s="24"/>
      <c r="C73" s="22"/>
      <c r="D73" s="19" t="str">
        <f>HYPERLINK("#'02.02 dashboard calc'!AE14","{eba_v22877_a#1.1} result")</f>
        <v>{eba_v22877_a#1.1} result</v>
      </c>
      <c r="E73" s="20" t="s">
        <v>567</v>
      </c>
      <c r="F73" s="20"/>
      <c r="G73" s="19" t="s">
        <v>564</v>
      </c>
      <c r="H73" s="19" t="s">
        <v>523</v>
      </c>
      <c r="I73" s="19"/>
      <c r="J73" s="19"/>
      <c r="K73" s="125"/>
    </row>
    <row r="74" spans="2:11" ht="12.75" hidden="1" outlineLevel="1">
      <c r="B74" s="24"/>
      <c r="C74" s="22"/>
      <c r="D74" s="19"/>
      <c r="E74" s="20"/>
      <c r="F74" s="20"/>
      <c r="G74" s="19" t="s">
        <v>565</v>
      </c>
      <c r="H74" s="19" t="s">
        <v>603</v>
      </c>
      <c r="I74" s="19"/>
      <c r="J74" s="19"/>
      <c r="K74" s="125"/>
    </row>
    <row r="75" spans="2:12" ht="25.5" collapsed="1">
      <c r="B75" s="24"/>
      <c r="C75" s="21" t="str">
        <f>IF(NOT(value_assertions[[#This Row],[Precondition]]),"Not Applicable",IF(ISNA(value_assertions[[#This Row],[Validation]]),"Failed",IF(value_assertions[[#This Row],[Validation]],"Pass",value_assertions[[#This Row],[Severity]])))</f>
        <v>Pass</v>
      </c>
      <c r="D75" s="21" t="b">
        <f>IF(value_assertions[[#This Row],[Category]]="Disabled",FALSE,TRUE)</f>
        <v>1</v>
      </c>
      <c r="E75" s="21" t="b">
        <f>OR(COUNTA(B_02.02[0060])=0,IF(ISNA(SUM(B_02.02[v22878_a - 1.1])),FALSE,ISNA(MATCH(FALSE,B_02.02[v22878_a - 1.1],0))))</f>
        <v>1</v>
      </c>
      <c r="F75" s="21" t="str">
        <f>value_assertions[[#This Row],[Category orig]]</f>
        <v>Other</v>
      </c>
      <c r="G75" s="21" t="s">
        <v>523</v>
      </c>
      <c r="H75" s="21" t="s">
        <v>604</v>
      </c>
      <c r="I75" s="21" t="s">
        <v>327</v>
      </c>
      <c r="J75" s="21" t="s">
        <v>605</v>
      </c>
      <c r="K75" s="125" t="s">
        <v>425</v>
      </c>
      <c r="L75" s="125"/>
    </row>
    <row r="76" spans="2:11" ht="25.5" hidden="1" outlineLevel="1">
      <c r="B76" s="24"/>
      <c r="C76" s="22"/>
      <c r="D76" s="19" t="str">
        <f>HYPERLINK("#'02.02 dashboard calc'!AF14","{eba_v22878_a#1.1} result")</f>
        <v>{eba_v22878_a#1.1} result</v>
      </c>
      <c r="E76" s="20" t="s">
        <v>567</v>
      </c>
      <c r="F76" s="20"/>
      <c r="G76" s="19" t="s">
        <v>564</v>
      </c>
      <c r="H76" s="19" t="s">
        <v>523</v>
      </c>
      <c r="I76" s="19"/>
      <c r="J76" s="19"/>
      <c r="K76" s="125"/>
    </row>
    <row r="77" spans="2:11" ht="12.75" hidden="1" outlineLevel="1">
      <c r="B77" s="24"/>
      <c r="C77" s="22"/>
      <c r="D77" s="19"/>
      <c r="E77" s="20"/>
      <c r="F77" s="20"/>
      <c r="G77" s="19" t="s">
        <v>565</v>
      </c>
      <c r="H77" s="19" t="s">
        <v>606</v>
      </c>
      <c r="I77" s="19"/>
      <c r="J77" s="19"/>
      <c r="K77" s="125"/>
    </row>
    <row r="78" spans="2:12" ht="25.5" collapsed="1">
      <c r="B78" s="24"/>
      <c r="C78" s="21" t="str">
        <f>IF(NOT(value_assertions[[#This Row],[Precondition]]),"Not Applicable",IF(ISNA(value_assertions[[#This Row],[Validation]]),"Failed",IF(value_assertions[[#This Row],[Validation]],"Pass",value_assertions[[#This Row],[Severity]])))</f>
        <v>Pass</v>
      </c>
      <c r="D78" s="21" t="b">
        <f>IF(value_assertions[[#This Row],[Category]]="Disabled",FALSE,TRUE)</f>
        <v>1</v>
      </c>
      <c r="E78" s="21" t="b">
        <f>OR(COUNTA(B_02.02[0060])=0,IF(ISNA(SUM(B_02.02[v22880_a - 1.1])),FALSE,ISNA(MATCH(FALSE,B_02.02[v22880_a - 1.1],0))))</f>
        <v>1</v>
      </c>
      <c r="F78" s="21" t="str">
        <f>value_assertions[[#This Row],[Category orig]]</f>
        <v>Other</v>
      </c>
      <c r="G78" s="21" t="s">
        <v>523</v>
      </c>
      <c r="H78" s="21" t="s">
        <v>607</v>
      </c>
      <c r="I78" s="21" t="s">
        <v>327</v>
      </c>
      <c r="J78" s="21" t="s">
        <v>608</v>
      </c>
      <c r="K78" s="125" t="s">
        <v>425</v>
      </c>
      <c r="L78" s="125"/>
    </row>
    <row r="79" spans="2:11" ht="25.5" hidden="1" outlineLevel="1">
      <c r="B79" s="24"/>
      <c r="C79" s="22"/>
      <c r="D79" s="19" t="str">
        <f>HYPERLINK("#'02.02 dashboard calc'!AG14","{eba_v22880_a#1.1} result")</f>
        <v>{eba_v22880_a#1.1} result</v>
      </c>
      <c r="E79" s="20" t="s">
        <v>567</v>
      </c>
      <c r="F79" s="20"/>
      <c r="G79" s="19" t="s">
        <v>564</v>
      </c>
      <c r="H79" s="19" t="s">
        <v>523</v>
      </c>
      <c r="I79" s="19"/>
      <c r="J79" s="19"/>
      <c r="K79" s="125"/>
    </row>
    <row r="80" spans="2:11" ht="12.75" hidden="1" outlineLevel="1">
      <c r="B80" s="24"/>
      <c r="C80" s="22"/>
      <c r="D80" s="19"/>
      <c r="E80" s="20"/>
      <c r="F80" s="20"/>
      <c r="G80" s="19" t="s">
        <v>565</v>
      </c>
      <c r="H80" s="19" t="s">
        <v>609</v>
      </c>
      <c r="I80" s="19"/>
      <c r="J80" s="19"/>
      <c r="K80" s="125"/>
    </row>
    <row r="81" spans="2:12" ht="25.5" collapsed="1">
      <c r="B81" s="24"/>
      <c r="C81" s="21" t="str">
        <f>IF(NOT(value_assertions[[#This Row],[Precondition]]),"Not Applicable",IF(ISNA(value_assertions[[#This Row],[Validation]]),"Failed",IF(value_assertions[[#This Row],[Validation]],"Pass",value_assertions[[#This Row],[Severity]])))</f>
        <v>Pass</v>
      </c>
      <c r="D81" s="21" t="b">
        <f>IF(value_assertions[[#This Row],[Category]]="Disabled",FALSE,TRUE)</f>
        <v>1</v>
      </c>
      <c r="E81" s="21" t="b">
        <f>OR(COUNTA(B_04.01[0010])=0,IF(ISNA(SUM(B_04.01[v22887_a - 1.1])),FALSE,ISNA(MATCH(FALSE,B_04.01[v22887_a - 1.1],0))))</f>
        <v>1</v>
      </c>
      <c r="F81" s="21" t="str">
        <f>value_assertions[[#This Row],[Category orig]]</f>
        <v>Other</v>
      </c>
      <c r="G81" s="21" t="s">
        <v>528</v>
      </c>
      <c r="H81" s="21" t="s">
        <v>610</v>
      </c>
      <c r="I81" s="21" t="s">
        <v>327</v>
      </c>
      <c r="J81" s="21" t="s">
        <v>611</v>
      </c>
      <c r="K81" s="125" t="s">
        <v>425</v>
      </c>
      <c r="L81" s="125"/>
    </row>
    <row r="82" spans="2:11" ht="25.5" hidden="1" outlineLevel="1">
      <c r="B82" s="24"/>
      <c r="C82" s="22"/>
      <c r="D82" s="19" t="str">
        <f>HYPERLINK("#'B_04.01.B 04.01'!F6","{eba_v22887_a#1.1} result")</f>
        <v>{eba_v22887_a#1.1} result</v>
      </c>
      <c r="E82" s="20" t="s">
        <v>567</v>
      </c>
      <c r="F82" s="20"/>
      <c r="G82" s="19" t="s">
        <v>564</v>
      </c>
      <c r="H82" s="19" t="s">
        <v>528</v>
      </c>
      <c r="I82" s="19"/>
      <c r="J82" s="19"/>
      <c r="K82" s="125"/>
    </row>
    <row r="83" spans="2:11" ht="12.75" hidden="1" outlineLevel="1">
      <c r="B83" s="24"/>
      <c r="C83" s="22"/>
      <c r="D83" s="19"/>
      <c r="E83" s="20"/>
      <c r="F83" s="20"/>
      <c r="G83" s="19" t="s">
        <v>565</v>
      </c>
      <c r="H83" s="19" t="s">
        <v>612</v>
      </c>
      <c r="I83" s="19"/>
      <c r="J83" s="19"/>
      <c r="K83" s="125"/>
    </row>
    <row r="84" spans="2:12" ht="25.5" collapsed="1">
      <c r="B84" s="24"/>
      <c r="C84" s="21" t="str">
        <f>IF(NOT(value_assertions[[#This Row],[Precondition]]),"Not Applicable",IF(ISNA(value_assertions[[#This Row],[Validation]]),"Failed",IF(value_assertions[[#This Row],[Validation]],"Pass",value_assertions[[#This Row],[Severity]])))</f>
        <v>Pass</v>
      </c>
      <c r="D84" s="21" t="b">
        <f>IF(value_assertions[[#This Row],[Category]]="Disabled",FALSE,TRUE)</f>
        <v>1</v>
      </c>
      <c r="E84" s="21" t="b">
        <f>OR(COUNTA(B_06.01[0040])=0,IF(ISNA(SUM(B_06.01[v22892_a - 1.1])),FALSE,ISNA(MATCH(FALSE,B_06.01[v22892_a - 1.1],0))))</f>
        <v>1</v>
      </c>
      <c r="F84" s="21" t="str">
        <f>value_assertions[[#This Row],[Category orig]]</f>
        <v>Other</v>
      </c>
      <c r="G84" s="21" t="s">
        <v>531</v>
      </c>
      <c r="H84" s="21" t="s">
        <v>613</v>
      </c>
      <c r="I84" s="21" t="s">
        <v>327</v>
      </c>
      <c r="J84" s="21" t="s">
        <v>614</v>
      </c>
      <c r="K84" s="125" t="s">
        <v>425</v>
      </c>
      <c r="L84" s="125"/>
    </row>
    <row r="85" spans="2:11" ht="25.5" hidden="1" outlineLevel="1">
      <c r="B85" s="24"/>
      <c r="C85" s="22"/>
      <c r="D85" s="19" t="str">
        <f>HYPERLINK("#'B_06.01.B 06.01'!N6","{eba_v22892_a#1.1} result")</f>
        <v>{eba_v22892_a#1.1} result</v>
      </c>
      <c r="E85" s="20" t="s">
        <v>567</v>
      </c>
      <c r="F85" s="20"/>
      <c r="G85" s="19" t="s">
        <v>564</v>
      </c>
      <c r="H85" s="19" t="s">
        <v>531</v>
      </c>
      <c r="I85" s="19"/>
      <c r="J85" s="19"/>
      <c r="K85" s="125"/>
    </row>
    <row r="86" spans="2:11" ht="12.75" hidden="1" outlineLevel="1">
      <c r="B86" s="24"/>
      <c r="C86" s="22"/>
      <c r="D86" s="19"/>
      <c r="E86" s="20"/>
      <c r="F86" s="20"/>
      <c r="G86" s="19" t="s">
        <v>565</v>
      </c>
      <c r="H86" s="19" t="s">
        <v>615</v>
      </c>
      <c r="I86" s="19"/>
      <c r="J86" s="19"/>
      <c r="K86" s="125"/>
    </row>
    <row r="87" spans="2:12" ht="25.5" collapsed="1">
      <c r="B87" s="24"/>
      <c r="C87" s="21" t="str">
        <f>IF(NOT(value_assertions[[#This Row],[Precondition]]),"Not Applicable",IF(ISNA(value_assertions[[#This Row],[Validation]]),"Failed",IF(value_assertions[[#This Row],[Validation]],"Pass",value_assertions[[#This Row],[Severity]])))</f>
        <v>Pass</v>
      </c>
      <c r="D87" s="21" t="b">
        <f>IF(value_assertions[[#This Row],[Category]]="Disabled",FALSE,TRUE)</f>
        <v>1</v>
      </c>
      <c r="E87" s="21" t="b">
        <f>OR(COUNTA(B_07.01[0010])=0,IF(ISNA(SUM(B_07.01[v22895_a - 1.1])),FALSE,ISNA(MATCH(FALSE,B_07.01[v22895_a - 1.1],0))))</f>
        <v>1</v>
      </c>
      <c r="F87" s="21" t="str">
        <f>value_assertions[[#This Row],[Category orig]]</f>
        <v>Other</v>
      </c>
      <c r="G87" s="21" t="s">
        <v>532</v>
      </c>
      <c r="H87" s="21" t="s">
        <v>616</v>
      </c>
      <c r="I87" s="21" t="s">
        <v>327</v>
      </c>
      <c r="J87" s="21" t="s">
        <v>617</v>
      </c>
      <c r="K87" s="125" t="s">
        <v>425</v>
      </c>
      <c r="L87" s="125"/>
    </row>
    <row r="88" spans="2:11" ht="25.5" hidden="1" outlineLevel="1">
      <c r="B88" s="24"/>
      <c r="C88" s="22"/>
      <c r="D88" s="19" t="str">
        <f>HYPERLINK("#'B_07.01.B 07.01'!N6","{eba_v22895_a#1.1} result")</f>
        <v>{eba_v22895_a#1.1} result</v>
      </c>
      <c r="E88" s="20" t="s">
        <v>567</v>
      </c>
      <c r="F88" s="20"/>
      <c r="G88" s="19" t="s">
        <v>564</v>
      </c>
      <c r="H88" s="19" t="s">
        <v>532</v>
      </c>
      <c r="I88" s="19"/>
      <c r="J88" s="19"/>
      <c r="K88" s="125"/>
    </row>
    <row r="89" spans="2:11" ht="12.75" hidden="1" outlineLevel="1">
      <c r="B89" s="24"/>
      <c r="C89" s="22"/>
      <c r="D89" s="19"/>
      <c r="E89" s="20"/>
      <c r="F89" s="20"/>
      <c r="G89" s="19" t="s">
        <v>565</v>
      </c>
      <c r="H89" s="19" t="s">
        <v>566</v>
      </c>
      <c r="I89" s="19"/>
      <c r="J89" s="19"/>
      <c r="K89" s="125"/>
    </row>
    <row r="90" spans="2:12" ht="25.5" collapsed="1">
      <c r="B90" s="24"/>
      <c r="C90" s="21" t="str">
        <f>IF(NOT(value_assertions[[#This Row],[Precondition]]),"Not Applicable",IF(ISNA(value_assertions[[#This Row],[Validation]]),"Failed",IF(value_assertions[[#This Row],[Validation]],"Pass",value_assertions[[#This Row],[Severity]])))</f>
        <v>Pass</v>
      </c>
      <c r="D90" s="21" t="b">
        <f>IF(value_assertions[[#This Row],[Category]]="Disabled",FALSE,TRUE)</f>
        <v>1</v>
      </c>
      <c r="E90" s="21" t="b">
        <f>OR(COUNTA(B_07.01[0010])=0,IF(ISNA(SUM(B_07.01[v22896_a - 1.1])),FALSE,ISNA(MATCH(FALSE,B_07.01[v22896_a - 1.1],0))))</f>
        <v>1</v>
      </c>
      <c r="F90" s="21" t="str">
        <f>value_assertions[[#This Row],[Category orig]]</f>
        <v>Other</v>
      </c>
      <c r="G90" s="21" t="s">
        <v>532</v>
      </c>
      <c r="H90" s="21" t="s">
        <v>618</v>
      </c>
      <c r="I90" s="21" t="s">
        <v>327</v>
      </c>
      <c r="J90" s="21" t="s">
        <v>619</v>
      </c>
      <c r="K90" s="125" t="s">
        <v>425</v>
      </c>
      <c r="L90" s="125"/>
    </row>
    <row r="91" spans="2:11" ht="25.5" hidden="1" outlineLevel="1">
      <c r="B91" s="24"/>
      <c r="C91" s="22"/>
      <c r="D91" s="19" t="str">
        <f>HYPERLINK("#'B_07.01.B 07.01'!O6","{eba_v22896_a#1.1} result")</f>
        <v>{eba_v22896_a#1.1} result</v>
      </c>
      <c r="E91" s="20" t="s">
        <v>567</v>
      </c>
      <c r="F91" s="20"/>
      <c r="G91" s="19" t="s">
        <v>564</v>
      </c>
      <c r="H91" s="19" t="s">
        <v>532</v>
      </c>
      <c r="I91" s="19"/>
      <c r="J91" s="19"/>
      <c r="K91" s="125"/>
    </row>
    <row r="92" spans="2:11" ht="12.75" hidden="1" outlineLevel="1">
      <c r="B92" s="24"/>
      <c r="C92" s="22"/>
      <c r="D92" s="19"/>
      <c r="E92" s="20"/>
      <c r="F92" s="20"/>
      <c r="G92" s="19" t="s">
        <v>565</v>
      </c>
      <c r="H92" s="19" t="s">
        <v>620</v>
      </c>
      <c r="I92" s="19"/>
      <c r="J92" s="19"/>
      <c r="K92" s="125"/>
    </row>
    <row r="93" spans="2:12" ht="25.5" collapsed="1">
      <c r="B93" s="24"/>
      <c r="C93" s="21" t="str">
        <f>IF(NOT(value_assertions[[#This Row],[Precondition]]),"Not Applicable",IF(ISNA(value_assertions[[#This Row],[Validation]]),"Failed",IF(value_assertions[[#This Row],[Validation]],"Pass",value_assertions[[#This Row],[Severity]])))</f>
        <v>Pass</v>
      </c>
      <c r="D93" s="21" t="b">
        <f>IF(value_assertions[[#This Row],[Category]]="Disabled",FALSE,TRUE)</f>
        <v>1</v>
      </c>
      <c r="E93" s="21" t="b">
        <f>OR(COUNTA(B_07.01[0010])=0,IF(ISNA(SUM(B_07.01[v22897_a - 1.1])),FALSE,ISNA(MATCH(FALSE,B_07.01[v22897_a - 1.1],0))))</f>
        <v>1</v>
      </c>
      <c r="F93" s="21" t="str">
        <f>value_assertions[[#This Row],[Category orig]]</f>
        <v>Other</v>
      </c>
      <c r="G93" s="21" t="s">
        <v>532</v>
      </c>
      <c r="H93" s="21" t="s">
        <v>621</v>
      </c>
      <c r="I93" s="21" t="s">
        <v>327</v>
      </c>
      <c r="J93" s="21" t="s">
        <v>622</v>
      </c>
      <c r="K93" s="125" t="s">
        <v>425</v>
      </c>
      <c r="L93" s="125"/>
    </row>
    <row r="94" spans="2:11" ht="25.5" hidden="1" outlineLevel="1">
      <c r="B94" s="24"/>
      <c r="C94" s="22"/>
      <c r="D94" s="19" t="str">
        <f>HYPERLINK("#'B_07.01.B 07.01'!P6","{eba_v22897_a#1.1} result")</f>
        <v>{eba_v22897_a#1.1} result</v>
      </c>
      <c r="E94" s="20" t="s">
        <v>567</v>
      </c>
      <c r="F94" s="20"/>
      <c r="G94" s="19" t="s">
        <v>564</v>
      </c>
      <c r="H94" s="19" t="s">
        <v>532</v>
      </c>
      <c r="I94" s="19"/>
      <c r="J94" s="19"/>
      <c r="K94" s="125"/>
    </row>
    <row r="95" spans="2:11" ht="12.75" hidden="1" outlineLevel="1">
      <c r="B95" s="24"/>
      <c r="C95" s="22"/>
      <c r="D95" s="19"/>
      <c r="E95" s="20"/>
      <c r="F95" s="20"/>
      <c r="G95" s="19" t="s">
        <v>565</v>
      </c>
      <c r="H95" s="19" t="s">
        <v>603</v>
      </c>
      <c r="I95" s="19"/>
      <c r="J95" s="19"/>
      <c r="K95" s="125"/>
    </row>
    <row r="96" spans="2:12" ht="25.5" collapsed="1">
      <c r="B96" s="24"/>
      <c r="C96" s="21" t="str">
        <f>IF(NOT(value_assertions[[#This Row],[Precondition]]),"Not Applicable",IF(ISNA(value_assertions[[#This Row],[Validation]]),"Failed",IF(value_assertions[[#This Row],[Validation]],"Pass",value_assertions[[#This Row],[Severity]])))</f>
        <v>Pass</v>
      </c>
      <c r="D96" s="21" t="b">
        <f>IF(value_assertions[[#This Row],[Category]]="Disabled",FALSE,TRUE)</f>
        <v>1</v>
      </c>
      <c r="E96" s="21" t="b">
        <f>OR(COUNTA(B_07.01[0010])=0,IF(ISNA(SUM(B_07.01[v22898_a - 1.1])),FALSE,ISNA(MATCH(FALSE,B_07.01[v22898_a - 1.1],0))))</f>
        <v>1</v>
      </c>
      <c r="F96" s="21" t="str">
        <f>value_assertions[[#This Row],[Category orig]]</f>
        <v>Other</v>
      </c>
      <c r="G96" s="21" t="s">
        <v>532</v>
      </c>
      <c r="H96" s="21" t="s">
        <v>623</v>
      </c>
      <c r="I96" s="21" t="s">
        <v>327</v>
      </c>
      <c r="J96" s="21" t="s">
        <v>624</v>
      </c>
      <c r="K96" s="125" t="s">
        <v>425</v>
      </c>
      <c r="L96" s="125"/>
    </row>
    <row r="97" spans="2:11" ht="25.5" hidden="1" outlineLevel="1">
      <c r="B97" s="24"/>
      <c r="C97" s="22"/>
      <c r="D97" s="19" t="str">
        <f>HYPERLINK("#'B_07.01.B 07.01'!Q6","{eba_v22898_a#1.1} result")</f>
        <v>{eba_v22898_a#1.1} result</v>
      </c>
      <c r="E97" s="20" t="s">
        <v>567</v>
      </c>
      <c r="F97" s="20"/>
      <c r="G97" s="19" t="s">
        <v>564</v>
      </c>
      <c r="H97" s="19" t="s">
        <v>532</v>
      </c>
      <c r="I97" s="19"/>
      <c r="J97" s="19"/>
      <c r="K97" s="125"/>
    </row>
    <row r="98" spans="2:11" ht="12.75" hidden="1" outlineLevel="1">
      <c r="B98" s="24"/>
      <c r="C98" s="22"/>
      <c r="D98" s="19"/>
      <c r="E98" s="20"/>
      <c r="F98" s="20"/>
      <c r="G98" s="19" t="s">
        <v>565</v>
      </c>
      <c r="H98" s="19" t="s">
        <v>615</v>
      </c>
      <c r="I98" s="19"/>
      <c r="J98" s="19"/>
      <c r="K98" s="125"/>
    </row>
    <row r="99" spans="2:12" ht="25.5" collapsed="1">
      <c r="B99" s="24"/>
      <c r="C99" s="21" t="str">
        <f>IF(NOT(value_assertions[[#This Row],[Precondition]]),"Not Applicable",IF(ISNA(value_assertions[[#This Row],[Validation]]),"Failed",IF(value_assertions[[#This Row],[Validation]],"Pass",value_assertions[[#This Row],[Severity]])))</f>
        <v>Pass</v>
      </c>
      <c r="D99" s="21" t="b">
        <f>IF(value_assertions[[#This Row],[Category]]="Disabled",FALSE,TRUE)</f>
        <v>1</v>
      </c>
      <c r="E99" s="21" t="b">
        <f>OR(COUNTA(B_07.01[0010])=0,IF(ISNA(SUM(B_07.01[v22899_a - 1.1])),FALSE,ISNA(MATCH(FALSE,B_07.01[v22899_a - 1.1],0))))</f>
        <v>1</v>
      </c>
      <c r="F99" s="21" t="str">
        <f>value_assertions[[#This Row],[Category orig]]</f>
        <v>Other</v>
      </c>
      <c r="G99" s="21" t="s">
        <v>532</v>
      </c>
      <c r="H99" s="21" t="s">
        <v>625</v>
      </c>
      <c r="I99" s="21" t="s">
        <v>327</v>
      </c>
      <c r="J99" s="21" t="s">
        <v>626</v>
      </c>
      <c r="K99" s="125" t="s">
        <v>425</v>
      </c>
      <c r="L99" s="125"/>
    </row>
    <row r="100" spans="2:11" ht="25.5" hidden="1" outlineLevel="1">
      <c r="B100" s="24"/>
      <c r="C100" s="22"/>
      <c r="D100" s="19" t="str">
        <f>HYPERLINK("#'B_07.01.B 07.01'!R6","{eba_v22899_a#1.1} result")</f>
        <v>{eba_v22899_a#1.1} result</v>
      </c>
      <c r="E100" s="20" t="s">
        <v>567</v>
      </c>
      <c r="F100" s="20"/>
      <c r="G100" s="19" t="s">
        <v>564</v>
      </c>
      <c r="H100" s="19" t="s">
        <v>532</v>
      </c>
      <c r="I100" s="19"/>
      <c r="J100" s="19"/>
      <c r="K100" s="125"/>
    </row>
    <row r="101" spans="2:11" ht="12.75" hidden="1" outlineLevel="1">
      <c r="B101" s="24"/>
      <c r="C101" s="22"/>
      <c r="D101" s="19"/>
      <c r="E101" s="20"/>
      <c r="F101" s="20"/>
      <c r="G101" s="19" t="s">
        <v>565</v>
      </c>
      <c r="H101" s="19" t="s">
        <v>627</v>
      </c>
      <c r="I101" s="19"/>
      <c r="J101" s="19"/>
      <c r="K101" s="125"/>
    </row>
    <row r="102" spans="2:12" ht="25.5" collapsed="1">
      <c r="B102" s="24"/>
      <c r="C102" s="21" t="str">
        <f>IF(NOT(value_assertions[[#This Row],[Precondition]]),"Not Applicable",IF(ISNA(value_assertions[[#This Row],[Validation]]),"Failed",IF(value_assertions[[#This Row],[Validation]],"Pass",value_assertions[[#This Row],[Severity]])))</f>
        <v>Pass</v>
      </c>
      <c r="D102" s="21" t="b">
        <f>IF(value_assertions[[#This Row],[Category]]="Disabled",FALSE,TRUE)</f>
        <v>1</v>
      </c>
      <c r="E102" s="21" t="b">
        <f>OR(COUNTA(B_07.01[0010])=0,IF(ISNA(SUM(B_07.01[v22900_a - 1.1])),FALSE,ISNA(MATCH(FALSE,B_07.01[v22900_a - 1.1],0))))</f>
        <v>1</v>
      </c>
      <c r="F102" s="21" t="str">
        <f>value_assertions[[#This Row],[Category orig]]</f>
        <v>Other</v>
      </c>
      <c r="G102" s="21" t="s">
        <v>532</v>
      </c>
      <c r="H102" s="21" t="s">
        <v>628</v>
      </c>
      <c r="I102" s="21" t="s">
        <v>327</v>
      </c>
      <c r="J102" s="21" t="s">
        <v>629</v>
      </c>
      <c r="K102" s="125" t="s">
        <v>425</v>
      </c>
      <c r="L102" s="125"/>
    </row>
    <row r="103" spans="2:11" ht="25.5" hidden="1" outlineLevel="1">
      <c r="B103" s="24"/>
      <c r="C103" s="22"/>
      <c r="D103" s="19" t="str">
        <f>HYPERLINK("#'B_07.01.B 07.01'!S6","{eba_v22900_a#1.1} result")</f>
        <v>{eba_v22900_a#1.1} result</v>
      </c>
      <c r="E103" s="20" t="s">
        <v>567</v>
      </c>
      <c r="F103" s="20"/>
      <c r="G103" s="19" t="s">
        <v>564</v>
      </c>
      <c r="H103" s="19" t="s">
        <v>532</v>
      </c>
      <c r="I103" s="19"/>
      <c r="J103" s="19"/>
      <c r="K103" s="125"/>
    </row>
    <row r="104" spans="2:11" ht="12.75" hidden="1" outlineLevel="1">
      <c r="B104" s="24"/>
      <c r="C104" s="22"/>
      <c r="D104" s="19"/>
      <c r="E104" s="20"/>
      <c r="F104" s="20"/>
      <c r="G104" s="19" t="s">
        <v>565</v>
      </c>
      <c r="H104" s="19" t="s">
        <v>630</v>
      </c>
      <c r="I104" s="19"/>
      <c r="J104" s="19"/>
      <c r="K104" s="125"/>
    </row>
    <row r="105" spans="2:11" ht="15" customHeight="1">
      <c r="B105" s="26"/>
      <c r="C105" s="25"/>
      <c r="D105" s="25"/>
      <c r="E105" s="25"/>
      <c r="F105" s="25"/>
      <c r="G105" s="25"/>
      <c r="H105" s="25"/>
      <c r="I105" s="25"/>
      <c r="J105" s="25"/>
      <c r="K105" s="126"/>
    </row>
  </sheetData>
  <mergeCells count="1">
    <mergeCell ref="B3:L3"/>
  </mergeCells>
  <conditionalFormatting sqref="C24:J104">
    <cfRule type="expression" priority="1" dxfId="193" stopIfTrue="1">
      <formula>AND($C24="Pass",$D24=TRUE)</formula>
    </cfRule>
    <cfRule type="expression" priority="2" dxfId="192" stopIfTrue="1">
      <formula>AND($C24="Warning",$D24=TRUE)</formula>
    </cfRule>
    <cfRule type="expression" priority="3" dxfId="191" stopIfTrue="1">
      <formula>AND($C24="Failed",$D24=TRUE)</formula>
    </cfRule>
  </conditionalFormatting>
  <pageMargins left="0.7" right="0.7" top="0.75" bottom="0.75" header="0.3" footer="0.3"/>
  <pageSetup orientation="portrait" paperSize="1" r:id="rId4"/>
  <drawing r:id="rId2"/>
  <legacyDrawing r:id="rId3"/>
  <tableParts>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1FEAD89-791A-4404-8C0F-24232B73643A}">
  <sheetPr codeName="Sheet27"/>
  <dimension ref="A1:G36"/>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5" customHeight="1"/>
  <cols>
    <col min="1" max="1" width="6.71428571428571" customWidth="1"/>
    <col min="2" max="2" width="21.4285714285714" customWidth="1"/>
    <col min="3" max="3" width="17.5714285714286" customWidth="1"/>
    <col min="4" max="5" width="9.14285714285714" customWidth="1"/>
    <col min="6" max="6" width="14.4285714285714" customWidth="1"/>
    <col min="7" max="7" width="10.1428571428571" customWidth="1"/>
    <col min="8" max="9" width="9.14285714285714" customWidth="1"/>
    <col min="10" max="10" width="9.57142857142857" customWidth="1"/>
    <col min="11" max="11" width="9.14285714285714" customWidth="1"/>
  </cols>
  <sheetData>
    <row r="1" spans="1:1" s="138" customFormat="1" ht="45.4" customHeight="1">
      <c r="A1" t="s">
        <v>631</v>
      </c>
    </row>
    <row r="3" spans="2:7" ht="68.45" customHeight="1">
      <c r="B3" s="196" t="s">
        <v>508</v>
      </c>
      <c r="C3" s="196"/>
      <c r="D3" s="196"/>
      <c r="E3" s="196"/>
      <c r="F3" s="196"/>
      <c r="G3" s="196"/>
    </row>
    <row r="5" spans="2:3" ht="25.5">
      <c r="B5" s="8" t="s">
        <v>509</v>
      </c>
      <c r="C5" s="8" t="s">
        <v>510</v>
      </c>
    </row>
    <row r="6" spans="2:3" ht="15" customHeight="1">
      <c r="B6" s="11" t="s">
        <v>332</v>
      </c>
      <c r="C6" s="11">
        <v>0</v>
      </c>
    </row>
    <row r="7" spans="2:3" ht="15" customHeight="1">
      <c r="B7" s="11" t="s">
        <v>346</v>
      </c>
      <c r="C7" s="11">
        <v>0</v>
      </c>
    </row>
    <row r="8" spans="2:3" ht="15" customHeight="1">
      <c r="B8" s="11" t="s">
        <v>367</v>
      </c>
      <c r="C8" s="11">
        <v>0</v>
      </c>
    </row>
    <row r="9" spans="2:3" ht="15" customHeight="1">
      <c r="B9" s="11" t="s">
        <v>391</v>
      </c>
      <c r="C9" s="11">
        <v>0</v>
      </c>
    </row>
    <row r="10" spans="2:3" ht="15" customHeight="1">
      <c r="B10" s="11" t="s">
        <v>392</v>
      </c>
      <c r="C10" s="11">
        <v>0</v>
      </c>
    </row>
    <row r="11" spans="2:3" ht="15" customHeight="1">
      <c r="B11" s="11" t="s">
        <v>393</v>
      </c>
      <c r="C11" s="11">
        <v>0</v>
      </c>
    </row>
    <row r="12" spans="2:3" ht="15" customHeight="1">
      <c r="B12" s="11" t="s">
        <v>400</v>
      </c>
      <c r="C12" s="11">
        <v>0</v>
      </c>
    </row>
    <row r="13" spans="2:3" ht="15" customHeight="1">
      <c r="B13" s="11" t="s">
        <v>404</v>
      </c>
      <c r="C13" s="11">
        <v>0</v>
      </c>
    </row>
    <row r="14" spans="2:3" ht="15" customHeight="1">
      <c r="B14" s="11" t="s">
        <v>407</v>
      </c>
      <c r="C14" s="11">
        <v>0</v>
      </c>
    </row>
    <row r="15" spans="2:3" ht="15" customHeight="1">
      <c r="B15" s="11" t="s">
        <v>412</v>
      </c>
      <c r="C15" s="11">
        <v>0</v>
      </c>
    </row>
    <row r="16" spans="2:3" ht="15" customHeight="1">
      <c r="B16" s="11" t="s">
        <v>376</v>
      </c>
      <c r="C16" s="11">
        <v>0</v>
      </c>
    </row>
    <row r="17" spans="2:3" ht="15" customHeight="1">
      <c r="B17" s="11" t="s">
        <v>416</v>
      </c>
      <c r="C17" s="11">
        <v>0</v>
      </c>
    </row>
    <row r="18" spans="2:3" ht="15" customHeight="1">
      <c r="B18" s="11" t="s">
        <v>426</v>
      </c>
      <c r="C18" s="11">
        <v>0</v>
      </c>
    </row>
    <row r="19" spans="2:3" ht="15" customHeight="1">
      <c r="B19" s="11" t="s">
        <v>439</v>
      </c>
      <c r="C19" s="11">
        <v>0</v>
      </c>
    </row>
    <row r="20" spans="2:3" ht="15" customHeight="1">
      <c r="B20" s="11" t="s">
        <v>458</v>
      </c>
      <c r="C20" s="11">
        <v>0</v>
      </c>
    </row>
    <row r="21" spans="2:3" ht="15" customHeight="1">
      <c r="B21" s="11" t="s">
        <v>519</v>
      </c>
      <c r="C21" s="11">
        <v>0</v>
      </c>
    </row>
    <row r="22" spans="2:3" ht="15" customHeight="1">
      <c r="B22" s="11" t="s">
        <v>520</v>
      </c>
      <c r="C22" s="11">
        <v>0</v>
      </c>
    </row>
    <row r="23" spans="2:3" ht="15" customHeight="1">
      <c r="B23" s="11" t="s">
        <v>521</v>
      </c>
      <c r="C23" s="11">
        <v>0</v>
      </c>
    </row>
    <row r="24" spans="2:3" ht="15" customHeight="1">
      <c r="B24" s="11" t="s">
        <v>522</v>
      </c>
      <c r="C24" s="11">
        <v>0</v>
      </c>
    </row>
    <row r="25" spans="2:3" ht="15" customHeight="1">
      <c r="B25" s="11" t="s">
        <v>523</v>
      </c>
      <c r="C25" s="11">
        <v>0</v>
      </c>
    </row>
    <row r="26" spans="2:3" ht="15" customHeight="1">
      <c r="B26" s="11" t="s">
        <v>524</v>
      </c>
      <c r="C26" s="11">
        <v>0</v>
      </c>
    </row>
    <row r="27" spans="2:3" ht="15" customHeight="1">
      <c r="B27" s="11" t="s">
        <v>525</v>
      </c>
      <c r="C27" s="11">
        <v>0</v>
      </c>
    </row>
    <row r="28" spans="2:3" ht="15" customHeight="1">
      <c r="B28" s="11" t="s">
        <v>526</v>
      </c>
      <c r="C28" s="11">
        <v>0</v>
      </c>
    </row>
    <row r="29" spans="2:3" ht="15" customHeight="1">
      <c r="B29" s="11" t="s">
        <v>527</v>
      </c>
      <c r="C29" s="11">
        <v>0</v>
      </c>
    </row>
    <row r="30" spans="2:3" ht="15" customHeight="1">
      <c r="B30" s="11" t="s">
        <v>528</v>
      </c>
      <c r="C30" s="11">
        <v>0</v>
      </c>
    </row>
    <row r="31" spans="2:3" ht="15" customHeight="1">
      <c r="B31" s="11" t="s">
        <v>529</v>
      </c>
      <c r="C31" s="11">
        <v>0</v>
      </c>
    </row>
    <row r="32" spans="2:3" ht="15" customHeight="1">
      <c r="B32" s="11" t="s">
        <v>530</v>
      </c>
      <c r="C32" s="11">
        <v>0</v>
      </c>
    </row>
    <row r="33" spans="2:3" ht="15" customHeight="1">
      <c r="B33" s="11" t="s">
        <v>531</v>
      </c>
      <c r="C33" s="11">
        <v>0</v>
      </c>
    </row>
    <row r="34" spans="2:3" ht="15" customHeight="1">
      <c r="B34" s="11" t="s">
        <v>532</v>
      </c>
      <c r="C34" s="11">
        <v>0</v>
      </c>
    </row>
    <row r="35" spans="2:3" ht="15" customHeight="1">
      <c r="B35" s="11" t="s">
        <v>533</v>
      </c>
      <c r="C35" s="11">
        <v>0</v>
      </c>
    </row>
    <row r="36" spans="2:3" ht="15" customHeight="1">
      <c r="B36" s="11" t="s">
        <v>534</v>
      </c>
      <c r="C36" s="11">
        <v>0</v>
      </c>
    </row>
  </sheetData>
  <mergeCells count="1">
    <mergeCell ref="B3:G3"/>
  </mergeCells>
  <conditionalFormatting sqref="C6:C36">
    <cfRule type="cellIs" priority="2" dxfId="190" operator="lessThan">
      <formula>-3</formula>
    </cfRule>
  </conditionalFormatting>
  <pageMargins left="0.7" right="0.7" top="0.75" bottom="0.75" header="0.3" footer="0.3"/>
  <pageSetup orientation="portrait" paperSize="1"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64DD791-561D-4E06-B502-3B18D4884834}">
  <sheetPr codeName="Sheet8"/>
  <dimension ref="A1:D5"/>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4.45" customHeight="1"/>
  <cols>
    <col min="1" max="1" width="6.71428571428571" customWidth="1"/>
    <col min="2" max="2" width="21.5714285714286" customWidth="1"/>
    <col min="3" max="3" width="22.5714285714286" customWidth="1"/>
    <col min="4" max="4" width="96" customWidth="1"/>
    <col min="5" max="5" width="9.14285714285714" customWidth="1"/>
  </cols>
  <sheetData>
    <row r="1" spans="1:1" s="138" customFormat="1" ht="45.4" customHeight="1">
      <c r="A1" t="s">
        <v>631</v>
      </c>
    </row>
    <row r="4" spans="2:4" ht="12.75">
      <c r="B4" s="8" t="s">
        <v>329</v>
      </c>
      <c r="C4" s="8" t="s">
        <v>330</v>
      </c>
      <c r="D4" s="8" t="s">
        <v>331</v>
      </c>
    </row>
    <row r="5" spans="2:4" ht="12.75">
      <c r="B5" s="11"/>
      <c r="C5" s="11"/>
      <c r="D5" s="11"/>
    </row>
  </sheetData>
  <pageMargins left="0.7" right="0.7" top="0.75" bottom="0.75" header="0.3" footer="0.3"/>
  <pageSetup orientation="portrait" paperSize="1"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F5D6DE6-6A7A-4CE2-8A18-68BDA3B6D4F9}">
  <dimension ref="B2:C12"/>
  <sheetViews>
    <sheetView workbookViewId="0" topLeftCell="A1">
      <selection pane="topLeft" activeCell="C3" sqref="C3"/>
    </sheetView>
  </sheetViews>
  <sheetFormatPr defaultRowHeight="12.75"/>
  <sheetData>
    <row r="2" spans="2:3" ht="12.75">
      <c r="B2" s="151"/>
      <c r="C2" s="151"/>
    </row>
    <row r="3" spans="2:3" ht="12.75">
      <c r="B3" t="str">
        <f ca="1">OFFSET('02.01 dashboard calc'!$D$6,ROW()-1,0)</f>
        <v>C2387contract</v>
      </c>
      <c r="C3">
        <f ca="1">OFFSET('02.01 dashboard calc'!$E$6,ROW()-1,0)</f>
        <v>50000</v>
      </c>
    </row>
    <row r="4" spans="2:3" ht="12.75">
      <c r="B4" t="str">
        <f ca="1">OFFSET('02.01 dashboard calc'!$D$6,ROW()-1,0)</f>
        <v>C2356contract</v>
      </c>
      <c r="C4">
        <f ca="1">OFFSET('02.01 dashboard calc'!$E$6,ROW()-1,0)</f>
        <v>150666.23267045026</v>
      </c>
    </row>
    <row r="5" spans="2:3" ht="12.75">
      <c r="B5" t="str">
        <f ca="1">OFFSET('02.01 dashboard calc'!$D$6,ROW()-1,0)</f>
        <v>C2358contract</v>
      </c>
      <c r="C5">
        <f ca="1">OFFSET('02.01 dashboard calc'!$E$6,ROW()-1,0)</f>
        <v>187179.09887945128</v>
      </c>
    </row>
    <row r="6" spans="2:3" ht="12.75">
      <c r="B6" t="str">
        <f ca="1">OFFSET('02.01 dashboard calc'!$D$6,ROW()-1,0)</f>
        <v>C2354contract</v>
      </c>
      <c r="C6">
        <f ca="1">OFFSET('02.01 dashboard calc'!$E$6,ROW()-1,0)</f>
        <v>210939.00966385848</v>
      </c>
    </row>
    <row r="7" spans="2:3" ht="12.75">
      <c r="B7" t="str">
        <f ca="1">OFFSET('02.01 dashboard calc'!$D$6,ROW()-1,0)</f>
        <v>C2355contract</v>
      </c>
      <c r="C7">
        <f ca="1">OFFSET('02.01 dashboard calc'!$E$6,ROW()-1,0)</f>
        <v>244555.45356328963</v>
      </c>
    </row>
    <row r="8" spans="2:3" ht="12.75">
      <c r="B8" t="str">
        <f ca="1">OFFSET('02.01 dashboard calc'!$D$6,ROW()-1,0)</f>
        <v>C2352contract</v>
      </c>
      <c r="C8">
        <f ca="1">OFFSET('02.01 dashboard calc'!$E$6,ROW()-1,0)</f>
        <v>247568.68248670426</v>
      </c>
    </row>
    <row r="9" spans="2:3" ht="12.75">
      <c r="B9" t="str">
        <f ca="1">OFFSET('02.01 dashboard calc'!$D$6,ROW()-1,0)</f>
        <v>C2359contract</v>
      </c>
      <c r="C9">
        <f ca="1">OFFSET('02.01 dashboard calc'!$E$6,ROW()-1,0)</f>
        <v>262665.79988566024</v>
      </c>
    </row>
    <row r="10" spans="2:3" ht="12.75">
      <c r="B10" t="str">
        <f ca="1">OFFSET('02.01 dashboard calc'!$D$6,ROW()-1,0)</f>
        <v>C2353contract</v>
      </c>
      <c r="C10">
        <f ca="1">OFFSET('02.01 dashboard calc'!$E$6,ROW()-1,0)</f>
        <v>282165.17352013034</v>
      </c>
    </row>
    <row r="11" spans="2:3" ht="12.75">
      <c r="B11" t="str">
        <f ca="1">OFFSET('02.01 dashboard calc'!$D$6,ROW()-1,0)</f>
        <v>C2357contract</v>
      </c>
      <c r="C11">
        <f ca="1">OFFSET('02.01 dashboard calc'!$E$6,ROW()-1,0)</f>
        <v>417344.41494148504</v>
      </c>
    </row>
    <row r="12" spans="2:3" ht="12.75">
      <c r="B12" t="str">
        <f ca="1">OFFSET('02.01 dashboard calc'!$D$6,ROW()-1,0)</f>
        <v>C2360contract</v>
      </c>
      <c r="C12">
        <f ca="1">OFFSET('02.01 dashboard calc'!$E$6,ROW()-1,0)</f>
        <v>441631.36821439245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FE7BB430-3A61-4754-AF05-2688586A3612}">
  <sheetPr codeName="Sheet3"/>
  <dimension ref="A1:I19"/>
  <sheetViews>
    <sheetView showGridLines="0" zoomScale="80" zoomScaleNormal="80" workbookViewId="0" topLeftCell="A1">
      <pane ySplit="1" topLeftCell="A2" activePane="bottomLeft" state="frozen"/>
      <selection pane="topLeft" activeCell="C3" sqref="C3"/>
      <selection pane="bottomLeft" activeCell="C3" sqref="C3"/>
    </sheetView>
  </sheetViews>
  <sheetFormatPr defaultRowHeight="15" customHeight="1"/>
  <cols>
    <col min="1" max="1" width="6.71428571428571" customWidth="1"/>
    <col min="2" max="3" width="9.14285714285714" customWidth="1"/>
    <col min="4" max="4" width="15.5714285714286" customWidth="1"/>
    <col min="5" max="5" width="20.4285714285714" customWidth="1"/>
    <col min="6" max="6" width="9.14285714285714" customWidth="1"/>
    <col min="7" max="7" width="26.2857142857143" customWidth="1"/>
    <col min="8" max="8" width="9.14285714285714" customWidth="1"/>
  </cols>
  <sheetData>
    <row r="1" spans="1:1" s="138" customFormat="1" ht="45.4" customHeight="1">
      <c r="A1" s="17" t="s">
        <v>631</v>
      </c>
    </row>
    <row r="6" spans="3:9" ht="84.6" customHeight="1">
      <c r="C6" s="8" t="s">
        <v>0</v>
      </c>
      <c r="D6" s="8" t="s">
        <v>1</v>
      </c>
      <c r="E6" s="8" t="s">
        <v>2</v>
      </c>
      <c r="F6" s="8"/>
      <c r="G6" s="8" t="s">
        <v>307</v>
      </c>
      <c r="H6" s="8" t="s">
        <v>308</v>
      </c>
      <c r="I6" s="8" t="s">
        <v>309</v>
      </c>
    </row>
    <row r="7" spans="3:9" ht="12.75">
      <c r="C7" s="220" t="s">
        <v>3</v>
      </c>
      <c r="D7" s="220" t="s">
        <v>4</v>
      </c>
      <c r="E7" s="220" t="s">
        <v>5</v>
      </c>
      <c r="F7" s="220" t="s">
        <v>6</v>
      </c>
      <c r="G7" s="203" t="s">
        <v>38</v>
      </c>
      <c r="H7" s="203" t="s">
        <v>36</v>
      </c>
      <c r="I7" s="203" t="s">
        <v>37</v>
      </c>
    </row>
    <row r="8" spans="3:9" ht="12.75">
      <c r="C8" s="222" t="s">
        <v>685</v>
      </c>
      <c r="D8" s="223" t="str">
        <f>DB_02.01[[#This Row],[0010]]&amp;"contract"</f>
        <v>C2387contract</v>
      </c>
      <c r="E8" s="224">
        <v>50000</v>
      </c>
      <c r="F8" s="225">
        <f>IF(DB_02.01[[#This Row],[0050]]="","",RANK(DB_02.01[[#This Row],[0050]],[0050]))</f>
        <v>10</v>
      </c>
      <c r="G8" s="222" t="s">
        <v>460</v>
      </c>
      <c r="H8" s="226"/>
      <c r="I8" s="222" t="s">
        <v>675</v>
      </c>
    </row>
    <row r="9" spans="3:9" ht="12.75">
      <c r="C9" s="222" t="s">
        <v>680</v>
      </c>
      <c r="D9" s="223" t="str">
        <f>DB_02.01[[#This Row],[0010]]&amp;"contract"</f>
        <v>C2356contract</v>
      </c>
      <c r="E9" s="224">
        <v>150666.23267045026</v>
      </c>
      <c r="F9" s="225">
        <f>IF(DB_02.01[[#This Row],[0050]]="","",RANK(DB_02.01[[#This Row],[0050]],[0050]))</f>
        <v>9</v>
      </c>
      <c r="G9" s="222" t="s">
        <v>460</v>
      </c>
      <c r="H9" s="226"/>
      <c r="I9" s="222" t="s">
        <v>675</v>
      </c>
    </row>
    <row r="10" spans="3:9" ht="12.75">
      <c r="C10" s="222" t="s">
        <v>682</v>
      </c>
      <c r="D10" s="223" t="str">
        <f>DB_02.01[[#This Row],[0010]]&amp;"contract"</f>
        <v>C2358contract</v>
      </c>
      <c r="E10" s="224">
        <v>187179.09887945128</v>
      </c>
      <c r="F10" s="225">
        <f>IF(DB_02.01[[#This Row],[0050]]="","",RANK(DB_02.01[[#This Row],[0050]],[0050]))</f>
        <v>8</v>
      </c>
      <c r="G10" s="222" t="s">
        <v>460</v>
      </c>
      <c r="H10" s="226"/>
      <c r="I10" s="222" t="s">
        <v>675</v>
      </c>
    </row>
    <row r="11" spans="3:9" ht="12.75">
      <c r="C11" s="222" t="s">
        <v>678</v>
      </c>
      <c r="D11" s="223" t="str">
        <f>DB_02.01[[#This Row],[0010]]&amp;"contract"</f>
        <v>C2354contract</v>
      </c>
      <c r="E11" s="224">
        <v>210939.00966385848</v>
      </c>
      <c r="F11" s="225">
        <f>IF(DB_02.01[[#This Row],[0050]]="","",RANK(DB_02.01[[#This Row],[0050]],[0050]))</f>
        <v>7</v>
      </c>
      <c r="G11" s="222" t="s">
        <v>460</v>
      </c>
      <c r="H11" s="226"/>
      <c r="I11" s="222" t="s">
        <v>675</v>
      </c>
    </row>
    <row r="12" spans="3:9" ht="12.75">
      <c r="C12" s="222" t="s">
        <v>679</v>
      </c>
      <c r="D12" s="223" t="str">
        <f>DB_02.01[[#This Row],[0010]]&amp;"contract"</f>
        <v>C2355contract</v>
      </c>
      <c r="E12" s="224">
        <v>244555.45356328963</v>
      </c>
      <c r="F12" s="225">
        <f>IF(DB_02.01[[#This Row],[0050]]="","",RANK(DB_02.01[[#This Row],[0050]],[0050]))</f>
        <v>6</v>
      </c>
      <c r="G12" s="222" t="s">
        <v>460</v>
      </c>
      <c r="H12" s="226"/>
      <c r="I12" s="222" t="s">
        <v>675</v>
      </c>
    </row>
    <row r="13" spans="3:9" ht="12.75">
      <c r="C13" s="222" t="s">
        <v>676</v>
      </c>
      <c r="D13" s="223" t="str">
        <f>DB_02.01[[#This Row],[0010]]&amp;"contract"</f>
        <v>C2352contract</v>
      </c>
      <c r="E13" s="224">
        <v>247568.68248670426</v>
      </c>
      <c r="F13" s="225">
        <f>IF(DB_02.01[[#This Row],[0050]]="","",RANK(DB_02.01[[#This Row],[0050]],[0050]))</f>
        <v>5</v>
      </c>
      <c r="G13" s="222" t="s">
        <v>460</v>
      </c>
      <c r="H13" s="226"/>
      <c r="I13" s="222" t="s">
        <v>675</v>
      </c>
    </row>
    <row r="14" spans="3:9" ht="12.75">
      <c r="C14" s="222" t="s">
        <v>683</v>
      </c>
      <c r="D14" s="223" t="str">
        <f>DB_02.01[[#This Row],[0010]]&amp;"contract"</f>
        <v>C2359contract</v>
      </c>
      <c r="E14" s="224">
        <v>262665.79988566024</v>
      </c>
      <c r="F14" s="225">
        <f>IF(DB_02.01[[#This Row],[0050]]="","",RANK(DB_02.01[[#This Row],[0050]],[0050]))</f>
        <v>4</v>
      </c>
      <c r="G14" s="222" t="s">
        <v>460</v>
      </c>
      <c r="H14" s="226"/>
      <c r="I14" s="222" t="s">
        <v>675</v>
      </c>
    </row>
    <row r="15" spans="3:9" ht="12.75">
      <c r="C15" s="222" t="s">
        <v>677</v>
      </c>
      <c r="D15" s="223" t="str">
        <f>DB_02.01[[#This Row],[0010]]&amp;"contract"</f>
        <v>C2353contract</v>
      </c>
      <c r="E15" s="224">
        <v>282165.17352013034</v>
      </c>
      <c r="F15" s="225">
        <f>IF(DB_02.01[[#This Row],[0050]]="","",RANK(DB_02.01[[#This Row],[0050]],[0050]))</f>
        <v>3</v>
      </c>
      <c r="G15" s="222" t="s">
        <v>460</v>
      </c>
      <c r="H15" s="226"/>
      <c r="I15" s="222" t="s">
        <v>675</v>
      </c>
    </row>
    <row r="16" spans="3:9" ht="12.75">
      <c r="C16" s="222" t="s">
        <v>681</v>
      </c>
      <c r="D16" s="223" t="str">
        <f>DB_02.01[[#This Row],[0010]]&amp;"contract"</f>
        <v>C2357contract</v>
      </c>
      <c r="E16" s="224">
        <v>417344.41494148504</v>
      </c>
      <c r="F16" s="225">
        <f>IF(DB_02.01[[#This Row],[0050]]="","",RANK(DB_02.01[[#This Row],[0050]],[0050]))</f>
        <v>2</v>
      </c>
      <c r="G16" s="222" t="s">
        <v>460</v>
      </c>
      <c r="H16" s="226"/>
      <c r="I16" s="222" t="s">
        <v>675</v>
      </c>
    </row>
    <row r="17" spans="3:9" ht="12.75">
      <c r="C17" s="222" t="s">
        <v>684</v>
      </c>
      <c r="D17" s="223" t="str">
        <f>DB_02.01[[#This Row],[0010]]&amp;"contract"</f>
        <v>C2360contract</v>
      </c>
      <c r="E17" s="224">
        <v>441631.36821439245</v>
      </c>
      <c r="F17" s="225">
        <f>IF(DB_02.01[[#This Row],[0050]]="","",RANK(DB_02.01[[#This Row],[0050]],[0050]))</f>
        <v>1</v>
      </c>
      <c r="G17" s="222" t="s">
        <v>460</v>
      </c>
      <c r="H17" s="226"/>
      <c r="I17" s="222" t="s">
        <v>675</v>
      </c>
    </row>
    <row r="18" spans="2:9" ht="12.75">
      <c r="B18" s="9" t="s">
        <v>310</v>
      </c>
      <c r="C18" s="9" t="s">
        <v>7</v>
      </c>
      <c r="E18" s="9" t="s">
        <v>8</v>
      </c>
      <c r="G18" s="9" t="s">
        <v>311</v>
      </c>
      <c r="H18" s="9" t="s">
        <v>312</v>
      </c>
      <c r="I18" s="9" t="s">
        <v>313</v>
      </c>
    </row>
    <row r="19" spans="3:9" ht="12.75">
      <c r="C19" s="9" t="s">
        <v>9</v>
      </c>
      <c r="H19" s="9" t="s">
        <v>314</v>
      </c>
      <c r="I19" s="9" t="s">
        <v>315</v>
      </c>
    </row>
  </sheetData>
  <pageMargins left="0.7" right="0.7" top="0.75" bottom="0.75" header="0.3" footer="0.3"/>
  <ignoredErrors>
    <ignoredError sqref="C8:C18" numberStoredAsText="1"/>
    <ignoredError sqref="H8:H18" numberStoredAsText="1"/>
    <ignoredError sqref="I8:I18" numberStoredAsText="1"/>
    <ignoredError sqref="G8:G18" numberStoredAsText="1"/>
  </ignoredErrors>
  <drawing r:id="rId2"/>
  <tableParts>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2380F2F5-5214-4203-9C6E-FC26A4761FE7}">
  <sheetPr codeName="Sheet4"/>
  <dimension ref="A1:AG31"/>
  <sheetViews>
    <sheetView showGridLines="0" zoomScale="80" zoomScaleNormal="80" workbookViewId="0" topLeftCell="A1">
      <pane ySplit="1" topLeftCell="A2" activePane="bottomLeft" state="frozen"/>
      <selection pane="topLeft" activeCell="C3" sqref="C3"/>
      <selection pane="bottomLeft" activeCell="P24" sqref="P24"/>
    </sheetView>
  </sheetViews>
  <sheetFormatPr defaultRowHeight="15" customHeight="1"/>
  <cols>
    <col min="1" max="1" width="6.71428571428571" customWidth="1"/>
    <col min="2" max="3" width="9.14285714285714" customWidth="1"/>
    <col min="4" max="4" width="27.4285714285714" customWidth="1"/>
    <col min="5" max="9" width="9.14285714285714" customWidth="1"/>
    <col min="10" max="10" width="15.4285714285714" customWidth="1"/>
    <col min="11" max="11" width="18.1428571428571" customWidth="1"/>
    <col min="12" max="12" width="9.14285714285714" customWidth="1"/>
    <col min="13" max="13" width="24.4285714285714" customWidth="1"/>
    <col min="14" max="14" width="9.14285714285714" customWidth="1"/>
    <col min="15" max="16" width="10.1428571428571" bestFit="1" customWidth="1"/>
    <col min="17" max="17" width="10.1428571428571" customWidth="1"/>
    <col min="18" max="25" width="9.14285714285714" customWidth="1"/>
    <col min="26" max="33" width="30.7142857142857" customWidth="1"/>
    <col min="34" max="34" width="9.14285714285714" customWidth="1"/>
  </cols>
  <sheetData>
    <row r="1" spans="1:1" s="138" customFormat="1" ht="45.4" customHeight="1">
      <c r="A1" s="17" t="s">
        <v>631</v>
      </c>
    </row>
    <row r="10" spans="17:18" ht="12.75">
      <c r="Q10" s="8" t="s">
        <v>10</v>
      </c>
      <c r="R10" s="8" t="s">
        <v>11</v>
      </c>
    </row>
    <row r="11" spans="4:18" ht="60.6" customHeight="1">
      <c r="D11" s="8" t="s">
        <v>12</v>
      </c>
      <c r="E11" s="27"/>
      <c r="O11" s="8" t="s">
        <v>13</v>
      </c>
      <c r="P11" s="27">
        <f ca="1">COUNTIF(B_02.02[0111],TRUE)</f>
        <v>1</v>
      </c>
      <c r="Q11" s="27">
        <f ca="1">IF(P11=0,1,0)</f>
        <v>0</v>
      </c>
      <c r="R11" s="27">
        <f ca="1">IF(P11&gt;0,1,0)</f>
        <v>1</v>
      </c>
    </row>
    <row r="14" spans="2:33" ht="153">
      <c r="B14" s="8" t="s">
        <v>14</v>
      </c>
      <c r="C14" s="8" t="s">
        <v>1</v>
      </c>
      <c r="D14" s="8" t="s">
        <v>0</v>
      </c>
      <c r="E14" s="8" t="s">
        <v>15</v>
      </c>
      <c r="F14" s="8" t="s">
        <v>16</v>
      </c>
      <c r="G14" s="8" t="s">
        <v>17</v>
      </c>
      <c r="H14" s="8" t="s">
        <v>18</v>
      </c>
      <c r="I14" s="8"/>
      <c r="J14" s="8" t="s">
        <v>19</v>
      </c>
      <c r="K14" s="8" t="s">
        <v>20</v>
      </c>
      <c r="L14" s="8" t="s">
        <v>21</v>
      </c>
      <c r="M14" s="8" t="s">
        <v>22</v>
      </c>
      <c r="N14" s="8" t="s">
        <v>23</v>
      </c>
      <c r="O14" s="8" t="s">
        <v>24</v>
      </c>
      <c r="P14" s="8" t="s">
        <v>25</v>
      </c>
      <c r="Q14" s="8" t="s">
        <v>26</v>
      </c>
      <c r="R14" s="8" t="s">
        <v>27</v>
      </c>
      <c r="S14" s="8" t="s">
        <v>28</v>
      </c>
      <c r="T14" s="8" t="s">
        <v>29</v>
      </c>
      <c r="U14" s="8" t="s">
        <v>30</v>
      </c>
      <c r="V14" s="8" t="s">
        <v>31</v>
      </c>
      <c r="W14" s="8" t="s">
        <v>32</v>
      </c>
      <c r="X14" s="8" t="s">
        <v>33</v>
      </c>
      <c r="Y14" s="8" t="s">
        <v>34</v>
      </c>
      <c r="Z14" s="13" t="b">
        <f>OR(COUNTA(B_02.02[0060])=0,IF(ISNA(SUM(B_02.02[v22872_a - 1.1])),FALSE,ISNA(MATCH(FALSE,B_02.02[v22872_a - 1.1],0))))</f>
        <v>1</v>
      </c>
      <c r="AA14" s="13" t="b">
        <f>OR(COUNTA(B_02.02[0060])=0,IF(ISNA(SUM(B_02.02[v22873_a - 1.1])),FALSE,ISNA(MATCH(FALSE,B_02.02[v22873_a - 1.1],0))))</f>
        <v>1</v>
      </c>
      <c r="AB14" s="13" t="b">
        <f>OR(COUNTA(B_02.02[0060])=0,IF(ISNA(SUM(B_02.02[v22873_a - 1.2])),FALSE,ISNA(MATCH(FALSE,B_02.02[v22873_a - 1.2],0))))</f>
        <v>1</v>
      </c>
      <c r="AC14" s="13" t="b">
        <f>OR(COUNTA(B_02.02[0060])=0,IF(ISNA(SUM(B_02.02[v22873_a - 1.3])),FALSE,ISNA(MATCH(FALSE,B_02.02[v22873_a - 1.3],0))))</f>
        <v>1</v>
      </c>
      <c r="AD14" s="13" t="b">
        <f>OR(COUNTA(B_02.02[0060])=0,IF(ISNA(SUM(B_02.02[v22876_a - 1.1])),FALSE,ISNA(MATCH(FALSE,B_02.02[v22876_a - 1.1],0))))</f>
        <v>1</v>
      </c>
      <c r="AE14" s="13" t="b">
        <f>OR(COUNTA(B_02.02[0060])=0,IF(ISNA(SUM(B_02.02[v22877_a - 1.1])),FALSE,ISNA(MATCH(FALSE,B_02.02[v22877_a - 1.1],0))))</f>
        <v>1</v>
      </c>
      <c r="AF14" s="13" t="b">
        <f>OR(COUNTA(B_02.02[0060])=0,IF(ISNA(SUM(B_02.02[v22878_a - 1.1])),FALSE,ISNA(MATCH(FALSE,B_02.02[v22878_a - 1.1],0))))</f>
        <v>1</v>
      </c>
      <c r="AG14" s="13" t="b">
        <f>OR(COUNTA(B_02.02[0060])=0,IF(ISNA(SUM(B_02.02[v22880_a - 1.1])),FALSE,ISNA(MATCH(FALSE,B_02.02[v22880_a - 1.1],0))))</f>
        <v>1</v>
      </c>
    </row>
    <row r="15" spans="2:33" ht="12.75">
      <c r="B15" s="220" t="s">
        <v>35</v>
      </c>
      <c r="C15" s="220" t="s">
        <v>4</v>
      </c>
      <c r="D15" s="220" t="s">
        <v>3</v>
      </c>
      <c r="E15" s="220" t="s">
        <v>36</v>
      </c>
      <c r="F15" s="220" t="s">
        <v>37</v>
      </c>
      <c r="G15" s="220" t="s">
        <v>38</v>
      </c>
      <c r="H15" s="220" t="s">
        <v>5</v>
      </c>
      <c r="I15" s="220" t="s">
        <v>39</v>
      </c>
      <c r="J15" s="220" t="s">
        <v>40</v>
      </c>
      <c r="K15" s="220" t="s">
        <v>41</v>
      </c>
      <c r="L15" s="220" t="s">
        <v>42</v>
      </c>
      <c r="M15" s="220" t="s">
        <v>43</v>
      </c>
      <c r="N15" s="220" t="s">
        <v>44</v>
      </c>
      <c r="O15" s="220" t="s">
        <v>45</v>
      </c>
      <c r="P15" s="220" t="s">
        <v>46</v>
      </c>
      <c r="Q15" s="220" t="s">
        <v>47</v>
      </c>
      <c r="R15" s="220" t="s">
        <v>48</v>
      </c>
      <c r="S15" s="220" t="s">
        <v>49</v>
      </c>
      <c r="T15" s="220" t="s">
        <v>50</v>
      </c>
      <c r="U15" s="220" t="s">
        <v>51</v>
      </c>
      <c r="V15" s="220" t="s">
        <v>52</v>
      </c>
      <c r="W15" s="220" t="s">
        <v>53</v>
      </c>
      <c r="X15" s="220" t="s">
        <v>54</v>
      </c>
      <c r="Y15" s="220" t="s">
        <v>55</v>
      </c>
      <c r="Z15" s="220" t="s">
        <v>544</v>
      </c>
      <c r="AA15" s="220" t="s">
        <v>545</v>
      </c>
      <c r="AB15" s="220" t="s">
        <v>546</v>
      </c>
      <c r="AC15" s="220" t="s">
        <v>547</v>
      </c>
      <c r="AD15" s="220" t="s">
        <v>550</v>
      </c>
      <c r="AE15" s="220" t="s">
        <v>551</v>
      </c>
      <c r="AF15" s="220" t="s">
        <v>552</v>
      </c>
      <c r="AG15" s="220" t="s">
        <v>553</v>
      </c>
    </row>
    <row r="16" spans="2:33" ht="12.75">
      <c r="B16" s="10" t="s">
        <v>688</v>
      </c>
      <c r="C16" s="27" t="str">
        <f>B_02.02[[#This Row],[0010]]&amp;"contract"</f>
        <v>C2352contract</v>
      </c>
      <c r="D16" s="215" t="s">
        <v>676</v>
      </c>
      <c r="E16" s="215" t="s">
        <v>689</v>
      </c>
      <c r="F16" s="215" t="s">
        <v>691</v>
      </c>
      <c r="G16" s="215" t="s">
        <v>692</v>
      </c>
      <c r="H16" s="215" t="s">
        <v>690</v>
      </c>
      <c r="I16" s="18" t="e">
        <f>INDEX(Table1[0050],MATCH(B_02.02[[#This Row],[0050]],Table1[0010],0))</f>
        <v>#N/A</v>
      </c>
      <c r="J16" s="218">
        <v>45658</v>
      </c>
      <c r="K16" s="218">
        <v>47033</v>
      </c>
      <c r="L16" s="10"/>
      <c r="M16" s="219">
        <v>60</v>
      </c>
      <c r="N16" s="219">
        <v>60</v>
      </c>
      <c r="O16" s="18">
        <f>IF(B_02.02[[#This Row],[0080]]="","",B_02.02[[#This Row],[0080]]-B_02.02[[#This Row],[0100]])</f>
        <v>46973</v>
      </c>
      <c r="P16" s="18" t="b">
        <f ca="1">IF(B_02.02[[#This Row],[0080]]="","",IF(B_02.02[[#This Row],[0080]]&gt;TODAY(),AND(B_02.02[[#This Row],[0080]]-B_02.02[[#This Row],[0100]]-45&lt;TODAY(),B_02.02[[#This Row],[0080]]-B_02.02[[#This Row],[0100]]&gt;TODAY()),"change date"))</f>
        <v>0</v>
      </c>
      <c r="Q16" s="18" t="str">
        <f ca="1">IF(B_02.02[[#This Row],[0111]]=TRUE,COUNTIF($P$16:P16,TRUE),"")</f>
        <v/>
      </c>
      <c r="R16" s="215" t="s">
        <v>274</v>
      </c>
      <c r="S16" s="215" t="s">
        <v>274</v>
      </c>
      <c r="T16" s="215" t="s">
        <v>686</v>
      </c>
      <c r="U16" s="215" t="s">
        <v>274</v>
      </c>
      <c r="V16" s="215" t="s">
        <v>274</v>
      </c>
      <c r="W16" s="215" t="s">
        <v>464</v>
      </c>
      <c r="X16" s="215" t="s">
        <v>687</v>
      </c>
      <c r="Y16" s="18">
        <f>INDEX(DB_02.01[0050],MATCH(B_02.02[[#This Row],[0010]],DB_02.01[0010],0))</f>
        <v>247568.68248670426</v>
      </c>
      <c r="Z16" s="13" t="str">
        <f>IF((B_02.02[[#This Row],[0120]]&lt;&gt;""),IF(ISNUMBER(MATCH(B_02.02[[#This Row],[0120]],{"ALBANIA","AUSTRIA","BELGIUM","BULGARIA","CYPRUS","CZECH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A16" s="13" t="str">
        <f>IF((B_02.02[[#This Row],[0130]]&lt;&gt;""),IF(ISNUMBER(MATCH(B_02.02[[#This Row],[0130]],{"ALBANIA","AUSTRIA","BELGIUM","BULGARIA","CYPRUS","CZECH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B16" s="13" t="str">
        <f>IF((B_02.02[[#This Row],[0150]]&lt;&gt;""),IF(ISNUMBER(MATCH(B_02.02[[#This Row],[0150]],{"ALBANIA","AUSTRIA","BELGIUM","BULGARIA","CYPRUS","CZECH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C16" s="13" t="str">
        <f>IF((B_02.02[[#This Row],[0160]]&lt;&gt;""),IF(ISNUMBER(MATCH(B_02.02[[#This Row],[0160]],{"ALBANIA","AUSTRIA","BELGIUM","BULGARIA","CYPRUS","CZECH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D16" s="13" t="str">
        <f>IF((B_02.02[[#This Row],[0180]]&lt;&gt;""),IF(ISNUMBER(MATCH(B_02.02[[#This Row],[0180]],{"Not significant","Low reliance","Material reliance","Full reliance"},0)),""),"not applicable")</f>
        <v/>
      </c>
      <c r="AE16" s="13" t="str">
        <f>IF((B_02.02[[#This Row],[0090]]&lt;&gt;""),IF(ISNUMBER(MATCH(B_02.02[[#This Row],[0090]],{"Termination not for cause: Expired and not renewd","Termination for cause: Provider in breach of applicable law, regulations or contractual provisions","Termination for cause: Identified impediments of the provider capable of altering the supported function","Termination for cause: provider's weaknesses regarding the management and security of sensitive data or information","Termination: as requested by the competent authority","Other reasons for termination"},0)),""),"not applicable")</f>
        <v>not applicable</v>
      </c>
      <c r="AF16" s="13" t="str">
        <f>IF((B_02.02[[#This Row],[0170]]&lt;&gt;""),IF(ISNUMBER(MATCH(B_02.02[[#This Row],[0170]],{"Low","Medium","High"},0)),""),"not applicable")</f>
        <v/>
      </c>
      <c r="AG16" s="13" t="str">
        <f>IF((B_02.02[[#This Row],[0140]]&lt;&gt;""),IF(ISNUMBER(MATCH(B_02.02[[#This Row],[0140]],{"Yes","No"},0)),""),"not applicable")</f>
        <v/>
      </c>
    </row>
    <row r="17" spans="2:33" ht="12.75">
      <c r="B17" s="10" t="s">
        <v>688</v>
      </c>
      <c r="C17" s="27" t="str">
        <f>B_02.02[[#This Row],[0010]]&amp;"contract"</f>
        <v>C2353contract</v>
      </c>
      <c r="D17" s="215" t="s">
        <v>677</v>
      </c>
      <c r="E17" s="215" t="s">
        <v>693</v>
      </c>
      <c r="F17" s="215" t="s">
        <v>691</v>
      </c>
      <c r="G17" s="215" t="s">
        <v>692</v>
      </c>
      <c r="H17" s="215" t="s">
        <v>690</v>
      </c>
      <c r="I17" s="221" t="e">
        <f>INDEX(Table1[0050],MATCH(B_02.02[[#This Row],[0050]],Table1[0010],0))</f>
        <v>#N/A</v>
      </c>
      <c r="J17" s="218">
        <v>45292</v>
      </c>
      <c r="K17" s="218">
        <v>46907</v>
      </c>
      <c r="L17" s="10"/>
      <c r="M17" s="219">
        <v>30</v>
      </c>
      <c r="N17" s="219">
        <v>30</v>
      </c>
      <c r="O17" s="221">
        <f>IF(B_02.02[[#This Row],[0080]]="","",B_02.02[[#This Row],[0080]]-B_02.02[[#This Row],[0100]])</f>
        <v>46877</v>
      </c>
      <c r="P17" s="221" t="b">
        <f ca="1">IF(B_02.02[[#This Row],[0080]]="","",IF(B_02.02[[#This Row],[0080]]&gt;TODAY(),AND(B_02.02[[#This Row],[0080]]-B_02.02[[#This Row],[0100]]-45&lt;TODAY(),B_02.02[[#This Row],[0080]]-B_02.02[[#This Row],[0100]]&gt;TODAY()),"change date"))</f>
        <v>0</v>
      </c>
      <c r="Q17" s="221" t="str">
        <f ca="1">IF(B_02.02[[#This Row],[0111]]=TRUE,COUNTIF($P$16:P17,TRUE),"")</f>
        <v/>
      </c>
      <c r="R17" s="215" t="s">
        <v>274</v>
      </c>
      <c r="S17" s="215" t="s">
        <v>274</v>
      </c>
      <c r="T17" s="215" t="s">
        <v>686</v>
      </c>
      <c r="U17" s="215" t="s">
        <v>274</v>
      </c>
      <c r="V17" s="215" t="s">
        <v>274</v>
      </c>
      <c r="W17" s="215" t="s">
        <v>463</v>
      </c>
      <c r="X17" s="215" t="s">
        <v>687</v>
      </c>
      <c r="Y17" s="221">
        <f>INDEX(DB_02.01[0050],MATCH(B_02.02[[#This Row],[0010]],DB_02.01[0010],0))</f>
        <v>282165.17352013034</v>
      </c>
      <c r="Z17" s="13" t="str">
        <f>IF((B_02.02[[#This Row],[0120]]&lt;&gt;""),IF(ISNUMBER(MATCH(B_02.02[[#This Row],[0120]],{"ALBANIA","AUSTRIA","BELGIUM","BULGARIA","CYPRUS","CZECH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A17" s="13" t="str">
        <f>IF((B_02.02[[#This Row],[0130]]&lt;&gt;""),IF(ISNUMBER(MATCH(B_02.02[[#This Row],[0130]],{"ALBANIA","AUSTRIA","BELGIUM","BULGARIA","CYPRUS","CZECH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B17" s="13" t="str">
        <f>IF((B_02.02[[#This Row],[0150]]&lt;&gt;""),IF(ISNUMBER(MATCH(B_02.02[[#This Row],[0150]],{"ALBANIA","AUSTRIA","BELGIUM","BULGARIA","CYPRUS","CZECH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C17" s="13" t="str">
        <f>IF((B_02.02[[#This Row],[0160]]&lt;&gt;""),IF(ISNUMBER(MATCH(B_02.02[[#This Row],[0160]],{"ALBANIA","AUSTRIA","BELGIUM","BULGARIA","CYPRUS","CZECH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D17" s="13" t="str">
        <f>IF((B_02.02[[#This Row],[0180]]&lt;&gt;""),IF(ISNUMBER(MATCH(B_02.02[[#This Row],[0180]],{"Not significant","Low reliance","Material reliance","Full reliance"},0)),""),"not applicable")</f>
        <v/>
      </c>
      <c r="AE17" s="13" t="str">
        <f>IF((B_02.02[[#This Row],[0090]]&lt;&gt;""),IF(ISNUMBER(MATCH(B_02.02[[#This Row],[0090]],{"Termination not for cause: Expired and not renewd","Termination for cause: Provider in breach of applicable law, regulations or contractual provisions","Termination for cause: Identified impediments of the provider capable of altering the supported function","Termination for cause: provider's weaknesses regarding the management and security of sensitive data or information","Termination: as requested by the competent authority","Other reasons for termination"},0)),""),"not applicable")</f>
        <v>not applicable</v>
      </c>
      <c r="AF17" s="13" t="str">
        <f>IF((B_02.02[[#This Row],[0170]]&lt;&gt;""),IF(ISNUMBER(MATCH(B_02.02[[#This Row],[0170]],{"Low","Medium","High"},0)),""),"not applicable")</f>
        <v/>
      </c>
      <c r="AG17" s="13" t="str">
        <f>IF((B_02.02[[#This Row],[0140]]&lt;&gt;""),IF(ISNUMBER(MATCH(B_02.02[[#This Row],[0140]],{"Yes","No"},0)),""),"not applicable")</f>
        <v/>
      </c>
    </row>
    <row r="18" spans="2:33" ht="12.75">
      <c r="B18" s="10" t="s">
        <v>688</v>
      </c>
      <c r="C18" s="27" t="str">
        <f>B_02.02[[#This Row],[0010]]&amp;"contract"</f>
        <v>C2355contract</v>
      </c>
      <c r="D18" s="215" t="s">
        <v>679</v>
      </c>
      <c r="E18" s="215" t="s">
        <v>689</v>
      </c>
      <c r="F18" s="215" t="s">
        <v>691</v>
      </c>
      <c r="G18" s="215" t="s">
        <v>692</v>
      </c>
      <c r="H18" s="215" t="s">
        <v>690</v>
      </c>
      <c r="I18" s="221" t="e">
        <f>INDEX(Table1[0050],MATCH(B_02.02[[#This Row],[0050]],Table1[0010],0))</f>
        <v>#N/A</v>
      </c>
      <c r="J18" s="218">
        <v>45352</v>
      </c>
      <c r="K18" s="218">
        <v>47548</v>
      </c>
      <c r="L18" s="10"/>
      <c r="M18" s="219">
        <v>60</v>
      </c>
      <c r="N18" s="219">
        <v>60</v>
      </c>
      <c r="O18" s="221">
        <f>IF(B_02.02[[#This Row],[0080]]="","",B_02.02[[#This Row],[0080]]-B_02.02[[#This Row],[0100]])</f>
        <v>47488</v>
      </c>
      <c r="P18" s="221" t="b">
        <f ca="1">IF(B_02.02[[#This Row],[0080]]="","",IF(B_02.02[[#This Row],[0080]]&gt;TODAY(),AND(B_02.02[[#This Row],[0080]]-B_02.02[[#This Row],[0100]]-45&lt;TODAY(),B_02.02[[#This Row],[0080]]-B_02.02[[#This Row],[0100]]&gt;TODAY()),"change date"))</f>
        <v>0</v>
      </c>
      <c r="Q18" s="221" t="str">
        <f ca="1">IF(B_02.02[[#This Row],[0111]]=TRUE,COUNTIF($P$16:P18,TRUE),"")</f>
        <v/>
      </c>
      <c r="R18" s="215" t="s">
        <v>275</v>
      </c>
      <c r="S18" s="215" t="s">
        <v>275</v>
      </c>
      <c r="T18" s="215" t="s">
        <v>686</v>
      </c>
      <c r="U18" s="215" t="s">
        <v>275</v>
      </c>
      <c r="V18" s="215" t="s">
        <v>275</v>
      </c>
      <c r="W18" s="215" t="s">
        <v>464</v>
      </c>
      <c r="X18" s="215" t="s">
        <v>687</v>
      </c>
      <c r="Y18" s="221">
        <f>INDEX(DB_02.01[0050],MATCH(B_02.02[[#This Row],[0010]],DB_02.01[0010],0))</f>
        <v>244555.45356328963</v>
      </c>
      <c r="Z18" s="13" t="str">
        <f>IF((B_02.02[[#This Row],[0120]]&lt;&gt;""),IF(ISNUMBER(MATCH(B_02.02[[#This Row],[0120]],{"ALBANIA","AUSTRIA","BELGIUM","BULGARIA","CYPRUS","CZECH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A18" s="13" t="str">
        <f>IF((B_02.02[[#This Row],[0130]]&lt;&gt;""),IF(ISNUMBER(MATCH(B_02.02[[#This Row],[0130]],{"ALBANIA","AUSTRIA","BELGIUM","BULGARIA","CYPRUS","CZECH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B18" s="13" t="str">
        <f>IF((B_02.02[[#This Row],[0150]]&lt;&gt;""),IF(ISNUMBER(MATCH(B_02.02[[#This Row],[0150]],{"ALBANIA","AUSTRIA","BELGIUM","BULGARIA","CYPRUS","CZECH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C18" s="13" t="str">
        <f>IF((B_02.02[[#This Row],[0160]]&lt;&gt;""),IF(ISNUMBER(MATCH(B_02.02[[#This Row],[0160]],{"ALBANIA","AUSTRIA","BELGIUM","BULGARIA","CYPRUS","CZECH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D18" s="13" t="str">
        <f>IF((B_02.02[[#This Row],[0180]]&lt;&gt;""),IF(ISNUMBER(MATCH(B_02.02[[#This Row],[0180]],{"Not significant","Low reliance","Material reliance","Full reliance"},0)),""),"not applicable")</f>
        <v/>
      </c>
      <c r="AE18" s="13" t="str">
        <f>IF((B_02.02[[#This Row],[0090]]&lt;&gt;""),IF(ISNUMBER(MATCH(B_02.02[[#This Row],[0090]],{"Termination not for cause: Expired and not renewd","Termination for cause: Provider in breach of applicable law, regulations or contractual provisions","Termination for cause: Identified impediments of the provider capable of altering the supported function","Termination for cause: provider's weaknesses regarding the management and security of sensitive data or information","Termination: as requested by the competent authority","Other reasons for termination"},0)),""),"not applicable")</f>
        <v>not applicable</v>
      </c>
      <c r="AF18" s="13" t="str">
        <f>IF((B_02.02[[#This Row],[0170]]&lt;&gt;""),IF(ISNUMBER(MATCH(B_02.02[[#This Row],[0170]],{"Low","Medium","High"},0)),""),"not applicable")</f>
        <v/>
      </c>
      <c r="AG18" s="13" t="str">
        <f>IF((B_02.02[[#This Row],[0140]]&lt;&gt;""),IF(ISNUMBER(MATCH(B_02.02[[#This Row],[0140]],{"Yes","No"},0)),""),"not applicable")</f>
        <v/>
      </c>
    </row>
    <row r="19" spans="2:33" ht="12.75">
      <c r="B19" s="10" t="s">
        <v>688</v>
      </c>
      <c r="C19" s="27" t="str">
        <f>B_02.02[[#This Row],[0010]]&amp;"contract"</f>
        <v>C2356contract</v>
      </c>
      <c r="D19" s="215" t="s">
        <v>680</v>
      </c>
      <c r="E19" s="215" t="s">
        <v>694</v>
      </c>
      <c r="F19" s="215" t="s">
        <v>691</v>
      </c>
      <c r="G19" s="215" t="s">
        <v>692</v>
      </c>
      <c r="H19" s="215" t="s">
        <v>690</v>
      </c>
      <c r="I19" s="221" t="e">
        <f>INDEX(Table1[0050],MATCH(B_02.02[[#This Row],[0050]],Table1[0010],0))</f>
        <v>#N/A</v>
      </c>
      <c r="J19" s="218">
        <v>44780</v>
      </c>
      <c r="K19" s="218">
        <v>47114</v>
      </c>
      <c r="L19" s="10"/>
      <c r="M19" s="219">
        <v>45</v>
      </c>
      <c r="N19" s="219">
        <v>45</v>
      </c>
      <c r="O19" s="221">
        <f>IF(B_02.02[[#This Row],[0080]]="","",B_02.02[[#This Row],[0080]]-B_02.02[[#This Row],[0100]])</f>
        <v>47069</v>
      </c>
      <c r="P19" s="221" t="b">
        <f ca="1">IF(B_02.02[[#This Row],[0080]]="","",IF(B_02.02[[#This Row],[0080]]&gt;TODAY(),AND(B_02.02[[#This Row],[0080]]-B_02.02[[#This Row],[0100]]-45&lt;TODAY(),B_02.02[[#This Row],[0080]]-B_02.02[[#This Row],[0100]]&gt;TODAY()),"change date"))</f>
        <v>0</v>
      </c>
      <c r="Q19" s="221" t="str">
        <f ca="1">IF(B_02.02[[#This Row],[0111]]=TRUE,COUNTIF($P$16:P19,TRUE),"")</f>
        <v/>
      </c>
      <c r="R19" s="215" t="s">
        <v>274</v>
      </c>
      <c r="S19" s="215" t="s">
        <v>274</v>
      </c>
      <c r="T19" s="215" t="s">
        <v>686</v>
      </c>
      <c r="U19" s="215" t="s">
        <v>274</v>
      </c>
      <c r="V19" s="215" t="s">
        <v>274</v>
      </c>
      <c r="W19" s="215" t="s">
        <v>464</v>
      </c>
      <c r="X19" s="215" t="s">
        <v>687</v>
      </c>
      <c r="Y19" s="221">
        <f>INDEX(DB_02.01[0050],MATCH(B_02.02[[#This Row],[0010]],DB_02.01[0010],0))</f>
        <v>150666.23267045026</v>
      </c>
      <c r="Z19" s="13" t="str">
        <f>IF((B_02.02[[#This Row],[0120]]&lt;&gt;""),IF(ISNUMBER(MATCH(B_02.02[[#This Row],[0120]],{"ALBANIA","AUSTRIA","BELGIUM","BULGARIA","CYPRUS","CZECH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A19" s="13" t="str">
        <f>IF((B_02.02[[#This Row],[0130]]&lt;&gt;""),IF(ISNUMBER(MATCH(B_02.02[[#This Row],[0130]],{"ALBANIA","AUSTRIA","BELGIUM","BULGARIA","CYPRUS","CZECH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B19" s="13" t="str">
        <f>IF((B_02.02[[#This Row],[0150]]&lt;&gt;""),IF(ISNUMBER(MATCH(B_02.02[[#This Row],[0150]],{"ALBANIA","AUSTRIA","BELGIUM","BULGARIA","CYPRUS","CZECH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C19" s="13" t="str">
        <f>IF((B_02.02[[#This Row],[0160]]&lt;&gt;""),IF(ISNUMBER(MATCH(B_02.02[[#This Row],[0160]],{"ALBANIA","AUSTRIA","BELGIUM","BULGARIA","CYPRUS","CZECH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D19" s="13" t="str">
        <f>IF((B_02.02[[#This Row],[0180]]&lt;&gt;""),IF(ISNUMBER(MATCH(B_02.02[[#This Row],[0180]],{"Not significant","Low reliance","Material reliance","Full reliance"},0)),""),"not applicable")</f>
        <v/>
      </c>
      <c r="AE19" s="13" t="str">
        <f>IF((B_02.02[[#This Row],[0090]]&lt;&gt;""),IF(ISNUMBER(MATCH(B_02.02[[#This Row],[0090]],{"Termination not for cause: Expired and not renewd","Termination for cause: Provider in breach of applicable law, regulations or contractual provisions","Termination for cause: Identified impediments of the provider capable of altering the supported function","Termination for cause: provider's weaknesses regarding the management and security of sensitive data or information","Termination: as requested by the competent authority","Other reasons for termination"},0)),""),"not applicable")</f>
        <v>not applicable</v>
      </c>
      <c r="AF19" s="13" t="str">
        <f>IF((B_02.02[[#This Row],[0170]]&lt;&gt;""),IF(ISNUMBER(MATCH(B_02.02[[#This Row],[0170]],{"Low","Medium","High"},0)),""),"not applicable")</f>
        <v/>
      </c>
      <c r="AG19" s="13" t="str">
        <f>IF((B_02.02[[#This Row],[0140]]&lt;&gt;""),IF(ISNUMBER(MATCH(B_02.02[[#This Row],[0140]],{"Yes","No"},0)),""),"not applicable")</f>
        <v/>
      </c>
    </row>
    <row r="20" spans="2:33" ht="12.75">
      <c r="B20" s="10" t="s">
        <v>688</v>
      </c>
      <c r="C20" s="27" t="str">
        <f>B_02.02[[#This Row],[0010]]&amp;"contract"</f>
        <v>C2357contract</v>
      </c>
      <c r="D20" s="215" t="s">
        <v>681</v>
      </c>
      <c r="E20" s="215" t="s">
        <v>695</v>
      </c>
      <c r="F20" s="215" t="s">
        <v>691</v>
      </c>
      <c r="G20" s="215" t="s">
        <v>692</v>
      </c>
      <c r="H20" s="215" t="s">
        <v>690</v>
      </c>
      <c r="I20" s="221" t="e">
        <f>INDEX(Table1[0050],MATCH(B_02.02[[#This Row],[0050]],Table1[0010],0))</f>
        <v>#N/A</v>
      </c>
      <c r="J20" s="218">
        <v>45413</v>
      </c>
      <c r="K20" s="218">
        <v>47099</v>
      </c>
      <c r="L20" s="10"/>
      <c r="M20" s="219">
        <v>60</v>
      </c>
      <c r="N20" s="219">
        <v>60</v>
      </c>
      <c r="O20" s="221">
        <f>IF(B_02.02[[#This Row],[0080]]="","",B_02.02[[#This Row],[0080]]-B_02.02[[#This Row],[0100]])</f>
        <v>47039</v>
      </c>
      <c r="P20" s="221" t="b">
        <f ca="1">IF(B_02.02[[#This Row],[0080]]="","",IF(B_02.02[[#This Row],[0080]]&gt;TODAY(),AND(B_02.02[[#This Row],[0080]]-B_02.02[[#This Row],[0100]]-45&lt;TODAY(),B_02.02[[#This Row],[0080]]-B_02.02[[#This Row],[0100]]&gt;TODAY()),"change date"))</f>
        <v>0</v>
      </c>
      <c r="Q20" s="221" t="str">
        <f ca="1">IF(B_02.02[[#This Row],[0111]]=TRUE,COUNTIF($P$16:P20,TRUE),"")</f>
        <v/>
      </c>
      <c r="R20" s="215" t="s">
        <v>259</v>
      </c>
      <c r="S20" s="215" t="s">
        <v>259</v>
      </c>
      <c r="T20" s="215" t="s">
        <v>686</v>
      </c>
      <c r="U20" s="215" t="s">
        <v>259</v>
      </c>
      <c r="V20" s="215" t="s">
        <v>259</v>
      </c>
      <c r="W20" s="215" t="s">
        <v>464</v>
      </c>
      <c r="X20" s="215" t="s">
        <v>687</v>
      </c>
      <c r="Y20" s="221">
        <f>INDEX(DB_02.01[0050],MATCH(B_02.02[[#This Row],[0010]],DB_02.01[0010],0))</f>
        <v>417344.41494148504</v>
      </c>
      <c r="Z20" s="13" t="str">
        <f>IF((B_02.02[[#This Row],[0120]]&lt;&gt;""),IF(ISNUMBER(MATCH(B_02.02[[#This Row],[0120]],{"ALBANIA","AUSTRIA","BELGIUM","BULGARIA","CYPRUS","CZECH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A20" s="13" t="str">
        <f>IF((B_02.02[[#This Row],[0130]]&lt;&gt;""),IF(ISNUMBER(MATCH(B_02.02[[#This Row],[0130]],{"ALBANIA","AUSTRIA","BELGIUM","BULGARIA","CYPRUS","CZECH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B20" s="13" t="str">
        <f>IF((B_02.02[[#This Row],[0150]]&lt;&gt;""),IF(ISNUMBER(MATCH(B_02.02[[#This Row],[0150]],{"ALBANIA","AUSTRIA","BELGIUM","BULGARIA","CYPRUS","CZECH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C20" s="13" t="str">
        <f>IF((B_02.02[[#This Row],[0160]]&lt;&gt;""),IF(ISNUMBER(MATCH(B_02.02[[#This Row],[0160]],{"ALBANIA","AUSTRIA","BELGIUM","BULGARIA","CYPRUS","CZECH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D20" s="13" t="str">
        <f>IF((B_02.02[[#This Row],[0180]]&lt;&gt;""),IF(ISNUMBER(MATCH(B_02.02[[#This Row],[0180]],{"Not significant","Low reliance","Material reliance","Full reliance"},0)),""),"not applicable")</f>
        <v/>
      </c>
      <c r="AE20" s="13" t="str">
        <f>IF((B_02.02[[#This Row],[0090]]&lt;&gt;""),IF(ISNUMBER(MATCH(B_02.02[[#This Row],[0090]],{"Termination not for cause: Expired and not renewd","Termination for cause: Provider in breach of applicable law, regulations or contractual provisions","Termination for cause: Identified impediments of the provider capable of altering the supported function","Termination for cause: provider's weaknesses regarding the management and security of sensitive data or information","Termination: as requested by the competent authority","Other reasons for termination"},0)),""),"not applicable")</f>
        <v>not applicable</v>
      </c>
      <c r="AF20" s="13" t="str">
        <f>IF((B_02.02[[#This Row],[0170]]&lt;&gt;""),IF(ISNUMBER(MATCH(B_02.02[[#This Row],[0170]],{"Low","Medium","High"},0)),""),"not applicable")</f>
        <v/>
      </c>
      <c r="AG20" s="13" t="str">
        <f>IF((B_02.02[[#This Row],[0140]]&lt;&gt;""),IF(ISNUMBER(MATCH(B_02.02[[#This Row],[0140]],{"Yes","No"},0)),""),"not applicable")</f>
        <v/>
      </c>
    </row>
    <row r="21" spans="2:33" ht="12.75">
      <c r="B21" s="10" t="s">
        <v>688</v>
      </c>
      <c r="C21" s="27" t="str">
        <f>B_02.02[[#This Row],[0010]]&amp;"contract"</f>
        <v>C2358contract</v>
      </c>
      <c r="D21" s="215" t="s">
        <v>682</v>
      </c>
      <c r="E21" s="215" t="s">
        <v>696</v>
      </c>
      <c r="F21" s="215" t="s">
        <v>691</v>
      </c>
      <c r="G21" s="215" t="s">
        <v>692</v>
      </c>
      <c r="H21" s="215" t="s">
        <v>690</v>
      </c>
      <c r="I21" s="221" t="e">
        <f>INDEX(Table1[0050],MATCH(B_02.02[[#This Row],[0050]],Table1[0010],0))</f>
        <v>#N/A</v>
      </c>
      <c r="J21" s="218">
        <v>45352</v>
      </c>
      <c r="K21" s="218">
        <v>46244</v>
      </c>
      <c r="L21" s="10"/>
      <c r="M21" s="219">
        <v>60</v>
      </c>
      <c r="N21" s="219">
        <v>60</v>
      </c>
      <c r="O21" s="221">
        <f>IF(B_02.02[[#This Row],[0080]]="","",B_02.02[[#This Row],[0080]]-B_02.02[[#This Row],[0100]])</f>
        <v>46184</v>
      </c>
      <c r="P21" s="221" t="b">
        <f ca="1">IF(B_02.02[[#This Row],[0080]]="","",IF(B_02.02[[#This Row],[0080]]&gt;TODAY(),AND(B_02.02[[#This Row],[0080]]-B_02.02[[#This Row],[0100]]-45&lt;TODAY(),B_02.02[[#This Row],[0080]]-B_02.02[[#This Row],[0100]]&gt;TODAY()),"change date"))</f>
        <v>0</v>
      </c>
      <c r="Q21" s="221" t="str">
        <f ca="1">IF(B_02.02[[#This Row],[0111]]=TRUE,COUNTIF($P$16:P21,TRUE),"")</f>
        <v/>
      </c>
      <c r="R21" s="215" t="s">
        <v>259</v>
      </c>
      <c r="S21" s="215" t="s">
        <v>259</v>
      </c>
      <c r="T21" s="215" t="s">
        <v>686</v>
      </c>
      <c r="U21" s="215" t="s">
        <v>238</v>
      </c>
      <c r="V21" s="215" t="s">
        <v>238</v>
      </c>
      <c r="W21" s="215" t="s">
        <v>464</v>
      </c>
      <c r="X21" s="215" t="s">
        <v>687</v>
      </c>
      <c r="Y21" s="221">
        <f>INDEX(DB_02.01[0050],MATCH(B_02.02[[#This Row],[0010]],DB_02.01[0010],0))</f>
        <v>187179.09887945128</v>
      </c>
      <c r="Z21" s="13" t="str">
        <f>IF((B_02.02[[#This Row],[0120]]&lt;&gt;""),IF(ISNUMBER(MATCH(B_02.02[[#This Row],[0120]],{"ALBANIA","AUSTRIA","BELGIUM","BULGARIA","CYPRUS","CZECH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A21" s="13" t="str">
        <f>IF((B_02.02[[#This Row],[0130]]&lt;&gt;""),IF(ISNUMBER(MATCH(B_02.02[[#This Row],[0130]],{"ALBANIA","AUSTRIA","BELGIUM","BULGARIA","CYPRUS","CZECH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B21" s="13" t="str">
        <f>IF((B_02.02[[#This Row],[0150]]&lt;&gt;""),IF(ISNUMBER(MATCH(B_02.02[[#This Row],[0150]],{"ALBANIA","AUSTRIA","BELGIUM","BULGARIA","CYPRUS","CZECH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C21" s="13" t="str">
        <f>IF((B_02.02[[#This Row],[0160]]&lt;&gt;""),IF(ISNUMBER(MATCH(B_02.02[[#This Row],[0160]],{"ALBANIA","AUSTRIA","BELGIUM","BULGARIA","CYPRUS","CZECH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D21" s="13" t="str">
        <f>IF((B_02.02[[#This Row],[0180]]&lt;&gt;""),IF(ISNUMBER(MATCH(B_02.02[[#This Row],[0180]],{"Not significant","Low reliance","Material reliance","Full reliance"},0)),""),"not applicable")</f>
        <v/>
      </c>
      <c r="AE21" s="13" t="str">
        <f>IF((B_02.02[[#This Row],[0090]]&lt;&gt;""),IF(ISNUMBER(MATCH(B_02.02[[#This Row],[0090]],{"Termination not for cause: Expired and not renewd","Termination for cause: Provider in breach of applicable law, regulations or contractual provisions","Termination for cause: Identified impediments of the provider capable of altering the supported function","Termination for cause: provider's weaknesses regarding the management and security of sensitive data or information","Termination: as requested by the competent authority","Other reasons for termination"},0)),""),"not applicable")</f>
        <v>not applicable</v>
      </c>
      <c r="AF21" s="13" t="str">
        <f>IF((B_02.02[[#This Row],[0170]]&lt;&gt;""),IF(ISNUMBER(MATCH(B_02.02[[#This Row],[0170]],{"Low","Medium","High"},0)),""),"not applicable")</f>
        <v/>
      </c>
      <c r="AG21" s="13" t="str">
        <f>IF((B_02.02[[#This Row],[0140]]&lt;&gt;""),IF(ISNUMBER(MATCH(B_02.02[[#This Row],[0140]],{"Yes","No"},0)),""),"not applicable")</f>
        <v/>
      </c>
    </row>
    <row r="22" spans="2:33" ht="12.75">
      <c r="B22" s="10" t="s">
        <v>688</v>
      </c>
      <c r="C22" s="27" t="str">
        <f>B_02.02[[#This Row],[0010]]&amp;"contract"</f>
        <v>C2359contract</v>
      </c>
      <c r="D22" s="215" t="s">
        <v>683</v>
      </c>
      <c r="E22" s="215" t="s">
        <v>697</v>
      </c>
      <c r="F22" s="215" t="s">
        <v>691</v>
      </c>
      <c r="G22" s="215" t="s">
        <v>692</v>
      </c>
      <c r="H22" s="215" t="s">
        <v>690</v>
      </c>
      <c r="I22" s="221" t="e">
        <f>INDEX(Table1[0050],MATCH(B_02.02[[#This Row],[0050]],Table1[0010],0))</f>
        <v>#N/A</v>
      </c>
      <c r="J22" s="218">
        <v>44780</v>
      </c>
      <c r="K22" s="218">
        <v>46935</v>
      </c>
      <c r="L22" s="10"/>
      <c r="M22" s="219">
        <v>100</v>
      </c>
      <c r="N22" s="219">
        <v>100</v>
      </c>
      <c r="O22" s="221">
        <f>IF(B_02.02[[#This Row],[0080]]="","",B_02.02[[#This Row],[0080]]-B_02.02[[#This Row],[0100]])</f>
        <v>46835</v>
      </c>
      <c r="P22" s="221" t="b">
        <f ca="1">IF(B_02.02[[#This Row],[0080]]="","",IF(B_02.02[[#This Row],[0080]]&gt;TODAY(),AND(B_02.02[[#This Row],[0080]]-B_02.02[[#This Row],[0100]]-45&lt;TODAY(),B_02.02[[#This Row],[0080]]-B_02.02[[#This Row],[0100]]&gt;TODAY()),"change date"))</f>
        <v>0</v>
      </c>
      <c r="Q22" s="221" t="str">
        <f ca="1">IF(B_02.02[[#This Row],[0111]]=TRUE,COUNTIF($P$16:P22,TRUE),"")</f>
        <v/>
      </c>
      <c r="R22" s="215" t="s">
        <v>274</v>
      </c>
      <c r="S22" s="215" t="s">
        <v>274</v>
      </c>
      <c r="T22" s="215" t="s">
        <v>686</v>
      </c>
      <c r="U22" s="215" t="s">
        <v>274</v>
      </c>
      <c r="V22" s="215" t="s">
        <v>274</v>
      </c>
      <c r="W22" s="215" t="s">
        <v>464</v>
      </c>
      <c r="X22" s="215" t="s">
        <v>687</v>
      </c>
      <c r="Y22" s="221">
        <f>INDEX(DB_02.01[0050],MATCH(B_02.02[[#This Row],[0010]],DB_02.01[0010],0))</f>
        <v>262665.79988566024</v>
      </c>
      <c r="Z22" s="13" t="str">
        <f>IF((B_02.02[[#This Row],[0120]]&lt;&gt;""),IF(ISNUMBER(MATCH(B_02.02[[#This Row],[0120]],{"ALBANIA","AUSTRIA","BELGIUM","BULGARIA","CYPRUS","CZECH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A22" s="13" t="str">
        <f>IF((B_02.02[[#This Row],[0130]]&lt;&gt;""),IF(ISNUMBER(MATCH(B_02.02[[#This Row],[0130]],{"ALBANIA","AUSTRIA","BELGIUM","BULGARIA","CYPRUS","CZECH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B22" s="13" t="str">
        <f>IF((B_02.02[[#This Row],[0150]]&lt;&gt;""),IF(ISNUMBER(MATCH(B_02.02[[#This Row],[0150]],{"ALBANIA","AUSTRIA","BELGIUM","BULGARIA","CYPRUS","CZECH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C22" s="13" t="str">
        <f>IF((B_02.02[[#This Row],[0160]]&lt;&gt;""),IF(ISNUMBER(MATCH(B_02.02[[#This Row],[0160]],{"ALBANIA","AUSTRIA","BELGIUM","BULGARIA","CYPRUS","CZECH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D22" s="13" t="str">
        <f>IF((B_02.02[[#This Row],[0180]]&lt;&gt;""),IF(ISNUMBER(MATCH(B_02.02[[#This Row],[0180]],{"Not significant","Low reliance","Material reliance","Full reliance"},0)),""),"not applicable")</f>
        <v/>
      </c>
      <c r="AE22" s="13" t="str">
        <f>IF((B_02.02[[#This Row],[0090]]&lt;&gt;""),IF(ISNUMBER(MATCH(B_02.02[[#This Row],[0090]],{"Termination not for cause: Expired and not renewd","Termination for cause: Provider in breach of applicable law, regulations or contractual provisions","Termination for cause: Identified impediments of the provider capable of altering the supported function","Termination for cause: provider's weaknesses regarding the management and security of sensitive data or information","Termination: as requested by the competent authority","Other reasons for termination"},0)),""),"not applicable")</f>
        <v>not applicable</v>
      </c>
      <c r="AF22" s="13" t="str">
        <f>IF((B_02.02[[#This Row],[0170]]&lt;&gt;""),IF(ISNUMBER(MATCH(B_02.02[[#This Row],[0170]],{"Low","Medium","High"},0)),""),"not applicable")</f>
        <v/>
      </c>
      <c r="AG22" s="13" t="str">
        <f>IF((B_02.02[[#This Row],[0140]]&lt;&gt;""),IF(ISNUMBER(MATCH(B_02.02[[#This Row],[0140]],{"Yes","No"},0)),""),"not applicable")</f>
        <v/>
      </c>
    </row>
    <row r="23" spans="2:33" ht="12.75">
      <c r="B23" s="10" t="s">
        <v>688</v>
      </c>
      <c r="C23" s="27" t="str">
        <f>B_02.02[[#This Row],[0010]]&amp;"contract"</f>
        <v>C2360contract</v>
      </c>
      <c r="D23" s="215" t="s">
        <v>684</v>
      </c>
      <c r="E23" s="215" t="s">
        <v>698</v>
      </c>
      <c r="F23" s="215" t="s">
        <v>691</v>
      </c>
      <c r="G23" s="215" t="s">
        <v>692</v>
      </c>
      <c r="H23" s="215" t="s">
        <v>690</v>
      </c>
      <c r="I23" s="221" t="e">
        <f>INDEX(Table1[0050],MATCH(B_02.02[[#This Row],[0050]],Table1[0010],0))</f>
        <v>#N/A</v>
      </c>
      <c r="J23" s="218">
        <v>45352</v>
      </c>
      <c r="K23" s="218">
        <v>47596</v>
      </c>
      <c r="L23" s="10"/>
      <c r="M23" s="219">
        <v>60</v>
      </c>
      <c r="N23" s="219">
        <v>60</v>
      </c>
      <c r="O23" s="221">
        <f>IF(B_02.02[[#This Row],[0080]]="","",B_02.02[[#This Row],[0080]]-B_02.02[[#This Row],[0100]])</f>
        <v>47536</v>
      </c>
      <c r="P23" s="221" t="b">
        <f ca="1">IF(B_02.02[[#This Row],[0080]]="","",IF(B_02.02[[#This Row],[0080]]&gt;TODAY(),AND(B_02.02[[#This Row],[0080]]-B_02.02[[#This Row],[0100]]-45&lt;TODAY(),B_02.02[[#This Row],[0080]]-B_02.02[[#This Row],[0100]]&gt;TODAY()),"change date"))</f>
        <v>0</v>
      </c>
      <c r="Q23" s="221" t="str">
        <f ca="1">IF(B_02.02[[#This Row],[0111]]=TRUE,COUNTIF($P$16:P23,TRUE),"")</f>
        <v/>
      </c>
      <c r="R23" s="215" t="s">
        <v>274</v>
      </c>
      <c r="S23" s="215" t="s">
        <v>274</v>
      </c>
      <c r="T23" s="215" t="s">
        <v>686</v>
      </c>
      <c r="U23" s="215" t="s">
        <v>274</v>
      </c>
      <c r="V23" s="215" t="s">
        <v>274</v>
      </c>
      <c r="W23" s="215" t="s">
        <v>464</v>
      </c>
      <c r="X23" s="215" t="s">
        <v>687</v>
      </c>
      <c r="Y23" s="221">
        <f>INDEX(DB_02.01[0050],MATCH(B_02.02[[#This Row],[0010]],DB_02.01[0010],0))</f>
        <v>441631.36821439245</v>
      </c>
      <c r="Z23" s="13" t="str">
        <f>IF((B_02.02[[#This Row],[0120]]&lt;&gt;""),IF(ISNUMBER(MATCH(B_02.02[[#This Row],[0120]],{"ALBANIA","AUSTRIA","BELGIUM","BULGARIA","CYPRUS","CZECH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A23" s="13" t="str">
        <f>IF((B_02.02[[#This Row],[0130]]&lt;&gt;""),IF(ISNUMBER(MATCH(B_02.02[[#This Row],[0130]],{"ALBANIA","AUSTRIA","BELGIUM","BULGARIA","CYPRUS","CZECH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B23" s="13" t="str">
        <f>IF((B_02.02[[#This Row],[0150]]&lt;&gt;""),IF(ISNUMBER(MATCH(B_02.02[[#This Row],[0150]],{"ALBANIA","AUSTRIA","BELGIUM","BULGARIA","CYPRUS","CZECH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C23" s="13" t="str">
        <f>IF((B_02.02[[#This Row],[0160]]&lt;&gt;""),IF(ISNUMBER(MATCH(B_02.02[[#This Row],[0160]],{"ALBANIA","AUSTRIA","BELGIUM","BULGARIA","CYPRUS","CZECH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D23" s="13" t="str">
        <f>IF((B_02.02[[#This Row],[0180]]&lt;&gt;""),IF(ISNUMBER(MATCH(B_02.02[[#This Row],[0180]],{"Not significant","Low reliance","Material reliance","Full reliance"},0)),""),"not applicable")</f>
        <v/>
      </c>
      <c r="AE23" s="13" t="str">
        <f>IF((B_02.02[[#This Row],[0090]]&lt;&gt;""),IF(ISNUMBER(MATCH(B_02.02[[#This Row],[0090]],{"Termination not for cause: Expired and not renewd","Termination for cause: Provider in breach of applicable law, regulations or contractual provisions","Termination for cause: Identified impediments of the provider capable of altering the supported function","Termination for cause: provider's weaknesses regarding the management and security of sensitive data or information","Termination: as requested by the competent authority","Other reasons for termination"},0)),""),"not applicable")</f>
        <v>not applicable</v>
      </c>
      <c r="AF23" s="13" t="str">
        <f>IF((B_02.02[[#This Row],[0170]]&lt;&gt;""),IF(ISNUMBER(MATCH(B_02.02[[#This Row],[0170]],{"Low","Medium","High"},0)),""),"not applicable")</f>
        <v/>
      </c>
      <c r="AG23" s="13" t="str">
        <f>IF((B_02.02[[#This Row],[0140]]&lt;&gt;""),IF(ISNUMBER(MATCH(B_02.02[[#This Row],[0140]],{"Yes","No"},0)),""),"not applicable")</f>
        <v/>
      </c>
    </row>
    <row r="24" spans="2:33" ht="12.75">
      <c r="B24" s="10" t="s">
        <v>700</v>
      </c>
      <c r="C24" s="27" t="str">
        <f>B_02.02[[#This Row],[0010]]&amp;"contract"</f>
        <v>C2354contract</v>
      </c>
      <c r="D24" s="215" t="s">
        <v>678</v>
      </c>
      <c r="E24" s="215" t="s">
        <v>701</v>
      </c>
      <c r="F24" s="215" t="s">
        <v>702</v>
      </c>
      <c r="G24" s="215" t="s">
        <v>703</v>
      </c>
      <c r="H24" s="215" t="s">
        <v>690</v>
      </c>
      <c r="I24" s="221" t="e">
        <f>INDEX(Table1[0050],MATCH(B_02.02[[#This Row],[0050]],Table1[0010],0))</f>
        <v>#N/A</v>
      </c>
      <c r="J24" s="218">
        <v>45413</v>
      </c>
      <c r="K24" s="218">
        <v>46851</v>
      </c>
      <c r="L24" s="10"/>
      <c r="M24" s="219">
        <v>90</v>
      </c>
      <c r="N24" s="219">
        <v>90</v>
      </c>
      <c r="O24" s="221">
        <f>IF(B_02.02[[#This Row],[0080]]="","",B_02.02[[#This Row],[0080]]-B_02.02[[#This Row],[0100]])</f>
        <v>46761</v>
      </c>
      <c r="P24" s="221" t="b">
        <f ca="1">IF(B_02.02[[#This Row],[0080]]="","",IF(B_02.02[[#This Row],[0080]]&gt;TODAY(),AND(B_02.02[[#This Row],[0080]]-B_02.02[[#This Row],[0100]]-45&lt;TODAY(),B_02.02[[#This Row],[0080]]-B_02.02[[#This Row],[0100]]&gt;TODAY()),"change date"))</f>
        <v>0</v>
      </c>
      <c r="Q24" s="221" t="str">
        <f ca="1">IF(B_02.02[[#This Row],[0111]]=TRUE,COUNTIF($P$16:P24,TRUE),"")</f>
        <v/>
      </c>
      <c r="R24" s="215" t="s">
        <v>274</v>
      </c>
      <c r="S24" s="215" t="s">
        <v>274</v>
      </c>
      <c r="T24" s="215" t="s">
        <v>686</v>
      </c>
      <c r="U24" s="215" t="s">
        <v>274</v>
      </c>
      <c r="V24" s="215" t="s">
        <v>274</v>
      </c>
      <c r="W24" s="215" t="s">
        <v>464</v>
      </c>
      <c r="X24" s="215" t="s">
        <v>699</v>
      </c>
      <c r="Y24" s="221">
        <f>INDEX(DB_02.01[0050],MATCH(B_02.02[[#This Row],[0010]],DB_02.01[0010],0))</f>
        <v>210939.00966385848</v>
      </c>
      <c r="Z24" s="13" t="str">
        <f>IF((B_02.02[[#This Row],[0120]]&lt;&gt;""),IF(ISNUMBER(MATCH(B_02.02[[#This Row],[0120]],{"ALBANIA","AUSTRIA","BELGIUM","BULGARIA","CYPRUS","CZECH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A24" s="13" t="str">
        <f>IF((B_02.02[[#This Row],[0130]]&lt;&gt;""),IF(ISNUMBER(MATCH(B_02.02[[#This Row],[0130]],{"ALBANIA","AUSTRIA","BELGIUM","BULGARIA","CYPRUS","CZECH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B24" s="13" t="str">
        <f>IF((B_02.02[[#This Row],[0150]]&lt;&gt;""),IF(ISNUMBER(MATCH(B_02.02[[#This Row],[0150]],{"ALBANIA","AUSTRIA","BELGIUM","BULGARIA","CYPRUS","CZECH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C24" s="13" t="str">
        <f>IF((B_02.02[[#This Row],[0160]]&lt;&gt;""),IF(ISNUMBER(MATCH(B_02.02[[#This Row],[0160]],{"ALBANIA","AUSTRIA","BELGIUM","BULGARIA","CYPRUS","CZECH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D24" s="13" t="str">
        <f>IF((B_02.02[[#This Row],[0180]]&lt;&gt;""),IF(ISNUMBER(MATCH(B_02.02[[#This Row],[0180]],{"Not significant","Low reliance","Material reliance","Full reliance"},0)),""),"not applicable")</f>
        <v/>
      </c>
      <c r="AE24" s="13" t="str">
        <f>IF((B_02.02[[#This Row],[0090]]&lt;&gt;""),IF(ISNUMBER(MATCH(B_02.02[[#This Row],[0090]],{"Termination not for cause: Expired and not renewd","Termination for cause: Provider in breach of applicable law, regulations or contractual provisions","Termination for cause: Identified impediments of the provider capable of altering the supported function","Termination for cause: provider's weaknesses regarding the management and security of sensitive data or information","Termination: as requested by the competent authority","Other reasons for termination"},0)),""),"not applicable")</f>
        <v>not applicable</v>
      </c>
      <c r="AF24" s="13" t="str">
        <f>IF((B_02.02[[#This Row],[0170]]&lt;&gt;""),IF(ISNUMBER(MATCH(B_02.02[[#This Row],[0170]],{"Low","Medium","High"},0)),""),"not applicable")</f>
        <v/>
      </c>
      <c r="AG24" s="13" t="str">
        <f>IF((B_02.02[[#This Row],[0140]]&lt;&gt;""),IF(ISNUMBER(MATCH(B_02.02[[#This Row],[0140]],{"Yes","No"},0)),""),"not applicable")</f>
        <v/>
      </c>
    </row>
    <row r="25" spans="2:33" ht="12.75">
      <c r="B25" s="10" t="s">
        <v>700</v>
      </c>
      <c r="C25" s="27" t="str">
        <f>B_02.02[[#This Row],[0010]]&amp;"contract"</f>
        <v>C2387contract</v>
      </c>
      <c r="D25" s="215" t="s">
        <v>685</v>
      </c>
      <c r="E25" s="215" t="s">
        <v>701</v>
      </c>
      <c r="F25" s="215" t="s">
        <v>702</v>
      </c>
      <c r="G25" s="215" t="s">
        <v>703</v>
      </c>
      <c r="H25" s="215" t="s">
        <v>690</v>
      </c>
      <c r="I25" s="221" t="e">
        <f>INDEX(Table1[0050],MATCH(B_02.02[[#This Row],[0050]],Table1[0010],0))</f>
        <v>#N/A</v>
      </c>
      <c r="J25" s="218">
        <v>45413</v>
      </c>
      <c r="K25" s="218">
        <v>45778</v>
      </c>
      <c r="L25" s="10"/>
      <c r="M25" s="219">
        <v>60</v>
      </c>
      <c r="N25" s="219">
        <v>60</v>
      </c>
      <c r="O25" s="221">
        <f>IF(B_02.02[[#This Row],[0080]]="","",B_02.02[[#This Row],[0080]]-B_02.02[[#This Row],[0100]])</f>
        <v>45718</v>
      </c>
      <c r="P25" s="221" t="b">
        <f ca="1">IF(B_02.02[[#This Row],[0080]]="","",IF(B_02.02[[#This Row],[0080]]&gt;TODAY(),AND(B_02.02[[#This Row],[0080]]-B_02.02[[#This Row],[0100]]-45&lt;TODAY(),B_02.02[[#This Row],[0080]]-B_02.02[[#This Row],[0100]]&gt;TODAY()),"change date"))</f>
        <v>1</v>
      </c>
      <c r="Q25" s="221">
        <f ca="1">IF(B_02.02[[#This Row],[0111]]=TRUE,COUNTIF($P$16:P25,TRUE),"")</f>
        <v>1</v>
      </c>
      <c r="R25" s="215" t="s">
        <v>274</v>
      </c>
      <c r="S25" s="215" t="s">
        <v>274</v>
      </c>
      <c r="T25" s="215" t="s">
        <v>686</v>
      </c>
      <c r="U25" s="215" t="s">
        <v>274</v>
      </c>
      <c r="V25" s="10"/>
      <c r="W25" s="215" t="s">
        <v>464</v>
      </c>
      <c r="X25" s="215" t="s">
        <v>699</v>
      </c>
      <c r="Y25" s="221">
        <f>INDEX(DB_02.01[0050],MATCH(B_02.02[[#This Row],[0010]],DB_02.01[0010],0))</f>
        <v>50000</v>
      </c>
      <c r="Z25" s="13" t="str">
        <f>IF((B_02.02[[#This Row],[0120]]&lt;&gt;""),IF(ISNUMBER(MATCH(B_02.02[[#This Row],[0120]],{"ALBANIA","AUSTRIA","BELGIUM","BULGARIA","CYPRUS","CZECH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A25" s="13" t="str">
        <f>IF((B_02.02[[#This Row],[0130]]&lt;&gt;""),IF(ISNUMBER(MATCH(B_02.02[[#This Row],[0130]],{"ALBANIA","AUSTRIA","BELGIUM","BULGARIA","CYPRUS","CZECH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B25" s="13" t="str">
        <f>IF((B_02.02[[#This Row],[0150]]&lt;&gt;""),IF(ISNUMBER(MATCH(B_02.02[[#This Row],[0150]],{"ALBANIA","AUSTRIA","BELGIUM","BULGARIA","CYPRUS","CZECH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c r="AC25" s="13" t="str">
        <f>IF((B_02.02[[#This Row],[0160]]&lt;&gt;""),IF(ISNUMBER(MATCH(B_02.02[[#This Row],[0160]],{"ALBANIA","AUSTRIA","BELGIUM","BULGARIA","CYPRUS","CZECH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not applicable</v>
      </c>
      <c r="AD25" s="13" t="str">
        <f>IF((B_02.02[[#This Row],[0180]]&lt;&gt;""),IF(ISNUMBER(MATCH(B_02.02[[#This Row],[0180]],{"Not significant","Low reliance","Material reliance","Full reliance"},0)),""),"not applicable")</f>
        <v/>
      </c>
      <c r="AE25" s="13" t="str">
        <f>IF((B_02.02[[#This Row],[0090]]&lt;&gt;""),IF(ISNUMBER(MATCH(B_02.02[[#This Row],[0090]],{"Termination not for cause: Expired and not renewd","Termination for cause: Provider in breach of applicable law, regulations or contractual provisions","Termination for cause: Identified impediments of the provider capable of altering the supported function","Termination for cause: provider's weaknesses regarding the management and security of sensitive data or information","Termination: as requested by the competent authority","Other reasons for termination"},0)),""),"not applicable")</f>
        <v>not applicable</v>
      </c>
      <c r="AF25" s="13" t="str">
        <f>IF((B_02.02[[#This Row],[0170]]&lt;&gt;""),IF(ISNUMBER(MATCH(B_02.02[[#This Row],[0170]],{"Low","Medium","High"},0)),""),"not applicable")</f>
        <v/>
      </c>
      <c r="AG25" s="13" t="str">
        <f>IF((B_02.02[[#This Row],[0140]]&lt;&gt;""),IF(ISNUMBER(MATCH(B_02.02[[#This Row],[0140]],{"Yes","No"},0)),""),"not applicable")</f>
        <v/>
      </c>
    </row>
    <row r="26" spans="1:24" ht="12.75">
      <c r="A26" s="9" t="s">
        <v>310</v>
      </c>
      <c r="B26" s="16" t="s">
        <v>56</v>
      </c>
      <c r="C26" s="16"/>
      <c r="D26" s="9" t="s">
        <v>7</v>
      </c>
      <c r="E26" s="9" t="s">
        <v>57</v>
      </c>
      <c r="F26" s="9" t="s">
        <v>58</v>
      </c>
      <c r="G26" s="9" t="s">
        <v>59</v>
      </c>
      <c r="H26" s="9" t="s">
        <v>60</v>
      </c>
      <c r="J26" s="9" t="s">
        <v>61</v>
      </c>
      <c r="K26" s="9" t="s">
        <v>62</v>
      </c>
      <c r="L26" s="9" t="s">
        <v>63</v>
      </c>
      <c r="M26" s="9" t="s">
        <v>64</v>
      </c>
      <c r="N26" s="9" t="s">
        <v>64</v>
      </c>
      <c r="R26" s="9" t="s">
        <v>65</v>
      </c>
      <c r="S26" s="9" t="s">
        <v>66</v>
      </c>
      <c r="T26" s="9" t="s">
        <v>67</v>
      </c>
      <c r="U26" s="9" t="s">
        <v>66</v>
      </c>
      <c r="V26" s="9" t="s">
        <v>66</v>
      </c>
      <c r="W26" s="9" t="s">
        <v>68</v>
      </c>
      <c r="X26" s="9" t="s">
        <v>69</v>
      </c>
    </row>
    <row r="27" spans="2:24" ht="12.75">
      <c r="B27" s="9" t="s">
        <v>9</v>
      </c>
      <c r="D27" s="9" t="s">
        <v>9</v>
      </c>
      <c r="E27" s="9" t="s">
        <v>9</v>
      </c>
      <c r="F27" s="9" t="s">
        <v>9</v>
      </c>
      <c r="G27" s="9" t="s">
        <v>9</v>
      </c>
      <c r="H27" s="9" t="s">
        <v>9</v>
      </c>
      <c r="M27" s="9" t="s">
        <v>70</v>
      </c>
      <c r="N27" s="9" t="s">
        <v>71</v>
      </c>
      <c r="S27" s="9" t="s">
        <v>72</v>
      </c>
      <c r="U27" s="9" t="s">
        <v>73</v>
      </c>
      <c r="V27" s="9" t="s">
        <v>74</v>
      </c>
      <c r="W27" s="9" t="s">
        <v>73</v>
      </c>
      <c r="X27" s="9" t="s">
        <v>72</v>
      </c>
    </row>
    <row r="28" spans="23:24" ht="12.75">
      <c r="W28" s="9" t="s">
        <v>71</v>
      </c>
      <c r="X28" s="9" t="s">
        <v>70</v>
      </c>
    </row>
    <row r="29" spans="11:11" ht="12.75">
      <c r="K29" s="28"/>
    </row>
    <row r="31" spans="11:11" ht="12.75">
      <c r="K31" s="28"/>
    </row>
  </sheetData>
  <conditionalFormatting sqref="Z14">
    <cfRule type="expression" priority="47" dxfId="189" stopIfTrue="1">
      <formula>$Z14=TRUE</formula>
    </cfRule>
    <cfRule type="expression" priority="48" dxfId="188" stopIfTrue="1">
      <formula>$Z14=FALSE</formula>
    </cfRule>
  </conditionalFormatting>
  <conditionalFormatting sqref="Z16:Z25">
    <cfRule type="expression" priority="43" dxfId="188" stopIfTrue="1">
      <formula>ISNA($Z16)</formula>
    </cfRule>
    <cfRule type="expression" priority="44" dxfId="186" stopIfTrue="1">
      <formula>$Z16="not applicable"</formula>
    </cfRule>
    <cfRule type="expression" priority="45" dxfId="188" stopIfTrue="1">
      <formula>$Z16=FALSE</formula>
    </cfRule>
    <cfRule type="expression" priority="46" dxfId="189" stopIfTrue="1">
      <formula>$Z16=""</formula>
    </cfRule>
  </conditionalFormatting>
  <conditionalFormatting sqref="AA14">
    <cfRule type="expression" priority="41" dxfId="189" stopIfTrue="1">
      <formula>$AA14=TRUE</formula>
    </cfRule>
    <cfRule type="expression" priority="42" dxfId="188" stopIfTrue="1">
      <formula>$AA14=FALSE</formula>
    </cfRule>
  </conditionalFormatting>
  <conditionalFormatting sqref="AA16:AA25">
    <cfRule type="expression" priority="37" dxfId="188" stopIfTrue="1">
      <formula>ISNA($AA16)</formula>
    </cfRule>
    <cfRule type="expression" priority="38" dxfId="186" stopIfTrue="1">
      <formula>$AA16="not applicable"</formula>
    </cfRule>
    <cfRule type="expression" priority="39" dxfId="188" stopIfTrue="1">
      <formula>$AA16=FALSE</formula>
    </cfRule>
    <cfRule type="expression" priority="40" dxfId="189" stopIfTrue="1">
      <formula>$AA16=""</formula>
    </cfRule>
  </conditionalFormatting>
  <conditionalFormatting sqref="AB14">
    <cfRule type="expression" priority="35" dxfId="189" stopIfTrue="1">
      <formula>$AB14=TRUE</formula>
    </cfRule>
    <cfRule type="expression" priority="36" dxfId="188" stopIfTrue="1">
      <formula>$AB14=FALSE</formula>
    </cfRule>
  </conditionalFormatting>
  <conditionalFormatting sqref="AB16:AB25">
    <cfRule type="expression" priority="31" dxfId="188" stopIfTrue="1">
      <formula>ISNA($AB16)</formula>
    </cfRule>
    <cfRule type="expression" priority="32" dxfId="186" stopIfTrue="1">
      <formula>$AB16="not applicable"</formula>
    </cfRule>
    <cfRule type="expression" priority="33" dxfId="188" stopIfTrue="1">
      <formula>$AB16=FALSE</formula>
    </cfRule>
    <cfRule type="expression" priority="34" dxfId="189" stopIfTrue="1">
      <formula>$AB16=""</formula>
    </cfRule>
  </conditionalFormatting>
  <conditionalFormatting sqref="AC14">
    <cfRule type="expression" priority="29" dxfId="189" stopIfTrue="1">
      <formula>$AC14=TRUE</formula>
    </cfRule>
    <cfRule type="expression" priority="30" dxfId="188" stopIfTrue="1">
      <formula>$AC14=FALSE</formula>
    </cfRule>
  </conditionalFormatting>
  <conditionalFormatting sqref="AC16:AC25">
    <cfRule type="expression" priority="25" dxfId="188" stopIfTrue="1">
      <formula>ISNA($AC16)</formula>
    </cfRule>
    <cfRule type="expression" priority="26" dxfId="186" stopIfTrue="1">
      <formula>$AC16="not applicable"</formula>
    </cfRule>
    <cfRule type="expression" priority="27" dxfId="188" stopIfTrue="1">
      <formula>$AC16=FALSE</formula>
    </cfRule>
    <cfRule type="expression" priority="28" dxfId="189" stopIfTrue="1">
      <formula>$AC16=""</formula>
    </cfRule>
  </conditionalFormatting>
  <conditionalFormatting sqref="AD14">
    <cfRule type="expression" priority="23" dxfId="189" stopIfTrue="1">
      <formula>$AD14=TRUE</formula>
    </cfRule>
    <cfRule type="expression" priority="24" dxfId="188" stopIfTrue="1">
      <formula>$AD14=FALSE</formula>
    </cfRule>
  </conditionalFormatting>
  <conditionalFormatting sqref="AD16:AD25">
    <cfRule type="expression" priority="19" dxfId="188" stopIfTrue="1">
      <formula>ISNA($AD16)</formula>
    </cfRule>
    <cfRule type="expression" priority="20" dxfId="186" stopIfTrue="1">
      <formula>$AD16="not applicable"</formula>
    </cfRule>
    <cfRule type="expression" priority="21" dxfId="188" stopIfTrue="1">
      <formula>$AD16=FALSE</formula>
    </cfRule>
    <cfRule type="expression" priority="22" dxfId="189" stopIfTrue="1">
      <formula>$AD16=""</formula>
    </cfRule>
  </conditionalFormatting>
  <conditionalFormatting sqref="AE14">
    <cfRule type="expression" priority="17" dxfId="189" stopIfTrue="1">
      <formula>$AE14=TRUE</formula>
    </cfRule>
    <cfRule type="expression" priority="18" dxfId="188" stopIfTrue="1">
      <formula>$AE14=FALSE</formula>
    </cfRule>
  </conditionalFormatting>
  <conditionalFormatting sqref="AE16:AE25">
    <cfRule type="expression" priority="13" dxfId="188" stopIfTrue="1">
      <formula>ISNA($AE16)</formula>
    </cfRule>
    <cfRule type="expression" priority="14" dxfId="186" stopIfTrue="1">
      <formula>$AE16="not applicable"</formula>
    </cfRule>
    <cfRule type="expression" priority="15" dxfId="188" stopIfTrue="1">
      <formula>$AE16=FALSE</formula>
    </cfRule>
    <cfRule type="expression" priority="16" dxfId="189" stopIfTrue="1">
      <formula>$AE16=""</formula>
    </cfRule>
  </conditionalFormatting>
  <conditionalFormatting sqref="AF14">
    <cfRule type="expression" priority="11" dxfId="189" stopIfTrue="1">
      <formula>$AF14=TRUE</formula>
    </cfRule>
    <cfRule type="expression" priority="12" dxfId="188" stopIfTrue="1">
      <formula>$AF14=FALSE</formula>
    </cfRule>
  </conditionalFormatting>
  <conditionalFormatting sqref="AF16:AF25">
    <cfRule type="expression" priority="7" dxfId="188" stopIfTrue="1">
      <formula>ISNA($AF16)</formula>
    </cfRule>
    <cfRule type="expression" priority="8" dxfId="186" stopIfTrue="1">
      <formula>$AF16="not applicable"</formula>
    </cfRule>
    <cfRule type="expression" priority="9" dxfId="188" stopIfTrue="1">
      <formula>$AF16=FALSE</formula>
    </cfRule>
    <cfRule type="expression" priority="10" dxfId="189" stopIfTrue="1">
      <formula>$AF16=""</formula>
    </cfRule>
  </conditionalFormatting>
  <conditionalFormatting sqref="AG14">
    <cfRule type="expression" priority="5" dxfId="189" stopIfTrue="1">
      <formula>$AG14=TRUE</formula>
    </cfRule>
    <cfRule type="expression" priority="6" dxfId="188" stopIfTrue="1">
      <formula>$AG14=FALSE</formula>
    </cfRule>
  </conditionalFormatting>
  <conditionalFormatting sqref="AG16:AG25">
    <cfRule type="expression" priority="1" dxfId="188" stopIfTrue="1">
      <formula>ISNA($AG16)</formula>
    </cfRule>
    <cfRule type="expression" priority="2" dxfId="186" stopIfTrue="1">
      <formula>$AG16="not applicable"</formula>
    </cfRule>
    <cfRule type="expression" priority="3" dxfId="188" stopIfTrue="1">
      <formula>$AG16=FALSE</formula>
    </cfRule>
    <cfRule type="expression" priority="4" dxfId="189" stopIfTrue="1">
      <formula>$AG16=""</formula>
    </cfRule>
  </conditionalFormatting>
  <pageMargins left="0.7" right="0.7" top="0.75" bottom="0.75" header="0.3" footer="0.3"/>
  <ignoredErrors>
    <ignoredError sqref="E16:E26" numberStoredAsText="1"/>
    <ignoredError sqref="D16:D26" numberStoredAsText="1"/>
    <ignoredError sqref="H16:H26" numberStoredAsText="1"/>
    <ignoredError sqref="F16:F26" numberStoredAsText="1"/>
    <ignoredError sqref="G16:G26" numberStoredAsText="1"/>
    <ignoredError sqref="R16:R26" numberStoredAsText="1"/>
    <ignoredError sqref="S16:S26" numberStoredAsText="1"/>
    <ignoredError sqref="T16:T26" numberStoredAsText="1"/>
    <ignoredError sqref="U16:U26" numberStoredAsText="1"/>
    <ignoredError sqref="V16:V26" numberStoredAsText="1"/>
    <ignoredError sqref="W16:W26" numberStoredAsText="1"/>
    <ignoredError sqref="X16:X26" numberStoredAsText="1"/>
    <ignoredError sqref="L16:L26" numberStoredAsText="1"/>
  </ignoredErrors>
  <drawing r:id="rId3"/>
  <legacyDrawing r:id="rId4"/>
  <tableParts>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ABFC44F-F264-4FE4-9BB4-41CB008D9F16}">
  <sheetPr codeName="Sheet5"/>
  <dimension ref="A1:G8"/>
  <sheetViews>
    <sheetView showGridLines="0" zoomScale="80" zoomScaleNormal="80" workbookViewId="0" topLeftCell="A1">
      <pane ySplit="1" topLeftCell="A2" activePane="bottomLeft" state="frozen"/>
      <selection pane="topLeft" activeCell="C3" sqref="C3"/>
      <selection pane="bottomLeft" activeCell="C3" sqref="C3"/>
    </sheetView>
  </sheetViews>
  <sheetFormatPr defaultRowHeight="15" customHeight="1"/>
  <cols>
    <col min="1" max="1" width="6.71428571428571" customWidth="1"/>
    <col min="2" max="3" width="9.14285714285714" customWidth="1"/>
    <col min="4" max="4" width="15.2857142857143" customWidth="1"/>
    <col min="5" max="5" width="9.14285714285714" customWidth="1"/>
    <col min="6" max="6" width="13.5714285714286" customWidth="1"/>
    <col min="7" max="7" width="9.14285714285714" customWidth="1"/>
  </cols>
  <sheetData>
    <row r="1" spans="1:1" s="138" customFormat="1" ht="45.4" customHeight="1">
      <c r="A1" s="17" t="s">
        <v>631</v>
      </c>
    </row>
    <row r="4" spans="3:7" ht="76.5">
      <c r="C4" s="8" t="s">
        <v>317</v>
      </c>
      <c r="D4" s="8" t="s">
        <v>318</v>
      </c>
      <c r="E4" s="8" t="s">
        <v>319</v>
      </c>
      <c r="F4" s="8" t="s">
        <v>320</v>
      </c>
      <c r="G4" s="8" t="s">
        <v>321</v>
      </c>
    </row>
    <row r="5" spans="3:7" ht="12.75">
      <c r="C5" s="153" t="s">
        <v>37</v>
      </c>
      <c r="D5" s="154" t="s">
        <v>3</v>
      </c>
      <c r="E5" s="154" t="s">
        <v>38</v>
      </c>
      <c r="F5" s="154" t="s">
        <v>36</v>
      </c>
      <c r="G5" s="155" t="s">
        <v>5</v>
      </c>
    </row>
    <row r="6" spans="3:7" ht="12.75">
      <c r="C6" s="156"/>
      <c r="D6" s="157"/>
      <c r="E6" s="157"/>
      <c r="F6" s="157"/>
      <c r="G6" s="158"/>
    </row>
    <row r="7" spans="2:7" ht="12.75">
      <c r="B7" s="9" t="s">
        <v>310</v>
      </c>
      <c r="C7" s="9" t="s">
        <v>59</v>
      </c>
      <c r="D7" s="9" t="s">
        <v>60</v>
      </c>
      <c r="E7" s="9" t="s">
        <v>322</v>
      </c>
      <c r="F7" s="9" t="s">
        <v>323</v>
      </c>
      <c r="G7" s="9" t="s">
        <v>324</v>
      </c>
    </row>
    <row r="8" spans="3:4" ht="12.75">
      <c r="C8" s="9" t="s">
        <v>9</v>
      </c>
      <c r="D8" s="9" t="s">
        <v>9</v>
      </c>
    </row>
  </sheetData>
  <pageMargins left="0.7" right="0.7" top="0.75" bottom="0.75" header="0.3" footer="0.3"/>
  <drawing r:id="rId2"/>
  <tableParts>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2C9583EF-C35B-42D5-B623-D59481A6521D}">
  <sheetPr codeName="Sheet6"/>
  <dimension ref="A1:G6"/>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5" customHeight="1"/>
  <cols>
    <col min="1" max="1" width="6.71428571428571" customWidth="1"/>
    <col min="2" max="4" width="9.14285714285714" customWidth="1"/>
    <col min="5" max="5" width="11" customWidth="1"/>
    <col min="6" max="6" width="10.5714285714286" customWidth="1"/>
    <col min="7" max="7" width="9.14285714285714" customWidth="1"/>
  </cols>
  <sheetData>
    <row r="1" spans="1:1" s="138" customFormat="1" ht="45.4" customHeight="1">
      <c r="A1" t="s">
        <v>631</v>
      </c>
    </row>
    <row r="3" spans="2:7" ht="12.75">
      <c r="B3" s="8"/>
      <c r="C3" s="8"/>
      <c r="D3" s="8" t="s">
        <v>325</v>
      </c>
      <c r="E3" s="8"/>
      <c r="F3" s="8" t="s">
        <v>10</v>
      </c>
      <c r="G3" s="8" t="s">
        <v>11</v>
      </c>
    </row>
    <row r="4" spans="2:7" ht="12.75">
      <c r="B4" s="197" t="s">
        <v>326</v>
      </c>
      <c r="C4" s="197"/>
      <c r="D4" s="113">
        <f>'Validation Results'!X5</f>
        <v>27</v>
      </c>
      <c r="E4" s="27" t="str">
        <f>B4</f>
        <v>Pass</v>
      </c>
      <c r="F4" s="27">
        <f>IF(D4=0,1,0)</f>
        <v>0</v>
      </c>
      <c r="G4" s="27">
        <f>IF(D4&gt;0,1,0)</f>
        <v>1</v>
      </c>
    </row>
    <row r="5" spans="2:7" ht="12.75">
      <c r="B5" s="197" t="s">
        <v>327</v>
      </c>
      <c r="C5" s="197"/>
      <c r="D5" s="113">
        <f>'Validation Results'!X6</f>
        <v>0</v>
      </c>
      <c r="E5" s="27" t="str">
        <f>B5</f>
        <v>Warning</v>
      </c>
      <c r="F5" s="27">
        <f>IF(D5=0,1,0)</f>
        <v>1</v>
      </c>
      <c r="G5" s="27">
        <f>IF(D5&gt;0,1,0)</f>
        <v>0</v>
      </c>
    </row>
    <row r="6" spans="2:7" ht="12.75">
      <c r="B6" s="197" t="s">
        <v>328</v>
      </c>
      <c r="C6" s="197"/>
      <c r="D6" s="114">
        <f>'Validation Results'!X7</f>
        <v>0</v>
      </c>
      <c r="E6" s="27" t="str">
        <f>B6</f>
        <v>Failed</v>
      </c>
      <c r="F6" s="27">
        <f>IF(D6=0,1,0)</f>
        <v>1</v>
      </c>
      <c r="G6" s="27">
        <f>IF(D6&gt;0,1,0)</f>
        <v>0</v>
      </c>
    </row>
    <row r="9" ht="14.45" customHeight="1"/>
  </sheetData>
  <mergeCells count="3">
    <mergeCell ref="B4:C4"/>
    <mergeCell ref="B5:C5"/>
    <mergeCell ref="B6:C6"/>
  </mergeCells>
  <conditionalFormatting sqref="D5">
    <cfRule type="cellIs" priority="1" dxfId="141" operator="greaterThan">
      <formula>0</formula>
    </cfRule>
    <cfRule type="cellIs" priority="2" dxfId="140" operator="equal">
      <formula>0</formula>
    </cfRule>
  </conditionalFormatting>
  <conditionalFormatting sqref="D6">
    <cfRule type="cellIs" priority="3" dxfId="139" operator="equal">
      <formula>0</formula>
    </cfRule>
    <cfRule type="cellIs" priority="4" dxfId="138" operator="greaterThan">
      <formula>0</formula>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654A0F3-F121-48C1-8E1D-4BB3B56A25B8}">
  <sheetPr codeName="Sheet7"/>
  <dimension ref="A1:M281"/>
  <sheetViews>
    <sheetView showGridLines="0" zoomScale="80" zoomScaleNormal="80" workbookViewId="0" topLeftCell="A1">
      <pane ySplit="1" topLeftCell="A28" activePane="bottomLeft" state="frozen"/>
      <selection pane="topLeft" activeCell="C3" sqref="C3"/>
      <selection pane="bottomLeft" activeCell="C3" sqref="C3"/>
    </sheetView>
  </sheetViews>
  <sheetFormatPr defaultRowHeight="15" customHeight="1"/>
  <cols>
    <col min="1" max="1" width="6.71428571428571" customWidth="1"/>
    <col min="2" max="2" width="44.7142857142857" bestFit="1" customWidth="1"/>
    <col min="3" max="3" width="10.4285714285714" customWidth="1"/>
    <col min="4" max="5" width="9.14285714285714" customWidth="1"/>
    <col min="6" max="6" width="10.8571428571429" customWidth="1"/>
    <col min="7" max="7" width="9.14285714285714" customWidth="1"/>
    <col min="8" max="9" width="15.1428571428571" customWidth="1"/>
    <col min="10" max="10" width="15.8571428571429" customWidth="1"/>
    <col min="11" max="11" width="9.14285714285714" customWidth="1"/>
  </cols>
  <sheetData>
    <row r="1" spans="1:5" s="138" customFormat="1" ht="45.4" customHeight="1">
      <c r="A1" t="s">
        <v>631</v>
      </c>
      <c r="C1" t="s">
        <v>291</v>
      </c>
      <c r="D1">
        <v>1</v>
      </c>
      <c r="E1">
        <v>2</v>
      </c>
    </row>
    <row r="2" spans="2:3" ht="12.75">
      <c r="B2" t="s">
        <v>290</v>
      </c>
      <c r="C2" t="s">
        <v>289</v>
      </c>
    </row>
    <row r="3" spans="2:3" ht="12.75">
      <c r="B3" t="s">
        <v>78</v>
      </c>
      <c r="C3">
        <v>1</v>
      </c>
    </row>
    <row r="4" spans="2:3" ht="12.75">
      <c r="B4" t="s">
        <v>288</v>
      </c>
      <c r="C4">
        <v>1</v>
      </c>
    </row>
    <row r="5" spans="2:3" ht="12.75">
      <c r="B5" t="s">
        <v>80</v>
      </c>
      <c r="C5">
        <v>2</v>
      </c>
    </row>
    <row r="6" spans="2:3" ht="12.75">
      <c r="B6" t="s">
        <v>81</v>
      </c>
      <c r="C6">
        <v>2</v>
      </c>
    </row>
    <row r="7" spans="2:3" ht="12.75">
      <c r="B7" t="s">
        <v>82</v>
      </c>
      <c r="C7">
        <v>2</v>
      </c>
    </row>
    <row r="8" spans="2:3" ht="12.75">
      <c r="B8" t="s">
        <v>83</v>
      </c>
      <c r="C8">
        <v>2</v>
      </c>
    </row>
    <row r="28" spans="2:11" ht="15">
      <c r="B28" s="29" t="s">
        <v>287</v>
      </c>
      <c r="C28" s="30" t="s">
        <v>286</v>
      </c>
      <c r="D28" s="30" t="s">
        <v>86</v>
      </c>
      <c r="E28" s="30" t="s">
        <v>78</v>
      </c>
      <c r="F28" s="31" t="s">
        <v>87</v>
      </c>
      <c r="G28" s="31" t="s">
        <v>80</v>
      </c>
      <c r="H28" s="31" t="s">
        <v>81</v>
      </c>
      <c r="I28" s="31" t="s">
        <v>82</v>
      </c>
      <c r="J28" s="31" t="s">
        <v>83</v>
      </c>
      <c r="K28" s="152" t="s">
        <v>673</v>
      </c>
    </row>
    <row r="29" spans="2:11" ht="18">
      <c r="B29" s="32" t="s">
        <v>285</v>
      </c>
      <c r="K29" t="b">
        <f>IF(NOT(ISERROR(MATCH(Table6[[#This Row],[Country of data at rest]],B_02.02[0150],0))),TRUE,FALSE)</f>
        <v>0</v>
      </c>
    </row>
    <row r="30" spans="2:11" ht="12.75">
      <c r="B30" s="33"/>
      <c r="K30" t="b">
        <f>IF(NOT(ISERROR(MATCH(Table6[[#This Row],[Country of data at rest]],B_02.02[0150],0))),TRUE,FALSE)</f>
        <v>0</v>
      </c>
    </row>
    <row r="31" spans="2:13" ht="15">
      <c r="B31" t="s">
        <v>284</v>
      </c>
      <c r="C31">
        <v>5</v>
      </c>
      <c r="D31">
        <v>7.50</v>
      </c>
      <c r="E31">
        <f>IF(Table6[[#This Row],[Column1]]=TRUE,1.5,0)</f>
        <v>0</v>
      </c>
      <c r="G31" t="str">
        <f>IF(Table6[[#This Row],[In EU]],$C$3,"NA")</f>
        <v>NA</v>
      </c>
      <c r="H31" s="34" t="b" cm="1">
        <f t="array" ref="H31">ISNUMBER(MATCH(B_02.02[0150],Table6[[#This Row],[Country of data at rest]],0))</f>
        <v>1</v>
      </c>
      <c r="I31" cm="1">
        <f t="array" ref="I31">IF(ISNUMBER(MATCH(B_02.02[0150],Table6[[#This Row],[Country of data at rest]],0)),INDEX(Table6[[#This Row],[In EU]],MATCH(B_02.02[0150],Table6[[#This Row],[Country of data at rest]],0)),FALSE)</f>
        <v>0</v>
      </c>
      <c r="K31" t="b">
        <f>IF(NOT(ISERROR(MATCH(Table6[[#This Row],[Country of data at rest]],B_02.02[0150],0))),TRUE,FALSE)</f>
        <v>0</v>
      </c>
      <c r="M31" s="117"/>
    </row>
    <row r="32" spans="2:13" ht="12.75">
      <c r="B32" t="s">
        <v>283</v>
      </c>
      <c r="C32">
        <v>4.80</v>
      </c>
      <c r="D32">
        <v>7.60</v>
      </c>
      <c r="E32">
        <f>IF(Table6[[#This Row],[Column1]]=TRUE,1.5,0)</f>
        <v>0</v>
      </c>
      <c r="G32" t="str">
        <f>IF(Table6[[#This Row],[In EU]],$C$3,"NA")</f>
        <v>NA</v>
      </c>
      <c r="K32" t="b">
        <f>IF(NOT(ISERROR(MATCH(Table6[[#This Row],[Country of data at rest]],B_02.02[0150],0))),TRUE,FALSE)</f>
        <v>0</v>
      </c>
      <c r="M32" s="117"/>
    </row>
    <row r="33" spans="2:13" ht="12.75">
      <c r="B33" t="s">
        <v>282</v>
      </c>
      <c r="C33">
        <v>5.40</v>
      </c>
      <c r="D33">
        <v>7.20</v>
      </c>
      <c r="E33">
        <f>IF(Table6[[#This Row],[Column1]]=TRUE,1.5,0)</f>
        <v>0</v>
      </c>
      <c r="G33" t="str">
        <f>IF(Table6[[#This Row],[In EU]],$C$3,"NA")</f>
        <v>NA</v>
      </c>
      <c r="K33" t="b">
        <f>IF(NOT(ISERROR(MATCH(Table6[[#This Row],[Country of data at rest]],B_02.02[0150],0))),TRUE,FALSE)</f>
        <v>0</v>
      </c>
      <c r="M33" s="117"/>
    </row>
    <row r="34" spans="2:13" ht="12.75">
      <c r="B34" t="s">
        <v>281</v>
      </c>
      <c r="C34">
        <v>5.20</v>
      </c>
      <c r="D34">
        <v>7.20</v>
      </c>
      <c r="E34">
        <f>IF(Table6[[#This Row],[Column1]]=TRUE,1.5,0)</f>
        <v>0</v>
      </c>
      <c r="G34" t="str">
        <f>IF(Table6[[#This Row],[In EU]],$C$3,"NA")</f>
        <v>NA</v>
      </c>
      <c r="K34" t="b">
        <f>IF(NOT(ISERROR(MATCH(Table6[[#This Row],[Country of data at rest]],B_02.02[0150],0))),TRUE,FALSE)</f>
        <v>0</v>
      </c>
      <c r="M34" s="117"/>
    </row>
    <row r="35" spans="2:13" ht="12.75">
      <c r="B35" t="s">
        <v>280</v>
      </c>
      <c r="C35">
        <v>5.70</v>
      </c>
      <c r="D35">
        <v>6.60</v>
      </c>
      <c r="E35">
        <f>IF(Table6[[#This Row],[Column1]]=TRUE,1.5,0)</f>
        <v>0</v>
      </c>
      <c r="G35" t="str">
        <f>IF(Table6[[#This Row],[In EU]],$C$3,"NA")</f>
        <v>NA</v>
      </c>
      <c r="K35" t="b">
        <f>IF(NOT(ISERROR(MATCH(Table6[[#This Row],[Country of data at rest]],B_02.02[0150],0))),TRUE,FALSE)</f>
        <v>0</v>
      </c>
      <c r="M35" s="117"/>
    </row>
    <row r="36" spans="2:13" ht="12.75">
      <c r="B36" t="s">
        <v>279</v>
      </c>
      <c r="C36">
        <v>5.20</v>
      </c>
      <c r="D36">
        <v>7.50</v>
      </c>
      <c r="E36">
        <f>IF(Table6[[#This Row],[Column1]]=TRUE,1.5,0)</f>
        <v>0</v>
      </c>
      <c r="G36" t="str">
        <f>IF(Table6[[#This Row],[In EU]],$C$3,"NA")</f>
        <v>NA</v>
      </c>
      <c r="K36" t="b">
        <f>IF(NOT(ISERROR(MATCH(Table6[[#This Row],[Country of data at rest]],B_02.02[0150],0))),TRUE,FALSE)</f>
        <v>0</v>
      </c>
      <c r="M36" s="117"/>
    </row>
    <row r="37" spans="2:13" ht="12.75">
      <c r="B37" t="s">
        <v>278</v>
      </c>
      <c r="C37">
        <v>5</v>
      </c>
      <c r="D37">
        <v>8</v>
      </c>
      <c r="E37">
        <f>IF(Table6[[#This Row],[Column1]]=TRUE,1.5,0)</f>
        <v>0</v>
      </c>
      <c r="G37" t="str">
        <f>IF(Table6[[#This Row],[In EU]],$C$3,"NA")</f>
        <v>NA</v>
      </c>
      <c r="K37" t="b">
        <f>IF(NOT(ISERROR(MATCH(Table6[[#This Row],[Country of data at rest]],B_02.02[0150],0))),TRUE,FALSE)</f>
        <v>0</v>
      </c>
      <c r="M37" s="117"/>
    </row>
    <row r="38" spans="2:13" ht="12.75">
      <c r="B38" t="s">
        <v>277</v>
      </c>
      <c r="C38">
        <v>5.30</v>
      </c>
      <c r="D38">
        <v>8</v>
      </c>
      <c r="E38">
        <f>IF(Table6[[#This Row],[Column1]]=TRUE,1.5,0)</f>
        <v>0</v>
      </c>
      <c r="G38" t="str">
        <f>IF(Table6[[#This Row],[In EU]],$C$3,"NA")</f>
        <v>NA</v>
      </c>
      <c r="K38" t="b">
        <f>IF(NOT(ISERROR(MATCH(Table6[[#This Row],[Country of data at rest]],B_02.02[0150],0))),TRUE,FALSE)</f>
        <v>0</v>
      </c>
      <c r="M38" s="117"/>
    </row>
    <row r="39" spans="1:13" ht="12.75">
      <c r="A39" s="151"/>
      <c r="B39" t="s">
        <v>276</v>
      </c>
      <c r="C39">
        <v>5.40</v>
      </c>
      <c r="D39">
        <v>8.50</v>
      </c>
      <c r="E39">
        <f>IF(Table6[[#This Row],[Column1]]=TRUE,1.5,0)</f>
        <v>0</v>
      </c>
      <c r="G39" t="str">
        <f>IF(Table6[[#This Row],[In EU]],$C$3,"NA")</f>
        <v>NA</v>
      </c>
      <c r="K39" t="b">
        <f>IF(NOT(ISERROR(MATCH(Table6[[#This Row],[Country of data at rest]],B_02.02[0150],0))),TRUE,FALSE)</f>
        <v>0</v>
      </c>
      <c r="M39" s="117"/>
    </row>
    <row r="40" spans="2:13" ht="12.75">
      <c r="B40" t="s">
        <v>275</v>
      </c>
      <c r="C40">
        <v>4.80</v>
      </c>
      <c r="D40">
        <v>7.40</v>
      </c>
      <c r="E40">
        <f>IF(Table6[[#This Row],[Column1]]=TRUE,1.5,0)</f>
        <v>1.5</v>
      </c>
      <c r="G40">
        <f>IF(Table6[[#This Row],[In EU]],$C$3,"NA")</f>
        <v>1</v>
      </c>
      <c r="K40" t="b">
        <f>IF(NOT(ISERROR(MATCH(Table6[[#This Row],[Country of data at rest]],B_02.02[0150],0))),TRUE,FALSE)</f>
        <v>1</v>
      </c>
      <c r="M40" s="117"/>
    </row>
    <row r="41" spans="2:13" ht="12.75">
      <c r="B41" t="s">
        <v>274</v>
      </c>
      <c r="C41">
        <v>4.9</v>
      </c>
      <c r="D41">
        <v>7.60</v>
      </c>
      <c r="E41">
        <f>IF(Table6[[#This Row],[Column1]]=TRUE,1.5,0)</f>
        <v>1.5</v>
      </c>
      <c r="G41">
        <f>IF(Table6[[#This Row],[In EU]],$C$3,"NA")</f>
        <v>1</v>
      </c>
      <c r="K41" t="b">
        <f>IF(NOT(ISERROR(MATCH(Table6[[#This Row],[Country of data at rest]],B_02.02[0150],0))),TRUE,FALSE)</f>
        <v>1</v>
      </c>
      <c r="M41" s="117"/>
    </row>
    <row r="42" spans="2:13" ht="12.75">
      <c r="B42" t="s">
        <v>273</v>
      </c>
      <c r="C42">
        <v>5.40</v>
      </c>
      <c r="D42">
        <v>6.80</v>
      </c>
      <c r="E42">
        <f>IF(Table6[[#This Row],[Column1]]=TRUE,1.5,0)</f>
        <v>0</v>
      </c>
      <c r="G42" t="str">
        <f>IF(Table6[[#This Row],[In EU]],$C$3,"NA")</f>
        <v>NA</v>
      </c>
      <c r="K42" t="b">
        <f>IF(NOT(ISERROR(MATCH(Table6[[#This Row],[Country of data at rest]],B_02.02[0150],0))),TRUE,FALSE)</f>
        <v>0</v>
      </c>
      <c r="M42" s="117"/>
    </row>
    <row r="43" spans="2:13" ht="12.75">
      <c r="B43" t="s">
        <v>272</v>
      </c>
      <c r="C43">
        <v>5.30</v>
      </c>
      <c r="D43">
        <v>7.20</v>
      </c>
      <c r="E43">
        <f>IF(Table6[[#This Row],[Column1]]=TRUE,1.5,0)</f>
        <v>0</v>
      </c>
      <c r="G43" t="str">
        <f>IF(Table6[[#This Row],[In EU]],$C$3,"NA")</f>
        <v>NA</v>
      </c>
      <c r="K43" t="b">
        <f>IF(NOT(ISERROR(MATCH(Table6[[#This Row],[Country of data at rest]],B_02.02[0150],0))),TRUE,FALSE)</f>
        <v>0</v>
      </c>
      <c r="M43" s="117"/>
    </row>
    <row r="44" spans="2:13" ht="12.75">
      <c r="B44" t="s">
        <v>271</v>
      </c>
      <c r="C44">
        <v>4.50</v>
      </c>
      <c r="D44">
        <v>7.80</v>
      </c>
      <c r="E44">
        <f>IF(Table6[[#This Row],[Column1]]=TRUE,1.5,0)</f>
        <v>0</v>
      </c>
      <c r="G44" t="str">
        <f>IF(Table6[[#This Row],[In EU]],$C$3,"NA")</f>
        <v>NA</v>
      </c>
      <c r="K44" t="b">
        <f>IF(NOT(ISERROR(MATCH(Table6[[#This Row],[Country of data at rest]],B_02.02[0150],0))),TRUE,FALSE)</f>
        <v>0</v>
      </c>
      <c r="M44" s="117"/>
    </row>
    <row r="45" spans="2:13" ht="12.75">
      <c r="B45" t="s">
        <v>270</v>
      </c>
      <c r="C45">
        <v>5.1</v>
      </c>
      <c r="D45">
        <v>7</v>
      </c>
      <c r="E45">
        <f>IF(Table6[[#This Row],[Column1]]=TRUE,1.5,0)</f>
        <v>0</v>
      </c>
      <c r="G45" t="str">
        <f>IF(Table6[[#This Row],[In EU]],$C$3,"NA")</f>
        <v>NA</v>
      </c>
      <c r="K45" t="b">
        <f>IF(NOT(ISERROR(MATCH(Table6[[#This Row],[Country of data at rest]],B_02.02[0150],0))),TRUE,FALSE)</f>
        <v>0</v>
      </c>
      <c r="M45" s="117"/>
    </row>
    <row r="46" spans="2:13" ht="12.75">
      <c r="B46" t="s">
        <v>269</v>
      </c>
      <c r="C46">
        <v>5.50</v>
      </c>
      <c r="D46">
        <v>8</v>
      </c>
      <c r="E46">
        <f>IF(Table6[[#This Row],[Column1]]=TRUE,1.5,0)</f>
        <v>0</v>
      </c>
      <c r="G46" t="str">
        <f>IF(Table6[[#This Row],[In EU]],$C$3,"NA")</f>
        <v>NA</v>
      </c>
      <c r="K46" t="b">
        <f>IF(NOT(ISERROR(MATCH(Table6[[#This Row],[Country of data at rest]],B_02.02[0150],0))),TRUE,FALSE)</f>
        <v>0</v>
      </c>
      <c r="M46" s="117"/>
    </row>
    <row r="47" spans="2:13" ht="12.75">
      <c r="B47" t="s">
        <v>268</v>
      </c>
      <c r="C47">
        <v>5.1</v>
      </c>
      <c r="D47">
        <v>7.20</v>
      </c>
      <c r="E47">
        <f>IF(Table6[[#This Row],[Column1]]=TRUE,1.5,0)</f>
        <v>0</v>
      </c>
      <c r="G47" t="str">
        <f>IF(Table6[[#This Row],[In EU]],$C$3,"NA")</f>
        <v>NA</v>
      </c>
      <c r="K47" t="b">
        <f>IF(NOT(ISERROR(MATCH(Table6[[#This Row],[Country of data at rest]],B_02.02[0150],0))),TRUE,FALSE)</f>
        <v>0</v>
      </c>
      <c r="M47" s="117"/>
    </row>
    <row r="48" spans="2:13" ht="12.75">
      <c r="B48" t="s">
        <v>267</v>
      </c>
      <c r="C48">
        <v>4.6</v>
      </c>
      <c r="D48">
        <v>7.20</v>
      </c>
      <c r="E48">
        <f>IF(Table6[[#This Row],[Column1]]=TRUE,1.5,0)</f>
        <v>0</v>
      </c>
      <c r="G48" t="str">
        <f>IF(Table6[[#This Row],[In EU]],$C$3,"NA")</f>
        <v>NA</v>
      </c>
      <c r="K48" t="b">
        <f>IF(NOT(ISERROR(MATCH(Table6[[#This Row],[Country of data at rest]],B_02.02[0150],0))),TRUE,FALSE)</f>
        <v>0</v>
      </c>
      <c r="M48" s="117"/>
    </row>
    <row r="49" spans="2:13" ht="12.75">
      <c r="B49" t="s">
        <v>266</v>
      </c>
      <c r="C49">
        <v>5</v>
      </c>
      <c r="D49">
        <v>6.80</v>
      </c>
      <c r="E49">
        <f>IF(Table6[[#This Row],[Column1]]=TRUE,1.5,0)</f>
        <v>0</v>
      </c>
      <c r="G49" t="str">
        <f>IF(Table6[[#This Row],[In EU]],$C$3,"NA")</f>
        <v>NA</v>
      </c>
      <c r="K49" t="b">
        <f>IF(NOT(ISERROR(MATCH(Table6[[#This Row],[Country of data at rest]],B_02.02[0150],0))),TRUE,FALSE)</f>
        <v>0</v>
      </c>
      <c r="M49" s="117"/>
    </row>
    <row r="50" spans="2:13" ht="12.75">
      <c r="B50" t="s">
        <v>265</v>
      </c>
      <c r="C50">
        <v>4.9</v>
      </c>
      <c r="D50">
        <v>7.80</v>
      </c>
      <c r="E50">
        <f>IF(Table6[[#This Row],[Column1]]=TRUE,1.5,0)</f>
        <v>0</v>
      </c>
      <c r="G50" t="str">
        <f>IF(Table6[[#This Row],[In EU]],$C$3,"NA")</f>
        <v>NA</v>
      </c>
      <c r="K50" t="b">
        <f>IF(NOT(ISERROR(MATCH(Table6[[#This Row],[Country of data at rest]],B_02.02[0150],0))),TRUE,FALSE)</f>
        <v>0</v>
      </c>
      <c r="M50" s="117"/>
    </row>
    <row r="51" spans="2:13" ht="12.75">
      <c r="B51" t="s">
        <v>264</v>
      </c>
      <c r="C51">
        <v>5</v>
      </c>
      <c r="D51">
        <v>7</v>
      </c>
      <c r="E51">
        <f>IF(Table6[[#This Row],[Column1]]=TRUE,1.5,0)</f>
        <v>0</v>
      </c>
      <c r="G51" t="str">
        <f>IF(Table6[[#This Row],[In EU]],$C$3,"NA")</f>
        <v>NA</v>
      </c>
      <c r="K51" t="b">
        <f>IF(NOT(ISERROR(MATCH(Table6[[#This Row],[Country of data at rest]],B_02.02[0150],0))),TRUE,FALSE)</f>
        <v>0</v>
      </c>
      <c r="M51" s="117"/>
    </row>
    <row r="52" spans="2:13" ht="12.75">
      <c r="B52" t="s">
        <v>263</v>
      </c>
      <c r="C52">
        <v>4.4</v>
      </c>
      <c r="D52">
        <v>7</v>
      </c>
      <c r="E52">
        <f>IF(Table6[[#This Row],[Column1]]=TRUE,1.5,0)</f>
        <v>0</v>
      </c>
      <c r="G52" t="str">
        <f>IF(Table6[[#This Row],[In EU]],$C$3,"NA")</f>
        <v>NA</v>
      </c>
      <c r="K52" t="b">
        <f>IF(NOT(ISERROR(MATCH(Table6[[#This Row],[Country of data at rest]],B_02.02[0150],0))),TRUE,FALSE)</f>
        <v>0</v>
      </c>
      <c r="M52" s="117"/>
    </row>
    <row r="53" spans="2:13" ht="12.75">
      <c r="B53" t="s">
        <v>262</v>
      </c>
      <c r="C53">
        <v>5.40</v>
      </c>
      <c r="D53">
        <v>7</v>
      </c>
      <c r="E53">
        <f>IF(Table6[[#This Row],[Column1]]=TRUE,1.5,0)</f>
        <v>0</v>
      </c>
      <c r="G53" t="str">
        <f>IF(Table6[[#This Row],[In EU]],$C$3,"NA")</f>
        <v>NA</v>
      </c>
      <c r="K53" t="b">
        <f>IF(NOT(ISERROR(MATCH(Table6[[#This Row],[Country of data at rest]],B_02.02[0150],0))),TRUE,FALSE)</f>
        <v>0</v>
      </c>
      <c r="M53" s="117"/>
    </row>
    <row r="54" spans="2:13" ht="12.75">
      <c r="B54" t="s">
        <v>261</v>
      </c>
      <c r="C54">
        <v>5.20</v>
      </c>
      <c r="D54">
        <v>7.20</v>
      </c>
      <c r="E54">
        <f>IF(Table6[[#This Row],[Column1]]=TRUE,1.5,0)</f>
        <v>0</v>
      </c>
      <c r="G54" t="str">
        <f>IF(Table6[[#This Row],[In EU]],$C$3,"NA")</f>
        <v>NA</v>
      </c>
      <c r="K54" t="b">
        <f>IF(NOT(ISERROR(MATCH(Table6[[#This Row],[Country of data at rest]],B_02.02[0150],0))),TRUE,FALSE)</f>
        <v>0</v>
      </c>
      <c r="M54" s="117"/>
    </row>
    <row r="55" spans="2:13" ht="12.75">
      <c r="B55" t="s">
        <v>260</v>
      </c>
      <c r="C55">
        <v>5</v>
      </c>
      <c r="D55">
        <v>7</v>
      </c>
      <c r="E55">
        <f>IF(Table6[[#This Row],[Column1]]=TRUE,1.5,0)</f>
        <v>0</v>
      </c>
      <c r="G55" t="str">
        <f>IF(Table6[[#This Row],[In EU]],$C$3,"NA")</f>
        <v>NA</v>
      </c>
      <c r="K55" t="b">
        <f>IF(NOT(ISERROR(MATCH(Table6[[#This Row],[Country of data at rest]],B_02.02[0150],0))),TRUE,FALSE)</f>
        <v>0</v>
      </c>
      <c r="M55" s="117"/>
    </row>
    <row r="56" spans="2:13" ht="12.75">
      <c r="B56" t="s">
        <v>259</v>
      </c>
      <c r="C56">
        <v>4.50</v>
      </c>
      <c r="D56">
        <v>6.90</v>
      </c>
      <c r="E56">
        <f>IF(Table6[[#This Row],[Column1]]=TRUE,1.5,0)</f>
        <v>1.5</v>
      </c>
      <c r="G56">
        <f>IF(Table6[[#This Row],[In EU]],$C$3,"NA")</f>
        <v>1</v>
      </c>
      <c r="K56" t="b">
        <f>IF(NOT(ISERROR(MATCH(Table6[[#This Row],[Country of data at rest]],B_02.02[0150],0))),TRUE,FALSE)</f>
        <v>1</v>
      </c>
      <c r="M56" s="117"/>
    </row>
    <row r="57" spans="2:13" ht="12.75">
      <c r="B57" t="s">
        <v>258</v>
      </c>
      <c r="C57">
        <v>5.1</v>
      </c>
      <c r="D57">
        <v>8.2</v>
      </c>
      <c r="E57">
        <f>IF(Table6[[#This Row],[Column1]]=TRUE,1.5,0)</f>
        <v>0</v>
      </c>
      <c r="G57" t="str">
        <f>IF(Table6[[#This Row],[In EU]],$C$3,"NA")</f>
        <v>NA</v>
      </c>
      <c r="K57" t="b">
        <f>IF(NOT(ISERROR(MATCH(Table6[[#This Row],[Country of data at rest]],B_02.02[0150],0))),TRUE,FALSE)</f>
        <v>0</v>
      </c>
      <c r="M57" s="117"/>
    </row>
    <row r="58" spans="11:13" ht="15" customHeight="1">
      <c r="K58" t="b">
        <f>IF(NOT(ISERROR(MATCH(Table6[[#This Row],[Country of data at rest]],B_02.02[0150],0))),TRUE,FALSE)</f>
        <v>0</v>
      </c>
      <c r="M58" s="117"/>
    </row>
    <row r="59" spans="11:13" ht="15" customHeight="1">
      <c r="K59" t="b">
        <f>IF(NOT(ISERROR(MATCH(Table6[[#This Row],[Country of data at rest]],B_02.02[0150],0))),TRUE,FALSE)</f>
        <v>0</v>
      </c>
      <c r="M59" s="117"/>
    </row>
    <row r="60" spans="11:13" ht="15" customHeight="1">
      <c r="K60" t="b">
        <f>IF(NOT(ISERROR(MATCH(Table6[[#This Row],[Country of data at rest]],B_02.02[0150],0))),TRUE,FALSE)</f>
        <v>0</v>
      </c>
      <c r="M60" s="117"/>
    </row>
    <row r="61" spans="2:13" ht="18">
      <c r="B61" s="32" t="s">
        <v>257</v>
      </c>
      <c r="K61" t="b">
        <f>IF(NOT(ISERROR(MATCH(Table6[[#This Row],[Country of data at rest]],B_02.02[0150],0))),TRUE,FALSE)</f>
        <v>0</v>
      </c>
      <c r="M61" s="117"/>
    </row>
    <row r="62" spans="11:13" ht="15" customHeight="1">
      <c r="K62" t="b">
        <f>IF(NOT(ISERROR(MATCH(Table6[[#This Row],[Country of data at rest]],B_02.02[0150],0))),TRUE,FALSE)</f>
        <v>0</v>
      </c>
      <c r="M62" s="117"/>
    </row>
    <row r="63" spans="2:13" ht="15.75">
      <c r="B63" s="35" t="s">
        <v>256</v>
      </c>
      <c r="K63" t="b">
        <f>IF(NOT(ISERROR(MATCH(Table6[[#This Row],[Country of data at rest]],B_02.02[0150],0))),TRUE,FALSE)</f>
        <v>0</v>
      </c>
      <c r="M63" s="117"/>
    </row>
    <row r="64" spans="2:13" ht="12.75">
      <c r="B64" s="33"/>
      <c r="K64" t="b">
        <f>IF(NOT(ISERROR(MATCH(Table6[[#This Row],[Country of data at rest]],B_02.02[0150],0))),TRUE,FALSE)</f>
        <v>0</v>
      </c>
      <c r="M64" s="117"/>
    </row>
    <row r="65" spans="2:13" ht="12.75">
      <c r="B65" t="s">
        <v>255</v>
      </c>
      <c r="C65">
        <v>5.20</v>
      </c>
      <c r="D65">
        <v>8.10</v>
      </c>
      <c r="E65">
        <f>IF(Table6[[#This Row],[Column1]]=TRUE,1.5,0)</f>
        <v>0</v>
      </c>
      <c r="G65" t="str">
        <f>IF(Table6[[#This Row],[In EU]],$C$3,"NA")</f>
        <v>NA</v>
      </c>
      <c r="K65" t="b">
        <f>IF(NOT(ISERROR(MATCH(Table6[[#This Row],[Country of data at rest]],B_02.02[0150],0))),TRUE,FALSE)</f>
        <v>0</v>
      </c>
      <c r="M65" s="117"/>
    </row>
    <row r="66" spans="2:13" ht="12.75">
      <c r="B66" t="s">
        <v>254</v>
      </c>
      <c r="C66">
        <v>5.20</v>
      </c>
      <c r="D66">
        <v>8.10</v>
      </c>
      <c r="E66">
        <f>IF(Table6[[#This Row],[Column1]]=TRUE,1.5,0)</f>
        <v>0</v>
      </c>
      <c r="G66" t="str">
        <f>IF(Table6[[#This Row],[In EU]],$C$3,"NA")</f>
        <v>NA</v>
      </c>
      <c r="K66" t="b">
        <f>IF(NOT(ISERROR(MATCH(Table6[[#This Row],[Country of data at rest]],B_02.02[0150],0))),TRUE,FALSE)</f>
        <v>0</v>
      </c>
      <c r="M66" s="117"/>
    </row>
    <row r="67" spans="2:13" ht="12.75">
      <c r="B67" t="s">
        <v>124</v>
      </c>
      <c r="C67">
        <v>5.20</v>
      </c>
      <c r="D67">
        <v>8.10</v>
      </c>
      <c r="E67">
        <f>IF(Table6[[#This Row],[Column1]]=TRUE,1.5,0)</f>
        <v>0</v>
      </c>
      <c r="G67" t="str">
        <f>IF(Table6[[#This Row],[In EU]],$C$3,"NA")</f>
        <v>NA</v>
      </c>
      <c r="K67" t="b">
        <f>IF(NOT(ISERROR(MATCH(Table6[[#This Row],[Country of data at rest]],B_02.02[0150],0))),TRUE,FALSE)</f>
        <v>0</v>
      </c>
      <c r="M67" s="117"/>
    </row>
    <row r="68" spans="2:13" ht="12.75">
      <c r="B68" t="s">
        <v>253</v>
      </c>
      <c r="C68">
        <v>5.20</v>
      </c>
      <c r="D68">
        <v>8.10</v>
      </c>
      <c r="E68">
        <f>IF(Table6[[#This Row],[Column1]]=TRUE,1.5,0)</f>
        <v>0</v>
      </c>
      <c r="G68" t="str">
        <f>IF(Table6[[#This Row],[In EU]],$C$3,"NA")</f>
        <v>NA</v>
      </c>
      <c r="K68" t="b">
        <f>IF(NOT(ISERROR(MATCH(Table6[[#This Row],[Country of data at rest]],B_02.02[0150],0))),TRUE,FALSE)</f>
        <v>0</v>
      </c>
      <c r="M68" s="117"/>
    </row>
    <row r="69" spans="2:13" ht="12.75">
      <c r="B69" t="s">
        <v>252</v>
      </c>
      <c r="C69">
        <v>5.20</v>
      </c>
      <c r="D69">
        <v>8.10</v>
      </c>
      <c r="E69">
        <f>IF(Table6[[#This Row],[Column1]]=TRUE,1.5,0)</f>
        <v>0</v>
      </c>
      <c r="G69" t="str">
        <f>IF(Table6[[#This Row],[In EU]],$C$3,"NA")</f>
        <v>NA</v>
      </c>
      <c r="K69" t="b">
        <f>IF(NOT(ISERROR(MATCH(Table6[[#This Row],[Country of data at rest]],B_02.02[0150],0))),TRUE,FALSE)</f>
        <v>0</v>
      </c>
      <c r="M69" s="117"/>
    </row>
    <row r="70" spans="2:13" ht="12.75">
      <c r="B70" t="s">
        <v>251</v>
      </c>
      <c r="C70">
        <v>5.20</v>
      </c>
      <c r="D70">
        <v>8.10</v>
      </c>
      <c r="E70">
        <f>IF(Table6[[#This Row],[Column1]]=TRUE,1.5,0)</f>
        <v>0</v>
      </c>
      <c r="G70" t="str">
        <f>IF(Table6[[#This Row],[In EU]],$C$3,"NA")</f>
        <v>NA</v>
      </c>
      <c r="K70" t="b">
        <f>IF(NOT(ISERROR(MATCH(Table6[[#This Row],[Country of data at rest]],B_02.02[0150],0))),TRUE,FALSE)</f>
        <v>0</v>
      </c>
      <c r="M70" s="117"/>
    </row>
    <row r="71" spans="2:13" ht="12.75">
      <c r="B71" t="s">
        <v>250</v>
      </c>
      <c r="C71">
        <v>5.20</v>
      </c>
      <c r="D71">
        <v>8.10</v>
      </c>
      <c r="E71">
        <f>IF(Table6[[#This Row],[Column1]]=TRUE,1.5,0)</f>
        <v>0</v>
      </c>
      <c r="G71" t="str">
        <f>IF(Table6[[#This Row],[In EU]],$C$3,"NA")</f>
        <v>NA</v>
      </c>
      <c r="K71" t="b">
        <f>IF(NOT(ISERROR(MATCH(Table6[[#This Row],[Country of data at rest]],B_02.02[0150],0))),TRUE,FALSE)</f>
        <v>0</v>
      </c>
      <c r="M71" s="117"/>
    </row>
    <row r="72" spans="2:13" ht="12.75">
      <c r="B72" t="s">
        <v>249</v>
      </c>
      <c r="C72">
        <v>5.20</v>
      </c>
      <c r="D72">
        <v>8.10</v>
      </c>
      <c r="E72">
        <f>IF(Table6[[#This Row],[Column1]]=TRUE,1.5,0)</f>
        <v>0</v>
      </c>
      <c r="G72" t="str">
        <f>IF(Table6[[#This Row],[In EU]],$C$3,"NA")</f>
        <v>NA</v>
      </c>
      <c r="K72" t="b">
        <f>IF(NOT(ISERROR(MATCH(Table6[[#This Row],[Country of data at rest]],B_02.02[0150],0))),TRUE,FALSE)</f>
        <v>0</v>
      </c>
      <c r="M72" s="117"/>
    </row>
    <row r="73" spans="2:13" ht="12.75">
      <c r="B73" t="s">
        <v>248</v>
      </c>
      <c r="C73">
        <v>5.20</v>
      </c>
      <c r="D73">
        <v>8.10</v>
      </c>
      <c r="E73">
        <f>IF(Table6[[#This Row],[Column1]]=TRUE,1.5,0)</f>
        <v>0</v>
      </c>
      <c r="G73" t="str">
        <f>IF(Table6[[#This Row],[In EU]],$C$3,"NA")</f>
        <v>NA</v>
      </c>
      <c r="K73" t="b">
        <f>IF(NOT(ISERROR(MATCH(Table6[[#This Row],[Country of data at rest]],B_02.02[0150],0))),TRUE,FALSE)</f>
        <v>0</v>
      </c>
      <c r="M73" s="117"/>
    </row>
    <row r="74" spans="2:13" ht="12.75">
      <c r="B74" t="s">
        <v>247</v>
      </c>
      <c r="C74">
        <v>5.20</v>
      </c>
      <c r="D74">
        <v>8.10</v>
      </c>
      <c r="E74">
        <f>IF(Table6[[#This Row],[Column1]]=TRUE,1.5,0)</f>
        <v>0</v>
      </c>
      <c r="G74" t="str">
        <f>IF(Table6[[#This Row],[In EU]],$C$3,"NA")</f>
        <v>NA</v>
      </c>
      <c r="K74" t="b">
        <f>IF(NOT(ISERROR(MATCH(Table6[[#This Row],[Country of data at rest]],B_02.02[0150],0))),TRUE,FALSE)</f>
        <v>0</v>
      </c>
      <c r="M74" s="117"/>
    </row>
    <row r="75" spans="2:13" ht="12.75">
      <c r="B75" t="s">
        <v>246</v>
      </c>
      <c r="C75">
        <v>5.20</v>
      </c>
      <c r="D75">
        <v>8.10</v>
      </c>
      <c r="E75">
        <f>IF(Table6[[#This Row],[Column1]]=TRUE,1.5,0)</f>
        <v>0</v>
      </c>
      <c r="G75" t="str">
        <f>IF(Table6[[#This Row],[In EU]],$C$3,"NA")</f>
        <v>NA</v>
      </c>
      <c r="K75" t="b">
        <f>IF(NOT(ISERROR(MATCH(Table6[[#This Row],[Country of data at rest]],B_02.02[0150],0))),TRUE,FALSE)</f>
        <v>0</v>
      </c>
      <c r="M75" s="117"/>
    </row>
    <row r="76" spans="2:13" ht="12.75">
      <c r="B76" t="s">
        <v>245</v>
      </c>
      <c r="C76">
        <v>5.20</v>
      </c>
      <c r="D76">
        <v>8.10</v>
      </c>
      <c r="E76">
        <f>IF(Table6[[#This Row],[Column1]]=TRUE,1.5,0)</f>
        <v>0</v>
      </c>
      <c r="G76" t="str">
        <f>IF(Table6[[#This Row],[In EU]],$C$3,"NA")</f>
        <v>NA</v>
      </c>
      <c r="K76" t="b">
        <f>IF(NOT(ISERROR(MATCH(Table6[[#This Row],[Country of data at rest]],B_02.02[0150],0))),TRUE,FALSE)</f>
        <v>0</v>
      </c>
      <c r="M76" s="117"/>
    </row>
    <row r="77" spans="2:13" ht="12.75">
      <c r="B77" t="s">
        <v>244</v>
      </c>
      <c r="C77">
        <v>5.20</v>
      </c>
      <c r="D77">
        <v>8.10</v>
      </c>
      <c r="E77">
        <f>IF(Table6[[#This Row],[Column1]]=TRUE,1.5,0)</f>
        <v>0</v>
      </c>
      <c r="G77" t="str">
        <f>IF(Table6[[#This Row],[In EU]],$C$3,"NA")</f>
        <v>NA</v>
      </c>
      <c r="K77" t="b">
        <f>IF(NOT(ISERROR(MATCH(Table6[[#This Row],[Country of data at rest]],B_02.02[0150],0))),TRUE,FALSE)</f>
        <v>0</v>
      </c>
      <c r="M77" s="117"/>
    </row>
    <row r="78" spans="2:13" ht="12.75">
      <c r="B78" t="s">
        <v>243</v>
      </c>
      <c r="C78">
        <v>5.20</v>
      </c>
      <c r="D78">
        <v>8.10</v>
      </c>
      <c r="E78">
        <f>IF(Table6[[#This Row],[Column1]]=TRUE,1.5,0)</f>
        <v>0</v>
      </c>
      <c r="G78" t="str">
        <f>IF(Table6[[#This Row],[In EU]],$C$3,"NA")</f>
        <v>NA</v>
      </c>
      <c r="K78" t="b">
        <f>IF(NOT(ISERROR(MATCH(Table6[[#This Row],[Country of data at rest]],B_02.02[0150],0))),TRUE,FALSE)</f>
        <v>0</v>
      </c>
      <c r="M78" s="117"/>
    </row>
    <row r="79" spans="2:13" ht="12.75">
      <c r="B79" t="s">
        <v>242</v>
      </c>
      <c r="C79">
        <v>5.20</v>
      </c>
      <c r="D79">
        <v>8.10</v>
      </c>
      <c r="E79">
        <f>IF(Table6[[#This Row],[Column1]]=TRUE,1.5,0)</f>
        <v>0</v>
      </c>
      <c r="G79" t="str">
        <f>IF(Table6[[#This Row],[In EU]],$C$3,"NA")</f>
        <v>NA</v>
      </c>
      <c r="K79" t="b">
        <f>IF(NOT(ISERROR(MATCH(Table6[[#This Row],[Country of data at rest]],B_02.02[0150],0))),TRUE,FALSE)</f>
        <v>0</v>
      </c>
      <c r="M79" s="117"/>
    </row>
    <row r="80" spans="2:13" ht="12.75">
      <c r="B80" t="s">
        <v>241</v>
      </c>
      <c r="C80">
        <v>5.20</v>
      </c>
      <c r="D80">
        <v>8.10</v>
      </c>
      <c r="E80">
        <f>IF(Table6[[#This Row],[Column1]]=TRUE,1.5,0)</f>
        <v>0</v>
      </c>
      <c r="G80" t="str">
        <f>IF(Table6[[#This Row],[In EU]],$C$3,"NA")</f>
        <v>NA</v>
      </c>
      <c r="K80" t="b">
        <f>IF(NOT(ISERROR(MATCH(Table6[[#This Row],[Country of data at rest]],B_02.02[0150],0))),TRUE,FALSE)</f>
        <v>0</v>
      </c>
      <c r="M80" s="117"/>
    </row>
    <row r="81" spans="2:13" ht="12.75">
      <c r="B81" t="s">
        <v>240</v>
      </c>
      <c r="C81">
        <v>5.20</v>
      </c>
      <c r="D81">
        <v>8.10</v>
      </c>
      <c r="E81">
        <f>IF(Table6[[#This Row],[Column1]]=TRUE,1.5,0)</f>
        <v>0</v>
      </c>
      <c r="G81" t="str">
        <f>IF(Table6[[#This Row],[In EU]],$C$3,"NA")</f>
        <v>NA</v>
      </c>
      <c r="K81" t="b">
        <f>IF(NOT(ISERROR(MATCH(Table6[[#This Row],[Country of data at rest]],B_02.02[0150],0))),TRUE,FALSE)</f>
        <v>0</v>
      </c>
      <c r="M81" s="117"/>
    </row>
    <row r="82" spans="2:13" ht="12.75">
      <c r="B82" t="s">
        <v>239</v>
      </c>
      <c r="C82">
        <v>5.20</v>
      </c>
      <c r="D82">
        <v>8.10</v>
      </c>
      <c r="E82">
        <f>IF(Table6[[#This Row],[Column1]]=TRUE,1.5,0)</f>
        <v>0</v>
      </c>
      <c r="G82" t="str">
        <f>IF(Table6[[#This Row],[In EU]],$C$3,"NA")</f>
        <v>NA</v>
      </c>
      <c r="K82" t="b">
        <f>IF(NOT(ISERROR(MATCH(Table6[[#This Row],[Country of data at rest]],B_02.02[0150],0))),TRUE,FALSE)</f>
        <v>0</v>
      </c>
      <c r="M82" s="117"/>
    </row>
    <row r="83" spans="2:13" ht="12.75">
      <c r="B83" t="s">
        <v>238</v>
      </c>
      <c r="C83">
        <v>7</v>
      </c>
      <c r="D83">
        <v>8.50</v>
      </c>
      <c r="E83">
        <f>IF(Table6[[#This Row],[Column1]]=TRUE,1.5,0)</f>
        <v>1.5</v>
      </c>
      <c r="G83">
        <f>IF(Table6[[#This Row],[In EU]],$C$3,"NA")</f>
        <v>1</v>
      </c>
      <c r="K83" t="b">
        <f>IF(NOT(ISERROR(MATCH(Table6[[#This Row],[Country of data at rest]],B_02.02[0150],0))),TRUE,FALSE)</f>
        <v>1</v>
      </c>
      <c r="M83" s="117"/>
    </row>
    <row r="84" spans="2:13" ht="12.75">
      <c r="B84" t="s">
        <v>237</v>
      </c>
      <c r="C84">
        <v>5.20</v>
      </c>
      <c r="D84">
        <v>8.10</v>
      </c>
      <c r="E84">
        <f>IF(Table6[[#This Row],[Column1]]=TRUE,1.5,0)</f>
        <v>0</v>
      </c>
      <c r="G84" t="str">
        <f>IF(Table6[[#This Row],[In EU]],$C$3,"NA")</f>
        <v>NA</v>
      </c>
      <c r="K84" t="b">
        <f>IF(NOT(ISERROR(MATCH(Table6[[#This Row],[Country of data at rest]],B_02.02[0150],0))),TRUE,FALSE)</f>
        <v>0</v>
      </c>
      <c r="M84" s="117"/>
    </row>
    <row r="85" spans="2:13" ht="12.75">
      <c r="B85" t="s">
        <v>236</v>
      </c>
      <c r="C85">
        <v>5.20</v>
      </c>
      <c r="D85">
        <v>8.10</v>
      </c>
      <c r="E85">
        <f>IF(Table6[[#This Row],[Column1]]=TRUE,1.5,0)</f>
        <v>0</v>
      </c>
      <c r="G85" t="str">
        <f>IF(Table6[[#This Row],[In EU]],$C$3,"NA")</f>
        <v>NA</v>
      </c>
      <c r="K85" t="b">
        <f>IF(NOT(ISERROR(MATCH(Table6[[#This Row],[Country of data at rest]],B_02.02[0150],0))),TRUE,FALSE)</f>
        <v>0</v>
      </c>
      <c r="M85" s="117"/>
    </row>
    <row r="86" spans="2:13" ht="12.75">
      <c r="B86" t="s">
        <v>235</v>
      </c>
      <c r="C86">
        <v>5.20</v>
      </c>
      <c r="D86">
        <v>8.10</v>
      </c>
      <c r="E86">
        <f>IF(Table6[[#This Row],[Column1]]=TRUE,1.5,0)</f>
        <v>0</v>
      </c>
      <c r="G86" t="str">
        <f>IF(Table6[[#This Row],[In EU]],$C$3,"NA")</f>
        <v>NA</v>
      </c>
      <c r="K86" t="b">
        <f>IF(NOT(ISERROR(MATCH(Table6[[#This Row],[Country of data at rest]],B_02.02[0150],0))),TRUE,FALSE)</f>
        <v>0</v>
      </c>
      <c r="M86" s="117"/>
    </row>
    <row r="87" spans="2:13" ht="12.75">
      <c r="B87" t="s">
        <v>234</v>
      </c>
      <c r="C87">
        <v>5.20</v>
      </c>
      <c r="D87">
        <v>8.10</v>
      </c>
      <c r="E87">
        <f>IF(Table6[[#This Row],[Column1]]=TRUE,1.5,0)</f>
        <v>0</v>
      </c>
      <c r="G87" t="str">
        <f>IF(Table6[[#This Row],[In EU]],$C$3,"NA")</f>
        <v>NA</v>
      </c>
      <c r="K87" t="b">
        <f>IF(NOT(ISERROR(MATCH(Table6[[#This Row],[Country of data at rest]],B_02.02[0150],0))),TRUE,FALSE)</f>
        <v>0</v>
      </c>
      <c r="M87" s="117"/>
    </row>
    <row r="88" spans="2:13" ht="12.75">
      <c r="B88" t="s">
        <v>233</v>
      </c>
      <c r="C88">
        <v>5.20</v>
      </c>
      <c r="D88">
        <v>8.10</v>
      </c>
      <c r="E88">
        <f>IF(Table6[[#This Row],[Column1]]=TRUE,1.5,0)</f>
        <v>0</v>
      </c>
      <c r="G88" t="str">
        <f>IF(Table6[[#This Row],[In EU]],$C$3,"NA")</f>
        <v>NA</v>
      </c>
      <c r="K88" t="b">
        <f>IF(NOT(ISERROR(MATCH(Table6[[#This Row],[Country of data at rest]],B_02.02[0150],0))),TRUE,FALSE)</f>
        <v>0</v>
      </c>
      <c r="M88" s="117"/>
    </row>
    <row r="89" spans="11:13" ht="15" customHeight="1">
      <c r="K89" t="b">
        <f>IF(NOT(ISERROR(MATCH(Table6[[#This Row],[Country of data at rest]],B_02.02[0150],0))),TRUE,FALSE)</f>
        <v>0</v>
      </c>
      <c r="M89" s="117"/>
    </row>
    <row r="90" spans="11:13" ht="15" customHeight="1">
      <c r="K90" t="b">
        <f>IF(NOT(ISERROR(MATCH(Table6[[#This Row],[Country of data at rest]],B_02.02[0150],0))),TRUE,FALSE)</f>
        <v>0</v>
      </c>
      <c r="M90" s="117"/>
    </row>
    <row r="91" spans="11:13" ht="15" customHeight="1">
      <c r="K91" t="b">
        <f>IF(NOT(ISERROR(MATCH(Table6[[#This Row],[Country of data at rest]],B_02.02[0150],0))),TRUE,FALSE)</f>
        <v>0</v>
      </c>
      <c r="M91" s="117"/>
    </row>
    <row r="92" spans="2:13" ht="15.75">
      <c r="B92" s="35" t="s">
        <v>80</v>
      </c>
      <c r="K92" t="b">
        <f>IF(NOT(ISERROR(MATCH(Table6[[#This Row],[Country of data at rest]],B_02.02[0150],0))),TRUE,FALSE)</f>
        <v>0</v>
      </c>
      <c r="M92" s="117"/>
    </row>
    <row r="93" spans="2:13" ht="12.75">
      <c r="B93" s="33"/>
      <c r="K93" t="b">
        <f>IF(NOT(ISERROR(MATCH(Table6[[#This Row],[Country of data at rest]],B_02.02[0150],0))),TRUE,FALSE)</f>
        <v>0</v>
      </c>
      <c r="M93" s="117"/>
    </row>
    <row r="94" spans="2:13" ht="12.75">
      <c r="B94" t="s">
        <v>232</v>
      </c>
      <c r="C94">
        <v>5.20</v>
      </c>
      <c r="D94">
        <v>5</v>
      </c>
      <c r="E94">
        <f>IF(Table6[[#This Row],[Column1]]=TRUE,1.5,0)</f>
        <v>0</v>
      </c>
      <c r="G94" t="str">
        <f>IF(Table6[[#This Row],[In EU]],$C$5,"NA")</f>
        <v>NA</v>
      </c>
      <c r="K94" t="b">
        <f>IF(NOT(ISERROR(MATCH(Table6[[#This Row],[Country of data at rest]],B_02.02[0150],0))),TRUE,FALSE)</f>
        <v>0</v>
      </c>
      <c r="M94" s="117"/>
    </row>
    <row r="95" spans="2:13" ht="12.75">
      <c r="B95" t="s">
        <v>231</v>
      </c>
      <c r="C95">
        <v>5.20</v>
      </c>
      <c r="D95">
        <v>5</v>
      </c>
      <c r="E95">
        <f>IF(Table6[[#This Row],[Column1]]=TRUE,1.5,0)</f>
        <v>0</v>
      </c>
      <c r="G95" t="str">
        <f>IF(Table6[[#This Row],[In EU]],$C$5,"NA")</f>
        <v>NA</v>
      </c>
      <c r="K95" t="b">
        <f>IF(NOT(ISERROR(MATCH(Table6[[#This Row],[Country of data at rest]],B_02.02[0150],0))),TRUE,FALSE)</f>
        <v>0</v>
      </c>
      <c r="M95" s="117"/>
    </row>
    <row r="96" spans="2:13" ht="12.75">
      <c r="B96" t="s">
        <v>230</v>
      </c>
      <c r="C96">
        <v>5.20</v>
      </c>
      <c r="D96">
        <v>5</v>
      </c>
      <c r="E96">
        <f>IF(Table6[[#This Row],[Column1]]=TRUE,1.5,0)</f>
        <v>0</v>
      </c>
      <c r="G96" t="str">
        <f>IF(Table6[[#This Row],[In EU]],$C$5,"NA")</f>
        <v>NA</v>
      </c>
      <c r="K96" t="b">
        <f>IF(NOT(ISERROR(MATCH(Table6[[#This Row],[Country of data at rest]],B_02.02[0150],0))),TRUE,FALSE)</f>
        <v>0</v>
      </c>
      <c r="M96" s="117"/>
    </row>
    <row r="97" spans="2:13" ht="12.75">
      <c r="B97" t="s">
        <v>229</v>
      </c>
      <c r="C97">
        <v>5.20</v>
      </c>
      <c r="D97">
        <v>5</v>
      </c>
      <c r="E97">
        <f>IF(Table6[[#This Row],[Column1]]=TRUE,1.5,0)</f>
        <v>0</v>
      </c>
      <c r="G97" t="str">
        <f>IF(Table6[[#This Row],[In EU]],$C$5,"NA")</f>
        <v>NA</v>
      </c>
      <c r="K97" t="b">
        <f>IF(NOT(ISERROR(MATCH(Table6[[#This Row],[Country of data at rest]],B_02.02[0150],0))),TRUE,FALSE)</f>
        <v>0</v>
      </c>
      <c r="M97" s="117"/>
    </row>
    <row r="98" spans="2:13" ht="12.75">
      <c r="B98" t="s">
        <v>228</v>
      </c>
      <c r="C98">
        <v>5.20</v>
      </c>
      <c r="D98">
        <v>5</v>
      </c>
      <c r="E98">
        <f>IF(Table6[[#This Row],[Column1]]=TRUE,1.5,0)</f>
        <v>0</v>
      </c>
      <c r="G98" t="str">
        <f>IF(Table6[[#This Row],[In EU]],$C$5,"NA")</f>
        <v>NA</v>
      </c>
      <c r="K98" t="b">
        <f>IF(NOT(ISERROR(MATCH(Table6[[#This Row],[Country of data at rest]],B_02.02[0150],0))),TRUE,FALSE)</f>
        <v>0</v>
      </c>
      <c r="M98" s="117"/>
    </row>
    <row r="99" spans="2:13" ht="12.75">
      <c r="B99" t="s">
        <v>227</v>
      </c>
      <c r="C99">
        <v>5.20</v>
      </c>
      <c r="D99">
        <v>5</v>
      </c>
      <c r="E99">
        <f>IF(Table6[[#This Row],[Column1]]=TRUE,1.5,0)</f>
        <v>0</v>
      </c>
      <c r="G99" t="str">
        <f>IF(Table6[[#This Row],[In EU]],$C$5,"NA")</f>
        <v>NA</v>
      </c>
      <c r="K99" t="b">
        <f>IF(NOT(ISERROR(MATCH(Table6[[#This Row],[Country of data at rest]],B_02.02[0150],0))),TRUE,FALSE)</f>
        <v>0</v>
      </c>
      <c r="M99" s="117"/>
    </row>
    <row r="100" spans="2:13" ht="12.75">
      <c r="B100" s="117" t="s">
        <v>670</v>
      </c>
      <c r="C100">
        <v>5.20</v>
      </c>
      <c r="D100">
        <v>5</v>
      </c>
      <c r="E100">
        <f>IF(Table6[[#This Row],[Column1]]=TRUE,1.5,0)</f>
        <v>0</v>
      </c>
      <c r="G100" t="str">
        <f>IF(Table6[[#This Row],[In EU]],$C$5,"NA")</f>
        <v>NA</v>
      </c>
      <c r="K100" t="b">
        <f>IF(NOT(ISERROR(MATCH(Table6[[#This Row],[Country of data at rest]],B_02.02[0150],0))),TRUE,FALSE)</f>
        <v>0</v>
      </c>
      <c r="M100" s="117"/>
    </row>
    <row r="101" spans="2:13" ht="12.75">
      <c r="B101" t="s">
        <v>226</v>
      </c>
      <c r="C101">
        <v>5.20</v>
      </c>
      <c r="D101">
        <v>5</v>
      </c>
      <c r="E101">
        <f>IF(Table6[[#This Row],[Column1]]=TRUE,1.5,0)</f>
        <v>0</v>
      </c>
      <c r="G101" t="str">
        <f>IF(Table6[[#This Row],[In EU]],$C$5,"NA")</f>
        <v>NA</v>
      </c>
      <c r="K101" t="b">
        <f>IF(NOT(ISERROR(MATCH(Table6[[#This Row],[Country of data at rest]],B_02.02[0150],0))),TRUE,FALSE)</f>
        <v>0</v>
      </c>
      <c r="M101" s="117"/>
    </row>
    <row r="102" spans="2:13" ht="12.75">
      <c r="B102" t="s">
        <v>225</v>
      </c>
      <c r="C102">
        <v>5.20</v>
      </c>
      <c r="D102">
        <v>5</v>
      </c>
      <c r="E102">
        <f>IF(Table6[[#This Row],[Column1]]=TRUE,1.5,0)</f>
        <v>0</v>
      </c>
      <c r="G102" t="str">
        <f>IF(Table6[[#This Row],[In EU]],$C$5,"NA")</f>
        <v>NA</v>
      </c>
      <c r="K102" t="b">
        <f>IF(NOT(ISERROR(MATCH(Table6[[#This Row],[Country of data at rest]],B_02.02[0150],0))),TRUE,FALSE)</f>
        <v>0</v>
      </c>
      <c r="M102" s="117"/>
    </row>
    <row r="103" spans="2:13" ht="12.75">
      <c r="B103" t="s">
        <v>224</v>
      </c>
      <c r="C103">
        <v>5.20</v>
      </c>
      <c r="D103">
        <v>5</v>
      </c>
      <c r="E103">
        <f>IF(Table6[[#This Row],[Column1]]=TRUE,1.5,0)</f>
        <v>0</v>
      </c>
      <c r="G103" t="str">
        <f>IF(Table6[[#This Row],[In EU]],$C$5,"NA")</f>
        <v>NA</v>
      </c>
      <c r="K103" t="b">
        <f>IF(NOT(ISERROR(MATCH(Table6[[#This Row],[Country of data at rest]],B_02.02[0150],0))),TRUE,FALSE)</f>
        <v>0</v>
      </c>
      <c r="M103" s="117"/>
    </row>
    <row r="104" spans="2:13" ht="12.75">
      <c r="B104" t="s">
        <v>223</v>
      </c>
      <c r="C104">
        <v>5.20</v>
      </c>
      <c r="D104">
        <v>5</v>
      </c>
      <c r="E104">
        <f>IF(Table6[[#This Row],[Column1]]=TRUE,1.5,0)</f>
        <v>0</v>
      </c>
      <c r="G104" t="str">
        <f>IF(Table6[[#This Row],[In EU]],$C$5,"NA")</f>
        <v>NA</v>
      </c>
      <c r="K104" t="b">
        <f>IF(NOT(ISERROR(MATCH(Table6[[#This Row],[Country of data at rest]],B_02.02[0150],0))),TRUE,FALSE)</f>
        <v>0</v>
      </c>
      <c r="M104" s="117"/>
    </row>
    <row r="105" spans="2:13" ht="12.75">
      <c r="B105" t="s">
        <v>222</v>
      </c>
      <c r="C105">
        <v>5.20</v>
      </c>
      <c r="D105">
        <v>5</v>
      </c>
      <c r="E105">
        <f>IF(Table6[[#This Row],[Column1]]=TRUE,1.5,0)</f>
        <v>0</v>
      </c>
      <c r="G105" t="str">
        <f>IF(Table6[[#This Row],[In EU]],$C$5,"NA")</f>
        <v>NA</v>
      </c>
      <c r="K105" t="b">
        <f>IF(NOT(ISERROR(MATCH(Table6[[#This Row],[Country of data at rest]],B_02.02[0150],0))),TRUE,FALSE)</f>
        <v>0</v>
      </c>
      <c r="M105" s="117"/>
    </row>
    <row r="106" spans="2:13" ht="12.75">
      <c r="B106" s="117" t="s">
        <v>671</v>
      </c>
      <c r="C106">
        <v>5.20</v>
      </c>
      <c r="D106">
        <v>5</v>
      </c>
      <c r="E106">
        <f>IF(Table6[[#This Row],[Column1]]=TRUE,1.5,0)</f>
        <v>0</v>
      </c>
      <c r="G106" t="str">
        <f>IF(Table6[[#This Row],[In EU]],$C$5,"NA")</f>
        <v>NA</v>
      </c>
      <c r="K106" t="b">
        <f>IF(NOT(ISERROR(MATCH(Table6[[#This Row],[Country of data at rest]],B_02.02[0150],0))),TRUE,FALSE)</f>
        <v>0</v>
      </c>
      <c r="M106" s="117"/>
    </row>
    <row r="107" spans="2:13" ht="12.75">
      <c r="B107" t="s">
        <v>221</v>
      </c>
      <c r="C107">
        <v>5.20</v>
      </c>
      <c r="D107">
        <v>5</v>
      </c>
      <c r="E107">
        <f>IF(Table6[[#This Row],[Column1]]=TRUE,1.5,0)</f>
        <v>0</v>
      </c>
      <c r="G107" t="str">
        <f>IF(Table6[[#This Row],[In EU]],$C$5,"NA")</f>
        <v>NA</v>
      </c>
      <c r="K107" t="b">
        <f>IF(NOT(ISERROR(MATCH(Table6[[#This Row],[Country of data at rest]],B_02.02[0150],0))),TRUE,FALSE)</f>
        <v>0</v>
      </c>
      <c r="M107" s="117"/>
    </row>
    <row r="108" spans="2:13" ht="12.75">
      <c r="B108" t="s">
        <v>220</v>
      </c>
      <c r="C108">
        <v>5.20</v>
      </c>
      <c r="D108">
        <v>5</v>
      </c>
      <c r="E108">
        <f>IF(Table6[[#This Row],[Column1]]=TRUE,1.5,0)</f>
        <v>0</v>
      </c>
      <c r="G108" t="str">
        <f>IF(Table6[[#This Row],[In EU]],$C$5,"NA")</f>
        <v>NA</v>
      </c>
      <c r="K108" t="b">
        <f>IF(NOT(ISERROR(MATCH(Table6[[#This Row],[Country of data at rest]],B_02.02[0150],0))),TRUE,FALSE)</f>
        <v>0</v>
      </c>
      <c r="M108" s="117"/>
    </row>
    <row r="109" spans="2:13" ht="12.75">
      <c r="B109" t="s">
        <v>219</v>
      </c>
      <c r="C109">
        <v>5.20</v>
      </c>
      <c r="D109">
        <v>5</v>
      </c>
      <c r="E109">
        <f>IF(Table6[[#This Row],[Column1]]=TRUE,1.5,0)</f>
        <v>0</v>
      </c>
      <c r="G109" t="str">
        <f>IF(Table6[[#This Row],[In EU]],$C$5,"NA")</f>
        <v>NA</v>
      </c>
      <c r="K109" t="b">
        <f>IF(NOT(ISERROR(MATCH(Table6[[#This Row],[Country of data at rest]],B_02.02[0150],0))),TRUE,FALSE)</f>
        <v>0</v>
      </c>
      <c r="M109" s="117"/>
    </row>
    <row r="110" spans="2:13" ht="12.75">
      <c r="B110" t="s">
        <v>218</v>
      </c>
      <c r="C110">
        <v>5.20</v>
      </c>
      <c r="D110">
        <v>5</v>
      </c>
      <c r="E110">
        <f>IF(Table6[[#This Row],[Column1]]=TRUE,1.5,0)</f>
        <v>0</v>
      </c>
      <c r="G110" t="str">
        <f>IF(Table6[[#This Row],[In EU]],$C$5,"NA")</f>
        <v>NA</v>
      </c>
      <c r="K110" t="b">
        <f>IF(NOT(ISERROR(MATCH(Table6[[#This Row],[Country of data at rest]],B_02.02[0150],0))),TRUE,FALSE)</f>
        <v>0</v>
      </c>
      <c r="M110" s="117"/>
    </row>
    <row r="111" spans="2:13" ht="12.75">
      <c r="B111" t="s">
        <v>217</v>
      </c>
      <c r="C111">
        <v>5.20</v>
      </c>
      <c r="D111">
        <v>5</v>
      </c>
      <c r="E111">
        <f>IF(Table6[[#This Row],[Column1]]=TRUE,1.5,0)</f>
        <v>0</v>
      </c>
      <c r="G111" t="str">
        <f>IF(Table6[[#This Row],[In EU]],$C$5,"NA")</f>
        <v>NA</v>
      </c>
      <c r="K111" t="b">
        <f>IF(NOT(ISERROR(MATCH(Table6[[#This Row],[Country of data at rest]],B_02.02[0150],0))),TRUE,FALSE)</f>
        <v>0</v>
      </c>
      <c r="M111" s="117"/>
    </row>
    <row r="112" spans="2:13" ht="12.75">
      <c r="B112" s="117" t="s">
        <v>672</v>
      </c>
      <c r="C112">
        <v>5.20</v>
      </c>
      <c r="D112">
        <v>5</v>
      </c>
      <c r="E112">
        <f>IF(Table6[[#This Row],[Column1]]=TRUE,1.5,0)</f>
        <v>0</v>
      </c>
      <c r="G112" t="str">
        <f>IF(Table6[[#This Row],[In EU]],$C$5,"NA")</f>
        <v>NA</v>
      </c>
      <c r="K112" t="b">
        <f>IF(NOT(ISERROR(MATCH(Table6[[#This Row],[Country of data at rest]],B_02.02[0150],0))),TRUE,FALSE)</f>
        <v>0</v>
      </c>
      <c r="M112" s="117"/>
    </row>
    <row r="113" spans="2:13" ht="12.75">
      <c r="B113" t="s">
        <v>216</v>
      </c>
      <c r="C113">
        <v>5.20</v>
      </c>
      <c r="D113">
        <v>5</v>
      </c>
      <c r="E113">
        <f>IF(Table6[[#This Row],[Column1]]=TRUE,1.5,0)</f>
        <v>0</v>
      </c>
      <c r="G113" t="str">
        <f>IF(Table6[[#This Row],[In EU]],$C$5,"NA")</f>
        <v>NA</v>
      </c>
      <c r="K113" t="b">
        <f>IF(NOT(ISERROR(MATCH(Table6[[#This Row],[Country of data at rest]],B_02.02[0150],0))),TRUE,FALSE)</f>
        <v>0</v>
      </c>
      <c r="M113" s="117"/>
    </row>
    <row r="114" spans="2:13" ht="12.75">
      <c r="B114" t="s">
        <v>215</v>
      </c>
      <c r="C114">
        <v>5.20</v>
      </c>
      <c r="D114">
        <v>5</v>
      </c>
      <c r="E114">
        <f>IF(Table6[[#This Row],[Column1]]=TRUE,1.5,0)</f>
        <v>0</v>
      </c>
      <c r="G114" t="str">
        <f>IF(Table6[[#This Row],[In EU]],$C$5,"NA")</f>
        <v>NA</v>
      </c>
      <c r="K114" t="b">
        <f>IF(NOT(ISERROR(MATCH(Table6[[#This Row],[Country of data at rest]],B_02.02[0150],0))),TRUE,FALSE)</f>
        <v>0</v>
      </c>
      <c r="M114" s="117"/>
    </row>
    <row r="115" spans="2:13" ht="12.75">
      <c r="B115" t="s">
        <v>214</v>
      </c>
      <c r="C115">
        <v>5.20</v>
      </c>
      <c r="D115">
        <v>5</v>
      </c>
      <c r="E115">
        <f>IF(Table6[[#This Row],[Column1]]=TRUE,1.5,0)</f>
        <v>0</v>
      </c>
      <c r="G115" t="str">
        <f>IF(Table6[[#This Row],[In EU]],$C$5,"NA")</f>
        <v>NA</v>
      </c>
      <c r="K115" t="b">
        <f>IF(NOT(ISERROR(MATCH(Table6[[#This Row],[Country of data at rest]],B_02.02[0150],0))),TRUE,FALSE)</f>
        <v>0</v>
      </c>
      <c r="M115" s="117"/>
    </row>
    <row r="116" spans="2:13" ht="12.75">
      <c r="B116" t="s">
        <v>213</v>
      </c>
      <c r="C116">
        <v>5.20</v>
      </c>
      <c r="D116">
        <v>5</v>
      </c>
      <c r="E116">
        <f>IF(Table6[[#This Row],[Column1]]=TRUE,1.5,0)</f>
        <v>0</v>
      </c>
      <c r="G116" t="str">
        <f>IF(Table6[[#This Row],[In EU]],$C$5,"NA")</f>
        <v>NA</v>
      </c>
      <c r="K116" t="b">
        <f>IF(NOT(ISERROR(MATCH(Table6[[#This Row],[Country of data at rest]],B_02.02[0150],0))),TRUE,FALSE)</f>
        <v>0</v>
      </c>
      <c r="M116" s="117"/>
    </row>
    <row r="117" spans="2:13" ht="12.75">
      <c r="B117" t="s">
        <v>212</v>
      </c>
      <c r="C117">
        <v>5.20</v>
      </c>
      <c r="D117">
        <v>5</v>
      </c>
      <c r="E117">
        <f>IF(Table6[[#This Row],[Column1]]=TRUE,1.5,0)</f>
        <v>0</v>
      </c>
      <c r="G117" t="str">
        <f>IF(Table6[[#This Row],[In EU]],$C$5,"NA")</f>
        <v>NA</v>
      </c>
      <c r="K117" t="b">
        <f>IF(NOT(ISERROR(MATCH(Table6[[#This Row],[Country of data at rest]],B_02.02[0150],0))),TRUE,FALSE)</f>
        <v>0</v>
      </c>
      <c r="M117" s="117"/>
    </row>
    <row r="118" spans="2:13" ht="12.75">
      <c r="B118" t="s">
        <v>211</v>
      </c>
      <c r="C118">
        <v>5.20</v>
      </c>
      <c r="D118">
        <v>5</v>
      </c>
      <c r="E118">
        <f>IF(Table6[[#This Row],[Column1]]=TRUE,1.5,0)</f>
        <v>0</v>
      </c>
      <c r="G118" t="str">
        <f>IF(Table6[[#This Row],[In EU]],$C$5,"NA")</f>
        <v>NA</v>
      </c>
      <c r="K118" t="b">
        <f>IF(NOT(ISERROR(MATCH(Table6[[#This Row],[Country of data at rest]],B_02.02[0150],0))),TRUE,FALSE)</f>
        <v>0</v>
      </c>
      <c r="M118" s="117"/>
    </row>
    <row r="119" spans="2:13" ht="12.75">
      <c r="B119" t="s">
        <v>210</v>
      </c>
      <c r="C119">
        <v>5.20</v>
      </c>
      <c r="D119">
        <v>5</v>
      </c>
      <c r="E119">
        <f>IF(Table6[[#This Row],[Column1]]=TRUE,1.5,0)</f>
        <v>0</v>
      </c>
      <c r="G119" t="str">
        <f>IF(Table6[[#This Row],[In EU]],$C$5,"NA")</f>
        <v>NA</v>
      </c>
      <c r="K119" t="b">
        <f>IF(NOT(ISERROR(MATCH(Table6[[#This Row],[Country of data at rest]],B_02.02[0150],0))),TRUE,FALSE)</f>
        <v>0</v>
      </c>
      <c r="M119" s="117"/>
    </row>
    <row r="120" spans="2:13" ht="12.75">
      <c r="B120" t="s">
        <v>209</v>
      </c>
      <c r="C120">
        <v>5.20</v>
      </c>
      <c r="D120">
        <v>5</v>
      </c>
      <c r="E120">
        <f>IF(Table6[[#This Row],[Column1]]=TRUE,1.5,0)</f>
        <v>0</v>
      </c>
      <c r="G120" t="str">
        <f>IF(Table6[[#This Row],[In EU]],$C$5,"NA")</f>
        <v>NA</v>
      </c>
      <c r="K120" t="b">
        <f>IF(NOT(ISERROR(MATCH(Table6[[#This Row],[Country of data at rest]],B_02.02[0150],0))),TRUE,FALSE)</f>
        <v>0</v>
      </c>
      <c r="M120" s="117"/>
    </row>
    <row r="121" spans="2:13" ht="12.75">
      <c r="B121" t="s">
        <v>208</v>
      </c>
      <c r="C121">
        <v>5.20</v>
      </c>
      <c r="D121">
        <v>5</v>
      </c>
      <c r="E121">
        <f>IF(Table6[[#This Row],[Column1]]=TRUE,1.5,0)</f>
        <v>0</v>
      </c>
      <c r="G121" t="str">
        <f>IF(Table6[[#This Row],[In EU]],$C$5,"NA")</f>
        <v>NA</v>
      </c>
      <c r="K121" t="b">
        <f>IF(NOT(ISERROR(MATCH(Table6[[#This Row],[Country of data at rest]],B_02.02[0150],0))),TRUE,FALSE)</f>
        <v>0</v>
      </c>
      <c r="M121" s="117"/>
    </row>
    <row r="122" spans="2:13" ht="12.75">
      <c r="B122" t="s">
        <v>207</v>
      </c>
      <c r="C122">
        <v>5.20</v>
      </c>
      <c r="D122">
        <v>5</v>
      </c>
      <c r="E122">
        <f>IF(Table6[[#This Row],[Column1]]=TRUE,1.5,0)</f>
        <v>0</v>
      </c>
      <c r="G122" t="str">
        <f>IF(Table6[[#This Row],[In EU]],$C$5,"NA")</f>
        <v>NA</v>
      </c>
      <c r="K122" t="b">
        <f>IF(NOT(ISERROR(MATCH(Table6[[#This Row],[Country of data at rest]],B_02.02[0150],0))),TRUE,FALSE)</f>
        <v>0</v>
      </c>
      <c r="M122" s="117"/>
    </row>
    <row r="123" spans="2:13" ht="12.75">
      <c r="B123" t="s">
        <v>206</v>
      </c>
      <c r="C123">
        <v>5.20</v>
      </c>
      <c r="D123">
        <v>5</v>
      </c>
      <c r="E123">
        <f>IF(Table6[[#This Row],[Column1]]=TRUE,1.5,0)</f>
        <v>0</v>
      </c>
      <c r="G123" t="str">
        <f>IF(Table6[[#This Row],[In EU]],$C$5,"NA")</f>
        <v>NA</v>
      </c>
      <c r="K123" t="b">
        <f>IF(NOT(ISERROR(MATCH(Table6[[#This Row],[Country of data at rest]],B_02.02[0150],0))),TRUE,FALSE)</f>
        <v>0</v>
      </c>
      <c r="M123" s="117"/>
    </row>
    <row r="124" spans="2:13" ht="12.75">
      <c r="B124" t="s">
        <v>205</v>
      </c>
      <c r="C124">
        <v>5.20</v>
      </c>
      <c r="D124">
        <v>5</v>
      </c>
      <c r="E124">
        <f>IF(Table6[[#This Row],[Column1]]=TRUE,1.5,0)</f>
        <v>0</v>
      </c>
      <c r="G124" t="str">
        <f>IF(Table6[[#This Row],[In EU]],$C$5,"NA")</f>
        <v>NA</v>
      </c>
      <c r="K124" t="b">
        <f>IF(NOT(ISERROR(MATCH(Table6[[#This Row],[Country of data at rest]],B_02.02[0150],0))),TRUE,FALSE)</f>
        <v>0</v>
      </c>
      <c r="M124" s="117"/>
    </row>
    <row r="125" spans="2:13" ht="12.75">
      <c r="B125" t="s">
        <v>204</v>
      </c>
      <c r="C125">
        <v>5.20</v>
      </c>
      <c r="D125">
        <v>5</v>
      </c>
      <c r="E125">
        <f>IF(Table6[[#This Row],[Column1]]=TRUE,1.5,0)</f>
        <v>0</v>
      </c>
      <c r="G125" t="str">
        <f>IF(Table6[[#This Row],[In EU]],$C$5,"NA")</f>
        <v>NA</v>
      </c>
      <c r="K125" t="b">
        <f>IF(NOT(ISERROR(MATCH(Table6[[#This Row],[Country of data at rest]],B_02.02[0150],0))),TRUE,FALSE)</f>
        <v>0</v>
      </c>
      <c r="M125" s="117"/>
    </row>
    <row r="126" spans="2:13" ht="12.75">
      <c r="B126" t="s">
        <v>203</v>
      </c>
      <c r="C126">
        <v>5.20</v>
      </c>
      <c r="D126">
        <v>5</v>
      </c>
      <c r="E126">
        <f>IF(Table6[[#This Row],[Column1]]=TRUE,1.5,0)</f>
        <v>0</v>
      </c>
      <c r="G126" t="str">
        <f>IF(Table6[[#This Row],[In EU]],$C$5,"NA")</f>
        <v>NA</v>
      </c>
      <c r="K126" t="b">
        <f>IF(NOT(ISERROR(MATCH(Table6[[#This Row],[Country of data at rest]],B_02.02[0150],0))),TRUE,FALSE)</f>
        <v>0</v>
      </c>
      <c r="M126" s="117"/>
    </row>
    <row r="127" spans="2:13" ht="12.75">
      <c r="B127" t="s">
        <v>202</v>
      </c>
      <c r="C127">
        <v>5.20</v>
      </c>
      <c r="D127">
        <v>5</v>
      </c>
      <c r="E127">
        <f>IF(Table6[[#This Row],[Column1]]=TRUE,1.5,0)</f>
        <v>0</v>
      </c>
      <c r="G127" t="str">
        <f>IF(Table6[[#This Row],[In EU]],$C$5,"NA")</f>
        <v>NA</v>
      </c>
      <c r="K127" t="b">
        <f>IF(NOT(ISERROR(MATCH(Table6[[#This Row],[Country of data at rest]],B_02.02[0150],0))),TRUE,FALSE)</f>
        <v>0</v>
      </c>
      <c r="M127" s="117"/>
    </row>
    <row r="128" spans="2:13" ht="12.75">
      <c r="B128" t="s">
        <v>201</v>
      </c>
      <c r="C128">
        <v>5.20</v>
      </c>
      <c r="D128">
        <v>5</v>
      </c>
      <c r="E128">
        <f>IF(Table6[[#This Row],[Column1]]=TRUE,1.5,0)</f>
        <v>0</v>
      </c>
      <c r="G128" t="str">
        <f>IF(Table6[[#This Row],[In EU]],$C$5,"NA")</f>
        <v>NA</v>
      </c>
      <c r="K128" t="b">
        <f>IF(NOT(ISERROR(MATCH(Table6[[#This Row],[Country of data at rest]],B_02.02[0150],0))),TRUE,FALSE)</f>
        <v>0</v>
      </c>
      <c r="M128" s="117"/>
    </row>
    <row r="129" spans="2:13" ht="12.75">
      <c r="B129" t="s">
        <v>200</v>
      </c>
      <c r="C129">
        <v>5.20</v>
      </c>
      <c r="D129">
        <v>5</v>
      </c>
      <c r="E129">
        <f>IF(Table6[[#This Row],[Column1]]=TRUE,1.5,0)</f>
        <v>0</v>
      </c>
      <c r="G129" t="str">
        <f>IF(Table6[[#This Row],[In EU]],$C$5,"NA")</f>
        <v>NA</v>
      </c>
      <c r="K129" t="b">
        <f>IF(NOT(ISERROR(MATCH(Table6[[#This Row],[Country of data at rest]],B_02.02[0150],0))),TRUE,FALSE)</f>
        <v>0</v>
      </c>
      <c r="M129" s="117"/>
    </row>
    <row r="130" spans="2:13" ht="12.75">
      <c r="B130" t="s">
        <v>199</v>
      </c>
      <c r="C130">
        <v>5.20</v>
      </c>
      <c r="D130">
        <v>5</v>
      </c>
      <c r="E130">
        <f>IF(Table6[[#This Row],[Column1]]=TRUE,1.5,0)</f>
        <v>0</v>
      </c>
      <c r="G130" t="str">
        <f>IF(Table6[[#This Row],[In EU]],$C$5,"NA")</f>
        <v>NA</v>
      </c>
      <c r="K130" t="b">
        <f>IF(NOT(ISERROR(MATCH(Table6[[#This Row],[Country of data at rest]],B_02.02[0150],0))),TRUE,FALSE)</f>
        <v>0</v>
      </c>
      <c r="M130" s="117"/>
    </row>
    <row r="131" spans="2:13" ht="12.75">
      <c r="B131" t="s">
        <v>198</v>
      </c>
      <c r="C131">
        <v>5.20</v>
      </c>
      <c r="D131">
        <v>5</v>
      </c>
      <c r="E131">
        <f>IF(Table6[[#This Row],[Column1]]=TRUE,1.5,0)</f>
        <v>0</v>
      </c>
      <c r="G131" t="str">
        <f>IF(Table6[[#This Row],[In EU]],$C$5,"NA")</f>
        <v>NA</v>
      </c>
      <c r="K131" t="b">
        <f>IF(NOT(ISERROR(MATCH(Table6[[#This Row],[Country of data at rest]],B_02.02[0150],0))),TRUE,FALSE)</f>
        <v>0</v>
      </c>
      <c r="M131" s="117"/>
    </row>
    <row r="132" spans="2:13" ht="12.75">
      <c r="B132" t="s">
        <v>197</v>
      </c>
      <c r="C132">
        <v>5.20</v>
      </c>
      <c r="D132">
        <v>5</v>
      </c>
      <c r="E132">
        <f>IF(Table6[[#This Row],[Column1]]=TRUE,1.5,0)</f>
        <v>0</v>
      </c>
      <c r="G132" t="str">
        <f>IF(Table6[[#This Row],[In EU]],$C$5,"NA")</f>
        <v>NA</v>
      </c>
      <c r="K132" t="b">
        <f>IF(NOT(ISERROR(MATCH(Table6[[#This Row],[Country of data at rest]],B_02.02[0150],0))),TRUE,FALSE)</f>
        <v>0</v>
      </c>
      <c r="M132" s="117"/>
    </row>
    <row r="133" spans="2:13" ht="12.75">
      <c r="B133" t="s">
        <v>196</v>
      </c>
      <c r="C133">
        <v>5.20</v>
      </c>
      <c r="D133">
        <v>5</v>
      </c>
      <c r="E133">
        <f>IF(Table6[[#This Row],[Column1]]=TRUE,1.5,0)</f>
        <v>0</v>
      </c>
      <c r="G133" t="str">
        <f>IF(Table6[[#This Row],[In EU]],$C$5,"NA")</f>
        <v>NA</v>
      </c>
      <c r="K133" t="b">
        <f>IF(NOT(ISERROR(MATCH(Table6[[#This Row],[Country of data at rest]],B_02.02[0150],0))),TRUE,FALSE)</f>
        <v>0</v>
      </c>
      <c r="M133" s="117"/>
    </row>
    <row r="134" spans="2:13" ht="12.75">
      <c r="B134" t="s">
        <v>195</v>
      </c>
      <c r="C134">
        <v>5.20</v>
      </c>
      <c r="D134">
        <v>5</v>
      </c>
      <c r="E134">
        <f>IF(Table6[[#This Row],[Column1]]=TRUE,1.5,0)</f>
        <v>0</v>
      </c>
      <c r="G134" t="str">
        <f>IF(Table6[[#This Row],[In EU]],$C$5,"NA")</f>
        <v>NA</v>
      </c>
      <c r="K134" t="b">
        <f>IF(NOT(ISERROR(MATCH(Table6[[#This Row],[Country of data at rest]],B_02.02[0150],0))),TRUE,FALSE)</f>
        <v>0</v>
      </c>
      <c r="M134" s="117"/>
    </row>
    <row r="135" spans="2:13" ht="12.75">
      <c r="B135" t="s">
        <v>194</v>
      </c>
      <c r="C135">
        <v>5.20</v>
      </c>
      <c r="D135">
        <v>5</v>
      </c>
      <c r="E135">
        <f>IF(Table6[[#This Row],[Column1]]=TRUE,1.5,0)</f>
        <v>0</v>
      </c>
      <c r="G135" t="str">
        <f>IF(Table6[[#This Row],[In EU]],$C$5,"NA")</f>
        <v>NA</v>
      </c>
      <c r="K135" t="b">
        <f>IF(NOT(ISERROR(MATCH(Table6[[#This Row],[Country of data at rest]],B_02.02[0150],0))),TRUE,FALSE)</f>
        <v>0</v>
      </c>
      <c r="M135" s="117"/>
    </row>
    <row r="136" spans="2:13" ht="12.75">
      <c r="B136" t="s">
        <v>193</v>
      </c>
      <c r="C136">
        <v>5.20</v>
      </c>
      <c r="D136">
        <v>5</v>
      </c>
      <c r="E136">
        <f>IF(Table6[[#This Row],[Column1]]=TRUE,1.5,0)</f>
        <v>0</v>
      </c>
      <c r="G136" t="str">
        <f>IF(Table6[[#This Row],[In EU]],$C$5,"NA")</f>
        <v>NA</v>
      </c>
      <c r="K136" t="b">
        <f>IF(NOT(ISERROR(MATCH(Table6[[#This Row],[Country of data at rest]],B_02.02[0150],0))),TRUE,FALSE)</f>
        <v>0</v>
      </c>
      <c r="M136" s="117"/>
    </row>
    <row r="137" spans="2:13" ht="12.75">
      <c r="B137" t="s">
        <v>192</v>
      </c>
      <c r="C137">
        <v>5.20</v>
      </c>
      <c r="D137">
        <v>5</v>
      </c>
      <c r="E137">
        <f>IF(Table6[[#This Row],[Column1]]=TRUE,1.5,0)</f>
        <v>0</v>
      </c>
      <c r="G137" t="str">
        <f>IF(Table6[[#This Row],[In EU]],$C$5,"NA")</f>
        <v>NA</v>
      </c>
      <c r="K137" t="b">
        <f>IF(NOT(ISERROR(MATCH(Table6[[#This Row],[Country of data at rest]],B_02.02[0150],0))),TRUE,FALSE)</f>
        <v>0</v>
      </c>
      <c r="M137" s="117"/>
    </row>
    <row r="138" spans="2:13" ht="12.75">
      <c r="B138" t="s">
        <v>191</v>
      </c>
      <c r="C138">
        <v>5.20</v>
      </c>
      <c r="D138">
        <v>5</v>
      </c>
      <c r="E138">
        <f>IF(Table6[[#This Row],[Column1]]=TRUE,1.5,0)</f>
        <v>0</v>
      </c>
      <c r="G138" t="str">
        <f>IF(Table6[[#This Row],[In EU]],$C$5,"NA")</f>
        <v>NA</v>
      </c>
      <c r="K138" t="b">
        <f>IF(NOT(ISERROR(MATCH(Table6[[#This Row],[Country of data at rest]],B_02.02[0150],0))),TRUE,FALSE)</f>
        <v>0</v>
      </c>
      <c r="M138" s="117"/>
    </row>
    <row r="139" spans="2:13" ht="12.75">
      <c r="B139" t="s">
        <v>190</v>
      </c>
      <c r="C139">
        <v>5.20</v>
      </c>
      <c r="D139">
        <v>5</v>
      </c>
      <c r="E139">
        <f>IF(Table6[[#This Row],[Column1]]=TRUE,1.5,0)</f>
        <v>0</v>
      </c>
      <c r="G139" t="str">
        <f>IF(Table6[[#This Row],[In EU]],$C$5,"NA")</f>
        <v>NA</v>
      </c>
      <c r="K139" t="b">
        <f>IF(NOT(ISERROR(MATCH(Table6[[#This Row],[Country of data at rest]],B_02.02[0150],0))),TRUE,FALSE)</f>
        <v>0</v>
      </c>
      <c r="M139" s="117"/>
    </row>
    <row r="140" spans="2:13" ht="12.75">
      <c r="B140" t="s">
        <v>189</v>
      </c>
      <c r="C140">
        <v>5.20</v>
      </c>
      <c r="D140">
        <v>5</v>
      </c>
      <c r="E140">
        <f>IF(Table6[[#This Row],[Column1]]=TRUE,1.5,0)</f>
        <v>0</v>
      </c>
      <c r="G140" t="str">
        <f>IF(Table6[[#This Row],[In EU]],$C$5,"NA")</f>
        <v>NA</v>
      </c>
      <c r="K140" t="b">
        <f>IF(NOT(ISERROR(MATCH(Table6[[#This Row],[Country of data at rest]],B_02.02[0150],0))),TRUE,FALSE)</f>
        <v>0</v>
      </c>
      <c r="M140" s="117"/>
    </row>
    <row r="141" spans="2:13" ht="12.75">
      <c r="B141" t="s">
        <v>188</v>
      </c>
      <c r="C141">
        <v>5.20</v>
      </c>
      <c r="D141">
        <v>5</v>
      </c>
      <c r="E141">
        <f>IF(Table6[[#This Row],[Column1]]=TRUE,1.5,0)</f>
        <v>0</v>
      </c>
      <c r="G141" t="str">
        <f>IF(Table6[[#This Row],[In EU]],$C$5,"NA")</f>
        <v>NA</v>
      </c>
      <c r="K141" t="b">
        <f>IF(NOT(ISERROR(MATCH(Table6[[#This Row],[Country of data at rest]],B_02.02[0150],0))),TRUE,FALSE)</f>
        <v>0</v>
      </c>
      <c r="M141" s="117"/>
    </row>
    <row r="142" spans="2:13" ht="12.75">
      <c r="B142" t="s">
        <v>187</v>
      </c>
      <c r="C142">
        <v>5.20</v>
      </c>
      <c r="D142">
        <v>5</v>
      </c>
      <c r="E142">
        <f>IF(Table6[[#This Row],[Column1]]=TRUE,1.5,0)</f>
        <v>0</v>
      </c>
      <c r="G142" t="str">
        <f>IF(Table6[[#This Row],[In EU]],$C$5,"NA")</f>
        <v>NA</v>
      </c>
      <c r="K142" t="b">
        <f>IF(NOT(ISERROR(MATCH(Table6[[#This Row],[Country of data at rest]],B_02.02[0150],0))),TRUE,FALSE)</f>
        <v>0</v>
      </c>
      <c r="M142" s="117"/>
    </row>
    <row r="143" spans="2:13" ht="12.75">
      <c r="B143" t="s">
        <v>186</v>
      </c>
      <c r="C143">
        <v>5.20</v>
      </c>
      <c r="D143">
        <v>5</v>
      </c>
      <c r="E143">
        <f>IF(Table6[[#This Row],[Column1]]=TRUE,1.5,0)</f>
        <v>0</v>
      </c>
      <c r="G143" t="str">
        <f>IF(Table6[[#This Row],[In EU]],$C$5,"NA")</f>
        <v>NA</v>
      </c>
      <c r="K143" t="b">
        <f>IF(NOT(ISERROR(MATCH(Table6[[#This Row],[Country of data at rest]],B_02.02[0150],0))),TRUE,FALSE)</f>
        <v>0</v>
      </c>
      <c r="M143" s="117"/>
    </row>
    <row r="144" spans="2:13" ht="12.75">
      <c r="B144" t="s">
        <v>185</v>
      </c>
      <c r="C144">
        <v>5.20</v>
      </c>
      <c r="D144">
        <v>5</v>
      </c>
      <c r="E144">
        <f>IF(Table6[[#This Row],[Column1]]=TRUE,1.5,0)</f>
        <v>0</v>
      </c>
      <c r="G144" t="str">
        <f>IF(Table6[[#This Row],[In EU]],$C$5,"NA")</f>
        <v>NA</v>
      </c>
      <c r="K144" t="b">
        <f>IF(NOT(ISERROR(MATCH(Table6[[#This Row],[Country of data at rest]],B_02.02[0150],0))),TRUE,FALSE)</f>
        <v>0</v>
      </c>
      <c r="M144" s="117"/>
    </row>
    <row r="145" spans="2:13" ht="12.75">
      <c r="B145" t="s">
        <v>184</v>
      </c>
      <c r="C145">
        <v>5.20</v>
      </c>
      <c r="D145">
        <v>5</v>
      </c>
      <c r="E145">
        <f>IF(Table6[[#This Row],[Column1]]=TRUE,1.5,0)</f>
        <v>0</v>
      </c>
      <c r="G145" t="str">
        <f>IF(Table6[[#This Row],[In EU]],$C$5,"NA")</f>
        <v>NA</v>
      </c>
      <c r="K145" t="b">
        <f>IF(NOT(ISERROR(MATCH(Table6[[#This Row],[Country of data at rest]],B_02.02[0150],0))),TRUE,FALSE)</f>
        <v>0</v>
      </c>
      <c r="M145" s="117"/>
    </row>
    <row r="146" spans="2:13" ht="12.75">
      <c r="B146" t="s">
        <v>183</v>
      </c>
      <c r="C146">
        <v>5.20</v>
      </c>
      <c r="D146">
        <v>5</v>
      </c>
      <c r="E146">
        <f>IF(Table6[[#This Row],[Column1]]=TRUE,1.5,0)</f>
        <v>0</v>
      </c>
      <c r="G146" t="str">
        <f>IF(Table6[[#This Row],[In EU]],$C$5,"NA")</f>
        <v>NA</v>
      </c>
      <c r="K146" t="b">
        <f>IF(NOT(ISERROR(MATCH(Table6[[#This Row],[Country of data at rest]],B_02.02[0150],0))),TRUE,FALSE)</f>
        <v>0</v>
      </c>
      <c r="M146" s="117"/>
    </row>
    <row r="147" spans="2:13" ht="12.75">
      <c r="B147" t="s">
        <v>182</v>
      </c>
      <c r="C147">
        <v>5.20</v>
      </c>
      <c r="D147">
        <v>5</v>
      </c>
      <c r="E147">
        <f>IF(Table6[[#This Row],[Column1]]=TRUE,1.5,0)</f>
        <v>0</v>
      </c>
      <c r="G147" t="str">
        <f>IF(Table6[[#This Row],[In EU]],$C$5,"NA")</f>
        <v>NA</v>
      </c>
      <c r="K147" t="b">
        <f>IF(NOT(ISERROR(MATCH(Table6[[#This Row],[Country of data at rest]],B_02.02[0150],0))),TRUE,FALSE)</f>
        <v>0</v>
      </c>
      <c r="M147" s="117"/>
    </row>
    <row r="148" spans="11:13" ht="15" customHeight="1">
      <c r="K148" t="b">
        <f>IF(NOT(ISERROR(MATCH(Table6[[#This Row],[Country of data at rest]],B_02.02[0150],0))),TRUE,FALSE)</f>
        <v>0</v>
      </c>
      <c r="M148" s="117"/>
    </row>
    <row r="149" spans="11:13" ht="15" customHeight="1">
      <c r="K149" t="b">
        <f>IF(NOT(ISERROR(MATCH(Table6[[#This Row],[Country of data at rest]],B_02.02[0150],0))),TRUE,FALSE)</f>
        <v>0</v>
      </c>
      <c r="M149" s="117"/>
    </row>
    <row r="150" spans="11:13" ht="15" customHeight="1">
      <c r="K150" t="b">
        <f>IF(NOT(ISERROR(MATCH(Table6[[#This Row],[Country of data at rest]],B_02.02[0150],0))),TRUE,FALSE)</f>
        <v>0</v>
      </c>
      <c r="M150" s="117"/>
    </row>
    <row r="151" spans="2:13" ht="15.75">
      <c r="B151" s="35" t="s">
        <v>81</v>
      </c>
      <c r="K151" t="b">
        <f>IF(NOT(ISERROR(MATCH(Table6[[#This Row],[Country of data at rest]],B_02.02[0150],0))),TRUE,FALSE)</f>
        <v>0</v>
      </c>
      <c r="M151" s="117"/>
    </row>
    <row r="152" spans="2:13" ht="12.75">
      <c r="B152" s="33"/>
      <c r="K152" t="b">
        <f>IF(NOT(ISERROR(MATCH(Table6[[#This Row],[Country of data at rest]],B_02.02[0150],0))),TRUE,FALSE)</f>
        <v>0</v>
      </c>
      <c r="M152" s="117"/>
    </row>
    <row r="153" spans="2:13" ht="12.75">
      <c r="B153" t="s">
        <v>181</v>
      </c>
      <c r="C153">
        <v>7.20</v>
      </c>
      <c r="D153">
        <v>7</v>
      </c>
      <c r="E153">
        <f>IF(Table6[[#This Row],[Column1]]=TRUE,1.5,0)</f>
        <v>0</v>
      </c>
      <c r="G153" t="str">
        <f>IF(Table6[[#This Row],[In EU]],$C$5,"NA")</f>
        <v>NA</v>
      </c>
      <c r="K153" t="b">
        <f>IF(NOT(ISERROR(MATCH(Table6[[#This Row],[Country of data at rest]],B_02.02[0150],0))),TRUE,FALSE)</f>
        <v>0</v>
      </c>
      <c r="M153" s="117"/>
    </row>
    <row r="154" spans="2:13" ht="12.75">
      <c r="B154" t="s">
        <v>180</v>
      </c>
      <c r="C154">
        <v>7.20</v>
      </c>
      <c r="D154">
        <v>7</v>
      </c>
      <c r="E154">
        <f>IF(Table6[[#This Row],[Column1]]=TRUE,1.5,0)</f>
        <v>0</v>
      </c>
      <c r="G154" t="str">
        <f>IF(Table6[[#This Row],[In EU]],$C$5,"NA")</f>
        <v>NA</v>
      </c>
      <c r="K154" t="b">
        <f>IF(NOT(ISERROR(MATCH(Table6[[#This Row],[Country of data at rest]],B_02.02[0150],0))),TRUE,FALSE)</f>
        <v>0</v>
      </c>
      <c r="M154" s="117"/>
    </row>
    <row r="155" spans="2:13" ht="12.75">
      <c r="B155" t="s">
        <v>179</v>
      </c>
      <c r="C155">
        <v>7.20</v>
      </c>
      <c r="D155">
        <v>7</v>
      </c>
      <c r="E155">
        <f>IF(Table6[[#This Row],[Column1]]=TRUE,1.5,0)</f>
        <v>0</v>
      </c>
      <c r="G155" t="str">
        <f>IF(Table6[[#This Row],[In EU]],$C$5,"NA")</f>
        <v>NA</v>
      </c>
      <c r="K155" t="b">
        <f>IF(NOT(ISERROR(MATCH(Table6[[#This Row],[Country of data at rest]],B_02.02[0150],0))),TRUE,FALSE)</f>
        <v>0</v>
      </c>
      <c r="M155" s="117"/>
    </row>
    <row r="156" spans="2:13" ht="12.75">
      <c r="B156" t="s">
        <v>178</v>
      </c>
      <c r="C156">
        <v>7.20</v>
      </c>
      <c r="D156">
        <v>7</v>
      </c>
      <c r="E156">
        <f>IF(Table6[[#This Row],[Column1]]=TRUE,1.5,0)</f>
        <v>0</v>
      </c>
      <c r="G156" t="str">
        <f>IF(Table6[[#This Row],[In EU]],$C$5,"NA")</f>
        <v>NA</v>
      </c>
      <c r="K156" t="b">
        <f>IF(NOT(ISERROR(MATCH(Table6[[#This Row],[Country of data at rest]],B_02.02[0150],0))),TRUE,FALSE)</f>
        <v>0</v>
      </c>
      <c r="M156" s="117"/>
    </row>
    <row r="157" spans="2:13" ht="12.75">
      <c r="B157" t="s">
        <v>177</v>
      </c>
      <c r="C157">
        <v>7.20</v>
      </c>
      <c r="D157">
        <v>7</v>
      </c>
      <c r="E157">
        <f>IF(Table6[[#This Row],[Column1]]=TRUE,1.5,0)</f>
        <v>0</v>
      </c>
      <c r="G157" t="str">
        <f>IF(Table6[[#This Row],[In EU]],$C$5,"NA")</f>
        <v>NA</v>
      </c>
      <c r="K157" t="b">
        <f>IF(NOT(ISERROR(MATCH(Table6[[#This Row],[Country of data at rest]],B_02.02[0150],0))),TRUE,FALSE)</f>
        <v>0</v>
      </c>
      <c r="M157" s="117"/>
    </row>
    <row r="158" spans="2:13" ht="12.75">
      <c r="B158" t="s">
        <v>176</v>
      </c>
      <c r="C158">
        <v>7.20</v>
      </c>
      <c r="D158">
        <v>7</v>
      </c>
      <c r="E158">
        <f>IF(Table6[[#This Row],[Column1]]=TRUE,1.5,0)</f>
        <v>0</v>
      </c>
      <c r="G158" t="str">
        <f>IF(Table6[[#This Row],[In EU]],$C$5,"NA")</f>
        <v>NA</v>
      </c>
      <c r="K158" t="b">
        <f>IF(NOT(ISERROR(MATCH(Table6[[#This Row],[Country of data at rest]],B_02.02[0150],0))),TRUE,FALSE)</f>
        <v>0</v>
      </c>
      <c r="M158" s="117"/>
    </row>
    <row r="159" spans="2:13" ht="12.75">
      <c r="B159" t="s">
        <v>175</v>
      </c>
      <c r="C159">
        <v>7.20</v>
      </c>
      <c r="D159">
        <v>7</v>
      </c>
      <c r="E159">
        <f>IF(Table6[[#This Row],[Column1]]=TRUE,1.5,0)</f>
        <v>0</v>
      </c>
      <c r="G159" t="str">
        <f>IF(Table6[[#This Row],[In EU]],$C$5,"NA")</f>
        <v>NA</v>
      </c>
      <c r="K159" t="b">
        <f>IF(NOT(ISERROR(MATCH(Table6[[#This Row],[Country of data at rest]],B_02.02[0150],0))),TRUE,FALSE)</f>
        <v>0</v>
      </c>
      <c r="M159" s="117"/>
    </row>
    <row r="160" spans="2:13" ht="12.75">
      <c r="B160" t="s">
        <v>174</v>
      </c>
      <c r="C160">
        <v>7.20</v>
      </c>
      <c r="D160">
        <v>7</v>
      </c>
      <c r="E160">
        <f>IF(Table6[[#This Row],[Column1]]=TRUE,1.5,0)</f>
        <v>0</v>
      </c>
      <c r="G160" t="str">
        <f>IF(Table6[[#This Row],[In EU]],$C$5,"NA")</f>
        <v>NA</v>
      </c>
      <c r="K160" t="b">
        <f>IF(NOT(ISERROR(MATCH(Table6[[#This Row],[Country of data at rest]],B_02.02[0150],0))),TRUE,FALSE)</f>
        <v>0</v>
      </c>
      <c r="M160" s="117"/>
    </row>
    <row r="161" spans="2:13" ht="12.75">
      <c r="B161" t="s">
        <v>173</v>
      </c>
      <c r="C161">
        <v>7.20</v>
      </c>
      <c r="D161">
        <v>7</v>
      </c>
      <c r="E161">
        <f>IF(Table6[[#This Row],[Column1]]=TRUE,1.5,0)</f>
        <v>0</v>
      </c>
      <c r="G161" t="str">
        <f>IF(Table6[[#This Row],[In EU]],$C$5,"NA")</f>
        <v>NA</v>
      </c>
      <c r="K161" t="b">
        <f>IF(NOT(ISERROR(MATCH(Table6[[#This Row],[Country of data at rest]],B_02.02[0150],0))),TRUE,FALSE)</f>
        <v>0</v>
      </c>
      <c r="M161" s="117"/>
    </row>
    <row r="162" spans="2:13" ht="12.75">
      <c r="B162" t="s">
        <v>172</v>
      </c>
      <c r="C162">
        <v>7.20</v>
      </c>
      <c r="D162">
        <v>7</v>
      </c>
      <c r="E162">
        <f>IF(Table6[[#This Row],[Column1]]=TRUE,1.5,0)</f>
        <v>0</v>
      </c>
      <c r="G162" t="str">
        <f>IF(Table6[[#This Row],[In EU]],$C$5,"NA")</f>
        <v>NA</v>
      </c>
      <c r="K162" t="b">
        <f>IF(NOT(ISERROR(MATCH(Table6[[#This Row],[Country of data at rest]],B_02.02[0150],0))),TRUE,FALSE)</f>
        <v>0</v>
      </c>
      <c r="M162" s="117"/>
    </row>
    <row r="163" spans="2:13" ht="12.75">
      <c r="B163" t="s">
        <v>171</v>
      </c>
      <c r="C163">
        <v>7.20</v>
      </c>
      <c r="D163">
        <v>7</v>
      </c>
      <c r="E163">
        <f>IF(Table6[[#This Row],[Column1]]=TRUE,1.5,0)</f>
        <v>0</v>
      </c>
      <c r="G163" t="str">
        <f>IF(Table6[[#This Row],[In EU]],$C$5,"NA")</f>
        <v>NA</v>
      </c>
      <c r="K163" t="b">
        <f>IF(NOT(ISERROR(MATCH(Table6[[#This Row],[Country of data at rest]],B_02.02[0150],0))),TRUE,FALSE)</f>
        <v>0</v>
      </c>
      <c r="M163" s="117"/>
    </row>
    <row r="164" spans="2:13" ht="12.75">
      <c r="B164" t="s">
        <v>170</v>
      </c>
      <c r="C164">
        <v>7.20</v>
      </c>
      <c r="D164">
        <v>7</v>
      </c>
      <c r="E164">
        <f>IF(Table6[[#This Row],[Column1]]=TRUE,1.5,0)</f>
        <v>0</v>
      </c>
      <c r="G164" t="str">
        <f>IF(Table6[[#This Row],[In EU]],$C$5,"NA")</f>
        <v>NA</v>
      </c>
      <c r="K164" t="b">
        <f>IF(NOT(ISERROR(MATCH(Table6[[#This Row],[Country of data at rest]],B_02.02[0150],0))),TRUE,FALSE)</f>
        <v>0</v>
      </c>
      <c r="M164" s="117"/>
    </row>
    <row r="165" spans="2:13" ht="12.75">
      <c r="B165" t="s">
        <v>169</v>
      </c>
      <c r="C165">
        <v>7.20</v>
      </c>
      <c r="D165">
        <v>7</v>
      </c>
      <c r="E165">
        <f>IF(Table6[[#This Row],[Column1]]=TRUE,1.5,0)</f>
        <v>0</v>
      </c>
      <c r="G165" t="str">
        <f>IF(Table6[[#This Row],[In EU]],$C$5,"NA")</f>
        <v>NA</v>
      </c>
      <c r="K165" t="b">
        <f>IF(NOT(ISERROR(MATCH(Table6[[#This Row],[Country of data at rest]],B_02.02[0150],0))),TRUE,FALSE)</f>
        <v>0</v>
      </c>
      <c r="M165" s="117"/>
    </row>
    <row r="166" spans="2:13" ht="12.75">
      <c r="B166" t="s">
        <v>168</v>
      </c>
      <c r="C166">
        <v>7.20</v>
      </c>
      <c r="D166">
        <v>7</v>
      </c>
      <c r="E166">
        <f>IF(Table6[[#This Row],[Column1]]=TRUE,1.5,0)</f>
        <v>0</v>
      </c>
      <c r="G166" t="str">
        <f>IF(Table6[[#This Row],[In EU]],$C$5,"NA")</f>
        <v>NA</v>
      </c>
      <c r="K166" t="b">
        <f>IF(NOT(ISERROR(MATCH(Table6[[#This Row],[Country of data at rest]],B_02.02[0150],0))),TRUE,FALSE)</f>
        <v>0</v>
      </c>
      <c r="M166" s="117"/>
    </row>
    <row r="167" spans="2:13" ht="12.75">
      <c r="B167" t="s">
        <v>167</v>
      </c>
      <c r="C167">
        <v>7.20</v>
      </c>
      <c r="D167">
        <v>7</v>
      </c>
      <c r="E167">
        <f>IF(Table6[[#This Row],[Column1]]=TRUE,1.5,0)</f>
        <v>0</v>
      </c>
      <c r="G167" t="str">
        <f>IF(Table6[[#This Row],[In EU]],$C$5,"NA")</f>
        <v>NA</v>
      </c>
      <c r="K167" t="b">
        <f>IF(NOT(ISERROR(MATCH(Table6[[#This Row],[Country of data at rest]],B_02.02[0150],0))),TRUE,FALSE)</f>
        <v>0</v>
      </c>
      <c r="M167" s="117"/>
    </row>
    <row r="168" spans="2:13" ht="12.75">
      <c r="B168" t="s">
        <v>166</v>
      </c>
      <c r="C168">
        <v>7.20</v>
      </c>
      <c r="D168">
        <v>7</v>
      </c>
      <c r="E168">
        <f>IF(Table6[[#This Row],[Column1]]=TRUE,1.5,0)</f>
        <v>0</v>
      </c>
      <c r="G168" t="str">
        <f>IF(Table6[[#This Row],[In EU]],$C$5,"NA")</f>
        <v>NA</v>
      </c>
      <c r="K168" t="b">
        <f>IF(NOT(ISERROR(MATCH(Table6[[#This Row],[Country of data at rest]],B_02.02[0150],0))),TRUE,FALSE)</f>
        <v>0</v>
      </c>
      <c r="M168" s="117"/>
    </row>
    <row r="169" spans="2:13" ht="12.75">
      <c r="B169" t="s">
        <v>165</v>
      </c>
      <c r="C169">
        <v>7.20</v>
      </c>
      <c r="D169">
        <v>7</v>
      </c>
      <c r="E169">
        <f>IF(Table6[[#This Row],[Column1]]=TRUE,1.5,0)</f>
        <v>0</v>
      </c>
      <c r="G169" t="str">
        <f>IF(Table6[[#This Row],[In EU]],$C$5,"NA")</f>
        <v>NA</v>
      </c>
      <c r="K169" t="b">
        <f>IF(NOT(ISERROR(MATCH(Table6[[#This Row],[Country of data at rest]],B_02.02[0150],0))),TRUE,FALSE)</f>
        <v>0</v>
      </c>
      <c r="M169" s="117"/>
    </row>
    <row r="170" spans="2:13" ht="12.75">
      <c r="B170" t="s">
        <v>164</v>
      </c>
      <c r="C170">
        <v>7.20</v>
      </c>
      <c r="D170">
        <v>7</v>
      </c>
      <c r="E170">
        <f>IF(Table6[[#This Row],[Column1]]=TRUE,1.5,0)</f>
        <v>0</v>
      </c>
      <c r="G170" t="str">
        <f>IF(Table6[[#This Row],[In EU]],$C$5,"NA")</f>
        <v>NA</v>
      </c>
      <c r="K170" t="b">
        <f>IF(NOT(ISERROR(MATCH(Table6[[#This Row],[Country of data at rest]],B_02.02[0150],0))),TRUE,FALSE)</f>
        <v>0</v>
      </c>
      <c r="M170" s="117"/>
    </row>
    <row r="171" spans="2:13" ht="12.75">
      <c r="B171" t="s">
        <v>163</v>
      </c>
      <c r="C171">
        <v>7.20</v>
      </c>
      <c r="D171">
        <v>7</v>
      </c>
      <c r="E171">
        <f>IF(Table6[[#This Row],[Column1]]=TRUE,1.5,0)</f>
        <v>0</v>
      </c>
      <c r="G171" t="str">
        <f>IF(Table6[[#This Row],[In EU]],$C$5,"NA")</f>
        <v>NA</v>
      </c>
      <c r="K171" t="b">
        <f>IF(NOT(ISERROR(MATCH(Table6[[#This Row],[Country of data at rest]],B_02.02[0150],0))),TRUE,FALSE)</f>
        <v>0</v>
      </c>
      <c r="M171" s="117"/>
    </row>
    <row r="172" spans="2:13" ht="12.75">
      <c r="B172" t="s">
        <v>162</v>
      </c>
      <c r="C172">
        <v>7.20</v>
      </c>
      <c r="D172">
        <v>7</v>
      </c>
      <c r="E172">
        <f>IF(Table6[[#This Row],[Column1]]=TRUE,1.5,0)</f>
        <v>0</v>
      </c>
      <c r="G172" t="str">
        <f>IF(Table6[[#This Row],[In EU]],$C$5,"NA")</f>
        <v>NA</v>
      </c>
      <c r="K172" t="b">
        <f>IF(NOT(ISERROR(MATCH(Table6[[#This Row],[Country of data at rest]],B_02.02[0150],0))),TRUE,FALSE)</f>
        <v>0</v>
      </c>
      <c r="M172" s="117"/>
    </row>
    <row r="173" spans="2:13" ht="12.75">
      <c r="B173" t="s">
        <v>161</v>
      </c>
      <c r="C173">
        <v>7.20</v>
      </c>
      <c r="D173">
        <v>7</v>
      </c>
      <c r="E173">
        <f>IF(Table6[[#This Row],[Column1]]=TRUE,1.5,0)</f>
        <v>0</v>
      </c>
      <c r="G173" t="str">
        <f>IF(Table6[[#This Row],[In EU]],$C$5,"NA")</f>
        <v>NA</v>
      </c>
      <c r="K173" t="b">
        <f>IF(NOT(ISERROR(MATCH(Table6[[#This Row],[Country of data at rest]],B_02.02[0150],0))),TRUE,FALSE)</f>
        <v>0</v>
      </c>
      <c r="M173" s="117"/>
    </row>
    <row r="174" spans="2:13" ht="12.75">
      <c r="B174" t="s">
        <v>160</v>
      </c>
      <c r="C174">
        <v>7.20</v>
      </c>
      <c r="D174">
        <v>7</v>
      </c>
      <c r="E174">
        <f>IF(Table6[[#This Row],[Column1]]=TRUE,1.5,0)</f>
        <v>0</v>
      </c>
      <c r="G174" t="str">
        <f>IF(Table6[[#This Row],[In EU]],$C$5,"NA")</f>
        <v>NA</v>
      </c>
      <c r="K174" t="b">
        <f>IF(NOT(ISERROR(MATCH(Table6[[#This Row],[Country of data at rest]],B_02.02[0150],0))),TRUE,FALSE)</f>
        <v>0</v>
      </c>
      <c r="M174" s="117"/>
    </row>
    <row r="175" spans="2:13" ht="12.75">
      <c r="B175" t="s">
        <v>159</v>
      </c>
      <c r="C175">
        <v>7.20</v>
      </c>
      <c r="D175">
        <v>7</v>
      </c>
      <c r="E175">
        <f>IF(Table6[[#This Row],[Column1]]=TRUE,1.5,0)</f>
        <v>0</v>
      </c>
      <c r="G175" t="str">
        <f>IF(Table6[[#This Row],[In EU]],$C$5,"NA")</f>
        <v>NA</v>
      </c>
      <c r="K175" t="b">
        <f>IF(NOT(ISERROR(MATCH(Table6[[#This Row],[Country of data at rest]],B_02.02[0150],0))),TRUE,FALSE)</f>
        <v>0</v>
      </c>
      <c r="M175" s="117"/>
    </row>
    <row r="176" spans="2:13" ht="12.75">
      <c r="B176" t="s">
        <v>158</v>
      </c>
      <c r="C176">
        <v>7.20</v>
      </c>
      <c r="D176">
        <v>7</v>
      </c>
      <c r="E176">
        <f>IF(Table6[[#This Row],[Column1]]=TRUE,1.5,0)</f>
        <v>0</v>
      </c>
      <c r="G176" t="str">
        <f>IF(Table6[[#This Row],[In EU]],$C$5,"NA")</f>
        <v>NA</v>
      </c>
      <c r="K176" t="b">
        <f>IF(NOT(ISERROR(MATCH(Table6[[#This Row],[Country of data at rest]],B_02.02[0150],0))),TRUE,FALSE)</f>
        <v>0</v>
      </c>
      <c r="M176" s="117"/>
    </row>
    <row r="177" spans="2:13" ht="12.75">
      <c r="B177" t="s">
        <v>157</v>
      </c>
      <c r="C177">
        <v>7.20</v>
      </c>
      <c r="D177">
        <v>7</v>
      </c>
      <c r="E177">
        <f>IF(Table6[[#This Row],[Column1]]=TRUE,1.5,0)</f>
        <v>0</v>
      </c>
      <c r="G177" t="str">
        <f>IF(Table6[[#This Row],[In EU]],$C$5,"NA")</f>
        <v>NA</v>
      </c>
      <c r="K177" t="b">
        <f>IF(NOT(ISERROR(MATCH(Table6[[#This Row],[Country of data at rest]],B_02.02[0150],0))),TRUE,FALSE)</f>
        <v>0</v>
      </c>
      <c r="M177" s="117"/>
    </row>
    <row r="178" spans="2:13" ht="12.75">
      <c r="B178" t="s">
        <v>156</v>
      </c>
      <c r="C178">
        <v>7.20</v>
      </c>
      <c r="D178">
        <v>7</v>
      </c>
      <c r="E178">
        <f>IF(Table6[[#This Row],[Column1]]=TRUE,1.5,0)</f>
        <v>0</v>
      </c>
      <c r="G178" t="str">
        <f>IF(Table6[[#This Row],[In EU]],$C$5,"NA")</f>
        <v>NA</v>
      </c>
      <c r="K178" t="b">
        <f>IF(NOT(ISERROR(MATCH(Table6[[#This Row],[Country of data at rest]],B_02.02[0150],0))),TRUE,FALSE)</f>
        <v>0</v>
      </c>
      <c r="M178" s="117"/>
    </row>
    <row r="179" spans="2:13" ht="12.75">
      <c r="B179" t="s">
        <v>155</v>
      </c>
      <c r="C179">
        <v>7.20</v>
      </c>
      <c r="D179">
        <v>7</v>
      </c>
      <c r="E179">
        <f>IF(Table6[[#This Row],[Column1]]=TRUE,1.5,0)</f>
        <v>0</v>
      </c>
      <c r="G179" t="str">
        <f>IF(Table6[[#This Row],[In EU]],$C$5,"NA")</f>
        <v>NA</v>
      </c>
      <c r="K179" t="b">
        <f>IF(NOT(ISERROR(MATCH(Table6[[#This Row],[Country of data at rest]],B_02.02[0150],0))),TRUE,FALSE)</f>
        <v>0</v>
      </c>
      <c r="M179" s="117"/>
    </row>
    <row r="180" spans="2:13" ht="12.75">
      <c r="B180" t="s">
        <v>154</v>
      </c>
      <c r="C180">
        <v>7.20</v>
      </c>
      <c r="D180">
        <v>7</v>
      </c>
      <c r="E180">
        <f>IF(Table6[[#This Row],[Column1]]=TRUE,1.5,0)</f>
        <v>0</v>
      </c>
      <c r="G180" t="str">
        <f>IF(Table6[[#This Row],[In EU]],$C$5,"NA")</f>
        <v>NA</v>
      </c>
      <c r="K180" t="b">
        <f>IF(NOT(ISERROR(MATCH(Table6[[#This Row],[Country of data at rest]],B_02.02[0150],0))),TRUE,FALSE)</f>
        <v>0</v>
      </c>
      <c r="M180" s="117"/>
    </row>
    <row r="181" spans="2:13" ht="12.75">
      <c r="B181" t="s">
        <v>153</v>
      </c>
      <c r="C181">
        <v>7.20</v>
      </c>
      <c r="D181">
        <v>7</v>
      </c>
      <c r="E181">
        <f>IF(Table6[[#This Row],[Column1]]=TRUE,1.5,0)</f>
        <v>0</v>
      </c>
      <c r="G181" t="str">
        <f>IF(Table6[[#This Row],[In EU]],$C$5,"NA")</f>
        <v>NA</v>
      </c>
      <c r="K181" t="b">
        <f>IF(NOT(ISERROR(MATCH(Table6[[#This Row],[Country of data at rest]],B_02.02[0150],0))),TRUE,FALSE)</f>
        <v>0</v>
      </c>
      <c r="M181" s="117"/>
    </row>
    <row r="182" spans="2:13" ht="12.75">
      <c r="B182" t="s">
        <v>152</v>
      </c>
      <c r="C182">
        <v>7.20</v>
      </c>
      <c r="D182">
        <v>7</v>
      </c>
      <c r="E182">
        <f>IF(Table6[[#This Row],[Column1]]=TRUE,1.5,0)</f>
        <v>0</v>
      </c>
      <c r="G182" t="str">
        <f>IF(Table6[[#This Row],[In EU]],$C$5,"NA")</f>
        <v>NA</v>
      </c>
      <c r="K182" t="b">
        <f>IF(NOT(ISERROR(MATCH(Table6[[#This Row],[Country of data at rest]],B_02.02[0150],0))),TRUE,FALSE)</f>
        <v>0</v>
      </c>
      <c r="M182" s="117"/>
    </row>
    <row r="183" spans="2:13" ht="12.75">
      <c r="B183" t="s">
        <v>151</v>
      </c>
      <c r="C183">
        <v>7.20</v>
      </c>
      <c r="D183">
        <v>7</v>
      </c>
      <c r="E183">
        <f>IF(Table6[[#This Row],[Column1]]=TRUE,1.5,0)</f>
        <v>0</v>
      </c>
      <c r="G183" t="str">
        <f>IF(Table6[[#This Row],[In EU]],$C$5,"NA")</f>
        <v>NA</v>
      </c>
      <c r="K183" t="b">
        <f>IF(NOT(ISERROR(MATCH(Table6[[#This Row],[Country of data at rest]],B_02.02[0150],0))),TRUE,FALSE)</f>
        <v>0</v>
      </c>
      <c r="M183" s="117"/>
    </row>
    <row r="184" spans="2:13" ht="12.75">
      <c r="B184" t="s">
        <v>150</v>
      </c>
      <c r="C184">
        <v>7.20</v>
      </c>
      <c r="D184">
        <v>7</v>
      </c>
      <c r="E184">
        <f>IF(Table6[[#This Row],[Column1]]=TRUE,1.5,0)</f>
        <v>0</v>
      </c>
      <c r="G184" t="str">
        <f>IF(Table6[[#This Row],[In EU]],$C$5,"NA")</f>
        <v>NA</v>
      </c>
      <c r="K184" t="b">
        <f>IF(NOT(ISERROR(MATCH(Table6[[#This Row],[Country of data at rest]],B_02.02[0150],0))),TRUE,FALSE)</f>
        <v>0</v>
      </c>
      <c r="M184" s="117"/>
    </row>
    <row r="185" spans="2:13" ht="12.75">
      <c r="B185" t="s">
        <v>149</v>
      </c>
      <c r="C185">
        <v>7.20</v>
      </c>
      <c r="D185">
        <v>7</v>
      </c>
      <c r="E185">
        <f>IF(Table6[[#This Row],[Column1]]=TRUE,1.5,0)</f>
        <v>0</v>
      </c>
      <c r="G185" t="str">
        <f>IF(Table6[[#This Row],[In EU]],$C$5,"NA")</f>
        <v>NA</v>
      </c>
      <c r="K185" t="b">
        <f>IF(NOT(ISERROR(MATCH(Table6[[#This Row],[Country of data at rest]],B_02.02[0150],0))),TRUE,FALSE)</f>
        <v>0</v>
      </c>
      <c r="M185" s="117"/>
    </row>
    <row r="186" spans="2:13" ht="12.75">
      <c r="B186" t="s">
        <v>148</v>
      </c>
      <c r="C186">
        <v>7.20</v>
      </c>
      <c r="D186">
        <v>7</v>
      </c>
      <c r="E186">
        <f>IF(Table6[[#This Row],[Column1]]=TRUE,1.5,0)</f>
        <v>0</v>
      </c>
      <c r="G186" t="str">
        <f>IF(Table6[[#This Row],[In EU]],$C$5,"NA")</f>
        <v>NA</v>
      </c>
      <c r="K186" t="b">
        <f>IF(NOT(ISERROR(MATCH(Table6[[#This Row],[Country of data at rest]],B_02.02[0150],0))),TRUE,FALSE)</f>
        <v>0</v>
      </c>
      <c r="M186" s="117"/>
    </row>
    <row r="187" spans="2:13" ht="12.75">
      <c r="B187" t="s">
        <v>147</v>
      </c>
      <c r="C187">
        <v>7.20</v>
      </c>
      <c r="D187">
        <v>7</v>
      </c>
      <c r="E187">
        <f>IF(Table6[[#This Row],[Column1]]=TRUE,1.5,0)</f>
        <v>0</v>
      </c>
      <c r="G187" t="str">
        <f>IF(Table6[[#This Row],[In EU]],$C$5,"NA")</f>
        <v>NA</v>
      </c>
      <c r="K187" t="b">
        <f>IF(NOT(ISERROR(MATCH(Table6[[#This Row],[Country of data at rest]],B_02.02[0150],0))),TRUE,FALSE)</f>
        <v>0</v>
      </c>
      <c r="M187" s="117"/>
    </row>
    <row r="188" spans="2:13" ht="12.75">
      <c r="B188" t="s">
        <v>146</v>
      </c>
      <c r="C188">
        <v>7.20</v>
      </c>
      <c r="D188">
        <v>7</v>
      </c>
      <c r="E188">
        <f>IF(Table6[[#This Row],[Column1]]=TRUE,1.5,0)</f>
        <v>0</v>
      </c>
      <c r="G188" t="str">
        <f>IF(Table6[[#This Row],[In EU]],$C$5,"NA")</f>
        <v>NA</v>
      </c>
      <c r="K188" t="b">
        <f>IF(NOT(ISERROR(MATCH(Table6[[#This Row],[Country of data at rest]],B_02.02[0150],0))),TRUE,FALSE)</f>
        <v>0</v>
      </c>
      <c r="M188" s="117"/>
    </row>
    <row r="189" spans="2:13" ht="12.75">
      <c r="B189" t="s">
        <v>145</v>
      </c>
      <c r="C189">
        <v>7.20</v>
      </c>
      <c r="D189">
        <v>7</v>
      </c>
      <c r="E189">
        <f>IF(Table6[[#This Row],[Column1]]=TRUE,1.5,0)</f>
        <v>0</v>
      </c>
      <c r="G189" t="str">
        <f>IF(Table6[[#This Row],[In EU]],$C$5,"NA")</f>
        <v>NA</v>
      </c>
      <c r="K189" t="b">
        <f>IF(NOT(ISERROR(MATCH(Table6[[#This Row],[Country of data at rest]],B_02.02[0150],0))),TRUE,FALSE)</f>
        <v>0</v>
      </c>
      <c r="M189" s="117"/>
    </row>
    <row r="190" spans="2:13" ht="12.75">
      <c r="B190" t="s">
        <v>144</v>
      </c>
      <c r="C190">
        <v>7.20</v>
      </c>
      <c r="D190">
        <v>7</v>
      </c>
      <c r="E190">
        <f>IF(Table6[[#This Row],[Column1]]=TRUE,1.5,0)</f>
        <v>0</v>
      </c>
      <c r="G190" t="str">
        <f>IF(Table6[[#This Row],[In EU]],$C$5,"NA")</f>
        <v>NA</v>
      </c>
      <c r="K190" t="b">
        <f>IF(NOT(ISERROR(MATCH(Table6[[#This Row],[Country of data at rest]],B_02.02[0150],0))),TRUE,FALSE)</f>
        <v>0</v>
      </c>
      <c r="M190" s="117"/>
    </row>
    <row r="191" spans="2:13" ht="12.75">
      <c r="B191" t="s">
        <v>143</v>
      </c>
      <c r="C191">
        <v>7.20</v>
      </c>
      <c r="D191">
        <v>7</v>
      </c>
      <c r="E191">
        <f>IF(Table6[[#This Row],[Column1]]=TRUE,1.5,0)</f>
        <v>0</v>
      </c>
      <c r="G191" t="str">
        <f>IF(Table6[[#This Row],[In EU]],$C$5,"NA")</f>
        <v>NA</v>
      </c>
      <c r="K191" t="b">
        <f>IF(NOT(ISERROR(MATCH(Table6[[#This Row],[Country of data at rest]],B_02.02[0150],0))),TRUE,FALSE)</f>
        <v>0</v>
      </c>
      <c r="M191" s="117"/>
    </row>
    <row r="192" spans="2:13" ht="12.75">
      <c r="B192" t="s">
        <v>142</v>
      </c>
      <c r="C192">
        <v>7.20</v>
      </c>
      <c r="D192">
        <v>7</v>
      </c>
      <c r="E192">
        <f>IF(Table6[[#This Row],[Column1]]=TRUE,1.5,0)</f>
        <v>0</v>
      </c>
      <c r="G192" t="str">
        <f>IF(Table6[[#This Row],[In EU]],$C$5,"NA")</f>
        <v>NA</v>
      </c>
      <c r="K192" t="b">
        <f>IF(NOT(ISERROR(MATCH(Table6[[#This Row],[Country of data at rest]],B_02.02[0150],0))),TRUE,FALSE)</f>
        <v>0</v>
      </c>
      <c r="M192" s="117"/>
    </row>
    <row r="193" spans="2:13" ht="12.75">
      <c r="B193" t="s">
        <v>141</v>
      </c>
      <c r="C193">
        <v>7.20</v>
      </c>
      <c r="D193">
        <v>7</v>
      </c>
      <c r="E193">
        <f>IF(Table6[[#This Row],[Column1]]=TRUE,1.5,0)</f>
        <v>0</v>
      </c>
      <c r="G193" t="str">
        <f>IF(Table6[[#This Row],[In EU]],$C$5,"NA")</f>
        <v>NA</v>
      </c>
      <c r="K193" t="b">
        <f>IF(NOT(ISERROR(MATCH(Table6[[#This Row],[Country of data at rest]],B_02.02[0150],0))),TRUE,FALSE)</f>
        <v>0</v>
      </c>
      <c r="M193" s="117"/>
    </row>
    <row r="194" spans="2:13" ht="12.75">
      <c r="B194" t="s">
        <v>140</v>
      </c>
      <c r="C194">
        <v>7.20</v>
      </c>
      <c r="D194">
        <v>7</v>
      </c>
      <c r="E194">
        <f>IF(Table6[[#This Row],[Column1]]=TRUE,1.5,0)</f>
        <v>0</v>
      </c>
      <c r="G194" t="str">
        <f>IF(Table6[[#This Row],[In EU]],$C$5,"NA")</f>
        <v>NA</v>
      </c>
      <c r="K194" t="b">
        <f>IF(NOT(ISERROR(MATCH(Table6[[#This Row],[Country of data at rest]],B_02.02[0150],0))),TRUE,FALSE)</f>
        <v>0</v>
      </c>
      <c r="M194" s="117"/>
    </row>
    <row r="195" spans="2:13" ht="12.75">
      <c r="B195" t="s">
        <v>139</v>
      </c>
      <c r="C195">
        <v>7.20</v>
      </c>
      <c r="D195">
        <v>7</v>
      </c>
      <c r="E195">
        <f>IF(Table6[[#This Row],[Column1]]=TRUE,1.5,0)</f>
        <v>0</v>
      </c>
      <c r="G195" t="str">
        <f>IF(Table6[[#This Row],[In EU]],$C$5,"NA")</f>
        <v>NA</v>
      </c>
      <c r="K195" t="b">
        <f>IF(NOT(ISERROR(MATCH(Table6[[#This Row],[Country of data at rest]],B_02.02[0150],0))),TRUE,FALSE)</f>
        <v>0</v>
      </c>
      <c r="M195" s="117"/>
    </row>
    <row r="196" spans="2:13" ht="12.75">
      <c r="B196" t="s">
        <v>138</v>
      </c>
      <c r="C196">
        <v>7.20</v>
      </c>
      <c r="D196">
        <v>7</v>
      </c>
      <c r="E196">
        <f>IF(Table6[[#This Row],[Column1]]=TRUE,1.5,0)</f>
        <v>0</v>
      </c>
      <c r="G196" t="str">
        <f>IF(Table6[[#This Row],[In EU]],$C$5,"NA")</f>
        <v>NA</v>
      </c>
      <c r="K196" t="b">
        <f>IF(NOT(ISERROR(MATCH(Table6[[#This Row],[Country of data at rest]],B_02.02[0150],0))),TRUE,FALSE)</f>
        <v>0</v>
      </c>
      <c r="M196" s="117"/>
    </row>
    <row r="197" spans="2:13" ht="12.75">
      <c r="B197" t="s">
        <v>137</v>
      </c>
      <c r="C197">
        <v>7.20</v>
      </c>
      <c r="D197">
        <v>7</v>
      </c>
      <c r="E197">
        <f>IF(Table6[[#This Row],[Column1]]=TRUE,1.5,0)</f>
        <v>0</v>
      </c>
      <c r="G197" t="str">
        <f>IF(Table6[[#This Row],[In EU]],$C$5,"NA")</f>
        <v>NA</v>
      </c>
      <c r="K197" t="b">
        <f>IF(NOT(ISERROR(MATCH(Table6[[#This Row],[Country of data at rest]],B_02.02[0150],0))),TRUE,FALSE)</f>
        <v>0</v>
      </c>
      <c r="M197" s="117"/>
    </row>
    <row r="198" spans="2:13" ht="12.75">
      <c r="B198" t="s">
        <v>136</v>
      </c>
      <c r="C198">
        <v>7.20</v>
      </c>
      <c r="D198">
        <v>7</v>
      </c>
      <c r="E198">
        <f>IF(Table6[[#This Row],[Column1]]=TRUE,1.5,0)</f>
        <v>0</v>
      </c>
      <c r="G198" t="str">
        <f>IF(Table6[[#This Row],[In EU]],$C$5,"NA")</f>
        <v>NA</v>
      </c>
      <c r="K198" t="b">
        <f>IF(NOT(ISERROR(MATCH(Table6[[#This Row],[Country of data at rest]],B_02.02[0150],0))),TRUE,FALSE)</f>
        <v>0</v>
      </c>
      <c r="M198" s="117"/>
    </row>
    <row r="199" spans="2:13" ht="12.75">
      <c r="B199" t="s">
        <v>135</v>
      </c>
      <c r="C199">
        <v>7.20</v>
      </c>
      <c r="D199">
        <v>7</v>
      </c>
      <c r="E199">
        <f>IF(Table6[[#This Row],[Column1]]=TRUE,1.5,0)</f>
        <v>0</v>
      </c>
      <c r="G199" t="str">
        <f>IF(Table6[[#This Row],[In EU]],$C$5,"NA")</f>
        <v>NA</v>
      </c>
      <c r="K199" t="b">
        <f>IF(NOT(ISERROR(MATCH(Table6[[#This Row],[Country of data at rest]],B_02.02[0150],0))),TRUE,FALSE)</f>
        <v>0</v>
      </c>
      <c r="M199" s="117"/>
    </row>
    <row r="200" spans="5:13" ht="15" customHeight="1">
      <c r="E200">
        <f>IF(Table6[[#This Row],[Column1]]=TRUE,1.5,0)</f>
        <v>0</v>
      </c>
      <c r="K200" t="b">
        <f>IF(NOT(ISERROR(MATCH(Table6[[#This Row],[Country of data at rest]],B_02.02[0150],0))),TRUE,FALSE)</f>
        <v>0</v>
      </c>
      <c r="M200" s="117"/>
    </row>
    <row r="201" spans="5:13" ht="15" customHeight="1">
      <c r="E201">
        <f>IF(Table6[[#This Row],[Column1]]=TRUE,1.5,0)</f>
        <v>0</v>
      </c>
      <c r="K201" t="b">
        <f>IF(NOT(ISERROR(MATCH(Table6[[#This Row],[Country of data at rest]],B_02.02[0150],0))),TRUE,FALSE)</f>
        <v>0</v>
      </c>
      <c r="M201" s="117"/>
    </row>
    <row r="202" spans="5:13" ht="15" customHeight="1">
      <c r="E202">
        <f>IF(Table6[[#This Row],[Column1]]=TRUE,1.5,0)</f>
        <v>0</v>
      </c>
      <c r="K202" t="b">
        <f>IF(NOT(ISERROR(MATCH(Table6[[#This Row],[Country of data at rest]],B_02.02[0150],0))),TRUE,FALSE)</f>
        <v>0</v>
      </c>
      <c r="M202" s="117"/>
    </row>
    <row r="203" spans="2:13" ht="15.75">
      <c r="B203" s="35" t="s">
        <v>82</v>
      </c>
      <c r="E203">
        <f>IF(Table6[[#This Row],[Column1]]=TRUE,1.5,0)</f>
        <v>0</v>
      </c>
      <c r="K203" t="b">
        <f>IF(NOT(ISERROR(MATCH(Table6[[#This Row],[Country of data at rest]],B_02.02[0150],0))),TRUE,FALSE)</f>
        <v>0</v>
      </c>
      <c r="M203" s="117"/>
    </row>
    <row r="204" spans="2:13" ht="12.75">
      <c r="B204" s="33"/>
      <c r="E204">
        <f>IF(Table6[[#This Row],[Column1]]=TRUE,1.5,0)</f>
        <v>0</v>
      </c>
      <c r="K204" t="b">
        <f>IF(NOT(ISERROR(MATCH(Table6[[#This Row],[Country of data at rest]],B_02.02[0150],0))),TRUE,FALSE)</f>
        <v>0</v>
      </c>
      <c r="M204" s="117"/>
    </row>
    <row r="205" spans="2:13" ht="12.75">
      <c r="B205" t="s">
        <v>134</v>
      </c>
      <c r="C205">
        <v>1.80</v>
      </c>
      <c r="D205">
        <v>7.20</v>
      </c>
      <c r="E205">
        <f>IF(Table6[[#This Row],[Column1]]=TRUE,1.5,0)</f>
        <v>0</v>
      </c>
      <c r="G205" t="str">
        <f>IF(Table6[[#This Row],[In EU]],$C$5,"NA")</f>
        <v>NA</v>
      </c>
      <c r="K205" t="b">
        <f>IF(NOT(ISERROR(MATCH(Table6[[#This Row],[Country of data at rest]],B_02.02[0150],0))),TRUE,FALSE)</f>
        <v>0</v>
      </c>
      <c r="M205" s="117"/>
    </row>
    <row r="206" spans="2:13" ht="12.75">
      <c r="B206" t="s">
        <v>133</v>
      </c>
      <c r="C206">
        <v>1.80</v>
      </c>
      <c r="D206">
        <v>7.20</v>
      </c>
      <c r="E206">
        <f>IF(Table6[[#This Row],[Column1]]=TRUE,1.5,0)</f>
        <v>0</v>
      </c>
      <c r="G206" t="str">
        <f>IF(Table6[[#This Row],[In EU]],$C$5,"NA")</f>
        <v>NA</v>
      </c>
      <c r="K206" t="b">
        <f>IF(NOT(ISERROR(MATCH(Table6[[#This Row],[Country of data at rest]],B_02.02[0150],0))),TRUE,FALSE)</f>
        <v>0</v>
      </c>
      <c r="M206" s="117"/>
    </row>
    <row r="207" spans="2:13" ht="12.75">
      <c r="B207" t="s">
        <v>132</v>
      </c>
      <c r="C207">
        <v>1.80</v>
      </c>
      <c r="D207">
        <v>7.20</v>
      </c>
      <c r="E207">
        <f>IF(Table6[[#This Row],[Column1]]=TRUE,1.5,0)</f>
        <v>0</v>
      </c>
      <c r="G207" t="str">
        <f>IF(Table6[[#This Row],[In EU]],$C$5,"NA")</f>
        <v>NA</v>
      </c>
      <c r="K207" t="b">
        <f>IF(NOT(ISERROR(MATCH(Table6[[#This Row],[Country of data at rest]],B_02.02[0150],0))),TRUE,FALSE)</f>
        <v>0</v>
      </c>
      <c r="M207" s="117"/>
    </row>
    <row r="208" spans="2:13" ht="12.75">
      <c r="B208" t="s">
        <v>131</v>
      </c>
      <c r="C208">
        <v>1.80</v>
      </c>
      <c r="D208">
        <v>7.20</v>
      </c>
      <c r="E208">
        <f>IF(Table6[[#This Row],[Column1]]=TRUE,1.5,0)</f>
        <v>0</v>
      </c>
      <c r="G208" t="str">
        <f>IF(Table6[[#This Row],[In EU]],$C$5,"NA")</f>
        <v>NA</v>
      </c>
      <c r="K208" t="b">
        <f>IF(NOT(ISERROR(MATCH(Table6[[#This Row],[Country of data at rest]],B_02.02[0150],0))),TRUE,FALSE)</f>
        <v>0</v>
      </c>
      <c r="M208" s="117"/>
    </row>
    <row r="209" spans="2:13" ht="12.75">
      <c r="B209" t="s">
        <v>130</v>
      </c>
      <c r="C209">
        <v>1.80</v>
      </c>
      <c r="D209">
        <v>7.20</v>
      </c>
      <c r="E209">
        <f>IF(Table6[[#This Row],[Column1]]=TRUE,1.5,0)</f>
        <v>0</v>
      </c>
      <c r="G209" t="str">
        <f>IF(Table6[[#This Row],[In EU]],$C$5,"NA")</f>
        <v>NA</v>
      </c>
      <c r="K209" t="b">
        <f>IF(NOT(ISERROR(MATCH(Table6[[#This Row],[Country of data at rest]],B_02.02[0150],0))),TRUE,FALSE)</f>
        <v>0</v>
      </c>
      <c r="M209" s="117"/>
    </row>
    <row r="210" spans="2:13" ht="12.75">
      <c r="B210" t="s">
        <v>129</v>
      </c>
      <c r="C210">
        <v>1.80</v>
      </c>
      <c r="D210">
        <v>7.20</v>
      </c>
      <c r="E210">
        <f>IF(Table6[[#This Row],[Column1]]=TRUE,1.5,0)</f>
        <v>0</v>
      </c>
      <c r="G210" t="str">
        <f>IF(Table6[[#This Row],[In EU]],$C$5,"NA")</f>
        <v>NA</v>
      </c>
      <c r="K210" t="b">
        <f>IF(NOT(ISERROR(MATCH(Table6[[#This Row],[Country of data at rest]],B_02.02[0150],0))),TRUE,FALSE)</f>
        <v>0</v>
      </c>
      <c r="M210" s="117"/>
    </row>
    <row r="211" spans="2:13" ht="12.75">
      <c r="B211" t="s">
        <v>128</v>
      </c>
      <c r="C211">
        <v>1.80</v>
      </c>
      <c r="D211">
        <v>7.20</v>
      </c>
      <c r="E211">
        <f>IF(Table6[[#This Row],[Column1]]=TRUE,1.5,0)</f>
        <v>0</v>
      </c>
      <c r="G211" t="str">
        <f>IF(Table6[[#This Row],[In EU]],$C$5,"NA")</f>
        <v>NA</v>
      </c>
      <c r="K211" t="b">
        <f>IF(NOT(ISERROR(MATCH(Table6[[#This Row],[Country of data at rest]],B_02.02[0150],0))),TRUE,FALSE)</f>
        <v>0</v>
      </c>
      <c r="M211" s="117"/>
    </row>
    <row r="212" spans="2:13" ht="12.75">
      <c r="B212" t="s">
        <v>127</v>
      </c>
      <c r="C212">
        <v>1.80</v>
      </c>
      <c r="D212">
        <v>7.20</v>
      </c>
      <c r="E212">
        <f>IF(Table6[[#This Row],[Column1]]=TRUE,1.5,0)</f>
        <v>0</v>
      </c>
      <c r="G212" t="str">
        <f>IF(Table6[[#This Row],[In EU]],$C$5,"NA")</f>
        <v>NA</v>
      </c>
      <c r="K212" t="b">
        <f>IF(NOT(ISERROR(MATCH(Table6[[#This Row],[Country of data at rest]],B_02.02[0150],0))),TRUE,FALSE)</f>
        <v>0</v>
      </c>
      <c r="M212" s="117"/>
    </row>
    <row r="213" spans="2:13" ht="12.75">
      <c r="B213" t="s">
        <v>126</v>
      </c>
      <c r="C213">
        <v>1.80</v>
      </c>
      <c r="D213">
        <v>7.20</v>
      </c>
      <c r="E213">
        <f>IF(Table6[[#This Row],[Column1]]=TRUE,1.5,0)</f>
        <v>0</v>
      </c>
      <c r="G213" t="str">
        <f>IF(Table6[[#This Row],[In EU]],$C$5,"NA")</f>
        <v>NA</v>
      </c>
      <c r="K213" t="b">
        <f>IF(NOT(ISERROR(MATCH(Table6[[#This Row],[Country of data at rest]],B_02.02[0150],0))),TRUE,FALSE)</f>
        <v>0</v>
      </c>
      <c r="M213" s="117"/>
    </row>
    <row r="214" spans="2:13" ht="12.75">
      <c r="B214" t="s">
        <v>125</v>
      </c>
      <c r="C214">
        <v>1.80</v>
      </c>
      <c r="D214">
        <v>7.20</v>
      </c>
      <c r="E214">
        <f>IF(Table6[[#This Row],[Column1]]=TRUE,1.5,0)</f>
        <v>0</v>
      </c>
      <c r="G214" t="str">
        <f>IF(Table6[[#This Row],[In EU]],$C$5,"NA")</f>
        <v>NA</v>
      </c>
      <c r="K214" t="b">
        <f>IF(NOT(ISERROR(MATCH(Table6[[#This Row],[Country of data at rest]],B_02.02[0150],0))),TRUE,FALSE)</f>
        <v>0</v>
      </c>
      <c r="M214" s="117"/>
    </row>
    <row r="215" spans="2:13" ht="12.75">
      <c r="B215" t="s">
        <v>123</v>
      </c>
      <c r="C215">
        <v>1.80</v>
      </c>
      <c r="D215">
        <v>7.20</v>
      </c>
      <c r="E215">
        <f>IF(Table6[[#This Row],[Column1]]=TRUE,1.5,0)</f>
        <v>0</v>
      </c>
      <c r="G215" t="str">
        <f>IF(Table6[[#This Row],[In EU]],$C$5,"NA")</f>
        <v>NA</v>
      </c>
      <c r="K215" t="b">
        <f>IF(NOT(ISERROR(MATCH(Table6[[#This Row],[Country of data at rest]],B_02.02[0150],0))),TRUE,FALSE)</f>
        <v>0</v>
      </c>
      <c r="M215" s="117"/>
    </row>
    <row r="216" spans="2:13" ht="12.75">
      <c r="B216" t="s">
        <v>122</v>
      </c>
      <c r="C216">
        <v>1.80</v>
      </c>
      <c r="D216">
        <v>7.20</v>
      </c>
      <c r="E216">
        <f>IF(Table6[[#This Row],[Column1]]=TRUE,1.5,0)</f>
        <v>0</v>
      </c>
      <c r="G216" t="str">
        <f>IF(Table6[[#This Row],[In EU]],$C$5,"NA")</f>
        <v>NA</v>
      </c>
      <c r="K216" t="b">
        <f>IF(NOT(ISERROR(MATCH(Table6[[#This Row],[Country of data at rest]],B_02.02[0150],0))),TRUE,FALSE)</f>
        <v>0</v>
      </c>
      <c r="M216" s="117"/>
    </row>
    <row r="217" spans="2:13" ht="12.75">
      <c r="B217" t="s">
        <v>121</v>
      </c>
      <c r="C217">
        <v>1.80</v>
      </c>
      <c r="D217">
        <v>7.20</v>
      </c>
      <c r="E217">
        <f>IF(Table6[[#This Row],[Column1]]=TRUE,1.5,0)</f>
        <v>0</v>
      </c>
      <c r="G217" t="str">
        <f>IF(Table6[[#This Row],[In EU]],$C$5,"NA")</f>
        <v>NA</v>
      </c>
      <c r="K217" t="b">
        <f>IF(NOT(ISERROR(MATCH(Table6[[#This Row],[Country of data at rest]],B_02.02[0150],0))),TRUE,FALSE)</f>
        <v>0</v>
      </c>
      <c r="M217" s="117"/>
    </row>
    <row r="218" spans="2:13" ht="12.75">
      <c r="B218" t="s">
        <v>120</v>
      </c>
      <c r="C218">
        <v>1.80</v>
      </c>
      <c r="D218">
        <v>7.20</v>
      </c>
      <c r="E218">
        <f>IF(Table6[[#This Row],[Column1]]=TRUE,1.5,0)</f>
        <v>0</v>
      </c>
      <c r="G218" t="str">
        <f>IF(Table6[[#This Row],[In EU]],$C$5,"NA")</f>
        <v>NA</v>
      </c>
      <c r="K218" t="b">
        <f>IF(NOT(ISERROR(MATCH(Table6[[#This Row],[Country of data at rest]],B_02.02[0150],0))),TRUE,FALSE)</f>
        <v>0</v>
      </c>
      <c r="M218" s="117"/>
    </row>
    <row r="219" spans="2:13" ht="12.75">
      <c r="B219" t="s">
        <v>250</v>
      </c>
      <c r="C219">
        <v>1.80</v>
      </c>
      <c r="D219">
        <v>7.20</v>
      </c>
      <c r="E219">
        <f>IF(Table6[[#This Row],[Column1]]=TRUE,1.5,0)</f>
        <v>0</v>
      </c>
      <c r="G219" t="str">
        <f>IF(Table6[[#This Row],[In EU]],$C$5,"NA")</f>
        <v>NA</v>
      </c>
      <c r="K219" t="b">
        <f>IF(NOT(ISERROR(MATCH(Table6[[#This Row],[Country of data at rest]],B_02.02[0150],0))),TRUE,FALSE)</f>
        <v>0</v>
      </c>
      <c r="M219" s="117"/>
    </row>
    <row r="220" spans="2:13" ht="12.75">
      <c r="B220" t="s">
        <v>119</v>
      </c>
      <c r="C220">
        <v>1.80</v>
      </c>
      <c r="D220">
        <v>7.20</v>
      </c>
      <c r="E220">
        <f>IF(Table6[[#This Row],[Column1]]=TRUE,1.5,0)</f>
        <v>0</v>
      </c>
      <c r="G220" t="str">
        <f>IF(Table6[[#This Row],[In EU]],$C$5,"NA")</f>
        <v>NA</v>
      </c>
      <c r="K220" t="b">
        <f>IF(NOT(ISERROR(MATCH(Table6[[#This Row],[Country of data at rest]],B_02.02[0150],0))),TRUE,FALSE)</f>
        <v>0</v>
      </c>
      <c r="M220" s="117"/>
    </row>
    <row r="221" spans="2:13" ht="12.75">
      <c r="B221" t="s">
        <v>118</v>
      </c>
      <c r="C221">
        <v>1.80</v>
      </c>
      <c r="D221">
        <v>7.20</v>
      </c>
      <c r="E221">
        <f>IF(Table6[[#This Row],[Column1]]=TRUE,1.5,0)</f>
        <v>0</v>
      </c>
      <c r="G221" t="str">
        <f>IF(Table6[[#This Row],[In EU]],$C$5,"NA")</f>
        <v>NA</v>
      </c>
      <c r="K221" t="b">
        <f>IF(NOT(ISERROR(MATCH(Table6[[#This Row],[Country of data at rest]],B_02.02[0150],0))),TRUE,FALSE)</f>
        <v>0</v>
      </c>
      <c r="M221" s="117"/>
    </row>
    <row r="222" spans="2:13" ht="12.75">
      <c r="B222" t="s">
        <v>117</v>
      </c>
      <c r="C222">
        <v>1.80</v>
      </c>
      <c r="D222">
        <v>7.20</v>
      </c>
      <c r="E222">
        <f>IF(Table6[[#This Row],[Column1]]=TRUE,1.5,0)</f>
        <v>0</v>
      </c>
      <c r="G222" t="str">
        <f>IF(Table6[[#This Row],[In EU]],$C$5,"NA")</f>
        <v>NA</v>
      </c>
      <c r="K222" t="b">
        <f>IF(NOT(ISERROR(MATCH(Table6[[#This Row],[Country of data at rest]],B_02.02[0150],0))),TRUE,FALSE)</f>
        <v>0</v>
      </c>
      <c r="M222" s="117"/>
    </row>
    <row r="223" spans="2:13" ht="12.75">
      <c r="B223" t="s">
        <v>116</v>
      </c>
      <c r="C223">
        <v>1.80</v>
      </c>
      <c r="D223">
        <v>7.20</v>
      </c>
      <c r="E223">
        <f>IF(Table6[[#This Row],[Column1]]=TRUE,1.5,0)</f>
        <v>0</v>
      </c>
      <c r="G223" t="str">
        <f>IF(Table6[[#This Row],[In EU]],$C$5,"NA")</f>
        <v>NA</v>
      </c>
      <c r="K223" t="b">
        <f>IF(NOT(ISERROR(MATCH(Table6[[#This Row],[Country of data at rest]],B_02.02[0150],0))),TRUE,FALSE)</f>
        <v>0</v>
      </c>
      <c r="M223" s="117"/>
    </row>
    <row r="224" spans="2:13" ht="12.75">
      <c r="B224" t="s">
        <v>115</v>
      </c>
      <c r="C224">
        <v>1.80</v>
      </c>
      <c r="D224">
        <v>7.20</v>
      </c>
      <c r="E224">
        <f>IF(Table6[[#This Row],[Column1]]=TRUE,1.5,0)</f>
        <v>0</v>
      </c>
      <c r="G224" t="str">
        <f>IF(Table6[[#This Row],[In EU]],$C$5,"NA")</f>
        <v>NA</v>
      </c>
      <c r="K224" t="b">
        <f>IF(NOT(ISERROR(MATCH(Table6[[#This Row],[Country of data at rest]],B_02.02[0150],0))),TRUE,FALSE)</f>
        <v>0</v>
      </c>
      <c r="M224" s="117"/>
    </row>
    <row r="225" spans="2:13" ht="12.75">
      <c r="B225" t="s">
        <v>114</v>
      </c>
      <c r="C225">
        <v>1.80</v>
      </c>
      <c r="D225">
        <v>7.20</v>
      </c>
      <c r="E225">
        <f>IF(Table6[[#This Row],[Column1]]=TRUE,1.5,0)</f>
        <v>0</v>
      </c>
      <c r="G225" t="str">
        <f>IF(Table6[[#This Row],[In EU]],$C$5,"NA")</f>
        <v>NA</v>
      </c>
      <c r="K225" t="b">
        <f>IF(NOT(ISERROR(MATCH(Table6[[#This Row],[Country of data at rest]],B_02.02[0150],0))),TRUE,FALSE)</f>
        <v>0</v>
      </c>
      <c r="M225" s="117"/>
    </row>
    <row r="226" spans="2:13" ht="12.75">
      <c r="B226" t="s">
        <v>113</v>
      </c>
      <c r="C226">
        <v>1.80</v>
      </c>
      <c r="D226">
        <v>7.20</v>
      </c>
      <c r="E226">
        <f>IF(Table6[[#This Row],[Column1]]=TRUE,1.5,0)</f>
        <v>0</v>
      </c>
      <c r="G226" t="str">
        <f>IF(Table6[[#This Row],[In EU]],$C$5,"NA")</f>
        <v>NA</v>
      </c>
      <c r="K226" t="b">
        <f>IF(NOT(ISERROR(MATCH(Table6[[#This Row],[Country of data at rest]],B_02.02[0150],0))),TRUE,FALSE)</f>
        <v>0</v>
      </c>
      <c r="M226" s="117"/>
    </row>
    <row r="227" spans="2:13" ht="12.75">
      <c r="B227" t="s">
        <v>112</v>
      </c>
      <c r="C227">
        <v>1.80</v>
      </c>
      <c r="D227">
        <v>7.20</v>
      </c>
      <c r="E227">
        <f>IF(Table6[[#This Row],[Column1]]=TRUE,1.5,0)</f>
        <v>0</v>
      </c>
      <c r="G227" t="str">
        <f>IF(Table6[[#This Row],[In EU]],$C$5,"NA")</f>
        <v>NA</v>
      </c>
      <c r="K227" t="b">
        <f>IF(NOT(ISERROR(MATCH(Table6[[#This Row],[Country of data at rest]],B_02.02[0150],0))),TRUE,FALSE)</f>
        <v>0</v>
      </c>
      <c r="M227" s="117"/>
    </row>
    <row r="228" spans="2:13" ht="12.75">
      <c r="B228" t="s">
        <v>111</v>
      </c>
      <c r="C228">
        <v>1.80</v>
      </c>
      <c r="D228">
        <v>7.20</v>
      </c>
      <c r="E228">
        <f>IF(Table6[[#This Row],[Column1]]=TRUE,1.5,0)</f>
        <v>0</v>
      </c>
      <c r="G228" t="str">
        <f>IF(Table6[[#This Row],[In EU]],$C$5,"NA")</f>
        <v>NA</v>
      </c>
      <c r="K228" t="b">
        <f>IF(NOT(ISERROR(MATCH(Table6[[#This Row],[Country of data at rest]],B_02.02[0150],0))),TRUE,FALSE)</f>
        <v>0</v>
      </c>
      <c r="M228" s="117"/>
    </row>
    <row r="229" spans="2:13" ht="12.75">
      <c r="B229" t="s">
        <v>110</v>
      </c>
      <c r="C229">
        <v>1.80</v>
      </c>
      <c r="D229">
        <v>7.20</v>
      </c>
      <c r="E229">
        <f>IF(Table6[[#This Row],[Column1]]=TRUE,1.5,0)</f>
        <v>0</v>
      </c>
      <c r="G229" t="str">
        <f>IF(Table6[[#This Row],[In EU]],$C$5,"NA")</f>
        <v>NA</v>
      </c>
      <c r="K229" t="b">
        <f>IF(NOT(ISERROR(MATCH(Table6[[#This Row],[Country of data at rest]],B_02.02[0150],0))),TRUE,FALSE)</f>
        <v>0</v>
      </c>
      <c r="M229" s="117"/>
    </row>
    <row r="230" spans="2:13" ht="12.75">
      <c r="B230" t="s">
        <v>109</v>
      </c>
      <c r="C230">
        <v>1.80</v>
      </c>
      <c r="D230">
        <v>7.20</v>
      </c>
      <c r="E230">
        <f>IF(Table6[[#This Row],[Column1]]=TRUE,1.5,0)</f>
        <v>0</v>
      </c>
      <c r="G230" t="str">
        <f>IF(Table6[[#This Row],[In EU]],$C$5,"NA")</f>
        <v>NA</v>
      </c>
      <c r="K230" t="b">
        <f>IF(NOT(ISERROR(MATCH(Table6[[#This Row],[Country of data at rest]],B_02.02[0150],0))),TRUE,FALSE)</f>
        <v>0</v>
      </c>
      <c r="M230" s="117"/>
    </row>
    <row r="231" spans="2:13" ht="12.75">
      <c r="B231" t="s">
        <v>108</v>
      </c>
      <c r="C231">
        <v>1.80</v>
      </c>
      <c r="D231">
        <v>7.20</v>
      </c>
      <c r="E231">
        <f>IF(Table6[[#This Row],[Column1]]=TRUE,1.5,0)</f>
        <v>0</v>
      </c>
      <c r="G231" t="str">
        <f>IF(Table6[[#This Row],[In EU]],$C$5,"NA")</f>
        <v>NA</v>
      </c>
      <c r="K231" t="b">
        <f>IF(NOT(ISERROR(MATCH(Table6[[#This Row],[Country of data at rest]],B_02.02[0150],0))),TRUE,FALSE)</f>
        <v>0</v>
      </c>
      <c r="M231" s="117"/>
    </row>
    <row r="232" spans="2:13" ht="12.75">
      <c r="B232" t="s">
        <v>107</v>
      </c>
      <c r="C232">
        <v>1.80</v>
      </c>
      <c r="D232">
        <v>7.20</v>
      </c>
      <c r="E232">
        <f>IF(Table6[[#This Row],[Column1]]=TRUE,1.5,0)</f>
        <v>0</v>
      </c>
      <c r="G232" t="str">
        <f>IF(Table6[[#This Row],[In EU]],$C$5,"NA")</f>
        <v>NA</v>
      </c>
      <c r="K232" t="b">
        <f>IF(NOT(ISERROR(MATCH(Table6[[#This Row],[Country of data at rest]],B_02.02[0150],0))),TRUE,FALSE)</f>
        <v>0</v>
      </c>
      <c r="M232" s="117"/>
    </row>
    <row r="233" spans="2:13" ht="12.75">
      <c r="B233" t="s">
        <v>106</v>
      </c>
      <c r="C233">
        <v>1.80</v>
      </c>
      <c r="D233">
        <v>7.20</v>
      </c>
      <c r="E233">
        <f>IF(Table6[[#This Row],[Column1]]=TRUE,1.5,0)</f>
        <v>0</v>
      </c>
      <c r="G233" t="str">
        <f>IF(Table6[[#This Row],[In EU]],$C$5,"NA")</f>
        <v>NA</v>
      </c>
      <c r="K233" t="b">
        <f>IF(NOT(ISERROR(MATCH(Table6[[#This Row],[Country of data at rest]],B_02.02[0150],0))),TRUE,FALSE)</f>
        <v>0</v>
      </c>
      <c r="M233" s="117"/>
    </row>
    <row r="234" spans="2:13" ht="12.75">
      <c r="B234" t="s">
        <v>105</v>
      </c>
      <c r="C234">
        <v>1.80</v>
      </c>
      <c r="D234">
        <v>7.20</v>
      </c>
      <c r="E234">
        <f>IF(Table6[[#This Row],[Column1]]=TRUE,1.5,0)</f>
        <v>0</v>
      </c>
      <c r="G234" t="str">
        <f>IF(Table6[[#This Row],[In EU]],$C$5,"NA")</f>
        <v>NA</v>
      </c>
      <c r="K234" t="b">
        <f>IF(NOT(ISERROR(MATCH(Table6[[#This Row],[Country of data at rest]],B_02.02[0150],0))),TRUE,FALSE)</f>
        <v>0</v>
      </c>
      <c r="M234" s="117"/>
    </row>
    <row r="235" spans="2:13" ht="12.75">
      <c r="B235" t="s">
        <v>104</v>
      </c>
      <c r="C235">
        <v>1.80</v>
      </c>
      <c r="D235">
        <v>7.20</v>
      </c>
      <c r="E235">
        <f>IF(Table6[[#This Row],[Column1]]=TRUE,1.5,0)</f>
        <v>0</v>
      </c>
      <c r="G235" t="str">
        <f>IF(Table6[[#This Row],[In EU]],$C$5,"NA")</f>
        <v>NA</v>
      </c>
      <c r="K235" t="b">
        <f>IF(NOT(ISERROR(MATCH(Table6[[#This Row],[Country of data at rest]],B_02.02[0150],0))),TRUE,FALSE)</f>
        <v>0</v>
      </c>
      <c r="M235" s="117"/>
    </row>
    <row r="236" spans="2:13" ht="12.75">
      <c r="B236" t="s">
        <v>103</v>
      </c>
      <c r="C236">
        <v>1.80</v>
      </c>
      <c r="D236">
        <v>7.20</v>
      </c>
      <c r="E236">
        <f>IF(Table6[[#This Row],[Column1]]=TRUE,1.5,0)</f>
        <v>0</v>
      </c>
      <c r="G236" t="str">
        <f>IF(Table6[[#This Row],[In EU]],$C$5,"NA")</f>
        <v>NA</v>
      </c>
      <c r="K236" t="b">
        <f>IF(NOT(ISERROR(MATCH(Table6[[#This Row],[Country of data at rest]],B_02.02[0150],0))),TRUE,FALSE)</f>
        <v>0</v>
      </c>
      <c r="M236" s="117"/>
    </row>
    <row r="237" spans="2:13" ht="12.75">
      <c r="B237" t="s">
        <v>102</v>
      </c>
      <c r="C237">
        <v>1.80</v>
      </c>
      <c r="D237">
        <v>7.20</v>
      </c>
      <c r="E237">
        <f>IF(Table6[[#This Row],[Column1]]=TRUE,1.5,0)</f>
        <v>0</v>
      </c>
      <c r="G237" t="str">
        <f>IF(Table6[[#This Row],[In EU]],$C$5,"NA")</f>
        <v>NA</v>
      </c>
      <c r="K237" t="b">
        <f>IF(NOT(ISERROR(MATCH(Table6[[#This Row],[Country of data at rest]],B_02.02[0150],0))),TRUE,FALSE)</f>
        <v>0</v>
      </c>
      <c r="M237" s="117"/>
    </row>
    <row r="238" spans="2:13" ht="12.75">
      <c r="B238" t="s">
        <v>101</v>
      </c>
      <c r="C238">
        <v>1.80</v>
      </c>
      <c r="D238">
        <v>7.20</v>
      </c>
      <c r="E238">
        <f>IF(Table6[[#This Row],[Column1]]=TRUE,1.5,0)</f>
        <v>0</v>
      </c>
      <c r="G238" t="str">
        <f>IF(Table6[[#This Row],[In EU]],$C$5,"NA")</f>
        <v>NA</v>
      </c>
      <c r="K238" t="b">
        <f>IF(NOT(ISERROR(MATCH(Table6[[#This Row],[Country of data at rest]],B_02.02[0150],0))),TRUE,FALSE)</f>
        <v>0</v>
      </c>
      <c r="M238" s="117"/>
    </row>
    <row r="239" spans="2:13" ht="12.75">
      <c r="B239" t="s">
        <v>100</v>
      </c>
      <c r="C239">
        <v>1.80</v>
      </c>
      <c r="D239">
        <v>7.20</v>
      </c>
      <c r="E239">
        <f>IF(Table6[[#This Row],[Column1]]=TRUE,1.5,0)</f>
        <v>0</v>
      </c>
      <c r="G239" t="str">
        <f>IF(Table6[[#This Row],[In EU]],$C$5,"NA")</f>
        <v>NA</v>
      </c>
      <c r="K239" t="b">
        <f>IF(NOT(ISERROR(MATCH(Table6[[#This Row],[Country of data at rest]],B_02.02[0150],0))),TRUE,FALSE)</f>
        <v>0</v>
      </c>
      <c r="M239" s="117"/>
    </row>
    <row r="240" spans="2:13" ht="12.75">
      <c r="B240" t="s">
        <v>99</v>
      </c>
      <c r="C240">
        <v>1.80</v>
      </c>
      <c r="D240">
        <v>7.20</v>
      </c>
      <c r="E240">
        <f>IF(Table6[[#This Row],[Column1]]=TRUE,1.5,0)</f>
        <v>0</v>
      </c>
      <c r="G240" t="str">
        <f>IF(Table6[[#This Row],[In EU]],$C$5,"NA")</f>
        <v>NA</v>
      </c>
      <c r="K240" t="b">
        <f>IF(NOT(ISERROR(MATCH(Table6[[#This Row],[Country of data at rest]],B_02.02[0150],0))),TRUE,FALSE)</f>
        <v>0</v>
      </c>
      <c r="M240" s="117"/>
    </row>
    <row r="241" spans="2:13" ht="12.75">
      <c r="B241" t="s">
        <v>98</v>
      </c>
      <c r="C241">
        <v>1.80</v>
      </c>
      <c r="D241">
        <v>7.20</v>
      </c>
      <c r="E241">
        <f>IF(Table6[[#This Row],[Column1]]=TRUE,1.5,0)</f>
        <v>0</v>
      </c>
      <c r="G241" t="str">
        <f>IF(Table6[[#This Row],[In EU]],$C$5,"NA")</f>
        <v>NA</v>
      </c>
      <c r="K241" t="b">
        <f>IF(NOT(ISERROR(MATCH(Table6[[#This Row],[Country of data at rest]],B_02.02[0150],0))),TRUE,FALSE)</f>
        <v>0</v>
      </c>
      <c r="M241" s="117"/>
    </row>
    <row r="242" spans="2:13" ht="12.75">
      <c r="B242" t="s">
        <v>97</v>
      </c>
      <c r="C242">
        <v>1.80</v>
      </c>
      <c r="D242">
        <v>7.20</v>
      </c>
      <c r="E242">
        <f>IF(Table6[[#This Row],[Column1]]=TRUE,1.5,0)</f>
        <v>0</v>
      </c>
      <c r="G242" t="str">
        <f>IF(Table6[[#This Row],[In EU]],$C$5,"NA")</f>
        <v>NA</v>
      </c>
      <c r="K242" t="b">
        <f>IF(NOT(ISERROR(MATCH(Table6[[#This Row],[Country of data at rest]],B_02.02[0150],0))),TRUE,FALSE)</f>
        <v>0</v>
      </c>
      <c r="M242" s="117"/>
    </row>
    <row r="243" spans="2:13" ht="12.75">
      <c r="B243" t="s">
        <v>96</v>
      </c>
      <c r="C243">
        <v>1.80</v>
      </c>
      <c r="D243">
        <v>7.20</v>
      </c>
      <c r="E243">
        <f>IF(Table6[[#This Row],[Column1]]=TRUE,1.5,0)</f>
        <v>0</v>
      </c>
      <c r="G243" t="str">
        <f>IF(Table6[[#This Row],[In EU]],$C$5,"NA")</f>
        <v>NA</v>
      </c>
      <c r="K243" t="b">
        <f>IF(NOT(ISERROR(MATCH(Table6[[#This Row],[Country of data at rest]],B_02.02[0150],0))),TRUE,FALSE)</f>
        <v>0</v>
      </c>
      <c r="M243" s="117"/>
    </row>
    <row r="244" spans="11:13" ht="15" customHeight="1">
      <c r="K244" t="b">
        <f>IF(NOT(ISERROR(MATCH(Table6[[#This Row],[Country of data at rest]],B_02.02[0150],0))),TRUE,FALSE)</f>
        <v>0</v>
      </c>
      <c r="M244" s="117"/>
    </row>
    <row r="245" spans="11:13" ht="15" customHeight="1">
      <c r="K245" t="b">
        <f>IF(NOT(ISERROR(MATCH(Table6[[#This Row],[Country of data at rest]],B_02.02[0150],0))),TRUE,FALSE)</f>
        <v>0</v>
      </c>
      <c r="M245" s="117"/>
    </row>
    <row r="246" spans="11:13" ht="15" customHeight="1">
      <c r="K246" t="b">
        <f>IF(NOT(ISERROR(MATCH(Table6[[#This Row],[Country of data at rest]],B_02.02[0150],0))),TRUE,FALSE)</f>
        <v>0</v>
      </c>
      <c r="M246" s="117"/>
    </row>
    <row r="247" spans="2:13" ht="15.75">
      <c r="B247" s="35" t="s">
        <v>83</v>
      </c>
      <c r="K247" t="b">
        <f>IF(NOT(ISERROR(MATCH(Table6[[#This Row],[Country of data at rest]],B_02.02[0150],0))),TRUE,FALSE)</f>
        <v>0</v>
      </c>
      <c r="M247" s="117"/>
    </row>
    <row r="248" spans="2:13" ht="12.75">
      <c r="B248" s="33"/>
      <c r="K248" t="b">
        <f>IF(NOT(ISERROR(MATCH(Table6[[#This Row],[Country of data at rest]],B_02.02[0150],0))),TRUE,FALSE)</f>
        <v>0</v>
      </c>
      <c r="M248" s="117"/>
    </row>
    <row r="249" spans="2:13" ht="12.75">
      <c r="B249" t="s">
        <v>95</v>
      </c>
      <c r="C249">
        <v>2.80</v>
      </c>
      <c r="D249">
        <v>3.20</v>
      </c>
      <c r="E249">
        <f>IF(Table6[[#This Row],[Column1]]=TRUE,1.5,0)</f>
        <v>0</v>
      </c>
      <c r="G249" t="str">
        <f>IF(Table6[[#This Row],[In EU]],$C$5,"NA")</f>
        <v>NA</v>
      </c>
      <c r="K249" t="b">
        <f>IF(NOT(ISERROR(MATCH(Table6[[#This Row],[Country of data at rest]],B_02.02[0150],0))),TRUE,FALSE)</f>
        <v>0</v>
      </c>
      <c r="M249" s="117"/>
    </row>
    <row r="250" spans="2:13" ht="12.75">
      <c r="B250" t="s">
        <v>94</v>
      </c>
      <c r="C250">
        <v>2.80</v>
      </c>
      <c r="D250">
        <v>3.20</v>
      </c>
      <c r="E250">
        <f>IF(Table6[[#This Row],[Column1]]=TRUE,1.5,0)</f>
        <v>0</v>
      </c>
      <c r="G250" t="str">
        <f>IF(Table6[[#This Row],[In EU]],$C$5,"NA")</f>
        <v>NA</v>
      </c>
      <c r="K250" t="b">
        <f>IF(NOT(ISERROR(MATCH(Table6[[#This Row],[Country of data at rest]],B_02.02[0150],0))),TRUE,FALSE)</f>
        <v>0</v>
      </c>
      <c r="M250" s="117"/>
    </row>
    <row r="251" spans="2:13" ht="12.75">
      <c r="B251" t="s">
        <v>93</v>
      </c>
      <c r="C251">
        <v>2.80</v>
      </c>
      <c r="D251">
        <v>3.20</v>
      </c>
      <c r="E251">
        <f>IF(Table6[[#This Row],[Column1]]=TRUE,1.5,0)</f>
        <v>0</v>
      </c>
      <c r="G251" t="str">
        <f>IF(Table6[[#This Row],[In EU]],$C$5,"NA")</f>
        <v>NA</v>
      </c>
      <c r="K251" t="b">
        <f>IF(NOT(ISERROR(MATCH(Table6[[#This Row],[Country of data at rest]],B_02.02[0150],0))),TRUE,FALSE)</f>
        <v>0</v>
      </c>
      <c r="M251" s="117"/>
    </row>
    <row r="252" spans="2:13" ht="12.75">
      <c r="B252" t="s">
        <v>92</v>
      </c>
      <c r="C252">
        <v>2.80</v>
      </c>
      <c r="D252">
        <v>3.20</v>
      </c>
      <c r="E252">
        <f>IF(Table6[[#This Row],[Column1]]=TRUE,1.5,0)</f>
        <v>0</v>
      </c>
      <c r="G252" t="str">
        <f>IF(Table6[[#This Row],[In EU]],$C$5,"NA")</f>
        <v>NA</v>
      </c>
      <c r="K252" t="b">
        <f>IF(NOT(ISERROR(MATCH(Table6[[#This Row],[Country of data at rest]],B_02.02[0150],0))),TRUE,FALSE)</f>
        <v>0</v>
      </c>
      <c r="M252" s="117"/>
    </row>
    <row r="253" spans="2:13" ht="12.75">
      <c r="B253" t="s">
        <v>91</v>
      </c>
      <c r="C253">
        <v>2.80</v>
      </c>
      <c r="D253">
        <v>3.20</v>
      </c>
      <c r="E253">
        <f>IF(Table6[[#This Row],[Column1]]=TRUE,1.5,0)</f>
        <v>0</v>
      </c>
      <c r="G253" t="str">
        <f>IF(Table6[[#This Row],[In EU]],$C$5,"NA")</f>
        <v>NA</v>
      </c>
      <c r="K253" t="b">
        <f>IF(NOT(ISERROR(MATCH(Table6[[#This Row],[Country of data at rest]],B_02.02[0150],0))),TRUE,FALSE)</f>
        <v>0</v>
      </c>
      <c r="M253" s="117"/>
    </row>
    <row r="254" spans="2:13" ht="12.75">
      <c r="B254" t="s">
        <v>90</v>
      </c>
      <c r="C254">
        <v>2.80</v>
      </c>
      <c r="D254">
        <v>3.20</v>
      </c>
      <c r="E254">
        <f>IF(Table6[[#This Row],[Column1]]=TRUE,1.5,0)</f>
        <v>0</v>
      </c>
      <c r="G254" t="str">
        <f>IF(Table6[[#This Row],[In EU]],$C$5,"NA")</f>
        <v>NA</v>
      </c>
      <c r="K254" t="b">
        <f>IF(NOT(ISERROR(MATCH(Table6[[#This Row],[Country of data at rest]],B_02.02[0150],0))),TRUE,FALSE)</f>
        <v>0</v>
      </c>
      <c r="M254" s="117"/>
    </row>
    <row r="255" spans="2:13" ht="12.75">
      <c r="B255" t="s">
        <v>89</v>
      </c>
      <c r="C255">
        <v>2.80</v>
      </c>
      <c r="D255">
        <v>3.20</v>
      </c>
      <c r="E255">
        <f>IF(Table6[[#This Row],[Column1]]=TRUE,1.5,0)</f>
        <v>0</v>
      </c>
      <c r="G255" t="str">
        <f>IF(Table6[[#This Row],[In EU]],$C$5,"NA")</f>
        <v>NA</v>
      </c>
      <c r="K255" t="b">
        <f>IF(NOT(ISERROR(MATCH(Table6[[#This Row],[Country of data at rest]],B_02.02[0150],0))),TRUE,FALSE)</f>
        <v>0</v>
      </c>
      <c r="M255" s="117"/>
    </row>
    <row r="256" spans="2:13" ht="12.75">
      <c r="B256" t="s">
        <v>88</v>
      </c>
      <c r="C256">
        <v>2.80</v>
      </c>
      <c r="D256">
        <v>3.20</v>
      </c>
      <c r="E256">
        <f>IF(Table6[[#This Row],[Column1]]=TRUE,1.5,0)</f>
        <v>0</v>
      </c>
      <c r="G256" t="str">
        <f>IF(Table6[[#This Row],[In EU]],$C$5,"NA")</f>
        <v>NA</v>
      </c>
      <c r="K256" t="b">
        <f>IF(NOT(ISERROR(MATCH(Table6[[#This Row],[Country of data at rest]],B_02.02[0150],0))),TRUE,FALSE)</f>
        <v>0</v>
      </c>
      <c r="M256" s="117"/>
    </row>
    <row r="257" spans="2:13" ht="12.75">
      <c r="B257" t="s">
        <v>85</v>
      </c>
      <c r="C257">
        <v>2.80</v>
      </c>
      <c r="D257">
        <v>3.20</v>
      </c>
      <c r="E257">
        <f>IF(Table6[[#This Row],[Column1]]=TRUE,1.5,0)</f>
        <v>0</v>
      </c>
      <c r="G257" t="str">
        <f>IF(Table6[[#This Row],[In EU]],$C$5,"NA")</f>
        <v>NA</v>
      </c>
      <c r="K257" t="b">
        <f>IF(NOT(ISERROR(MATCH(Table6[[#This Row],[Country of data at rest]],B_02.02[0150],0))),TRUE,FALSE)</f>
        <v>0</v>
      </c>
      <c r="M257" s="117"/>
    </row>
    <row r="258" spans="2:13" ht="12.75">
      <c r="B258" t="s">
        <v>84</v>
      </c>
      <c r="C258">
        <v>2.80</v>
      </c>
      <c r="D258">
        <v>3.20</v>
      </c>
      <c r="E258">
        <f>IF(Table6[[#This Row],[Column1]]=TRUE,1.5,0)</f>
        <v>0</v>
      </c>
      <c r="G258" t="str">
        <f>IF(Table6[[#This Row],[In EU]],$C$5,"NA")</f>
        <v>NA</v>
      </c>
      <c r="K258" t="b">
        <f>IF(NOT(ISERROR(MATCH(Table6[[#This Row],[Country of data at rest]],B_02.02[0150],0))),TRUE,FALSE)</f>
        <v>0</v>
      </c>
      <c r="M258" s="117"/>
    </row>
    <row r="259" spans="2:13" ht="12.75">
      <c r="B259" t="s">
        <v>79</v>
      </c>
      <c r="C259">
        <v>2.80</v>
      </c>
      <c r="D259">
        <v>3.20</v>
      </c>
      <c r="E259">
        <f>IF(Table6[[#This Row],[Column1]]=TRUE,1.5,0)</f>
        <v>0</v>
      </c>
      <c r="G259" t="str">
        <f>IF(Table6[[#This Row],[In EU]],$C$5,"NA")</f>
        <v>NA</v>
      </c>
      <c r="K259" t="b">
        <f>IF(NOT(ISERROR(MATCH(Table6[[#This Row],[Country of data at rest]],B_02.02[0150],0))),TRUE,FALSE)</f>
        <v>0</v>
      </c>
      <c r="M259" s="117"/>
    </row>
    <row r="260" spans="2:13" ht="12.75">
      <c r="B260" t="s">
        <v>77</v>
      </c>
      <c r="C260">
        <v>2.80</v>
      </c>
      <c r="D260">
        <v>3.20</v>
      </c>
      <c r="E260">
        <f>IF(Table6[[#This Row],[Column1]]=TRUE,1.5,0)</f>
        <v>0</v>
      </c>
      <c r="G260" t="str">
        <f>IF(Table6[[#This Row],[In EU]],$C$5,"NA")</f>
        <v>NA</v>
      </c>
      <c r="K260" t="b">
        <f>IF(NOT(ISERROR(MATCH(Table6[[#This Row],[Country of data at rest]],B_02.02[0150],0))),TRUE,FALSE)</f>
        <v>0</v>
      </c>
      <c r="M260" s="117"/>
    </row>
    <row r="261" spans="2:13" ht="12.75">
      <c r="B261" t="s">
        <v>76</v>
      </c>
      <c r="C261">
        <v>2.80</v>
      </c>
      <c r="D261">
        <v>3.20</v>
      </c>
      <c r="E261">
        <f>IF(Table6[[#This Row],[Column1]]=TRUE,1.5,0)</f>
        <v>0</v>
      </c>
      <c r="G261" t="str">
        <f>IF(Table6[[#This Row],[In EU]],$C$5,"NA")</f>
        <v>NA</v>
      </c>
      <c r="K261" t="b">
        <f>IF(NOT(ISERROR(MATCH(Table6[[#This Row],[Country of data at rest]],B_02.02[0150],0))),TRUE,FALSE)</f>
        <v>0</v>
      </c>
      <c r="M261" s="117"/>
    </row>
    <row r="262" spans="2:13" ht="12.75">
      <c r="B262" t="s">
        <v>75</v>
      </c>
      <c r="C262">
        <v>2.80</v>
      </c>
      <c r="D262">
        <v>3.20</v>
      </c>
      <c r="E262">
        <f>IF(Table6[[#This Row],[Column1]]=TRUE,1.5,0)</f>
        <v>0</v>
      </c>
      <c r="G262" t="str">
        <f>IF(Table6[[#This Row],[In EU]],$C$5,"NA")</f>
        <v>NA</v>
      </c>
      <c r="K262" t="b">
        <f>IF(NOT(ISERROR(MATCH(Table6[[#This Row],[Country of data at rest]],B_02.02[0150],0))),TRUE,FALSE)</f>
        <v>0</v>
      </c>
      <c r="M262" s="117"/>
    </row>
    <row r="263" spans="13:13" ht="15" customHeight="1">
      <c r="M263" s="117"/>
    </row>
    <row r="264" spans="13:13" ht="15" customHeight="1">
      <c r="M264" s="117"/>
    </row>
    <row r="265" spans="13:13" ht="15" customHeight="1">
      <c r="M265" s="117"/>
    </row>
    <row r="266" spans="13:13" ht="15" customHeight="1">
      <c r="M266" s="117"/>
    </row>
    <row r="267" spans="13:13" ht="15" customHeight="1">
      <c r="M267" s="117"/>
    </row>
    <row r="268" spans="13:13" ht="15" customHeight="1">
      <c r="M268" s="117"/>
    </row>
    <row r="269" spans="13:13" ht="15" customHeight="1">
      <c r="M269" s="117"/>
    </row>
    <row r="270" spans="13:13" ht="15" customHeight="1">
      <c r="M270" s="117"/>
    </row>
    <row r="271" spans="13:13" ht="15" customHeight="1">
      <c r="M271" s="117"/>
    </row>
    <row r="272" spans="13:13" ht="15" customHeight="1">
      <c r="M272" s="117"/>
    </row>
    <row r="273" spans="13:13" ht="15" customHeight="1">
      <c r="M273" s="117"/>
    </row>
    <row r="274" spans="13:13" ht="15" customHeight="1">
      <c r="M274" s="117"/>
    </row>
    <row r="275" spans="13:13" ht="15" customHeight="1">
      <c r="M275" s="117"/>
    </row>
    <row r="276" spans="13:13" ht="15" customHeight="1">
      <c r="M276" s="117"/>
    </row>
    <row r="277" spans="13:13" ht="15" customHeight="1">
      <c r="M277" s="117"/>
    </row>
    <row r="278" spans="13:13" ht="15" customHeight="1">
      <c r="M278" s="117"/>
    </row>
    <row r="279" spans="13:13" ht="15" customHeight="1">
      <c r="M279" s="117"/>
    </row>
    <row r="280" spans="13:13" ht="15" customHeight="1">
      <c r="M280" s="117"/>
    </row>
    <row r="281" spans="13:13" ht="15" customHeight="1">
      <c r="M281" s="117"/>
    </row>
  </sheetData>
  <pageMargins left="0.7" right="0.7" top="0.75" bottom="0.75" header="0.3" footer="0.3"/>
  <drawing r:id="rId3"/>
  <tableParts>
    <tablePart r:id="rId1"/>
    <tablePart r:id="rId2"/>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BB39EB5-050C-4CBB-A8E7-889EBCE86FA6}">
  <sheetPr codeName="Sheet10"/>
  <dimension ref="A1:H12"/>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7" width="21.4285714285714" customWidth="1"/>
    <col min="8" max="8" width="30.7142857142857" customWidth="1"/>
  </cols>
  <sheetData>
    <row r="1" spans="1:1" s="138" customFormat="1" ht="45.4" customHeight="1">
      <c r="A1" t="s">
        <v>631</v>
      </c>
    </row>
    <row r="3" spans="2:2" ht="12.75">
      <c r="B3" s="23" t="s">
        <v>332</v>
      </c>
    </row>
    <row r="4" spans="2:2" ht="12.75">
      <c r="B4" s="17" t="s">
        <v>333</v>
      </c>
    </row>
    <row r="6" spans="2:8" ht="51">
      <c r="B6" s="8" t="s">
        <v>334</v>
      </c>
      <c r="C6" s="8" t="s">
        <v>335</v>
      </c>
      <c r="D6" s="8" t="s">
        <v>336</v>
      </c>
      <c r="E6" s="8" t="s">
        <v>337</v>
      </c>
      <c r="F6" s="8" t="s">
        <v>338</v>
      </c>
      <c r="G6" s="8" t="s">
        <v>339</v>
      </c>
      <c r="H6" s="13" t="b">
        <f>OR(COUNTA(B_01.01[0010])=0,IF(ISNA(SUM(B_01.01[v22862_a - 1.1])),FALSE,ISNA(MATCH(FALSE,B_01.01[v22862_a - 1.1],0))))</f>
        <v>1</v>
      </c>
    </row>
    <row r="7" spans="2:8" ht="12.75">
      <c r="B7" s="220" t="s">
        <v>3</v>
      </c>
      <c r="C7" s="220" t="s">
        <v>38</v>
      </c>
      <c r="D7" s="220" t="s">
        <v>36</v>
      </c>
      <c r="E7" s="220" t="s">
        <v>37</v>
      </c>
      <c r="F7" s="220" t="s">
        <v>5</v>
      </c>
      <c r="G7" s="220" t="s">
        <v>35</v>
      </c>
      <c r="H7" s="220" t="s">
        <v>538</v>
      </c>
    </row>
    <row r="8" spans="2:8" ht="12.75">
      <c r="B8" s="215" t="s">
        <v>707</v>
      </c>
      <c r="C8" s="215" t="s">
        <v>704</v>
      </c>
      <c r="D8" s="215" t="s">
        <v>265</v>
      </c>
      <c r="E8" s="215" t="s">
        <v>705</v>
      </c>
      <c r="F8" s="215" t="s">
        <v>706</v>
      </c>
      <c r="G8" s="218">
        <v>45821</v>
      </c>
      <c r="H8" s="13" t="str">
        <f>IF((B_01.01[[#This Row],[0040]]&lt;&gt;""),IF(ISNUMBER(MATCH(B_01.01[[#This Row],[0040]],{"Credit institutions","Investment firms","Asset management companies","Central counterparties (CCPs)","account information service providers","electronic money institutions","crypto-asset service providers","central security depository","trading venues","trade repositories","payment institution","managers of alternative investment funds","data reporting service providers","insurance and reinsurance undertakings","insurance intermediaries, reinsurance intermediaries and ancillary insurance intermediaries","institutions for occupational retirement provision","credit rating agency","administrator of critical benchmarks","crowdfunding service providers","securitisation repository","other financial entity","issuers of asset-referenced tokens"},0)),""),"not applicable")</f>
        <v/>
      </c>
    </row>
    <row r="9" spans="2:8" ht="12.75">
      <c r="B9" s="215" t="s">
        <v>711</v>
      </c>
      <c r="C9" s="215" t="s">
        <v>708</v>
      </c>
      <c r="D9" s="215" t="s">
        <v>284</v>
      </c>
      <c r="E9" s="215" t="s">
        <v>709</v>
      </c>
      <c r="F9" s="215" t="s">
        <v>710</v>
      </c>
      <c r="G9" s="218">
        <v>45792</v>
      </c>
      <c r="H9" s="13" t="str">
        <f>IF((B_01.01[[#This Row],[0040]]&lt;&gt;""),IF(ISNUMBER(MATCH(B_01.01[[#This Row],[0040]],{"Credit institutions","Investment firms","Asset management companies","Central counterparties (CCPs)","account information service providers","electronic money institutions","crypto-asset service providers","central security depository","trading venues","trade repositories","payment institution","managers of alternative investment funds","data reporting service providers","insurance and reinsurance undertakings","insurance intermediaries, reinsurance intermediaries and ancillary insurance intermediaries","institutions for occupational retirement provision","credit rating agency","administrator of critical benchmarks","crowdfunding service providers","securitisation repository","other financial entity","issuers of asset-referenced tokens"},0)),""),"not applicable")</f>
        <v/>
      </c>
    </row>
    <row r="10" spans="2:8" ht="12.75">
      <c r="B10" s="215" t="s">
        <v>715</v>
      </c>
      <c r="C10" s="215" t="s">
        <v>712</v>
      </c>
      <c r="D10" s="215" t="s">
        <v>274</v>
      </c>
      <c r="E10" s="215" t="s">
        <v>713</v>
      </c>
      <c r="F10" s="215" t="s">
        <v>714</v>
      </c>
      <c r="G10" s="218">
        <v>45751</v>
      </c>
      <c r="H10" s="13" t="str">
        <f>IF((B_01.01[[#This Row],[0040]]&lt;&gt;""),IF(ISNUMBER(MATCH(B_01.01[[#This Row],[0040]],{"Credit institutions","Investment firms","Asset management companies","Central counterparties (CCPs)","account information service providers","electronic money institutions","crypto-asset service providers","central security depository","trading venues","trade repositories","payment institution","managers of alternative investment funds","data reporting service providers","insurance and reinsurance undertakings","insurance intermediaries, reinsurance intermediaries and ancillary insurance intermediaries","institutions for occupational retirement provision","credit rating agency","administrator of critical benchmarks","crowdfunding service providers","securitisation repository","other financial entity","issuers of asset-referenced tokens"},0)),""),"not applicable")</f>
        <v/>
      </c>
    </row>
    <row r="11" spans="1:7" ht="12.75">
      <c r="A11" s="9" t="s">
        <v>310</v>
      </c>
      <c r="B11" s="9" t="s">
        <v>340</v>
      </c>
      <c r="C11" s="9" t="s">
        <v>341</v>
      </c>
      <c r="D11" s="9" t="s">
        <v>342</v>
      </c>
      <c r="E11" s="9" t="s">
        <v>343</v>
      </c>
      <c r="F11" s="9" t="s">
        <v>344</v>
      </c>
      <c r="G11" s="9" t="s">
        <v>345</v>
      </c>
    </row>
    <row r="12" spans="2:2" ht="12.75">
      <c r="B12" s="9" t="s">
        <v>9</v>
      </c>
    </row>
  </sheetData>
  <conditionalFormatting sqref="H6">
    <cfRule type="expression" priority="5" dxfId="189" stopIfTrue="1">
      <formula>$H6=TRUE</formula>
    </cfRule>
    <cfRule type="expression" priority="6" dxfId="188" stopIfTrue="1">
      <formula>$H6=FALSE</formula>
    </cfRule>
  </conditionalFormatting>
  <conditionalFormatting sqref="H8:H10">
    <cfRule type="expression" priority="1" dxfId="188" stopIfTrue="1">
      <formula>ISNA($H8)</formula>
    </cfRule>
    <cfRule type="expression" priority="2" dxfId="186" stopIfTrue="1">
      <formula>$H8="not applicable"</formula>
    </cfRule>
    <cfRule type="expression" priority="3" dxfId="188" stopIfTrue="1">
      <formula>$H8=FALSE</formula>
    </cfRule>
    <cfRule type="expression" priority="4" dxfId="189" stopIfTrue="1">
      <formula>$H8=""</formula>
    </cfRule>
  </conditionalFormatting>
  <pageMargins left="0.75" right="0.75" top="1" bottom="1" header="0.5" footer="0.5"/>
  <ignoredErrors>
    <ignoredError sqref="B9:C11 B6:J8" numberStoredAsText="1"/>
    <ignoredError sqref="B8:B11" numberStoredAsText="1"/>
    <ignoredError sqref="C8:C11" numberStoredAsText="1"/>
    <ignoredError sqref="D8:D11" numberStoredAsText="1"/>
    <ignoredError sqref="E8:E11" numberStoredAsText="1"/>
    <ignoredError sqref="F8:F11" numberStoredAsText="1"/>
  </ignoredErrors>
  <drawing r:id="rId3"/>
  <legacyDrawing r:id="rId4"/>
  <tableParts>
    <tablePart r:id="rId2"/>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270349D2-79E6-4C2D-B515-F4A863185AE0}">
  <sheetPr codeName="Sheet11"/>
  <dimension ref="A1:N12"/>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12" width="21.4285714285714" customWidth="1"/>
    <col min="13" max="14" width="30.7142857142857" customWidth="1"/>
  </cols>
  <sheetData>
    <row r="1" spans="1:1" s="138" customFormat="1" ht="45.4" customHeight="1">
      <c r="A1" t="s">
        <v>631</v>
      </c>
    </row>
    <row r="3" spans="2:2" ht="12.75">
      <c r="B3" s="23" t="s">
        <v>346</v>
      </c>
    </row>
    <row r="4" spans="2:2" ht="12.75">
      <c r="B4" s="17" t="s">
        <v>347</v>
      </c>
    </row>
    <row r="6" spans="2:14" ht="38.25">
      <c r="B6" s="8" t="s">
        <v>348</v>
      </c>
      <c r="C6" s="8" t="s">
        <v>335</v>
      </c>
      <c r="D6" s="8" t="s">
        <v>336</v>
      </c>
      <c r="E6" s="8" t="s">
        <v>337</v>
      </c>
      <c r="F6" s="8" t="s">
        <v>349</v>
      </c>
      <c r="G6" s="8" t="s">
        <v>350</v>
      </c>
      <c r="H6" s="8" t="s">
        <v>351</v>
      </c>
      <c r="I6" s="8" t="s">
        <v>352</v>
      </c>
      <c r="J6" s="8" t="s">
        <v>353</v>
      </c>
      <c r="K6" s="8" t="s">
        <v>354</v>
      </c>
      <c r="L6" s="8" t="s">
        <v>355</v>
      </c>
      <c r="M6" s="13" t="b">
        <f>OR(COUNTA(B_01.02[0010])=0,IF(ISNA(SUM(B_01.02[v22864_a - 1.1])),FALSE,ISNA(MATCH(FALSE,B_01.02[v22864_a - 1.1],0))))</f>
        <v>1</v>
      </c>
      <c r="N6" s="13" t="b">
        <f>OR(COUNTA(B_01.02[0010])=0,IF(ISNA(SUM(B_01.02[v22866_a - 1.1])),FALSE,ISNA(MATCH(FALSE,B_01.02[v22866_a - 1.1],0))))</f>
        <v>1</v>
      </c>
    </row>
    <row r="7" spans="2:14" ht="12.75">
      <c r="B7" s="220" t="s">
        <v>3</v>
      </c>
      <c r="C7" s="220" t="s">
        <v>38</v>
      </c>
      <c r="D7" s="220" t="s">
        <v>36</v>
      </c>
      <c r="E7" s="220" t="s">
        <v>37</v>
      </c>
      <c r="F7" s="220" t="s">
        <v>5</v>
      </c>
      <c r="G7" s="220" t="s">
        <v>35</v>
      </c>
      <c r="H7" s="220" t="s">
        <v>40</v>
      </c>
      <c r="I7" s="220" t="s">
        <v>41</v>
      </c>
      <c r="J7" s="220" t="s">
        <v>42</v>
      </c>
      <c r="K7" s="220" t="s">
        <v>43</v>
      </c>
      <c r="L7" s="220" t="s">
        <v>44</v>
      </c>
      <c r="M7" s="220" t="s">
        <v>539</v>
      </c>
      <c r="N7" s="220" t="s">
        <v>541</v>
      </c>
    </row>
    <row r="8" spans="2:14" ht="12.75">
      <c r="B8" s="215" t="s">
        <v>707</v>
      </c>
      <c r="C8" s="215" t="s">
        <v>704</v>
      </c>
      <c r="D8" s="215" t="s">
        <v>265</v>
      </c>
      <c r="E8" s="215" t="s">
        <v>716</v>
      </c>
      <c r="F8" s="215" t="s">
        <v>717</v>
      </c>
      <c r="G8" s="215" t="s">
        <v>715</v>
      </c>
      <c r="H8" s="10"/>
      <c r="I8" s="10"/>
      <c r="J8" s="10"/>
      <c r="K8" s="10"/>
      <c r="L8" s="10"/>
      <c r="M8" s="13" t="str">
        <f>IF((B_01.02[[#This Row],[0050]]&lt;&gt;""),IF(ISNUMBER(MATCH(B_01.02[[#This Row],[0050]],{"Entities other than entities of the group","Ultimate parent","Subsidiary","Parent other than ultimate parent","Outsourcing"},0)),""),"not applicable")</f>
        <v/>
      </c>
      <c r="N8" s="13" t="str">
        <f>IF((B_01.02[[#This Row],[0040]]&lt;&gt;""),IF(ISNUMBER(MATCH(B_01.02[[#This Row],[0040]],{"Credit institutions","Investment firms","Asset management companies","Central counterparties (CCPs)","account information service providers","electronic money institutions","crypto-asset service providers","central security depository","trading venues","trade repositories","payment institution","managers of alternative investment funds","data reporting service providers","insurance and reinsurance undertakings","insurance intermediaries, reinsurance intermediaries and ancillary insurance intermediaries","institutions for occupational retirement provision","credit rating agency","administrator of critical benchmarks","crowdfunding service providers","securitisation repository","other financial entity","Non-financial entity: ICT intra-group service provider","Non-financial entity: Other than ICT intra-group service provider","issuers of asset-referenced tokens"},0)),""),"not applicable")</f>
        <v/>
      </c>
    </row>
    <row r="9" spans="2:14" ht="12.75">
      <c r="B9" s="215" t="s">
        <v>711</v>
      </c>
      <c r="C9" s="215" t="s">
        <v>708</v>
      </c>
      <c r="D9" s="215" t="s">
        <v>284</v>
      </c>
      <c r="E9" s="215" t="s">
        <v>705</v>
      </c>
      <c r="F9" s="215" t="s">
        <v>717</v>
      </c>
      <c r="G9" s="215" t="s">
        <v>715</v>
      </c>
      <c r="H9" s="218">
        <v>45607</v>
      </c>
      <c r="I9" s="218">
        <v>45489</v>
      </c>
      <c r="J9" s="218">
        <v>45799</v>
      </c>
      <c r="K9" s="215" t="s">
        <v>675</v>
      </c>
      <c r="L9" s="216">
        <v>5000000</v>
      </c>
      <c r="M9" s="13" t="str">
        <f>IF((B_01.02[[#This Row],[0050]]&lt;&gt;""),IF(ISNUMBER(MATCH(B_01.02[[#This Row],[0050]],{"Entities other than entities of the group","Ultimate parent","Subsidiary","Parent other than ultimate parent","Outsourcing"},0)),""),"not applicable")</f>
        <v/>
      </c>
      <c r="N9" s="13" t="str">
        <f>IF((B_01.02[[#This Row],[0040]]&lt;&gt;""),IF(ISNUMBER(MATCH(B_01.02[[#This Row],[0040]],{"Credit institutions","Investment firms","Asset management companies","Central counterparties (CCPs)","account information service providers","electronic money institutions","crypto-asset service providers","central security depository","trading venues","trade repositories","payment institution","managers of alternative investment funds","data reporting service providers","insurance and reinsurance undertakings","insurance intermediaries, reinsurance intermediaries and ancillary insurance intermediaries","institutions for occupational retirement provision","credit rating agency","administrator of critical benchmarks","crowdfunding service providers","securitisation repository","other financial entity","Non-financial entity: ICT intra-group service provider","Non-financial entity: Other than ICT intra-group service provider","issuers of asset-referenced tokens"},0)),""),"not applicable")</f>
        <v/>
      </c>
    </row>
    <row r="10" spans="2:14" ht="12.75">
      <c r="B10" s="215" t="s">
        <v>715</v>
      </c>
      <c r="C10" s="215" t="s">
        <v>712</v>
      </c>
      <c r="D10" s="215" t="s">
        <v>274</v>
      </c>
      <c r="E10" s="215" t="s">
        <v>705</v>
      </c>
      <c r="F10" s="215" t="s">
        <v>718</v>
      </c>
      <c r="G10" s="215" t="s">
        <v>715</v>
      </c>
      <c r="H10" s="218">
        <v>45659</v>
      </c>
      <c r="I10" s="218">
        <v>45517</v>
      </c>
      <c r="J10" s="10"/>
      <c r="K10" s="215" t="s">
        <v>675</v>
      </c>
      <c r="L10" s="216">
        <v>100000</v>
      </c>
      <c r="M10" s="13" t="str">
        <f>IF((B_01.02[[#This Row],[0050]]&lt;&gt;""),IF(ISNUMBER(MATCH(B_01.02[[#This Row],[0050]],{"Entities other than entities of the group","Ultimate parent","Subsidiary","Parent other than ultimate parent","Outsourcing"},0)),""),"not applicable")</f>
        <v/>
      </c>
      <c r="N10" s="13" t="str">
        <f>IF((B_01.02[[#This Row],[0040]]&lt;&gt;""),IF(ISNUMBER(MATCH(B_01.02[[#This Row],[0040]],{"Credit institutions","Investment firms","Asset management companies","Central counterparties (CCPs)","account information service providers","electronic money institutions","crypto-asset service providers","central security depository","trading venues","trade repositories","payment institution","managers of alternative investment funds","data reporting service providers","insurance and reinsurance undertakings","insurance intermediaries, reinsurance intermediaries and ancillary insurance intermediaries","institutions for occupational retirement provision","credit rating agency","administrator of critical benchmarks","crowdfunding service providers","securitisation repository","other financial entity","Non-financial entity: ICT intra-group service provider","Non-financial entity: Other than ICT intra-group service provider","issuers of asset-referenced tokens"},0)),""),"not applicable")</f>
        <v/>
      </c>
    </row>
    <row r="11" spans="1:12" ht="12.75">
      <c r="A11" s="9" t="s">
        <v>310</v>
      </c>
      <c r="B11" s="9" t="s">
        <v>356</v>
      </c>
      <c r="C11" s="9" t="s">
        <v>341</v>
      </c>
      <c r="D11" s="9" t="s">
        <v>342</v>
      </c>
      <c r="E11" s="9" t="s">
        <v>357</v>
      </c>
      <c r="F11" s="9" t="s">
        <v>358</v>
      </c>
      <c r="G11" s="9" t="s">
        <v>359</v>
      </c>
      <c r="H11" s="9" t="s">
        <v>360</v>
      </c>
      <c r="I11" s="9" t="s">
        <v>361</v>
      </c>
      <c r="J11" s="9" t="s">
        <v>362</v>
      </c>
      <c r="K11" s="9" t="s">
        <v>313</v>
      </c>
      <c r="L11" s="9" t="s">
        <v>363</v>
      </c>
    </row>
    <row r="12" spans="2:12" ht="12.75">
      <c r="B12" s="9" t="s">
        <v>9</v>
      </c>
      <c r="G12" s="9" t="s">
        <v>364</v>
      </c>
      <c r="K12" s="9" t="s">
        <v>365</v>
      </c>
      <c r="L12" s="9" t="s">
        <v>366</v>
      </c>
    </row>
  </sheetData>
  <conditionalFormatting sqref="M6">
    <cfRule type="expression" priority="11" dxfId="189" stopIfTrue="1">
      <formula>$M6=TRUE</formula>
    </cfRule>
    <cfRule type="expression" priority="12" dxfId="188" stopIfTrue="1">
      <formula>$M6=FALSE</formula>
    </cfRule>
  </conditionalFormatting>
  <conditionalFormatting sqref="M8:M10">
    <cfRule type="expression" priority="7" dxfId="188" stopIfTrue="1">
      <formula>ISNA($M8)</formula>
    </cfRule>
    <cfRule type="expression" priority="8" dxfId="186" stopIfTrue="1">
      <formula>$M8="not applicable"</formula>
    </cfRule>
    <cfRule type="expression" priority="9" dxfId="188" stopIfTrue="1">
      <formula>$M8=FALSE</formula>
    </cfRule>
    <cfRule type="expression" priority="10" dxfId="189" stopIfTrue="1">
      <formula>$M8=""</formula>
    </cfRule>
  </conditionalFormatting>
  <conditionalFormatting sqref="N6">
    <cfRule type="expression" priority="5" dxfId="189" stopIfTrue="1">
      <formula>$N6=TRUE</formula>
    </cfRule>
    <cfRule type="expression" priority="6" dxfId="188" stopIfTrue="1">
      <formula>$N6=FALSE</formula>
    </cfRule>
  </conditionalFormatting>
  <conditionalFormatting sqref="N8:N10">
    <cfRule type="expression" priority="1" dxfId="188" stopIfTrue="1">
      <formula>ISNA($N8)</formula>
    </cfRule>
    <cfRule type="expression" priority="2" dxfId="186" stopIfTrue="1">
      <formula>$N8="not applicable"</formula>
    </cfRule>
    <cfRule type="expression" priority="3" dxfId="188" stopIfTrue="1">
      <formula>$N8=FALSE</formula>
    </cfRule>
    <cfRule type="expression" priority="4" dxfId="189" stopIfTrue="1">
      <formula>$N8=""</formula>
    </cfRule>
  </conditionalFormatting>
  <pageMargins left="0.75" right="0.75" top="1" bottom="1" header="0.5" footer="0.5"/>
  <ignoredErrors>
    <ignoredError sqref="B9:C11 B6:O8" numberStoredAsText="1"/>
    <ignoredError sqref="B8:B11" numberStoredAsText="1"/>
    <ignoredError sqref="K8:K11" numberStoredAsText="1"/>
    <ignoredError sqref="C8:C11" numberStoredAsText="1"/>
    <ignoredError sqref="D8:D11" numberStoredAsText="1"/>
    <ignoredError sqref="E8:E11" numberStoredAsText="1"/>
    <ignoredError sqref="F8:F11" numberStoredAsText="1"/>
    <ignoredError sqref="G8:G11" numberStoredAsText="1"/>
  </ignoredErrors>
  <drawing r:id="rId3"/>
  <legacyDrawing r:id="rId4"/>
  <tableParts>
    <tablePart r:id="rId2"/>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8F333B6-C0BB-4588-BAE1-2B092FF1A542}">
  <sheetPr codeName="Sheet12"/>
  <dimension ref="A1:F13"/>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5" width="21.4285714285714" customWidth="1"/>
    <col min="6" max="6" width="30.7142857142857" customWidth="1"/>
  </cols>
  <sheetData>
    <row r="1" spans="1:1" s="138" customFormat="1" ht="45.4" customHeight="1">
      <c r="A1" t="s">
        <v>631</v>
      </c>
    </row>
    <row r="3" spans="2:2" ht="12.75">
      <c r="B3" s="23" t="s">
        <v>367</v>
      </c>
    </row>
    <row r="4" spans="2:2" ht="12.75">
      <c r="B4" s="17" t="s">
        <v>368</v>
      </c>
    </row>
    <row r="6" spans="2:6" ht="38.25">
      <c r="B6" s="8" t="s">
        <v>369</v>
      </c>
      <c r="C6" s="8" t="s">
        <v>370</v>
      </c>
      <c r="D6" s="8" t="s">
        <v>371</v>
      </c>
      <c r="E6" s="8" t="s">
        <v>372</v>
      </c>
      <c r="F6" s="13" t="b">
        <f>OR(COUNTA(B_01.03[0010])=0,IF(ISNA(SUM(B_01.03[v22868_a - 1.1])),FALSE,ISNA(MATCH(FALSE,B_01.03[v22868_a - 1.1],0))))</f>
        <v>1</v>
      </c>
    </row>
    <row r="7" spans="2:6" ht="12.75">
      <c r="B7" s="220" t="s">
        <v>3</v>
      </c>
      <c r="C7" s="220" t="s">
        <v>38</v>
      </c>
      <c r="D7" s="220" t="s">
        <v>36</v>
      </c>
      <c r="E7" s="220" t="s">
        <v>37</v>
      </c>
      <c r="F7" s="220" t="s">
        <v>542</v>
      </c>
    </row>
    <row r="8" spans="2:6" ht="12.75">
      <c r="B8" s="215" t="s">
        <v>720</v>
      </c>
      <c r="C8" s="215" t="s">
        <v>707</v>
      </c>
      <c r="D8" s="215" t="s">
        <v>719</v>
      </c>
      <c r="E8" s="215" t="s">
        <v>282</v>
      </c>
      <c r="F8" s="13" t="str">
        <f>IF((B_01.03[[#This Row],[0040]]&lt;&gt;""),IF(ISNUMBER(MATCH(B_01.03[[#This Row],[0040]],{"ALBANIA","AUSTRIA","BELGIUM","BULGARIA","CYPRUS","CZECH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row>
    <row r="9" spans="2:6" ht="12.75">
      <c r="B9" s="215" t="s">
        <v>721</v>
      </c>
      <c r="C9" s="215" t="s">
        <v>707</v>
      </c>
      <c r="D9" s="215" t="s">
        <v>265</v>
      </c>
      <c r="E9" s="215" t="s">
        <v>265</v>
      </c>
      <c r="F9" s="13" t="str">
        <f>IF((B_01.03[[#This Row],[0040]]&lt;&gt;""),IF(ISNUMBER(MATCH(B_01.03[[#This Row],[0040]],{"ALBANIA","AUSTRIA","BELGIUM","BULGARIA","CYPRUS","CZECH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row>
    <row r="10" spans="2:6" ht="12.75">
      <c r="B10" s="215" t="s">
        <v>723</v>
      </c>
      <c r="C10" s="215" t="s">
        <v>707</v>
      </c>
      <c r="D10" s="215" t="s">
        <v>722</v>
      </c>
      <c r="E10" s="215" t="s">
        <v>265</v>
      </c>
      <c r="F10" s="13" t="str">
        <f>IF((B_01.03[[#This Row],[0040]]&lt;&gt;""),IF(ISNUMBER(MATCH(B_01.03[[#This Row],[0040]],{"ALBANIA","AUSTRIA","BELGIUM","BULGARIA","CYPRUS","CZECH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row>
    <row r="11" spans="2:6" ht="12.75">
      <c r="B11" s="215" t="s">
        <v>725</v>
      </c>
      <c r="C11" s="215" t="s">
        <v>715</v>
      </c>
      <c r="D11" s="215" t="s">
        <v>724</v>
      </c>
      <c r="E11" s="215" t="s">
        <v>284</v>
      </c>
      <c r="F11" s="13" t="str">
        <f>IF((B_01.03[[#This Row],[0040]]&lt;&gt;""),IF(ISNUMBER(MATCH(B_01.03[[#This Row],[0040]],{"ALBANIA","AUSTRIA","BELGIUM","BULGARIA","CYPRUS","CZECH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
      </c>
    </row>
    <row r="12" spans="1:5" ht="12.75">
      <c r="A12" s="9" t="s">
        <v>310</v>
      </c>
      <c r="B12" s="9" t="s">
        <v>373</v>
      </c>
      <c r="C12" s="9" t="s">
        <v>374</v>
      </c>
      <c r="D12" s="9" t="s">
        <v>341</v>
      </c>
      <c r="E12" s="9" t="s">
        <v>375</v>
      </c>
    </row>
    <row r="13" spans="2:3" ht="12.75">
      <c r="B13" s="9" t="s">
        <v>9</v>
      </c>
      <c r="C13" s="9" t="s">
        <v>9</v>
      </c>
    </row>
  </sheetData>
  <conditionalFormatting sqref="F6">
    <cfRule type="expression" priority="5" dxfId="189" stopIfTrue="1">
      <formula>$F6=TRUE</formula>
    </cfRule>
    <cfRule type="expression" priority="6" dxfId="188" stopIfTrue="1">
      <formula>$F6=FALSE</formula>
    </cfRule>
  </conditionalFormatting>
  <conditionalFormatting sqref="F8:F11">
    <cfRule type="expression" priority="1" dxfId="188" stopIfTrue="1">
      <formula>ISNA($F8)</formula>
    </cfRule>
    <cfRule type="expression" priority="2" dxfId="186" stopIfTrue="1">
      <formula>$F8="not applicable"</formula>
    </cfRule>
    <cfRule type="expression" priority="3" dxfId="188" stopIfTrue="1">
      <formula>$F8=FALSE</formula>
    </cfRule>
    <cfRule type="expression" priority="4" dxfId="189" stopIfTrue="1">
      <formula>$F8=""</formula>
    </cfRule>
  </conditionalFormatting>
  <pageMargins left="0.75" right="0.75" top="1" bottom="1" header="0.5" footer="0.5"/>
  <ignoredErrors>
    <ignoredError sqref="B9:C11 B6:H8" numberStoredAsText="1"/>
    <ignoredError sqref="C8:C12" numberStoredAsText="1"/>
    <ignoredError sqref="B8:B12" numberStoredAsText="1"/>
    <ignoredError sqref="D8:D12" numberStoredAsText="1"/>
    <ignoredError sqref="E8:E12" numberStoredAsText="1"/>
  </ignoredErrors>
  <drawing r:id="rId3"/>
  <legacyDrawing r:id="rId4"/>
  <tableParts>
    <tablePart r:id="rId2"/>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66C58A2D-BC8C-4849-BC2E-9153200E7E8E}">
  <sheetPr codeName="Sheet13"/>
  <dimension ref="A1:M10"/>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10" width="21.4285714285714" customWidth="1"/>
    <col min="11" max="13" width="30.7142857142857" customWidth="1"/>
  </cols>
  <sheetData>
    <row r="1" spans="1:1" s="138" customFormat="1" ht="45.4" customHeight="1">
      <c r="A1" t="s">
        <v>631</v>
      </c>
    </row>
    <row r="3" spans="2:2" ht="12.75">
      <c r="B3" s="23" t="s">
        <v>376</v>
      </c>
    </row>
    <row r="4" spans="2:2" ht="12.75">
      <c r="B4" s="17" t="s">
        <v>377</v>
      </c>
    </row>
    <row r="6" spans="2:13" ht="63.75">
      <c r="B6" s="8" t="s">
        <v>378</v>
      </c>
      <c r="C6" s="8" t="s">
        <v>16</v>
      </c>
      <c r="D6" s="8" t="s">
        <v>379</v>
      </c>
      <c r="E6" s="8" t="s">
        <v>380</v>
      </c>
      <c r="F6" s="8" t="s">
        <v>381</v>
      </c>
      <c r="G6" s="8" t="s">
        <v>382</v>
      </c>
      <c r="H6" s="8" t="s">
        <v>383</v>
      </c>
      <c r="I6" s="8" t="s">
        <v>384</v>
      </c>
      <c r="J6" s="8" t="s">
        <v>385</v>
      </c>
      <c r="K6" s="13" t="b">
        <f>OR(COUNTA(B_05.01[0010])=0,IF(ISNA(SUM(B_05.01[v22841_a - 1.1])),FALSE,ISNA(MATCH(FALSE,B_05.01[v22841_a - 1.1],0))))</f>
        <v>1</v>
      </c>
      <c r="L6" s="13" t="b">
        <f>OR(COUNTA(B_05.01[0010])=0,IF(ISNA(SUM(B_05.01[v22861_a - 1.1])),FALSE,ISNA(MATCH(FALSE,B_05.01[v22861_a - 1.1],0))))</f>
        <v>1</v>
      </c>
      <c r="M6" s="13" t="b">
        <f>OR(COUNTA(B_05.01[0010])=0,IF(ISNA(SUM(B_05.01[v22874_a - 1.1])),FALSE,ISNA(MATCH(FALSE,B_05.01[v22874_a - 1.1],0))))</f>
        <v>1</v>
      </c>
    </row>
    <row r="7" spans="2:13" ht="12.75">
      <c r="B7" s="13" t="s">
        <v>3</v>
      </c>
      <c r="C7" s="13" t="s">
        <v>38</v>
      </c>
      <c r="D7" s="13" t="s">
        <v>36</v>
      </c>
      <c r="E7" s="13" t="s">
        <v>37</v>
      </c>
      <c r="F7" s="13" t="s">
        <v>5</v>
      </c>
      <c r="G7" s="13" t="s">
        <v>35</v>
      </c>
      <c r="H7" s="13" t="s">
        <v>40</v>
      </c>
      <c r="I7" s="13" t="s">
        <v>41</v>
      </c>
      <c r="J7" s="13" t="s">
        <v>42</v>
      </c>
      <c r="K7" s="13" t="s">
        <v>536</v>
      </c>
      <c r="L7" s="13" t="s">
        <v>537</v>
      </c>
      <c r="M7" s="13" t="s">
        <v>548</v>
      </c>
    </row>
    <row r="8" spans="2:13" ht="12.75">
      <c r="B8" s="10"/>
      <c r="C8" s="10"/>
      <c r="D8" s="10"/>
      <c r="E8" s="10"/>
      <c r="F8" s="10"/>
      <c r="G8" s="10"/>
      <c r="H8" s="10"/>
      <c r="I8" s="10"/>
      <c r="J8" s="10"/>
      <c r="K8" s="13" t="str">
        <f>IF((B_05.01[[#This Row],[0040]]&lt;&gt;""),IF(ISNUMBER(MATCH(B_05.01[[#This Row],[0040]],{"Legal person, excluding individual acting in a business capacity","Individual acting in a business capacity"},0)),""),"not applicable")</f>
        <v>not applicable</v>
      </c>
      <c r="L8" s="13" t="str">
        <f>IF((B_05.01[[#This Row],[0050]]&lt;&gt;""),IF(ISNUMBER(MATCH(B_05.01[[#This Row],[0050]],{"ALBANIA","AUSTRIA","BELGIUM","BULGARIA","CYPRUS","CZECH REPUBLIC","DENMARK","ESTONIA","FINLAND","FRANCE","GERMANY","GREECE","HUNGARY","IRELAND","ITALY","JAPAN","LATVIA","LITHUANIA","LUXEMBOURG","NORTH MACEDONIA","MALTA","NETHERLANDS","NORWAY","Other Countries","POLAND","PORTUGAL","ROMANIA","RUSSIAN FEDERATION","SERBIA","SLOVAKIA","SLOVENIA","SPAIN","SWEDEN","SWITZERLAND","TURKEY","UKRAINE","UNITED KINGDOM","UNITED STATES","AFGHANISTAN","ÅLAND ISLANDS","ALGERIA","AMERICAN SAMOA","ANDORRA","ANGOLA","ANGUILLA","ANTARCTICA","ANTIGUA AND BARBUDA","ARGENTINA","ARMENIA","ARUBA","AUSTRALIA","AZERBAIJAN","BAHAMAS","BAHRAIN","BANGLADESH","BARBADOS","BELARUS","BELIZE","BENIN","BERMUDA","BHUTAN","BOLIVIA, PLURINATIONAL STATE OF","BONAIRE, SINT EUSTATIUS AND SABA","BOSNIA AND HERZEGOVINA","BOTSWANA","BOUVET ISLAND","BRAZIL","BRITISH INDIAN OCEAN TERRITORY","BRUNEI DARUSSALAM","BURKINA FASO","BURUNDI","CAMBODIA","CAMEROON","CANADA","CAPE VERDE","CAYMAN ISLANDS","CENTRAL AFRICAN REPUBLIC","CHAD","CHILE","CHINA","CHRISTMAS ISLAND","COCOS (KEELING) ISLANDS","COLOMBIA","COMOROS","CONGO","CONGO, THE DEMOCRATIC REPUBLIC OF THE","COOK ISLANDS","COSTA RICA","CÔTE D'IVOIRE","CROATIA","CUBA","CURAÇAO","DJIBOUTI","DOMINICA","DOMINICAN REPUBLIC","ECUADOR","EGYPT","EL SALVADOR","EQUATORIAL GUINEA","ERITREA","ETHIOPIA","FALKLAND ISLANDS (MALVINAS)","FAROE ISLANDS","FIJI","FRENCH GUIANA","FRENCH POLYNESIA","FRENCH SOUTHERN TERRITORIES","GABON","GAMBIA","GEORGIA","GHANA","GIBRALTAR","GREENLAND","GRENADA","GUADELOUPE","GUAM","GUATEMALA","GUERNSEY","GUINEA","GUINEA-BISSAU","GUYANA","HAITI","HEARD ISLAND AND MCDONALD ISLANDS","HOLY SEE (VATICAN CITY STATE)","HONDURAS","HONG KONG","ICELAND","INDIA","INDONESIA","IRAN, ISLAMIC REPUBLIC OF","IRAQ","ISLE OF MAN","ISRAEL","JAMAICA","JERSEY","JORDAN","KAZAKHSTAN","KENYA","KIRIBATI","KOREA, DEMOCRATIC PEOPLE'S REPUBLIC OF","KOREA, REPUBLIC OF","KUWAIT","KYRGYZSTAN","LAO PEOPLE'S DEMOCRATIC REPUBLIC","LEBANON","LESOTHO","LIBERIA","LIBYA","LIECHTENSTEIN","MACAO","MADAGASCAR","MALAWI","MALAYSIA","MALDIVES","MALI","MARSHALL ISLANDS","MARTINIQUE","MAURITANIA","MAURITIUS","MAYOTTE","MEXICO","MICRONESIA, FEDERATED STATES OF","MOLDOVA, REPUBLIC OF","MONACO","MONGOLIA","MONTENEGRO","MONTSERRAT","MOROCCO","MOZAMBIQUE","MYANMAR","NAMIBIA","NAURU","NEPAL","NEW CALEDONIA","NEW ZEALAND","NICARAGUA","NIGER","NIGERIA","NIUE","NORFOLK ISLAND","NORTHERN MARIANA ISLANDS","OMAN","PAKISTAN","PALAU","PALESTINIAN TERRITORY, OCCUPIED","PANAMA","PAPUA NEW GUINEA","PARAGUAY","PERU","PHILIPPINES","PITCAIRN","PUERTO RICO","QATAR","RÉUNION","RWANDA","SAINT BARTHÉLEMY","SAINT HELENA, ASCENSION AND TRISTAN DA CUNHA","SAINT KITTS AND NEVIS","SAINT LUCIA","SAINT MARTIN (FRENCH PART)","SAINT PIERRE AND MIQUELON","SAINT VINCENT AND THE GRENADINES","SAMOA","SAN MARINO","SAO TOME AND PRINCIPE","SAUDI ARABIA","SENEGAL","SEYCHELLES","SIERRA LEONE","SINGAPORE","SINT MAARTEN (DUTCH PART)","SOLOMON ISLANDS","SOMALIA","SOUTH AFRICA","SOUTH GEORGIA AND THE SOUTH SANDWICH ISLANDS","SOUTH SUDAN","SRI LANKA","SUDAN","SURINAME","SVALBARD AND JAN MAYEN","SWAZILAND","SYRIAN ARAB REPUBLIC","TAIWAN, PROVINCE OF CHINA","TAJIKISTAN","TANZANIA, UNITED REPUBLIC OF","THAILAND","TIMOR-LESTE","TOGO","TOKELAU","TONGA","TRINIDAD AND TOBAGO","TUNISIA","TURKMENISTAN","TURKS AND CAICOS ISLANDS","TUVALU","UGANDA","UNITED ARAB EMIRATES","UNITED STATES MINOR OUTLYING ISLANDS","URUGUAY","UZBEKISTAN","VANUATU","VENEZUELA, BOLIVARIAN REPUBLIC OF","VIET NAM","VIRGIN ISLANDS, BRITISH","VIRGIN ISLANDS, U.S.","WALLIS AND FUTUNA","WESTERN SAHARA","YEMEN","ZAMBIA","ZIMBABWE","KOSOVO"},0)),""),"not applicable")</f>
        <v>not applicable</v>
      </c>
      <c r="M8" s="13" t="str">
        <f>IF((B_05.01[[#This Row],[0040]]&lt;&gt;""),IF(ISNUMBER(MATCH(B_05.01[[#This Row],[0040]],{"Legal person, excluding individual acting in a business capacity","Individual acting in a business capacity"},0)),""),"not applicable")</f>
        <v>not applicable</v>
      </c>
    </row>
    <row r="9" spans="1:10" ht="12.75">
      <c r="A9" s="9" t="s">
        <v>310</v>
      </c>
      <c r="B9" s="9" t="s">
        <v>57</v>
      </c>
      <c r="C9" s="9" t="s">
        <v>58</v>
      </c>
      <c r="D9" s="9" t="s">
        <v>341</v>
      </c>
      <c r="E9" s="9" t="s">
        <v>386</v>
      </c>
      <c r="F9" s="9" t="s">
        <v>342</v>
      </c>
      <c r="G9" s="9" t="s">
        <v>313</v>
      </c>
      <c r="H9" s="9" t="s">
        <v>8</v>
      </c>
      <c r="I9" s="9" t="s">
        <v>387</v>
      </c>
      <c r="J9" s="9" t="s">
        <v>388</v>
      </c>
    </row>
    <row r="10" spans="2:10" ht="12.75">
      <c r="B10" s="9" t="s">
        <v>9</v>
      </c>
      <c r="C10" s="9" t="s">
        <v>9</v>
      </c>
      <c r="F10" s="9" t="s">
        <v>389</v>
      </c>
      <c r="G10" s="9" t="s">
        <v>315</v>
      </c>
      <c r="I10" s="9" t="s">
        <v>390</v>
      </c>
      <c r="J10" s="9" t="s">
        <v>390</v>
      </c>
    </row>
  </sheetData>
  <conditionalFormatting sqref="K6">
    <cfRule type="expression" priority="17" dxfId="189" stopIfTrue="1">
      <formula>$K6=TRUE</formula>
    </cfRule>
    <cfRule type="expression" priority="18" dxfId="188" stopIfTrue="1">
      <formula>$K6=FALSE</formula>
    </cfRule>
  </conditionalFormatting>
  <conditionalFormatting sqref="K8">
    <cfRule type="expression" priority="13" dxfId="188" stopIfTrue="1">
      <formula>ISNA($K8)</formula>
    </cfRule>
    <cfRule type="expression" priority="14" dxfId="186" stopIfTrue="1">
      <formula>$K8="not applicable"</formula>
    </cfRule>
    <cfRule type="expression" priority="15" dxfId="188" stopIfTrue="1">
      <formula>$K8=FALSE</formula>
    </cfRule>
    <cfRule type="expression" priority="16" dxfId="189" stopIfTrue="1">
      <formula>$K8=""</formula>
    </cfRule>
  </conditionalFormatting>
  <conditionalFormatting sqref="L6">
    <cfRule type="expression" priority="11" dxfId="189" stopIfTrue="1">
      <formula>$L6=TRUE</formula>
    </cfRule>
    <cfRule type="expression" priority="12" dxfId="188" stopIfTrue="1">
      <formula>$L6=FALSE</formula>
    </cfRule>
  </conditionalFormatting>
  <conditionalFormatting sqref="L8">
    <cfRule type="expression" priority="7" dxfId="188" stopIfTrue="1">
      <formula>ISNA($L8)</formula>
    </cfRule>
    <cfRule type="expression" priority="8" dxfId="186" stopIfTrue="1">
      <formula>$L8="not applicable"</formula>
    </cfRule>
    <cfRule type="expression" priority="9" dxfId="188" stopIfTrue="1">
      <formula>$L8=FALSE</formula>
    </cfRule>
    <cfRule type="expression" priority="10" dxfId="189" stopIfTrue="1">
      <formula>$L8=""</formula>
    </cfRule>
  </conditionalFormatting>
  <conditionalFormatting sqref="M6">
    <cfRule type="expression" priority="5" dxfId="189" stopIfTrue="1">
      <formula>$M6=TRUE</formula>
    </cfRule>
    <cfRule type="expression" priority="6" dxfId="188" stopIfTrue="1">
      <formula>$M6=FALSE</formula>
    </cfRule>
  </conditionalFormatting>
  <conditionalFormatting sqref="M8">
    <cfRule type="expression" priority="1" dxfId="188" stopIfTrue="1">
      <formula>ISNA($M8)</formula>
    </cfRule>
    <cfRule type="expression" priority="2" dxfId="186" stopIfTrue="1">
      <formula>$M8="not applicable"</formula>
    </cfRule>
    <cfRule type="expression" priority="3" dxfId="188" stopIfTrue="1">
      <formula>$M8=FALSE</formula>
    </cfRule>
    <cfRule type="expression" priority="4" dxfId="189" stopIfTrue="1">
      <formula>$M8=""</formula>
    </cfRule>
  </conditionalFormatting>
  <pageMargins left="0.75" right="0.75" top="1" bottom="1" header="0.5" footer="0.5"/>
  <ignoredErrors>
    <ignoredError sqref="B9:C11 B6:M8" numberStoredAsText="1"/>
  </ignoredErrors>
  <drawing r:id="rId3"/>
  <legacyDrawing r:id="rId4"/>
  <tableParts>
    <tablePart r:id="rId2"/>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CCEF1E8-0823-4644-9D7C-82AC441A3675}">
  <sheetPr codeName="Sheet14"/>
  <dimension ref="A1:H19"/>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6" width="21.4285714285714" customWidth="1"/>
    <col min="7" max="8" width="30.7142857142857" customWidth="1"/>
  </cols>
  <sheetData>
    <row r="1" spans="1:1" s="138" customFormat="1" ht="45.4" customHeight="1">
      <c r="A1" t="s">
        <v>631</v>
      </c>
    </row>
    <row r="3" spans="2:2" ht="12.75">
      <c r="B3" s="23" t="s">
        <v>391</v>
      </c>
    </row>
    <row r="4" spans="2:2" ht="12.75">
      <c r="B4" s="17" t="s">
        <v>306</v>
      </c>
    </row>
    <row r="6" spans="2:8" ht="63.75">
      <c r="B6" s="8" t="s">
        <v>0</v>
      </c>
      <c r="C6" s="8" t="s">
        <v>307</v>
      </c>
      <c r="D6" s="8" t="s">
        <v>308</v>
      </c>
      <c r="E6" s="8" t="s">
        <v>309</v>
      </c>
      <c r="F6" s="8" t="s">
        <v>2</v>
      </c>
      <c r="G6" s="13" t="b">
        <f>OR(COUNTA(B_02.01[0010])=0,IF(ISNA(SUM(B_02.01[v22865_a - 1.1])),FALSE,ISNA(MATCH(FALSE,B_02.01[v22865_a - 1.1],0))))</f>
        <v>1</v>
      </c>
      <c r="H6" s="13" t="b">
        <f>OR(COUNTA(B_02.01[0010])=0,IF(ISNA(SUM(B_02.01[v22870_a - 1.1])),FALSE,ISNA(MATCH(FALSE,B_02.01[v22870_a - 1.1],0))))</f>
        <v>1</v>
      </c>
    </row>
    <row r="7" spans="2:8" ht="12.75">
      <c r="B7" s="220" t="s">
        <v>3</v>
      </c>
      <c r="C7" s="220" t="s">
        <v>38</v>
      </c>
      <c r="D7" s="220" t="s">
        <v>36</v>
      </c>
      <c r="E7" s="220" t="s">
        <v>37</v>
      </c>
      <c r="F7" s="220" t="s">
        <v>5</v>
      </c>
      <c r="G7" s="220" t="s">
        <v>540</v>
      </c>
      <c r="H7" s="220" t="s">
        <v>543</v>
      </c>
    </row>
    <row r="8" spans="2:8" ht="12.75">
      <c r="B8" s="215" t="s">
        <v>676</v>
      </c>
      <c r="C8" s="215" t="s">
        <v>460</v>
      </c>
      <c r="D8" s="10"/>
      <c r="E8" s="215" t="s">
        <v>675</v>
      </c>
      <c r="F8" s="216">
        <v>247568.68248670426</v>
      </c>
      <c r="G8" s="13" t="str">
        <f>IF((B_02.01[[#This Row],[0040]]&lt;&gt;""),IF(ISNUMBER(MATCH(B_02.01[[#This Row],[0040]],{"Lek","Argentine Peso","Australian Dollar","Brazilian Real","Bulgarian Lev","Canadian Dollar","Czech Koruna","Danish Krone","Egyptian Pound","Euro","Pound Sterling","Forint","Yen","Latvian Lats","Lithuanian Litas","Denar","Mexican Peso","Zloty","New Romanian Leu","Russian Ruble","Serbian Dinar","Swedish Krona","Swiss Franc","Turkish Lira","Hryvnia","US Dollar","Iceland Krona","Norwegian Krone","Hong Kong Dollar","New Taiwan Dollar","New Zealand Dollar","Singapore Dollar","Won","Yuan Renminbi","Afghani","Algerian Dinar","Armenian Dram","Aruban Florin","Azerbaijanian Manat","Bahamian Dollar","Bahraini Dinar","Baht","Balboa","Barbados Dollar","Belarussian Ruble (2000 Series)","Belize Dollar","Bermudian Dollar","Bolivar","Boliviano","Brunei Dollar","Burundi Franc","Cape Verde Escudo","Cayman Islands Dollar","CFP Franc","Chilean Peso","Colombian Peso","Comoro Franc","Congolese Franc","Convertible Mark","Cordoba Oro","Costa Rican Colon","Cuban Peso","Dalasi","Djibouti Franc","Dobra","Dominican Peso","Dong","East Caribbean Dollar","El Salvador Colon","Ethiopian Birr","Falkland Islands Pound","Fiji Dollar","Ghana Cedi","Gibraltar Pound","Gourde","Guarani","Guinea Franc","Guyana Dollar","Indian Rupee","Iranian Rial","Iraqi Dinar","Jamaican Dollar","Jordanian Dinar","Kenyan Shilling","Kina","Kip","Kuwaiti Dinar","Kwacha","Kwanza","Kyat","Lari","Lebanese Pound","Lempira","Leone","Liberian Dollar","Libyan Dinar","Lilangeni","Loti","Malagasy Ariary","Malaysian Ringgit","Mauritius Rupee","Moldovan Leu","Moroccan Dirham","Mozambique Metical","Mvdol","Naira","Nakfa","Namibia Dollar","Nepalese Rupee","Netherlands Antillean Guilder","New Israeli Sheqel","Ngultrum","North Korean Won","Nuevo Sol","Ouguiya","Pa’anga","Pakistan Rupee","Pataca","Peso Convertible","Peso Uruguayo","Philippine Peso","Pula","Qatari Rial","Quetzal","Rand","Rial Omani","Riel","Rufiyaa","Rupiah","Rwanda Franc","Saint Helena Pound","Saudi Riyal","Seychelles Rupee","Solomon Islands Dollar","Som","Somali Shilling","Somoni","South Sudanese Pound","Sri Lanka Rupee","Sudanese Pound","Surinam Dollar","Syrian Pound","Taka","Tala","Tanzanian Shilling","Tenge","Trinidad and Tobago Dollar","Tugrik","Tunisian Dinar","Turkmenistan New Manat","UAE Dirham","Uganda Shilling","Unidad de Valor Real","Unidades de fomento","Uruguay Peso en Unidades Indexadas (URUIURUI)","Uzbekistan Sum","Vatu","WIR Euro","WIR Franc","Yemeni Rial","Zambian Kwacha (replaced January 1, 2013)","Zimbabwe Dollar","Other Currency (open axis tables)","Belarusian Ruble","Zambian Kwacha","Off-shore Yuan Renminbi"},0)),""),"not applicable")</f>
        <v/>
      </c>
      <c r="H8" s="13" t="str">
        <f>IF((B_02.01[[#This Row],[0020]]&lt;&gt;""),IF(ISNUMBER(MATCH(B_02.01[[#This Row],[0020]],{"Standalone arrangement","Overarching arrangement","Subsequent or associated arrangement"},0)),""),"not applicable")</f>
        <v/>
      </c>
    </row>
    <row r="9" spans="2:8" ht="12.75">
      <c r="B9" s="215" t="s">
        <v>677</v>
      </c>
      <c r="C9" s="215" t="s">
        <v>460</v>
      </c>
      <c r="D9" s="10"/>
      <c r="E9" s="215" t="s">
        <v>675</v>
      </c>
      <c r="F9" s="216">
        <v>282165.17352013034</v>
      </c>
      <c r="G9" s="13" t="str">
        <f>IF((B_02.01[[#This Row],[0040]]&lt;&gt;""),IF(ISNUMBER(MATCH(B_02.01[[#This Row],[0040]],{"Lek","Argentine Peso","Australian Dollar","Brazilian Real","Bulgarian Lev","Canadian Dollar","Czech Koruna","Danish Krone","Egyptian Pound","Euro","Pound Sterling","Forint","Yen","Latvian Lats","Lithuanian Litas","Denar","Mexican Peso","Zloty","New Romanian Leu","Russian Ruble","Serbian Dinar","Swedish Krona","Swiss Franc","Turkish Lira","Hryvnia","US Dollar","Iceland Krona","Norwegian Krone","Hong Kong Dollar","New Taiwan Dollar","New Zealand Dollar","Singapore Dollar","Won","Yuan Renminbi","Afghani","Algerian Dinar","Armenian Dram","Aruban Florin","Azerbaijanian Manat","Bahamian Dollar","Bahraini Dinar","Baht","Balboa","Barbados Dollar","Belarussian Ruble (2000 Series)","Belize Dollar","Bermudian Dollar","Bolivar","Boliviano","Brunei Dollar","Burundi Franc","Cape Verde Escudo","Cayman Islands Dollar","CFP Franc","Chilean Peso","Colombian Peso","Comoro Franc","Congolese Franc","Convertible Mark","Cordoba Oro","Costa Rican Colon","Cuban Peso","Dalasi","Djibouti Franc","Dobra","Dominican Peso","Dong","East Caribbean Dollar","El Salvador Colon","Ethiopian Birr","Falkland Islands Pound","Fiji Dollar","Ghana Cedi","Gibraltar Pound","Gourde","Guarani","Guinea Franc","Guyana Dollar","Indian Rupee","Iranian Rial","Iraqi Dinar","Jamaican Dollar","Jordanian Dinar","Kenyan Shilling","Kina","Kip","Kuwaiti Dinar","Kwacha","Kwanza","Kyat","Lari","Lebanese Pound","Lempira","Leone","Liberian Dollar","Libyan Dinar","Lilangeni","Loti","Malagasy Ariary","Malaysian Ringgit","Mauritius Rupee","Moldovan Leu","Moroccan Dirham","Mozambique Metical","Mvdol","Naira","Nakfa","Namibia Dollar","Nepalese Rupee","Netherlands Antillean Guilder","New Israeli Sheqel","Ngultrum","North Korean Won","Nuevo Sol","Ouguiya","Pa’anga","Pakistan Rupee","Pataca","Peso Convertible","Peso Uruguayo","Philippine Peso","Pula","Qatari Rial","Quetzal","Rand","Rial Omani","Riel","Rufiyaa","Rupiah","Rwanda Franc","Saint Helena Pound","Saudi Riyal","Seychelles Rupee","Solomon Islands Dollar","Som","Somali Shilling","Somoni","South Sudanese Pound","Sri Lanka Rupee","Sudanese Pound","Surinam Dollar","Syrian Pound","Taka","Tala","Tanzanian Shilling","Tenge","Trinidad and Tobago Dollar","Tugrik","Tunisian Dinar","Turkmenistan New Manat","UAE Dirham","Uganda Shilling","Unidad de Valor Real","Unidades de fomento","Uruguay Peso en Unidades Indexadas (URUIURUI)","Uzbekistan Sum","Vatu","WIR Euro","WIR Franc","Yemeni Rial","Zambian Kwacha (replaced January 1, 2013)","Zimbabwe Dollar","Other Currency (open axis tables)","Belarusian Ruble","Zambian Kwacha","Off-shore Yuan Renminbi"},0)),""),"not applicable")</f>
        <v/>
      </c>
      <c r="H9" s="13" t="str">
        <f>IF((B_02.01[[#This Row],[0020]]&lt;&gt;""),IF(ISNUMBER(MATCH(B_02.01[[#This Row],[0020]],{"Standalone arrangement","Overarching arrangement","Subsequent or associated arrangement"},0)),""),"not applicable")</f>
        <v/>
      </c>
    </row>
    <row r="10" spans="2:8" ht="12.75">
      <c r="B10" s="215" t="s">
        <v>678</v>
      </c>
      <c r="C10" s="215" t="s">
        <v>460</v>
      </c>
      <c r="D10" s="10"/>
      <c r="E10" s="215" t="s">
        <v>675</v>
      </c>
      <c r="F10" s="216">
        <v>210939.00966385848</v>
      </c>
      <c r="G10" s="13" t="str">
        <f>IF((B_02.01[[#This Row],[0040]]&lt;&gt;""),IF(ISNUMBER(MATCH(B_02.01[[#This Row],[0040]],{"Lek","Argentine Peso","Australian Dollar","Brazilian Real","Bulgarian Lev","Canadian Dollar","Czech Koruna","Danish Krone","Egyptian Pound","Euro","Pound Sterling","Forint","Yen","Latvian Lats","Lithuanian Litas","Denar","Mexican Peso","Zloty","New Romanian Leu","Russian Ruble","Serbian Dinar","Swedish Krona","Swiss Franc","Turkish Lira","Hryvnia","US Dollar","Iceland Krona","Norwegian Krone","Hong Kong Dollar","New Taiwan Dollar","New Zealand Dollar","Singapore Dollar","Won","Yuan Renminbi","Afghani","Algerian Dinar","Armenian Dram","Aruban Florin","Azerbaijanian Manat","Bahamian Dollar","Bahraini Dinar","Baht","Balboa","Barbados Dollar","Belarussian Ruble (2000 Series)","Belize Dollar","Bermudian Dollar","Bolivar","Boliviano","Brunei Dollar","Burundi Franc","Cape Verde Escudo","Cayman Islands Dollar","CFP Franc","Chilean Peso","Colombian Peso","Comoro Franc","Congolese Franc","Convertible Mark","Cordoba Oro","Costa Rican Colon","Cuban Peso","Dalasi","Djibouti Franc","Dobra","Dominican Peso","Dong","East Caribbean Dollar","El Salvador Colon","Ethiopian Birr","Falkland Islands Pound","Fiji Dollar","Ghana Cedi","Gibraltar Pound","Gourde","Guarani","Guinea Franc","Guyana Dollar","Indian Rupee","Iranian Rial","Iraqi Dinar","Jamaican Dollar","Jordanian Dinar","Kenyan Shilling","Kina","Kip","Kuwaiti Dinar","Kwacha","Kwanza","Kyat","Lari","Lebanese Pound","Lempira","Leone","Liberian Dollar","Libyan Dinar","Lilangeni","Loti","Malagasy Ariary","Malaysian Ringgit","Mauritius Rupee","Moldovan Leu","Moroccan Dirham","Mozambique Metical","Mvdol","Naira","Nakfa","Namibia Dollar","Nepalese Rupee","Netherlands Antillean Guilder","New Israeli Sheqel","Ngultrum","North Korean Won","Nuevo Sol","Ouguiya","Pa’anga","Pakistan Rupee","Pataca","Peso Convertible","Peso Uruguayo","Philippine Peso","Pula","Qatari Rial","Quetzal","Rand","Rial Omani","Riel","Rufiyaa","Rupiah","Rwanda Franc","Saint Helena Pound","Saudi Riyal","Seychelles Rupee","Solomon Islands Dollar","Som","Somali Shilling","Somoni","South Sudanese Pound","Sri Lanka Rupee","Sudanese Pound","Surinam Dollar","Syrian Pound","Taka","Tala","Tanzanian Shilling","Tenge","Trinidad and Tobago Dollar","Tugrik","Tunisian Dinar","Turkmenistan New Manat","UAE Dirham","Uganda Shilling","Unidad de Valor Real","Unidades de fomento","Uruguay Peso en Unidades Indexadas (URUIURUI)","Uzbekistan Sum","Vatu","WIR Euro","WIR Franc","Yemeni Rial","Zambian Kwacha (replaced January 1, 2013)","Zimbabwe Dollar","Other Currency (open axis tables)","Belarusian Ruble","Zambian Kwacha","Off-shore Yuan Renminbi"},0)),""),"not applicable")</f>
        <v/>
      </c>
      <c r="H10" s="13" t="str">
        <f>IF((B_02.01[[#This Row],[0020]]&lt;&gt;""),IF(ISNUMBER(MATCH(B_02.01[[#This Row],[0020]],{"Standalone arrangement","Overarching arrangement","Subsequent or associated arrangement"},0)),""),"not applicable")</f>
        <v/>
      </c>
    </row>
    <row r="11" spans="2:8" ht="12.75">
      <c r="B11" s="215" t="s">
        <v>679</v>
      </c>
      <c r="C11" s="215" t="s">
        <v>460</v>
      </c>
      <c r="D11" s="10"/>
      <c r="E11" s="215" t="s">
        <v>675</v>
      </c>
      <c r="F11" s="216">
        <v>244555.45356328963</v>
      </c>
      <c r="G11" s="13" t="str">
        <f>IF((B_02.01[[#This Row],[0040]]&lt;&gt;""),IF(ISNUMBER(MATCH(B_02.01[[#This Row],[0040]],{"Lek","Argentine Peso","Australian Dollar","Brazilian Real","Bulgarian Lev","Canadian Dollar","Czech Koruna","Danish Krone","Egyptian Pound","Euro","Pound Sterling","Forint","Yen","Latvian Lats","Lithuanian Litas","Denar","Mexican Peso","Zloty","New Romanian Leu","Russian Ruble","Serbian Dinar","Swedish Krona","Swiss Franc","Turkish Lira","Hryvnia","US Dollar","Iceland Krona","Norwegian Krone","Hong Kong Dollar","New Taiwan Dollar","New Zealand Dollar","Singapore Dollar","Won","Yuan Renminbi","Afghani","Algerian Dinar","Armenian Dram","Aruban Florin","Azerbaijanian Manat","Bahamian Dollar","Bahraini Dinar","Baht","Balboa","Barbados Dollar","Belarussian Ruble (2000 Series)","Belize Dollar","Bermudian Dollar","Bolivar","Boliviano","Brunei Dollar","Burundi Franc","Cape Verde Escudo","Cayman Islands Dollar","CFP Franc","Chilean Peso","Colombian Peso","Comoro Franc","Congolese Franc","Convertible Mark","Cordoba Oro","Costa Rican Colon","Cuban Peso","Dalasi","Djibouti Franc","Dobra","Dominican Peso","Dong","East Caribbean Dollar","El Salvador Colon","Ethiopian Birr","Falkland Islands Pound","Fiji Dollar","Ghana Cedi","Gibraltar Pound","Gourde","Guarani","Guinea Franc","Guyana Dollar","Indian Rupee","Iranian Rial","Iraqi Dinar","Jamaican Dollar","Jordanian Dinar","Kenyan Shilling","Kina","Kip","Kuwaiti Dinar","Kwacha","Kwanza","Kyat","Lari","Lebanese Pound","Lempira","Leone","Liberian Dollar","Libyan Dinar","Lilangeni","Loti","Malagasy Ariary","Malaysian Ringgit","Mauritius Rupee","Moldovan Leu","Moroccan Dirham","Mozambique Metical","Mvdol","Naira","Nakfa","Namibia Dollar","Nepalese Rupee","Netherlands Antillean Guilder","New Israeli Sheqel","Ngultrum","North Korean Won","Nuevo Sol","Ouguiya","Pa’anga","Pakistan Rupee","Pataca","Peso Convertible","Peso Uruguayo","Philippine Peso","Pula","Qatari Rial","Quetzal","Rand","Rial Omani","Riel","Rufiyaa","Rupiah","Rwanda Franc","Saint Helena Pound","Saudi Riyal","Seychelles Rupee","Solomon Islands Dollar","Som","Somali Shilling","Somoni","South Sudanese Pound","Sri Lanka Rupee","Sudanese Pound","Surinam Dollar","Syrian Pound","Taka","Tala","Tanzanian Shilling","Tenge","Trinidad and Tobago Dollar","Tugrik","Tunisian Dinar","Turkmenistan New Manat","UAE Dirham","Uganda Shilling","Unidad de Valor Real","Unidades de fomento","Uruguay Peso en Unidades Indexadas (URUIURUI)","Uzbekistan Sum","Vatu","WIR Euro","WIR Franc","Yemeni Rial","Zambian Kwacha (replaced January 1, 2013)","Zimbabwe Dollar","Other Currency (open axis tables)","Belarusian Ruble","Zambian Kwacha","Off-shore Yuan Renminbi"},0)),""),"not applicable")</f>
        <v/>
      </c>
      <c r="H11" s="13" t="str">
        <f>IF((B_02.01[[#This Row],[0020]]&lt;&gt;""),IF(ISNUMBER(MATCH(B_02.01[[#This Row],[0020]],{"Standalone arrangement","Overarching arrangement","Subsequent or associated arrangement"},0)),""),"not applicable")</f>
        <v/>
      </c>
    </row>
    <row r="12" spans="2:8" ht="12.75">
      <c r="B12" s="215" t="s">
        <v>680</v>
      </c>
      <c r="C12" s="215" t="s">
        <v>460</v>
      </c>
      <c r="D12" s="10"/>
      <c r="E12" s="215" t="s">
        <v>675</v>
      </c>
      <c r="F12" s="216">
        <v>150666.23267045026</v>
      </c>
      <c r="G12" s="13" t="str">
        <f>IF((B_02.01[[#This Row],[0040]]&lt;&gt;""),IF(ISNUMBER(MATCH(B_02.01[[#This Row],[0040]],{"Lek","Argentine Peso","Australian Dollar","Brazilian Real","Bulgarian Lev","Canadian Dollar","Czech Koruna","Danish Krone","Egyptian Pound","Euro","Pound Sterling","Forint","Yen","Latvian Lats","Lithuanian Litas","Denar","Mexican Peso","Zloty","New Romanian Leu","Russian Ruble","Serbian Dinar","Swedish Krona","Swiss Franc","Turkish Lira","Hryvnia","US Dollar","Iceland Krona","Norwegian Krone","Hong Kong Dollar","New Taiwan Dollar","New Zealand Dollar","Singapore Dollar","Won","Yuan Renminbi","Afghani","Algerian Dinar","Armenian Dram","Aruban Florin","Azerbaijanian Manat","Bahamian Dollar","Bahraini Dinar","Baht","Balboa","Barbados Dollar","Belarussian Ruble (2000 Series)","Belize Dollar","Bermudian Dollar","Bolivar","Boliviano","Brunei Dollar","Burundi Franc","Cape Verde Escudo","Cayman Islands Dollar","CFP Franc","Chilean Peso","Colombian Peso","Comoro Franc","Congolese Franc","Convertible Mark","Cordoba Oro","Costa Rican Colon","Cuban Peso","Dalasi","Djibouti Franc","Dobra","Dominican Peso","Dong","East Caribbean Dollar","El Salvador Colon","Ethiopian Birr","Falkland Islands Pound","Fiji Dollar","Ghana Cedi","Gibraltar Pound","Gourde","Guarani","Guinea Franc","Guyana Dollar","Indian Rupee","Iranian Rial","Iraqi Dinar","Jamaican Dollar","Jordanian Dinar","Kenyan Shilling","Kina","Kip","Kuwaiti Dinar","Kwacha","Kwanza","Kyat","Lari","Lebanese Pound","Lempira","Leone","Liberian Dollar","Libyan Dinar","Lilangeni","Loti","Malagasy Ariary","Malaysian Ringgit","Mauritius Rupee","Moldovan Leu","Moroccan Dirham","Mozambique Metical","Mvdol","Naira","Nakfa","Namibia Dollar","Nepalese Rupee","Netherlands Antillean Guilder","New Israeli Sheqel","Ngultrum","North Korean Won","Nuevo Sol","Ouguiya","Pa’anga","Pakistan Rupee","Pataca","Peso Convertible","Peso Uruguayo","Philippine Peso","Pula","Qatari Rial","Quetzal","Rand","Rial Omani","Riel","Rufiyaa","Rupiah","Rwanda Franc","Saint Helena Pound","Saudi Riyal","Seychelles Rupee","Solomon Islands Dollar","Som","Somali Shilling","Somoni","South Sudanese Pound","Sri Lanka Rupee","Sudanese Pound","Surinam Dollar","Syrian Pound","Taka","Tala","Tanzanian Shilling","Tenge","Trinidad and Tobago Dollar","Tugrik","Tunisian Dinar","Turkmenistan New Manat","UAE Dirham","Uganda Shilling","Unidad de Valor Real","Unidades de fomento","Uruguay Peso en Unidades Indexadas (URUIURUI)","Uzbekistan Sum","Vatu","WIR Euro","WIR Franc","Yemeni Rial","Zambian Kwacha (replaced January 1, 2013)","Zimbabwe Dollar","Other Currency (open axis tables)","Belarusian Ruble","Zambian Kwacha","Off-shore Yuan Renminbi"},0)),""),"not applicable")</f>
        <v/>
      </c>
      <c r="H12" s="13" t="str">
        <f>IF((B_02.01[[#This Row],[0020]]&lt;&gt;""),IF(ISNUMBER(MATCH(B_02.01[[#This Row],[0020]],{"Standalone arrangement","Overarching arrangement","Subsequent or associated arrangement"},0)),""),"not applicable")</f>
        <v/>
      </c>
    </row>
    <row r="13" spans="2:8" ht="12.75">
      <c r="B13" s="215" t="s">
        <v>681</v>
      </c>
      <c r="C13" s="215" t="s">
        <v>460</v>
      </c>
      <c r="D13" s="10"/>
      <c r="E13" s="215" t="s">
        <v>675</v>
      </c>
      <c r="F13" s="216">
        <v>417344.41494148504</v>
      </c>
      <c r="G13" s="13" t="str">
        <f>IF((B_02.01[[#This Row],[0040]]&lt;&gt;""),IF(ISNUMBER(MATCH(B_02.01[[#This Row],[0040]],{"Lek","Argentine Peso","Australian Dollar","Brazilian Real","Bulgarian Lev","Canadian Dollar","Czech Koruna","Danish Krone","Egyptian Pound","Euro","Pound Sterling","Forint","Yen","Latvian Lats","Lithuanian Litas","Denar","Mexican Peso","Zloty","New Romanian Leu","Russian Ruble","Serbian Dinar","Swedish Krona","Swiss Franc","Turkish Lira","Hryvnia","US Dollar","Iceland Krona","Norwegian Krone","Hong Kong Dollar","New Taiwan Dollar","New Zealand Dollar","Singapore Dollar","Won","Yuan Renminbi","Afghani","Algerian Dinar","Armenian Dram","Aruban Florin","Azerbaijanian Manat","Bahamian Dollar","Bahraini Dinar","Baht","Balboa","Barbados Dollar","Belarussian Ruble (2000 Series)","Belize Dollar","Bermudian Dollar","Bolivar","Boliviano","Brunei Dollar","Burundi Franc","Cape Verde Escudo","Cayman Islands Dollar","CFP Franc","Chilean Peso","Colombian Peso","Comoro Franc","Congolese Franc","Convertible Mark","Cordoba Oro","Costa Rican Colon","Cuban Peso","Dalasi","Djibouti Franc","Dobra","Dominican Peso","Dong","East Caribbean Dollar","El Salvador Colon","Ethiopian Birr","Falkland Islands Pound","Fiji Dollar","Ghana Cedi","Gibraltar Pound","Gourde","Guarani","Guinea Franc","Guyana Dollar","Indian Rupee","Iranian Rial","Iraqi Dinar","Jamaican Dollar","Jordanian Dinar","Kenyan Shilling","Kina","Kip","Kuwaiti Dinar","Kwacha","Kwanza","Kyat","Lari","Lebanese Pound","Lempira","Leone","Liberian Dollar","Libyan Dinar","Lilangeni","Loti","Malagasy Ariary","Malaysian Ringgit","Mauritius Rupee","Moldovan Leu","Moroccan Dirham","Mozambique Metical","Mvdol","Naira","Nakfa","Namibia Dollar","Nepalese Rupee","Netherlands Antillean Guilder","New Israeli Sheqel","Ngultrum","North Korean Won","Nuevo Sol","Ouguiya","Pa’anga","Pakistan Rupee","Pataca","Peso Convertible","Peso Uruguayo","Philippine Peso","Pula","Qatari Rial","Quetzal","Rand","Rial Omani","Riel","Rufiyaa","Rupiah","Rwanda Franc","Saint Helena Pound","Saudi Riyal","Seychelles Rupee","Solomon Islands Dollar","Som","Somali Shilling","Somoni","South Sudanese Pound","Sri Lanka Rupee","Sudanese Pound","Surinam Dollar","Syrian Pound","Taka","Tala","Tanzanian Shilling","Tenge","Trinidad and Tobago Dollar","Tugrik","Tunisian Dinar","Turkmenistan New Manat","UAE Dirham","Uganda Shilling","Unidad de Valor Real","Unidades de fomento","Uruguay Peso en Unidades Indexadas (URUIURUI)","Uzbekistan Sum","Vatu","WIR Euro","WIR Franc","Yemeni Rial","Zambian Kwacha (replaced January 1, 2013)","Zimbabwe Dollar","Other Currency (open axis tables)","Belarusian Ruble","Zambian Kwacha","Off-shore Yuan Renminbi"},0)),""),"not applicable")</f>
        <v/>
      </c>
      <c r="H13" s="13" t="str">
        <f>IF((B_02.01[[#This Row],[0020]]&lt;&gt;""),IF(ISNUMBER(MATCH(B_02.01[[#This Row],[0020]],{"Standalone arrangement","Overarching arrangement","Subsequent or associated arrangement"},0)),""),"not applicable")</f>
        <v/>
      </c>
    </row>
    <row r="14" spans="2:8" ht="12.75">
      <c r="B14" s="215" t="s">
        <v>682</v>
      </c>
      <c r="C14" s="215" t="s">
        <v>460</v>
      </c>
      <c r="D14" s="10"/>
      <c r="E14" s="215" t="s">
        <v>675</v>
      </c>
      <c r="F14" s="216">
        <v>187179.09887945128</v>
      </c>
      <c r="G14" s="13" t="str">
        <f>IF((B_02.01[[#This Row],[0040]]&lt;&gt;""),IF(ISNUMBER(MATCH(B_02.01[[#This Row],[0040]],{"Lek","Argentine Peso","Australian Dollar","Brazilian Real","Bulgarian Lev","Canadian Dollar","Czech Koruna","Danish Krone","Egyptian Pound","Euro","Pound Sterling","Forint","Yen","Latvian Lats","Lithuanian Litas","Denar","Mexican Peso","Zloty","New Romanian Leu","Russian Ruble","Serbian Dinar","Swedish Krona","Swiss Franc","Turkish Lira","Hryvnia","US Dollar","Iceland Krona","Norwegian Krone","Hong Kong Dollar","New Taiwan Dollar","New Zealand Dollar","Singapore Dollar","Won","Yuan Renminbi","Afghani","Algerian Dinar","Armenian Dram","Aruban Florin","Azerbaijanian Manat","Bahamian Dollar","Bahraini Dinar","Baht","Balboa","Barbados Dollar","Belarussian Ruble (2000 Series)","Belize Dollar","Bermudian Dollar","Bolivar","Boliviano","Brunei Dollar","Burundi Franc","Cape Verde Escudo","Cayman Islands Dollar","CFP Franc","Chilean Peso","Colombian Peso","Comoro Franc","Congolese Franc","Convertible Mark","Cordoba Oro","Costa Rican Colon","Cuban Peso","Dalasi","Djibouti Franc","Dobra","Dominican Peso","Dong","East Caribbean Dollar","El Salvador Colon","Ethiopian Birr","Falkland Islands Pound","Fiji Dollar","Ghana Cedi","Gibraltar Pound","Gourde","Guarani","Guinea Franc","Guyana Dollar","Indian Rupee","Iranian Rial","Iraqi Dinar","Jamaican Dollar","Jordanian Dinar","Kenyan Shilling","Kina","Kip","Kuwaiti Dinar","Kwacha","Kwanza","Kyat","Lari","Lebanese Pound","Lempira","Leone","Liberian Dollar","Libyan Dinar","Lilangeni","Loti","Malagasy Ariary","Malaysian Ringgit","Mauritius Rupee","Moldovan Leu","Moroccan Dirham","Mozambique Metical","Mvdol","Naira","Nakfa","Namibia Dollar","Nepalese Rupee","Netherlands Antillean Guilder","New Israeli Sheqel","Ngultrum","North Korean Won","Nuevo Sol","Ouguiya","Pa’anga","Pakistan Rupee","Pataca","Peso Convertible","Peso Uruguayo","Philippine Peso","Pula","Qatari Rial","Quetzal","Rand","Rial Omani","Riel","Rufiyaa","Rupiah","Rwanda Franc","Saint Helena Pound","Saudi Riyal","Seychelles Rupee","Solomon Islands Dollar","Som","Somali Shilling","Somoni","South Sudanese Pound","Sri Lanka Rupee","Sudanese Pound","Surinam Dollar","Syrian Pound","Taka","Tala","Tanzanian Shilling","Tenge","Trinidad and Tobago Dollar","Tugrik","Tunisian Dinar","Turkmenistan New Manat","UAE Dirham","Uganda Shilling","Unidad de Valor Real","Unidades de fomento","Uruguay Peso en Unidades Indexadas (URUIURUI)","Uzbekistan Sum","Vatu","WIR Euro","WIR Franc","Yemeni Rial","Zambian Kwacha (replaced January 1, 2013)","Zimbabwe Dollar","Other Currency (open axis tables)","Belarusian Ruble","Zambian Kwacha","Off-shore Yuan Renminbi"},0)),""),"not applicable")</f>
        <v/>
      </c>
      <c r="H14" s="13" t="str">
        <f>IF((B_02.01[[#This Row],[0020]]&lt;&gt;""),IF(ISNUMBER(MATCH(B_02.01[[#This Row],[0020]],{"Standalone arrangement","Overarching arrangement","Subsequent or associated arrangement"},0)),""),"not applicable")</f>
        <v/>
      </c>
    </row>
    <row r="15" spans="2:8" ht="12.75">
      <c r="B15" s="215" t="s">
        <v>683</v>
      </c>
      <c r="C15" s="215" t="s">
        <v>460</v>
      </c>
      <c r="D15" s="10"/>
      <c r="E15" s="215" t="s">
        <v>675</v>
      </c>
      <c r="F15" s="216">
        <v>262665.79988566024</v>
      </c>
      <c r="G15" s="13" t="str">
        <f>IF((B_02.01[[#This Row],[0040]]&lt;&gt;""),IF(ISNUMBER(MATCH(B_02.01[[#This Row],[0040]],{"Lek","Argentine Peso","Australian Dollar","Brazilian Real","Bulgarian Lev","Canadian Dollar","Czech Koruna","Danish Krone","Egyptian Pound","Euro","Pound Sterling","Forint","Yen","Latvian Lats","Lithuanian Litas","Denar","Mexican Peso","Zloty","New Romanian Leu","Russian Ruble","Serbian Dinar","Swedish Krona","Swiss Franc","Turkish Lira","Hryvnia","US Dollar","Iceland Krona","Norwegian Krone","Hong Kong Dollar","New Taiwan Dollar","New Zealand Dollar","Singapore Dollar","Won","Yuan Renminbi","Afghani","Algerian Dinar","Armenian Dram","Aruban Florin","Azerbaijanian Manat","Bahamian Dollar","Bahraini Dinar","Baht","Balboa","Barbados Dollar","Belarussian Ruble (2000 Series)","Belize Dollar","Bermudian Dollar","Bolivar","Boliviano","Brunei Dollar","Burundi Franc","Cape Verde Escudo","Cayman Islands Dollar","CFP Franc","Chilean Peso","Colombian Peso","Comoro Franc","Congolese Franc","Convertible Mark","Cordoba Oro","Costa Rican Colon","Cuban Peso","Dalasi","Djibouti Franc","Dobra","Dominican Peso","Dong","East Caribbean Dollar","El Salvador Colon","Ethiopian Birr","Falkland Islands Pound","Fiji Dollar","Ghana Cedi","Gibraltar Pound","Gourde","Guarani","Guinea Franc","Guyana Dollar","Indian Rupee","Iranian Rial","Iraqi Dinar","Jamaican Dollar","Jordanian Dinar","Kenyan Shilling","Kina","Kip","Kuwaiti Dinar","Kwacha","Kwanza","Kyat","Lari","Lebanese Pound","Lempira","Leone","Liberian Dollar","Libyan Dinar","Lilangeni","Loti","Malagasy Ariary","Malaysian Ringgit","Mauritius Rupee","Moldovan Leu","Moroccan Dirham","Mozambique Metical","Mvdol","Naira","Nakfa","Namibia Dollar","Nepalese Rupee","Netherlands Antillean Guilder","New Israeli Sheqel","Ngultrum","North Korean Won","Nuevo Sol","Ouguiya","Pa’anga","Pakistan Rupee","Pataca","Peso Convertible","Peso Uruguayo","Philippine Peso","Pula","Qatari Rial","Quetzal","Rand","Rial Omani","Riel","Rufiyaa","Rupiah","Rwanda Franc","Saint Helena Pound","Saudi Riyal","Seychelles Rupee","Solomon Islands Dollar","Som","Somali Shilling","Somoni","South Sudanese Pound","Sri Lanka Rupee","Sudanese Pound","Surinam Dollar","Syrian Pound","Taka","Tala","Tanzanian Shilling","Tenge","Trinidad and Tobago Dollar","Tugrik","Tunisian Dinar","Turkmenistan New Manat","UAE Dirham","Uganda Shilling","Unidad de Valor Real","Unidades de fomento","Uruguay Peso en Unidades Indexadas (URUIURUI)","Uzbekistan Sum","Vatu","WIR Euro","WIR Franc","Yemeni Rial","Zambian Kwacha (replaced January 1, 2013)","Zimbabwe Dollar","Other Currency (open axis tables)","Belarusian Ruble","Zambian Kwacha","Off-shore Yuan Renminbi"},0)),""),"not applicable")</f>
        <v/>
      </c>
      <c r="H15" s="13" t="str">
        <f>IF((B_02.01[[#This Row],[0020]]&lt;&gt;""),IF(ISNUMBER(MATCH(B_02.01[[#This Row],[0020]],{"Standalone arrangement","Overarching arrangement","Subsequent or associated arrangement"},0)),""),"not applicable")</f>
        <v/>
      </c>
    </row>
    <row r="16" spans="2:8" ht="12.75">
      <c r="B16" s="215" t="s">
        <v>684</v>
      </c>
      <c r="C16" s="215" t="s">
        <v>460</v>
      </c>
      <c r="D16" s="10"/>
      <c r="E16" s="215" t="s">
        <v>675</v>
      </c>
      <c r="F16" s="216">
        <v>441631.36821439245</v>
      </c>
      <c r="G16" s="13" t="str">
        <f>IF((B_02.01[[#This Row],[0040]]&lt;&gt;""),IF(ISNUMBER(MATCH(B_02.01[[#This Row],[0040]],{"Lek","Argentine Peso","Australian Dollar","Brazilian Real","Bulgarian Lev","Canadian Dollar","Czech Koruna","Danish Krone","Egyptian Pound","Euro","Pound Sterling","Forint","Yen","Latvian Lats","Lithuanian Litas","Denar","Mexican Peso","Zloty","New Romanian Leu","Russian Ruble","Serbian Dinar","Swedish Krona","Swiss Franc","Turkish Lira","Hryvnia","US Dollar","Iceland Krona","Norwegian Krone","Hong Kong Dollar","New Taiwan Dollar","New Zealand Dollar","Singapore Dollar","Won","Yuan Renminbi","Afghani","Algerian Dinar","Armenian Dram","Aruban Florin","Azerbaijanian Manat","Bahamian Dollar","Bahraini Dinar","Baht","Balboa","Barbados Dollar","Belarussian Ruble (2000 Series)","Belize Dollar","Bermudian Dollar","Bolivar","Boliviano","Brunei Dollar","Burundi Franc","Cape Verde Escudo","Cayman Islands Dollar","CFP Franc","Chilean Peso","Colombian Peso","Comoro Franc","Congolese Franc","Convertible Mark","Cordoba Oro","Costa Rican Colon","Cuban Peso","Dalasi","Djibouti Franc","Dobra","Dominican Peso","Dong","East Caribbean Dollar","El Salvador Colon","Ethiopian Birr","Falkland Islands Pound","Fiji Dollar","Ghana Cedi","Gibraltar Pound","Gourde","Guarani","Guinea Franc","Guyana Dollar","Indian Rupee","Iranian Rial","Iraqi Dinar","Jamaican Dollar","Jordanian Dinar","Kenyan Shilling","Kina","Kip","Kuwaiti Dinar","Kwacha","Kwanza","Kyat","Lari","Lebanese Pound","Lempira","Leone","Liberian Dollar","Libyan Dinar","Lilangeni","Loti","Malagasy Ariary","Malaysian Ringgit","Mauritius Rupee","Moldovan Leu","Moroccan Dirham","Mozambique Metical","Mvdol","Naira","Nakfa","Namibia Dollar","Nepalese Rupee","Netherlands Antillean Guilder","New Israeli Sheqel","Ngultrum","North Korean Won","Nuevo Sol","Ouguiya","Pa’anga","Pakistan Rupee","Pataca","Peso Convertible","Peso Uruguayo","Philippine Peso","Pula","Qatari Rial","Quetzal","Rand","Rial Omani","Riel","Rufiyaa","Rupiah","Rwanda Franc","Saint Helena Pound","Saudi Riyal","Seychelles Rupee","Solomon Islands Dollar","Som","Somali Shilling","Somoni","South Sudanese Pound","Sri Lanka Rupee","Sudanese Pound","Surinam Dollar","Syrian Pound","Taka","Tala","Tanzanian Shilling","Tenge","Trinidad and Tobago Dollar","Tugrik","Tunisian Dinar","Turkmenistan New Manat","UAE Dirham","Uganda Shilling","Unidad de Valor Real","Unidades de fomento","Uruguay Peso en Unidades Indexadas (URUIURUI)","Uzbekistan Sum","Vatu","WIR Euro","WIR Franc","Yemeni Rial","Zambian Kwacha (replaced January 1, 2013)","Zimbabwe Dollar","Other Currency (open axis tables)","Belarusian Ruble","Zambian Kwacha","Off-shore Yuan Renminbi"},0)),""),"not applicable")</f>
        <v/>
      </c>
      <c r="H16" s="13" t="str">
        <f>IF((B_02.01[[#This Row],[0020]]&lt;&gt;""),IF(ISNUMBER(MATCH(B_02.01[[#This Row],[0020]],{"Standalone arrangement","Overarching arrangement","Subsequent or associated arrangement"},0)),""),"not applicable")</f>
        <v/>
      </c>
    </row>
    <row r="17" spans="2:8" ht="12.75">
      <c r="B17" s="215" t="s">
        <v>685</v>
      </c>
      <c r="C17" s="215" t="s">
        <v>460</v>
      </c>
      <c r="D17" s="10"/>
      <c r="E17" s="215" t="s">
        <v>675</v>
      </c>
      <c r="F17" s="216">
        <v>50000</v>
      </c>
      <c r="G17" s="13" t="str">
        <f>IF((B_02.01[[#This Row],[0040]]&lt;&gt;""),IF(ISNUMBER(MATCH(B_02.01[[#This Row],[0040]],{"Lek","Argentine Peso","Australian Dollar","Brazilian Real","Bulgarian Lev","Canadian Dollar","Czech Koruna","Danish Krone","Egyptian Pound","Euro","Pound Sterling","Forint","Yen","Latvian Lats","Lithuanian Litas","Denar","Mexican Peso","Zloty","New Romanian Leu","Russian Ruble","Serbian Dinar","Swedish Krona","Swiss Franc","Turkish Lira","Hryvnia","US Dollar","Iceland Krona","Norwegian Krone","Hong Kong Dollar","New Taiwan Dollar","New Zealand Dollar","Singapore Dollar","Won","Yuan Renminbi","Afghani","Algerian Dinar","Armenian Dram","Aruban Florin","Azerbaijanian Manat","Bahamian Dollar","Bahraini Dinar","Baht","Balboa","Barbados Dollar","Belarussian Ruble (2000 Series)","Belize Dollar","Bermudian Dollar","Bolivar","Boliviano","Brunei Dollar","Burundi Franc","Cape Verde Escudo","Cayman Islands Dollar","CFP Franc","Chilean Peso","Colombian Peso","Comoro Franc","Congolese Franc","Convertible Mark","Cordoba Oro","Costa Rican Colon","Cuban Peso","Dalasi","Djibouti Franc","Dobra","Dominican Peso","Dong","East Caribbean Dollar","El Salvador Colon","Ethiopian Birr","Falkland Islands Pound","Fiji Dollar","Ghana Cedi","Gibraltar Pound","Gourde","Guarani","Guinea Franc","Guyana Dollar","Indian Rupee","Iranian Rial","Iraqi Dinar","Jamaican Dollar","Jordanian Dinar","Kenyan Shilling","Kina","Kip","Kuwaiti Dinar","Kwacha","Kwanza","Kyat","Lari","Lebanese Pound","Lempira","Leone","Liberian Dollar","Libyan Dinar","Lilangeni","Loti","Malagasy Ariary","Malaysian Ringgit","Mauritius Rupee","Moldovan Leu","Moroccan Dirham","Mozambique Metical","Mvdol","Naira","Nakfa","Namibia Dollar","Nepalese Rupee","Netherlands Antillean Guilder","New Israeli Sheqel","Ngultrum","North Korean Won","Nuevo Sol","Ouguiya","Pa’anga","Pakistan Rupee","Pataca","Peso Convertible","Peso Uruguayo","Philippine Peso","Pula","Qatari Rial","Quetzal","Rand","Rial Omani","Riel","Rufiyaa","Rupiah","Rwanda Franc","Saint Helena Pound","Saudi Riyal","Seychelles Rupee","Solomon Islands Dollar","Som","Somali Shilling","Somoni","South Sudanese Pound","Sri Lanka Rupee","Sudanese Pound","Surinam Dollar","Syrian Pound","Taka","Tala","Tanzanian Shilling","Tenge","Trinidad and Tobago Dollar","Tugrik","Tunisian Dinar","Turkmenistan New Manat","UAE Dirham","Uganda Shilling","Unidad de Valor Real","Unidades de fomento","Uruguay Peso en Unidades Indexadas (URUIURUI)","Uzbekistan Sum","Vatu","WIR Euro","WIR Franc","Yemeni Rial","Zambian Kwacha (replaced January 1, 2013)","Zimbabwe Dollar","Other Currency (open axis tables)","Belarusian Ruble","Zambian Kwacha","Off-shore Yuan Renminbi"},0)),""),"not applicable")</f>
        <v/>
      </c>
      <c r="H17" s="13" t="str">
        <f>IF((B_02.01[[#This Row],[0020]]&lt;&gt;""),IF(ISNUMBER(MATCH(B_02.01[[#This Row],[0020]],{"Standalone arrangement","Overarching arrangement","Subsequent or associated arrangement"},0)),""),"not applicable")</f>
        <v/>
      </c>
    </row>
    <row r="18" spans="1:6" ht="12.75">
      <c r="A18" s="9" t="s">
        <v>310</v>
      </c>
      <c r="B18" s="9" t="s">
        <v>7</v>
      </c>
      <c r="C18" s="9" t="s">
        <v>311</v>
      </c>
      <c r="D18" s="9" t="s">
        <v>312</v>
      </c>
      <c r="E18" s="9" t="s">
        <v>313</v>
      </c>
      <c r="F18" s="9" t="s">
        <v>8</v>
      </c>
    </row>
    <row r="19" spans="2:5" ht="12.75">
      <c r="B19" s="9" t="s">
        <v>9</v>
      </c>
      <c r="D19" s="9" t="s">
        <v>314</v>
      </c>
      <c r="E19" s="9" t="s">
        <v>315</v>
      </c>
    </row>
  </sheetData>
  <conditionalFormatting sqref="G6">
    <cfRule type="expression" priority="11" dxfId="189" stopIfTrue="1">
      <formula>$G6=TRUE</formula>
    </cfRule>
    <cfRule type="expression" priority="12" dxfId="188" stopIfTrue="1">
      <formula>$G6=FALSE</formula>
    </cfRule>
  </conditionalFormatting>
  <conditionalFormatting sqref="G8:G17">
    <cfRule type="expression" priority="7" dxfId="188" stopIfTrue="1">
      <formula>ISNA($G8)</formula>
    </cfRule>
    <cfRule type="expression" priority="8" dxfId="186" stopIfTrue="1">
      <formula>$G8="not applicable"</formula>
    </cfRule>
    <cfRule type="expression" priority="9" dxfId="188" stopIfTrue="1">
      <formula>$G8=FALSE</formula>
    </cfRule>
    <cfRule type="expression" priority="10" dxfId="189" stopIfTrue="1">
      <formula>$G8=""</formula>
    </cfRule>
  </conditionalFormatting>
  <conditionalFormatting sqref="H6">
    <cfRule type="expression" priority="5" dxfId="189" stopIfTrue="1">
      <formula>$H6=TRUE</formula>
    </cfRule>
    <cfRule type="expression" priority="6" dxfId="188" stopIfTrue="1">
      <formula>$H6=FALSE</formula>
    </cfRule>
  </conditionalFormatting>
  <conditionalFormatting sqref="H8:H17">
    <cfRule type="expression" priority="1" dxfId="188" stopIfTrue="1">
      <formula>ISNA($H8)</formula>
    </cfRule>
    <cfRule type="expression" priority="2" dxfId="186" stopIfTrue="1">
      <formula>$H8="not applicable"</formula>
    </cfRule>
    <cfRule type="expression" priority="3" dxfId="188" stopIfTrue="1">
      <formula>$H8=FALSE</formula>
    </cfRule>
    <cfRule type="expression" priority="4" dxfId="189" stopIfTrue="1">
      <formula>$H8=""</formula>
    </cfRule>
  </conditionalFormatting>
  <pageMargins left="0.75" right="0.75" top="1" bottom="1" header="0.5" footer="0.5"/>
  <ignoredErrors>
    <ignoredError sqref="B9:C11 B6:I8" numberStoredAsText="1"/>
    <ignoredError sqref="B8:B18" numberStoredAsText="1"/>
    <ignoredError sqref="C8:C18" numberStoredAsText="1"/>
    <ignoredError sqref="D8:D18" numberStoredAsText="1"/>
    <ignoredError sqref="E8:E18" numberStoredAsText="1"/>
  </ignoredErrors>
  <drawing r:id="rId3"/>
  <legacyDrawing r:id="rId4"/>
  <tableParts>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C1B1122-0F96-4419-BC0A-85EA9357B4EC}">
  <sheetPr codeName="Sheet15"/>
  <dimension ref="A1:S20"/>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19" width="21.4285714285714" customWidth="1"/>
  </cols>
  <sheetData>
    <row r="1" spans="1:1" s="138" customFormat="1" ht="45.4" customHeight="1">
      <c r="A1" t="s">
        <v>631</v>
      </c>
    </row>
    <row r="3" spans="2:2" ht="12.75">
      <c r="B3" s="23" t="s">
        <v>392</v>
      </c>
    </row>
    <row r="4" spans="2:2" ht="12.75">
      <c r="B4" s="17" t="s">
        <v>316</v>
      </c>
    </row>
    <row r="6" spans="2:19" ht="51">
      <c r="B6" s="8" t="s">
        <v>14</v>
      </c>
      <c r="C6" s="8" t="s">
        <v>0</v>
      </c>
      <c r="D6" s="8" t="s">
        <v>15</v>
      </c>
      <c r="E6" s="8" t="s">
        <v>16</v>
      </c>
      <c r="F6" s="8" t="s">
        <v>17</v>
      </c>
      <c r="G6" s="8" t="s">
        <v>18</v>
      </c>
      <c r="H6" s="8" t="s">
        <v>19</v>
      </c>
      <c r="I6" s="8" t="s">
        <v>20</v>
      </c>
      <c r="J6" s="8" t="s">
        <v>21</v>
      </c>
      <c r="K6" s="8" t="s">
        <v>22</v>
      </c>
      <c r="L6" s="8" t="s">
        <v>23</v>
      </c>
      <c r="M6" s="8" t="s">
        <v>27</v>
      </c>
      <c r="N6" s="8" t="s">
        <v>28</v>
      </c>
      <c r="O6" s="8" t="s">
        <v>29</v>
      </c>
      <c r="P6" s="8" t="s">
        <v>30</v>
      </c>
      <c r="Q6" s="8" t="s">
        <v>31</v>
      </c>
      <c r="R6" s="8" t="s">
        <v>32</v>
      </c>
      <c r="S6" s="8" t="s">
        <v>33</v>
      </c>
    </row>
    <row r="7" spans="2:19" ht="12.75">
      <c r="B7" s="220" t="s">
        <v>35</v>
      </c>
      <c r="C7" s="220" t="s">
        <v>3</v>
      </c>
      <c r="D7" s="220" t="s">
        <v>36</v>
      </c>
      <c r="E7" s="220" t="s">
        <v>37</v>
      </c>
      <c r="F7" s="220" t="s">
        <v>38</v>
      </c>
      <c r="G7" s="220" t="s">
        <v>5</v>
      </c>
      <c r="H7" s="220" t="s">
        <v>40</v>
      </c>
      <c r="I7" s="220" t="s">
        <v>41</v>
      </c>
      <c r="J7" s="220" t="s">
        <v>42</v>
      </c>
      <c r="K7" s="220" t="s">
        <v>43</v>
      </c>
      <c r="L7" s="220" t="s">
        <v>44</v>
      </c>
      <c r="M7" s="220" t="s">
        <v>48</v>
      </c>
      <c r="N7" s="220" t="s">
        <v>49</v>
      </c>
      <c r="O7" s="220" t="s">
        <v>50</v>
      </c>
      <c r="P7" s="220" t="s">
        <v>51</v>
      </c>
      <c r="Q7" s="220" t="s">
        <v>52</v>
      </c>
      <c r="R7" s="220" t="s">
        <v>53</v>
      </c>
      <c r="S7" s="220" t="s">
        <v>54</v>
      </c>
    </row>
    <row r="8" spans="2:19" ht="12.75">
      <c r="B8" s="10" t="s">
        <v>688</v>
      </c>
      <c r="C8" s="215" t="s">
        <v>676</v>
      </c>
      <c r="D8" s="215" t="s">
        <v>689</v>
      </c>
      <c r="E8" s="215" t="s">
        <v>691</v>
      </c>
      <c r="F8" s="215" t="s">
        <v>692</v>
      </c>
      <c r="G8" s="215" t="s">
        <v>690</v>
      </c>
      <c r="H8" s="218">
        <v>45658</v>
      </c>
      <c r="I8" s="218">
        <v>47033</v>
      </c>
      <c r="J8" s="10"/>
      <c r="K8" s="219">
        <v>60</v>
      </c>
      <c r="L8" s="219">
        <v>60</v>
      </c>
      <c r="M8" s="215" t="s">
        <v>274</v>
      </c>
      <c r="N8" s="215" t="s">
        <v>274</v>
      </c>
      <c r="O8" s="215" t="s">
        <v>686</v>
      </c>
      <c r="P8" s="215" t="s">
        <v>274</v>
      </c>
      <c r="Q8" s="215" t="s">
        <v>274</v>
      </c>
      <c r="R8" s="215" t="s">
        <v>464</v>
      </c>
      <c r="S8" s="215" t="s">
        <v>687</v>
      </c>
    </row>
    <row r="9" spans="2:19" ht="12.75">
      <c r="B9" s="10" t="s">
        <v>688</v>
      </c>
      <c r="C9" s="215" t="s">
        <v>677</v>
      </c>
      <c r="D9" s="215" t="s">
        <v>693</v>
      </c>
      <c r="E9" s="215" t="s">
        <v>691</v>
      </c>
      <c r="F9" s="215" t="s">
        <v>692</v>
      </c>
      <c r="G9" s="215" t="s">
        <v>690</v>
      </c>
      <c r="H9" s="218">
        <v>45292</v>
      </c>
      <c r="I9" s="218">
        <v>46907</v>
      </c>
      <c r="J9" s="10"/>
      <c r="K9" s="219">
        <v>30</v>
      </c>
      <c r="L9" s="219">
        <v>30</v>
      </c>
      <c r="M9" s="215" t="s">
        <v>274</v>
      </c>
      <c r="N9" s="215" t="s">
        <v>274</v>
      </c>
      <c r="O9" s="215" t="s">
        <v>686</v>
      </c>
      <c r="P9" s="215" t="s">
        <v>274</v>
      </c>
      <c r="Q9" s="215" t="s">
        <v>274</v>
      </c>
      <c r="R9" s="215" t="s">
        <v>463</v>
      </c>
      <c r="S9" s="215" t="s">
        <v>687</v>
      </c>
    </row>
    <row r="10" spans="2:19" ht="12.75">
      <c r="B10" s="10" t="s">
        <v>688</v>
      </c>
      <c r="C10" s="215" t="s">
        <v>679</v>
      </c>
      <c r="D10" s="215" t="s">
        <v>689</v>
      </c>
      <c r="E10" s="215" t="s">
        <v>691</v>
      </c>
      <c r="F10" s="215" t="s">
        <v>692</v>
      </c>
      <c r="G10" s="215" t="s">
        <v>690</v>
      </c>
      <c r="H10" s="218">
        <v>45352</v>
      </c>
      <c r="I10" s="218">
        <v>47548</v>
      </c>
      <c r="J10" s="10"/>
      <c r="K10" s="219">
        <v>60</v>
      </c>
      <c r="L10" s="219">
        <v>60</v>
      </c>
      <c r="M10" s="215" t="s">
        <v>275</v>
      </c>
      <c r="N10" s="215" t="s">
        <v>275</v>
      </c>
      <c r="O10" s="215" t="s">
        <v>686</v>
      </c>
      <c r="P10" s="215" t="s">
        <v>275</v>
      </c>
      <c r="Q10" s="215" t="s">
        <v>275</v>
      </c>
      <c r="R10" s="215" t="s">
        <v>464</v>
      </c>
      <c r="S10" s="215" t="s">
        <v>687</v>
      </c>
    </row>
    <row r="11" spans="2:19" ht="12.75">
      <c r="B11" s="10" t="s">
        <v>688</v>
      </c>
      <c r="C11" s="215" t="s">
        <v>680</v>
      </c>
      <c r="D11" s="215" t="s">
        <v>694</v>
      </c>
      <c r="E11" s="215" t="s">
        <v>691</v>
      </c>
      <c r="F11" s="215" t="s">
        <v>692</v>
      </c>
      <c r="G11" s="215" t="s">
        <v>690</v>
      </c>
      <c r="H11" s="218">
        <v>44780</v>
      </c>
      <c r="I11" s="218">
        <v>47114</v>
      </c>
      <c r="J11" s="10"/>
      <c r="K11" s="219">
        <v>45</v>
      </c>
      <c r="L11" s="219">
        <v>45</v>
      </c>
      <c r="M11" s="215" t="s">
        <v>274</v>
      </c>
      <c r="N11" s="215" t="s">
        <v>274</v>
      </c>
      <c r="O11" s="215" t="s">
        <v>686</v>
      </c>
      <c r="P11" s="215" t="s">
        <v>274</v>
      </c>
      <c r="Q11" s="215" t="s">
        <v>274</v>
      </c>
      <c r="R11" s="215" t="s">
        <v>464</v>
      </c>
      <c r="S11" s="215" t="s">
        <v>687</v>
      </c>
    </row>
    <row r="12" spans="2:19" ht="12.75">
      <c r="B12" s="10" t="s">
        <v>688</v>
      </c>
      <c r="C12" s="215" t="s">
        <v>681</v>
      </c>
      <c r="D12" s="215" t="s">
        <v>695</v>
      </c>
      <c r="E12" s="215" t="s">
        <v>691</v>
      </c>
      <c r="F12" s="215" t="s">
        <v>692</v>
      </c>
      <c r="G12" s="215" t="s">
        <v>690</v>
      </c>
      <c r="H12" s="218">
        <v>45413</v>
      </c>
      <c r="I12" s="218">
        <v>47099</v>
      </c>
      <c r="J12" s="10"/>
      <c r="K12" s="219">
        <v>60</v>
      </c>
      <c r="L12" s="219">
        <v>60</v>
      </c>
      <c r="M12" s="215" t="s">
        <v>259</v>
      </c>
      <c r="N12" s="215" t="s">
        <v>259</v>
      </c>
      <c r="O12" s="215" t="s">
        <v>686</v>
      </c>
      <c r="P12" s="215" t="s">
        <v>259</v>
      </c>
      <c r="Q12" s="215" t="s">
        <v>259</v>
      </c>
      <c r="R12" s="215" t="s">
        <v>464</v>
      </c>
      <c r="S12" s="215" t="s">
        <v>687</v>
      </c>
    </row>
    <row r="13" spans="2:19" ht="12.75">
      <c r="B13" s="10" t="s">
        <v>688</v>
      </c>
      <c r="C13" s="215" t="s">
        <v>682</v>
      </c>
      <c r="D13" s="215" t="s">
        <v>696</v>
      </c>
      <c r="E13" s="215" t="s">
        <v>691</v>
      </c>
      <c r="F13" s="215" t="s">
        <v>692</v>
      </c>
      <c r="G13" s="215" t="s">
        <v>690</v>
      </c>
      <c r="H13" s="218">
        <v>45352</v>
      </c>
      <c r="I13" s="218">
        <v>46244</v>
      </c>
      <c r="J13" s="10"/>
      <c r="K13" s="219">
        <v>60</v>
      </c>
      <c r="L13" s="219">
        <v>60</v>
      </c>
      <c r="M13" s="215" t="s">
        <v>259</v>
      </c>
      <c r="N13" s="215" t="s">
        <v>259</v>
      </c>
      <c r="O13" s="215" t="s">
        <v>686</v>
      </c>
      <c r="P13" s="215" t="s">
        <v>238</v>
      </c>
      <c r="Q13" s="215" t="s">
        <v>238</v>
      </c>
      <c r="R13" s="215" t="s">
        <v>464</v>
      </c>
      <c r="S13" s="215" t="s">
        <v>687</v>
      </c>
    </row>
    <row r="14" spans="2:19" ht="12.75">
      <c r="B14" s="10" t="s">
        <v>688</v>
      </c>
      <c r="C14" s="215" t="s">
        <v>683</v>
      </c>
      <c r="D14" s="215" t="s">
        <v>697</v>
      </c>
      <c r="E14" s="215" t="s">
        <v>691</v>
      </c>
      <c r="F14" s="215" t="s">
        <v>692</v>
      </c>
      <c r="G14" s="215" t="s">
        <v>690</v>
      </c>
      <c r="H14" s="218">
        <v>44780</v>
      </c>
      <c r="I14" s="218">
        <v>46935</v>
      </c>
      <c r="J14" s="10"/>
      <c r="K14" s="219">
        <v>100</v>
      </c>
      <c r="L14" s="219">
        <v>100</v>
      </c>
      <c r="M14" s="215" t="s">
        <v>274</v>
      </c>
      <c r="N14" s="215" t="s">
        <v>274</v>
      </c>
      <c r="O14" s="215" t="s">
        <v>686</v>
      </c>
      <c r="P14" s="215" t="s">
        <v>274</v>
      </c>
      <c r="Q14" s="215" t="s">
        <v>274</v>
      </c>
      <c r="R14" s="215" t="s">
        <v>464</v>
      </c>
      <c r="S14" s="215" t="s">
        <v>687</v>
      </c>
    </row>
    <row r="15" spans="2:19" ht="12.75">
      <c r="B15" s="10" t="s">
        <v>688</v>
      </c>
      <c r="C15" s="215" t="s">
        <v>684</v>
      </c>
      <c r="D15" s="215" t="s">
        <v>698</v>
      </c>
      <c r="E15" s="215" t="s">
        <v>691</v>
      </c>
      <c r="F15" s="215" t="s">
        <v>692</v>
      </c>
      <c r="G15" s="215" t="s">
        <v>690</v>
      </c>
      <c r="H15" s="218">
        <v>45352</v>
      </c>
      <c r="I15" s="218">
        <v>47596</v>
      </c>
      <c r="J15" s="10"/>
      <c r="K15" s="219">
        <v>60</v>
      </c>
      <c r="L15" s="219">
        <v>60</v>
      </c>
      <c r="M15" s="215" t="s">
        <v>274</v>
      </c>
      <c r="N15" s="215" t="s">
        <v>274</v>
      </c>
      <c r="O15" s="215" t="s">
        <v>686</v>
      </c>
      <c r="P15" s="215" t="s">
        <v>274</v>
      </c>
      <c r="Q15" s="215" t="s">
        <v>274</v>
      </c>
      <c r="R15" s="215" t="s">
        <v>464</v>
      </c>
      <c r="S15" s="215" t="s">
        <v>687</v>
      </c>
    </row>
    <row r="16" spans="2:19" ht="12.75">
      <c r="B16" s="10" t="s">
        <v>700</v>
      </c>
      <c r="C16" s="215" t="s">
        <v>678</v>
      </c>
      <c r="D16" s="215" t="s">
        <v>701</v>
      </c>
      <c r="E16" s="215" t="s">
        <v>702</v>
      </c>
      <c r="F16" s="215" t="s">
        <v>703</v>
      </c>
      <c r="G16" s="215" t="s">
        <v>690</v>
      </c>
      <c r="H16" s="218">
        <v>45413</v>
      </c>
      <c r="I16" s="218">
        <v>46851</v>
      </c>
      <c r="J16" s="10"/>
      <c r="K16" s="219">
        <v>90</v>
      </c>
      <c r="L16" s="219">
        <v>90</v>
      </c>
      <c r="M16" s="215" t="s">
        <v>274</v>
      </c>
      <c r="N16" s="215" t="s">
        <v>274</v>
      </c>
      <c r="O16" s="215" t="s">
        <v>686</v>
      </c>
      <c r="P16" s="215" t="s">
        <v>274</v>
      </c>
      <c r="Q16" s="215" t="s">
        <v>274</v>
      </c>
      <c r="R16" s="215" t="s">
        <v>464</v>
      </c>
      <c r="S16" s="215" t="s">
        <v>699</v>
      </c>
    </row>
    <row r="17" spans="2:19" ht="12.75">
      <c r="B17" s="10" t="s">
        <v>700</v>
      </c>
      <c r="C17" s="215" t="s">
        <v>685</v>
      </c>
      <c r="D17" s="215" t="s">
        <v>701</v>
      </c>
      <c r="E17" s="215" t="s">
        <v>702</v>
      </c>
      <c r="F17" s="215" t="s">
        <v>703</v>
      </c>
      <c r="G17" s="215" t="s">
        <v>690</v>
      </c>
      <c r="H17" s="218">
        <v>45413</v>
      </c>
      <c r="I17" s="218">
        <v>45778</v>
      </c>
      <c r="J17" s="10"/>
      <c r="K17" s="219">
        <v>60</v>
      </c>
      <c r="L17" s="219">
        <v>60</v>
      </c>
      <c r="M17" s="215" t="s">
        <v>274</v>
      </c>
      <c r="N17" s="215" t="s">
        <v>274</v>
      </c>
      <c r="O17" s="215" t="s">
        <v>686</v>
      </c>
      <c r="P17" s="215" t="s">
        <v>274</v>
      </c>
      <c r="Q17" s="10"/>
      <c r="R17" s="215" t="s">
        <v>464</v>
      </c>
      <c r="S17" s="215" t="s">
        <v>699</v>
      </c>
    </row>
    <row r="18" spans="1:19" ht="12.75">
      <c r="A18" s="9" t="s">
        <v>310</v>
      </c>
      <c r="B18" s="16" t="s">
        <v>56</v>
      </c>
      <c r="C18" s="9" t="s">
        <v>7</v>
      </c>
      <c r="D18" s="9" t="s">
        <v>57</v>
      </c>
      <c r="E18" s="9" t="s">
        <v>58</v>
      </c>
      <c r="F18" s="9" t="s">
        <v>59</v>
      </c>
      <c r="G18" s="9" t="s">
        <v>60</v>
      </c>
      <c r="H18" s="9" t="s">
        <v>61</v>
      </c>
      <c r="I18" s="9" t="s">
        <v>62</v>
      </c>
      <c r="J18" s="9" t="s">
        <v>63</v>
      </c>
      <c r="K18" s="9" t="s">
        <v>64</v>
      </c>
      <c r="L18" s="9" t="s">
        <v>64</v>
      </c>
      <c r="M18" s="9" t="s">
        <v>65</v>
      </c>
      <c r="N18" s="9" t="s">
        <v>66</v>
      </c>
      <c r="O18" s="9" t="s">
        <v>67</v>
      </c>
      <c r="P18" s="9" t="s">
        <v>66</v>
      </c>
      <c r="Q18" s="9" t="s">
        <v>66</v>
      </c>
      <c r="R18" s="9" t="s">
        <v>68</v>
      </c>
      <c r="S18" s="9" t="s">
        <v>69</v>
      </c>
    </row>
    <row r="19" spans="2:19" ht="12.75">
      <c r="B19" s="9" t="s">
        <v>9</v>
      </c>
      <c r="C19" s="9" t="s">
        <v>9</v>
      </c>
      <c r="D19" s="9" t="s">
        <v>9</v>
      </c>
      <c r="E19" s="9" t="s">
        <v>9</v>
      </c>
      <c r="F19" s="9" t="s">
        <v>9</v>
      </c>
      <c r="G19" s="9" t="s">
        <v>9</v>
      </c>
      <c r="K19" s="9" t="s">
        <v>70</v>
      </c>
      <c r="L19" s="9" t="s">
        <v>71</v>
      </c>
      <c r="N19" s="9" t="s">
        <v>72</v>
      </c>
      <c r="P19" s="9" t="s">
        <v>73</v>
      </c>
      <c r="Q19" s="9" t="s">
        <v>74</v>
      </c>
      <c r="R19" s="9" t="s">
        <v>73</v>
      </c>
      <c r="S19" s="9" t="s">
        <v>72</v>
      </c>
    </row>
    <row r="20" spans="18:19" ht="12.75">
      <c r="R20" s="9" t="s">
        <v>71</v>
      </c>
      <c r="S20" s="9" t="s">
        <v>70</v>
      </c>
    </row>
  </sheetData>
  <pageMargins left="0.75" right="0.75" top="1" bottom="1" header="0.5" footer="0.5"/>
  <ignoredErrors>
    <ignoredError sqref="B9:C12 B6:V8" numberStoredAsText="1"/>
    <ignoredError sqref="D8:D18" numberStoredAsText="1"/>
    <ignoredError sqref="C8:C18" numberStoredAsText="1"/>
    <ignoredError sqref="G8:G18" numberStoredAsText="1"/>
    <ignoredError sqref="E8:E18" numberStoredAsText="1"/>
    <ignoredError sqref="F8:F18" numberStoredAsText="1"/>
    <ignoredError sqref="J8:J18" numberStoredAsText="1"/>
    <ignoredError sqref="M8:M18" numberStoredAsText="1"/>
    <ignoredError sqref="N8:N18" numberStoredAsText="1"/>
    <ignoredError sqref="O8:O18" numberStoredAsText="1"/>
    <ignoredError sqref="P8:P18" numberStoredAsText="1"/>
    <ignoredError sqref="Q8:Q18" numberStoredAsText="1"/>
    <ignoredError sqref="R8:R18" numberStoredAsText="1"/>
    <ignoredError sqref="S8:S18" numberStoredAsText="1"/>
  </ignoredErrors>
  <drawing r:id="rId2"/>
  <tableParts>
    <tablePart r:id="rId1"/>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C736236-A621-4371-BEB9-87238106F9FA}">
  <sheetPr codeName="Sheet16"/>
  <dimension ref="A1:D10"/>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4" width="21.4285714285714" customWidth="1"/>
  </cols>
  <sheetData>
    <row r="1" spans="1:1" s="138" customFormat="1" ht="45.4" customHeight="1">
      <c r="A1" t="s">
        <v>631</v>
      </c>
    </row>
    <row r="3" spans="2:2" ht="12.75">
      <c r="B3" s="23" t="s">
        <v>393</v>
      </c>
    </row>
    <row r="4" spans="2:2" ht="12.75">
      <c r="B4" s="17" t="s">
        <v>394</v>
      </c>
    </row>
    <row r="6" spans="2:4" ht="63.75">
      <c r="B6" s="8" t="s">
        <v>0</v>
      </c>
      <c r="C6" s="8" t="s">
        <v>395</v>
      </c>
      <c r="D6" s="8" t="s">
        <v>396</v>
      </c>
    </row>
    <row r="7" spans="2:4" ht="12.75">
      <c r="B7" s="13" t="s">
        <v>3</v>
      </c>
      <c r="C7" s="13" t="s">
        <v>38</v>
      </c>
      <c r="D7" s="13" t="s">
        <v>36</v>
      </c>
    </row>
    <row r="8" spans="2:4" ht="12.75">
      <c r="B8" s="10"/>
      <c r="C8" s="10"/>
      <c r="D8" s="10"/>
    </row>
    <row r="9" spans="1:4" ht="12.75">
      <c r="A9" s="9" t="s">
        <v>310</v>
      </c>
      <c r="B9" s="9" t="s">
        <v>397</v>
      </c>
      <c r="C9" s="9" t="s">
        <v>398</v>
      </c>
      <c r="D9" s="9" t="s">
        <v>399</v>
      </c>
    </row>
    <row r="10" spans="2:3" ht="12.75">
      <c r="B10" s="9" t="s">
        <v>9</v>
      </c>
      <c r="C10" s="9" t="s">
        <v>9</v>
      </c>
    </row>
  </sheetData>
  <pageMargins left="0.75" right="0.75" top="1" bottom="1" header="0.5" footer="0.5"/>
  <ignoredErrors>
    <ignoredError sqref="B9:C11 B6:G8" numberStoredAsText="1"/>
  </ignoredErrors>
  <drawing r:id="rId2"/>
  <tableParts>
    <tablePart r:id="rId1"/>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7C530DC-34F7-4F67-954D-CC952BF30D91}">
  <sheetPr codeName="Sheet17"/>
  <dimension ref="A1:D10"/>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4" width="21.4285714285714" customWidth="1"/>
  </cols>
  <sheetData>
    <row r="1" spans="1:1" s="138" customFormat="1" ht="45.4" customHeight="1">
      <c r="A1" t="s">
        <v>631</v>
      </c>
    </row>
    <row r="3" spans="2:2" ht="12.75">
      <c r="B3" s="23" t="s">
        <v>400</v>
      </c>
    </row>
    <row r="4" spans="2:2" ht="12.75">
      <c r="B4" s="17" t="s">
        <v>401</v>
      </c>
    </row>
    <row r="6" spans="2:4" ht="51">
      <c r="B6" s="8" t="s">
        <v>0</v>
      </c>
      <c r="C6" s="8" t="s">
        <v>402</v>
      </c>
      <c r="D6" s="8" t="s">
        <v>396</v>
      </c>
    </row>
    <row r="7" spans="2:4" ht="12.75">
      <c r="B7" s="13" t="s">
        <v>3</v>
      </c>
      <c r="C7" s="13" t="s">
        <v>38</v>
      </c>
      <c r="D7" s="13" t="s">
        <v>36</v>
      </c>
    </row>
    <row r="8" spans="2:4" ht="12.75">
      <c r="B8" s="10"/>
      <c r="C8" s="10"/>
      <c r="D8" s="10"/>
    </row>
    <row r="9" spans="1:4" ht="12.75">
      <c r="A9" s="9" t="s">
        <v>310</v>
      </c>
      <c r="B9" s="9" t="s">
        <v>7</v>
      </c>
      <c r="C9" s="9" t="s">
        <v>403</v>
      </c>
      <c r="D9" s="9" t="s">
        <v>399</v>
      </c>
    </row>
    <row r="10" spans="2:3" ht="12.75">
      <c r="B10" s="9" t="s">
        <v>9</v>
      </c>
      <c r="C10" s="9" t="s">
        <v>9</v>
      </c>
    </row>
  </sheetData>
  <pageMargins left="0.75" right="0.75" top="1" bottom="1" header="0.5" footer="0.5"/>
  <ignoredErrors>
    <ignoredError sqref="B9:C11 B6:G8" numberStoredAsText="1"/>
  </ignoredErrors>
  <drawing r:id="rId2"/>
  <tableParts>
    <tablePart r:id="rId1"/>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C128D3A7-97D1-412E-9707-5715522D7D70}">
  <sheetPr codeName="Sheet18"/>
  <dimension ref="A1:E10"/>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5" width="21.4285714285714" customWidth="1"/>
  </cols>
  <sheetData>
    <row r="1" spans="1:1" s="138" customFormat="1" ht="45.4" customHeight="1">
      <c r="A1" t="s">
        <v>631</v>
      </c>
    </row>
    <row r="3" spans="2:2" ht="12.75">
      <c r="B3" s="23" t="s">
        <v>404</v>
      </c>
    </row>
    <row r="4" spans="2:2" ht="12.75">
      <c r="B4" s="17" t="s">
        <v>405</v>
      </c>
    </row>
    <row r="6" spans="2:5" ht="38.25">
      <c r="B6" s="8" t="s">
        <v>0</v>
      </c>
      <c r="C6" s="8" t="s">
        <v>378</v>
      </c>
      <c r="D6" s="8" t="s">
        <v>16</v>
      </c>
      <c r="E6" s="8" t="s">
        <v>396</v>
      </c>
    </row>
    <row r="7" spans="2:5" ht="12.75">
      <c r="B7" s="13" t="s">
        <v>3</v>
      </c>
      <c r="C7" s="13" t="s">
        <v>38</v>
      </c>
      <c r="D7" s="13" t="s">
        <v>36</v>
      </c>
      <c r="E7" s="13" t="s">
        <v>406</v>
      </c>
    </row>
    <row r="8" spans="2:5" ht="12.75">
      <c r="B8" s="10"/>
      <c r="C8" s="10"/>
      <c r="D8" s="10"/>
      <c r="E8" s="10"/>
    </row>
    <row r="9" spans="1:5" ht="12.75">
      <c r="A9" s="9" t="s">
        <v>310</v>
      </c>
      <c r="B9" s="9" t="s">
        <v>7</v>
      </c>
      <c r="C9" s="9" t="s">
        <v>57</v>
      </c>
      <c r="D9" s="9" t="s">
        <v>58</v>
      </c>
      <c r="E9" s="9" t="s">
        <v>399</v>
      </c>
    </row>
    <row r="10" spans="2:4" ht="12.75">
      <c r="B10" s="9" t="s">
        <v>9</v>
      </c>
      <c r="C10" s="9" t="s">
        <v>9</v>
      </c>
      <c r="D10" s="9" t="s">
        <v>9</v>
      </c>
    </row>
  </sheetData>
  <pageMargins left="0.75" right="0.75" top="1" bottom="1" header="0.5" footer="0.5"/>
  <ignoredErrors>
    <ignoredError sqref="B9:C11 B6:H8" numberStoredAsText="1"/>
  </ignoredErrors>
  <drawing r:id="rId2"/>
  <tableParts>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647F06D-18C2-4021-A70D-BC7C0AAF7309}">
  <sheetPr codeName="Sheet19"/>
  <dimension ref="A1:D10"/>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4" width="21.4285714285714" customWidth="1"/>
  </cols>
  <sheetData>
    <row r="1" spans="1:1" s="138" customFormat="1" ht="45.4" customHeight="1">
      <c r="A1" t="s">
        <v>631</v>
      </c>
    </row>
    <row r="3" spans="2:2" ht="12.75">
      <c r="B3" s="23" t="s">
        <v>407</v>
      </c>
    </row>
    <row r="4" spans="2:2" ht="12.75">
      <c r="B4" s="17" t="s">
        <v>408</v>
      </c>
    </row>
    <row r="6" spans="2:4" ht="38.25">
      <c r="B6" s="8" t="s">
        <v>0</v>
      </c>
      <c r="C6" s="8" t="s">
        <v>409</v>
      </c>
      <c r="D6" s="8" t="s">
        <v>396</v>
      </c>
    </row>
    <row r="7" spans="2:4" ht="12.75">
      <c r="B7" s="13" t="s">
        <v>3</v>
      </c>
      <c r="C7" s="13" t="s">
        <v>38</v>
      </c>
      <c r="D7" s="13" t="s">
        <v>410</v>
      </c>
    </row>
    <row r="8" spans="2:4" ht="12.75">
      <c r="B8" s="10"/>
      <c r="C8" s="10"/>
      <c r="D8" s="10"/>
    </row>
    <row r="9" spans="1:4" ht="12.75">
      <c r="A9" s="9" t="s">
        <v>310</v>
      </c>
      <c r="B9" s="9" t="s">
        <v>7</v>
      </c>
      <c r="C9" s="9" t="s">
        <v>411</v>
      </c>
      <c r="D9" s="9" t="s">
        <v>399</v>
      </c>
    </row>
    <row r="10" spans="2:3" ht="12.75">
      <c r="B10" s="9" t="s">
        <v>9</v>
      </c>
      <c r="C10" s="9" t="s">
        <v>9</v>
      </c>
    </row>
  </sheetData>
  <pageMargins left="0.75" right="0.75" top="1" bottom="1" header="0.5" footer="0.5"/>
  <ignoredErrors>
    <ignoredError sqref="B9:C11 B6:G8" numberStoredAsText="1"/>
  </ignoredErrors>
  <drawing r:id="rId2"/>
  <tableParts>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B8DF2E1-C7C9-47AD-9FD4-8B737705A97F}">
  <sheetPr codeName="Sheet20"/>
  <dimension ref="A1:F10"/>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5" width="21.4285714285714" customWidth="1"/>
    <col min="6" max="6" width="30.7142857142857" customWidth="1"/>
  </cols>
  <sheetData>
    <row r="1" spans="1:1" s="138" customFormat="1" ht="45.4" customHeight="1">
      <c r="A1" t="s">
        <v>631</v>
      </c>
    </row>
    <row r="3" spans="2:2" ht="12.75">
      <c r="B3" s="23" t="s">
        <v>412</v>
      </c>
    </row>
    <row r="4" spans="2:2" ht="12.75">
      <c r="B4" s="17" t="s">
        <v>413</v>
      </c>
    </row>
    <row r="6" spans="2:6" ht="38.25">
      <c r="B6" s="8" t="s">
        <v>0</v>
      </c>
      <c r="C6" s="8" t="s">
        <v>17</v>
      </c>
      <c r="D6" s="8" t="s">
        <v>369</v>
      </c>
      <c r="E6" s="8" t="s">
        <v>414</v>
      </c>
      <c r="F6" s="13" t="b">
        <f>OR(COUNTA(B_04.01[0010])=0,IF(ISNA(SUM(B_04.01[v22887_a - 1.1])),FALSE,ISNA(MATCH(FALSE,B_04.01[v22887_a - 1.1],0))))</f>
        <v>1</v>
      </c>
    </row>
    <row r="7" spans="2:6" ht="12.75">
      <c r="B7" s="13" t="s">
        <v>3</v>
      </c>
      <c r="C7" s="13" t="s">
        <v>38</v>
      </c>
      <c r="D7" s="13" t="s">
        <v>37</v>
      </c>
      <c r="E7" s="13" t="s">
        <v>36</v>
      </c>
      <c r="F7" s="13" t="s">
        <v>554</v>
      </c>
    </row>
    <row r="8" spans="2:6" ht="12.75">
      <c r="B8" s="10"/>
      <c r="C8" s="10"/>
      <c r="D8" s="10"/>
      <c r="E8" s="10"/>
      <c r="F8" s="13" t="str">
        <f>IF((B_04.01[[#This Row],[0030]]&lt;&gt;""),IF(ISNUMBER(MATCH(B_04.01[[#This Row],[0030]],{"branch of a financial entity","not a branch"},0)),""),"not applicable")</f>
        <v>not applicable</v>
      </c>
    </row>
    <row r="9" spans="1:5" ht="12.75">
      <c r="A9" s="9" t="s">
        <v>310</v>
      </c>
      <c r="B9" s="9" t="s">
        <v>7</v>
      </c>
      <c r="C9" s="9" t="s">
        <v>59</v>
      </c>
      <c r="D9" s="9" t="s">
        <v>373</v>
      </c>
      <c r="E9" s="9" t="s">
        <v>415</v>
      </c>
    </row>
    <row r="10" spans="2:5" ht="12.75">
      <c r="B10" s="9" t="s">
        <v>9</v>
      </c>
      <c r="C10" s="9" t="s">
        <v>9</v>
      </c>
      <c r="D10" s="9" t="s">
        <v>9</v>
      </c>
      <c r="E10" s="9" t="s">
        <v>70</v>
      </c>
    </row>
  </sheetData>
  <conditionalFormatting sqref="F6">
    <cfRule type="expression" priority="5" dxfId="189" stopIfTrue="1">
      <formula>$F6=TRUE</formula>
    </cfRule>
    <cfRule type="expression" priority="6" dxfId="188" stopIfTrue="1">
      <formula>$F6=FALSE</formula>
    </cfRule>
  </conditionalFormatting>
  <conditionalFormatting sqref="F8">
    <cfRule type="expression" priority="1" dxfId="188" stopIfTrue="1">
      <formula>ISNA($F8)</formula>
    </cfRule>
    <cfRule type="expression" priority="2" dxfId="186" stopIfTrue="1">
      <formula>$F8="not applicable"</formula>
    </cfRule>
    <cfRule type="expression" priority="3" dxfId="188" stopIfTrue="1">
      <formula>$F8=FALSE</formula>
    </cfRule>
    <cfRule type="expression" priority="4" dxfId="189" stopIfTrue="1">
      <formula>$F8=""</formula>
    </cfRule>
  </conditionalFormatting>
  <pageMargins left="0.75" right="0.75" top="1" bottom="1" header="0.5" footer="0.5"/>
  <ignoredErrors>
    <ignoredError sqref="B9:C11 B6:H8" numberStoredAsText="1"/>
  </ignoredErrors>
  <drawing r:id="rId3"/>
  <legacyDrawing r:id="rId4"/>
  <tableParts>
    <tablePart r:id="rId2"/>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494AA9B-442A-4D9B-A6DE-97C9DD40C4DE}">
  <sheetPr codeName="Sheet21"/>
  <dimension ref="A1:H10"/>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8" width="21.4285714285714" customWidth="1"/>
  </cols>
  <sheetData>
    <row r="1" spans="1:1" s="138" customFormat="1" ht="45.4" customHeight="1">
      <c r="A1" t="s">
        <v>631</v>
      </c>
    </row>
    <row r="3" spans="2:2" ht="12.75">
      <c r="B3" s="23" t="s">
        <v>416</v>
      </c>
    </row>
    <row r="4" spans="2:2" ht="12.75">
      <c r="B4" s="17" t="s">
        <v>417</v>
      </c>
    </row>
    <row r="6" spans="2:8" ht="51">
      <c r="B6" s="8" t="s">
        <v>0</v>
      </c>
      <c r="C6" s="8" t="s">
        <v>15</v>
      </c>
      <c r="D6" s="8" t="s">
        <v>16</v>
      </c>
      <c r="E6" s="8" t="s">
        <v>14</v>
      </c>
      <c r="F6" s="8" t="s">
        <v>418</v>
      </c>
      <c r="G6" s="8" t="s">
        <v>419</v>
      </c>
      <c r="H6" s="8" t="s">
        <v>420</v>
      </c>
    </row>
    <row r="7" spans="2:8" ht="12.75">
      <c r="B7" s="13" t="s">
        <v>3</v>
      </c>
      <c r="C7" s="13" t="s">
        <v>36</v>
      </c>
      <c r="D7" s="13" t="s">
        <v>37</v>
      </c>
      <c r="E7" s="13" t="s">
        <v>38</v>
      </c>
      <c r="F7" s="13" t="s">
        <v>5</v>
      </c>
      <c r="G7" s="13" t="s">
        <v>35</v>
      </c>
      <c r="H7" s="13" t="s">
        <v>40</v>
      </c>
    </row>
    <row r="8" spans="2:8" ht="12.75">
      <c r="B8" s="10"/>
      <c r="C8" s="10"/>
      <c r="D8" s="10"/>
      <c r="E8" s="10"/>
      <c r="F8" s="10"/>
      <c r="G8" s="10"/>
      <c r="H8" s="10"/>
    </row>
    <row r="9" spans="1:8" ht="12.75">
      <c r="A9" s="9" t="s">
        <v>310</v>
      </c>
      <c r="B9" s="9" t="s">
        <v>7</v>
      </c>
      <c r="C9" s="9" t="s">
        <v>57</v>
      </c>
      <c r="D9" s="9" t="s">
        <v>58</v>
      </c>
      <c r="E9" s="16" t="s">
        <v>421</v>
      </c>
      <c r="F9" s="9" t="s">
        <v>422</v>
      </c>
      <c r="G9" s="9" t="s">
        <v>423</v>
      </c>
      <c r="H9" s="9" t="s">
        <v>424</v>
      </c>
    </row>
    <row r="10" spans="2:5" ht="12.75">
      <c r="B10" s="9" t="s">
        <v>9</v>
      </c>
      <c r="C10" s="9" t="s">
        <v>9</v>
      </c>
      <c r="D10" s="9" t="s">
        <v>9</v>
      </c>
      <c r="E10" s="9" t="s">
        <v>9</v>
      </c>
    </row>
  </sheetData>
  <pageMargins left="0.75" right="0.75" top="1" bottom="1" header="0.5" footer="0.5"/>
  <ignoredErrors>
    <ignoredError sqref="B9:C11 B6:K8" numberStoredAsText="1"/>
  </ignoredErrors>
  <drawing r:id="rId2"/>
  <tableParts>
    <tablePart r:id="rId1"/>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95BBF71-294E-454F-9FB7-9482883B3EF0}">
  <sheetPr codeName="Sheet22"/>
  <dimension ref="A1:N10"/>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11" width="21.4285714285714" customWidth="1"/>
    <col min="12" max="14" width="30.7142857142857" customWidth="1"/>
  </cols>
  <sheetData>
    <row r="1" spans="1:1" s="138" customFormat="1" ht="45.4" customHeight="1">
      <c r="A1" t="s">
        <v>631</v>
      </c>
    </row>
    <row r="3" spans="2:2" ht="12.75">
      <c r="B3" s="23" t="s">
        <v>426</v>
      </c>
    </row>
    <row r="4" spans="2:2" ht="12.75">
      <c r="B4" s="17" t="s">
        <v>427</v>
      </c>
    </row>
    <row r="6" spans="2:14" ht="51">
      <c r="B6" s="8" t="s">
        <v>317</v>
      </c>
      <c r="C6" s="8" t="s">
        <v>318</v>
      </c>
      <c r="D6" s="8" t="s">
        <v>319</v>
      </c>
      <c r="E6" s="8" t="s">
        <v>320</v>
      </c>
      <c r="F6" s="8" t="s">
        <v>321</v>
      </c>
      <c r="G6" s="8" t="s">
        <v>428</v>
      </c>
      <c r="H6" s="8" t="s">
        <v>429</v>
      </c>
      <c r="I6" s="8" t="s">
        <v>430</v>
      </c>
      <c r="J6" s="8" t="s">
        <v>431</v>
      </c>
      <c r="K6" s="8" t="s">
        <v>432</v>
      </c>
      <c r="L6" s="13" t="b">
        <f>OR(COUNTA(B_06.01[0040])=0,IF(ISNA(SUM(B_06.01[v22834_a - 1.1])),FALSE,ISNA(MATCH(FALSE,B_06.01[v22834_a - 1.1],0))))</f>
        <v>1</v>
      </c>
      <c r="M6" s="13" t="b">
        <f>OR(COUNTA(B_06.01[0040])=0,IF(ISNA(SUM(B_06.01[v22875_a - 1.1])),FALSE,ISNA(MATCH(FALSE,B_06.01[v22875_a - 1.1],0))))</f>
        <v>1</v>
      </c>
      <c r="N6" s="13" t="b">
        <f>OR(COUNTA(B_06.01[0040])=0,IF(ISNA(SUM(B_06.01[v22892_a - 1.1])),FALSE,ISNA(MATCH(FALSE,B_06.01[v22892_a - 1.1],0))))</f>
        <v>1</v>
      </c>
    </row>
    <row r="7" spans="2:14" ht="12.75">
      <c r="B7" s="13" t="s">
        <v>37</v>
      </c>
      <c r="C7" s="13" t="s">
        <v>3</v>
      </c>
      <c r="D7" s="13" t="s">
        <v>38</v>
      </c>
      <c r="E7" s="13" t="s">
        <v>36</v>
      </c>
      <c r="F7" s="13" t="s">
        <v>5</v>
      </c>
      <c r="G7" s="13" t="s">
        <v>35</v>
      </c>
      <c r="H7" s="13" t="s">
        <v>40</v>
      </c>
      <c r="I7" s="13" t="s">
        <v>41</v>
      </c>
      <c r="J7" s="13" t="s">
        <v>42</v>
      </c>
      <c r="K7" s="13" t="s">
        <v>43</v>
      </c>
      <c r="L7" s="13" t="s">
        <v>535</v>
      </c>
      <c r="M7" s="13" t="s">
        <v>549</v>
      </c>
      <c r="N7" s="13" t="s">
        <v>555</v>
      </c>
    </row>
    <row r="8" spans="2:14" ht="12.75">
      <c r="B8" s="10"/>
      <c r="C8" s="10"/>
      <c r="D8" s="10"/>
      <c r="E8" s="10"/>
      <c r="F8" s="10"/>
      <c r="G8" s="10"/>
      <c r="H8" s="10"/>
      <c r="I8" s="10"/>
      <c r="J8" s="10"/>
      <c r="K8" s="10"/>
      <c r="L8" s="13" t="str">
        <f>IF((B_06.01[[#This Row],[0050]]&lt;&gt;""),IF(ISNUMBER(MATCH(B_06.01[[#This Row],[0050]],{"Assessment not performed","Yes","No"},0)),""),"not applicable")</f>
        <v>not applicable</v>
      </c>
      <c r="M8" s="13" t="str">
        <f>IF((B_06.01[[#This Row],[0050]]&lt;&gt;""),IF(ISNUMBER(MATCH(B_06.01[[#This Row],[0050]],{"Assessment not performed","Yes","No"},0)),""),"not applicable")</f>
        <v>not applicable</v>
      </c>
      <c r="N8" s="13" t="str">
        <f>IF((B_06.01[[#This Row],[0100]]&lt;&gt;""),IF(ISNUMBER(MATCH(B_06.01[[#This Row],[0100]],{"Low","Medium","High","Assessment not performed"},0)),""),"not applicable")</f>
        <v>not applicable</v>
      </c>
    </row>
    <row r="9" spans="1:11" ht="12.75">
      <c r="A9" s="9" t="s">
        <v>310</v>
      </c>
      <c r="B9" s="9" t="s">
        <v>59</v>
      </c>
      <c r="C9" s="9" t="s">
        <v>60</v>
      </c>
      <c r="D9" s="9" t="s">
        <v>322</v>
      </c>
      <c r="E9" s="9" t="s">
        <v>323</v>
      </c>
      <c r="F9" s="9" t="s">
        <v>324</v>
      </c>
      <c r="G9" s="9" t="s">
        <v>433</v>
      </c>
      <c r="H9" s="9" t="s">
        <v>434</v>
      </c>
      <c r="I9" s="9" t="s">
        <v>435</v>
      </c>
      <c r="J9" s="9" t="s">
        <v>436</v>
      </c>
      <c r="K9" s="9" t="s">
        <v>437</v>
      </c>
    </row>
    <row r="10" spans="2:7" ht="12.75">
      <c r="B10" s="9" t="s">
        <v>9</v>
      </c>
      <c r="C10" s="9" t="s">
        <v>9</v>
      </c>
      <c r="G10" s="9" t="s">
        <v>438</v>
      </c>
    </row>
  </sheetData>
  <conditionalFormatting sqref="L6">
    <cfRule type="expression" priority="17" dxfId="189" stopIfTrue="1">
      <formula>$L6=TRUE</formula>
    </cfRule>
    <cfRule type="expression" priority="18" dxfId="188" stopIfTrue="1">
      <formula>$L6=FALSE</formula>
    </cfRule>
  </conditionalFormatting>
  <conditionalFormatting sqref="L8">
    <cfRule type="expression" priority="13" dxfId="188" stopIfTrue="1">
      <formula>ISNA($L8)</formula>
    </cfRule>
    <cfRule type="expression" priority="14" dxfId="186" stopIfTrue="1">
      <formula>$L8="not applicable"</formula>
    </cfRule>
    <cfRule type="expression" priority="15" dxfId="188" stopIfTrue="1">
      <formula>$L8=FALSE</formula>
    </cfRule>
    <cfRule type="expression" priority="16" dxfId="189" stopIfTrue="1">
      <formula>$L8=""</formula>
    </cfRule>
  </conditionalFormatting>
  <conditionalFormatting sqref="M6">
    <cfRule type="expression" priority="11" dxfId="189" stopIfTrue="1">
      <formula>$M6=TRUE</formula>
    </cfRule>
    <cfRule type="expression" priority="12" dxfId="188" stopIfTrue="1">
      <formula>$M6=FALSE</formula>
    </cfRule>
  </conditionalFormatting>
  <conditionalFormatting sqref="M8">
    <cfRule type="expression" priority="7" dxfId="188" stopIfTrue="1">
      <formula>ISNA($M8)</formula>
    </cfRule>
    <cfRule type="expression" priority="8" dxfId="186" stopIfTrue="1">
      <formula>$M8="not applicable"</formula>
    </cfRule>
    <cfRule type="expression" priority="9" dxfId="188" stopIfTrue="1">
      <formula>$M8=FALSE</formula>
    </cfRule>
    <cfRule type="expression" priority="10" dxfId="189" stopIfTrue="1">
      <formula>$M8=""</formula>
    </cfRule>
  </conditionalFormatting>
  <conditionalFormatting sqref="N6">
    <cfRule type="expression" priority="5" dxfId="189" stopIfTrue="1">
      <formula>$N6=TRUE</formula>
    </cfRule>
    <cfRule type="expression" priority="6" dxfId="188" stopIfTrue="1">
      <formula>$N6=FALSE</formula>
    </cfRule>
  </conditionalFormatting>
  <conditionalFormatting sqref="N8">
    <cfRule type="expression" priority="1" dxfId="188" stopIfTrue="1">
      <formula>ISNA($N8)</formula>
    </cfRule>
    <cfRule type="expression" priority="2" dxfId="186" stopIfTrue="1">
      <formula>$N8="not applicable"</formula>
    </cfRule>
    <cfRule type="expression" priority="3" dxfId="188" stopIfTrue="1">
      <formula>$N8=FALSE</formula>
    </cfRule>
    <cfRule type="expression" priority="4" dxfId="189" stopIfTrue="1">
      <formula>$N8=""</formula>
    </cfRule>
  </conditionalFormatting>
  <pageMargins left="0.75" right="0.75" top="1" bottom="1" header="0.5" footer="0.5"/>
  <ignoredErrors>
    <ignoredError sqref="B9:C11 B6:N8" numberStoredAsText="1"/>
  </ignoredErrors>
  <drawing r:id="rId3"/>
  <legacyDrawing r:id="rId4"/>
  <tableParts>
    <tablePart r:id="rId2"/>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E204CBF-3A93-4769-8E40-106EADCFC0F1}">
  <sheetPr codeName="Sheet23"/>
  <dimension ref="A1:S10"/>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13" width="21.4285714285714" customWidth="1"/>
    <col min="14" max="19" width="30.7142857142857" customWidth="1"/>
  </cols>
  <sheetData>
    <row r="1" spans="1:1" s="138" customFormat="1" ht="45.4" customHeight="1">
      <c r="A1" t="s">
        <v>631</v>
      </c>
    </row>
    <row r="3" spans="2:2" ht="12.75">
      <c r="B3" s="23" t="s">
        <v>439</v>
      </c>
    </row>
    <row r="4" spans="2:2" ht="12.75">
      <c r="B4" s="17" t="s">
        <v>440</v>
      </c>
    </row>
    <row r="6" spans="2:19" ht="89.25">
      <c r="B6" s="8" t="s">
        <v>0</v>
      </c>
      <c r="C6" s="8" t="s">
        <v>15</v>
      </c>
      <c r="D6" s="8" t="s">
        <v>16</v>
      </c>
      <c r="E6" s="8" t="s">
        <v>14</v>
      </c>
      <c r="F6" s="8" t="s">
        <v>441</v>
      </c>
      <c r="G6" s="8" t="s">
        <v>442</v>
      </c>
      <c r="H6" s="8" t="s">
        <v>443</v>
      </c>
      <c r="I6" s="8" t="s">
        <v>444</v>
      </c>
      <c r="J6" s="8" t="s">
        <v>445</v>
      </c>
      <c r="K6" s="8" t="s">
        <v>446</v>
      </c>
      <c r="L6" s="8" t="s">
        <v>447</v>
      </c>
      <c r="M6" s="8" t="s">
        <v>448</v>
      </c>
      <c r="N6" s="13" t="b">
        <f>OR(COUNTA(B_07.01[0010])=0,IF(ISNA(SUM(B_07.01[v22895_a - 1.1])),FALSE,ISNA(MATCH(FALSE,B_07.01[v22895_a - 1.1],0))))</f>
        <v>1</v>
      </c>
      <c r="O6" s="13" t="b">
        <f>OR(COUNTA(B_07.01[0010])=0,IF(ISNA(SUM(B_07.01[v22896_a - 1.1])),FALSE,ISNA(MATCH(FALSE,B_07.01[v22896_a - 1.1],0))))</f>
        <v>1</v>
      </c>
      <c r="P6" s="13" t="b">
        <f>OR(COUNTA(B_07.01[0010])=0,IF(ISNA(SUM(B_07.01[v22897_a - 1.1])),FALSE,ISNA(MATCH(FALSE,B_07.01[v22897_a - 1.1],0))))</f>
        <v>1</v>
      </c>
      <c r="Q6" s="13" t="b">
        <f>OR(COUNTA(B_07.01[0010])=0,IF(ISNA(SUM(B_07.01[v22898_a - 1.1])),FALSE,ISNA(MATCH(FALSE,B_07.01[v22898_a - 1.1],0))))</f>
        <v>1</v>
      </c>
      <c r="R6" s="13" t="b">
        <f>OR(COUNTA(B_07.01[0010])=0,IF(ISNA(SUM(B_07.01[v22899_a - 1.1])),FALSE,ISNA(MATCH(FALSE,B_07.01[v22899_a - 1.1],0))))</f>
        <v>1</v>
      </c>
      <c r="S6" s="13" t="b">
        <f>OR(COUNTA(B_07.01[0010])=0,IF(ISNA(SUM(B_07.01[v22900_a - 1.1])),FALSE,ISNA(MATCH(FALSE,B_07.01[v22900_a - 1.1],0))))</f>
        <v>1</v>
      </c>
    </row>
    <row r="7" spans="2:19" ht="12.75">
      <c r="B7" s="13" t="s">
        <v>3</v>
      </c>
      <c r="C7" s="13" t="s">
        <v>38</v>
      </c>
      <c r="D7" s="13" t="s">
        <v>36</v>
      </c>
      <c r="E7" s="13" t="s">
        <v>37</v>
      </c>
      <c r="F7" s="13" t="s">
        <v>5</v>
      </c>
      <c r="G7" s="13" t="s">
        <v>35</v>
      </c>
      <c r="H7" s="13" t="s">
        <v>40</v>
      </c>
      <c r="I7" s="13" t="s">
        <v>41</v>
      </c>
      <c r="J7" s="13" t="s">
        <v>42</v>
      </c>
      <c r="K7" s="13" t="s">
        <v>43</v>
      </c>
      <c r="L7" s="13" t="s">
        <v>44</v>
      </c>
      <c r="M7" s="13" t="s">
        <v>48</v>
      </c>
      <c r="N7" s="13" t="s">
        <v>556</v>
      </c>
      <c r="O7" s="13" t="s">
        <v>557</v>
      </c>
      <c r="P7" s="13" t="s">
        <v>558</v>
      </c>
      <c r="Q7" s="13" t="s">
        <v>559</v>
      </c>
      <c r="R7" s="13" t="s">
        <v>560</v>
      </c>
      <c r="S7" s="13" t="s">
        <v>561</v>
      </c>
    </row>
    <row r="8" spans="2:19" ht="12.75">
      <c r="B8" s="10"/>
      <c r="C8" s="10"/>
      <c r="D8" s="10"/>
      <c r="E8" s="10"/>
      <c r="F8" s="10"/>
      <c r="G8" s="10"/>
      <c r="H8" s="10"/>
      <c r="I8" s="10"/>
      <c r="J8" s="10"/>
      <c r="K8" s="10"/>
      <c r="L8" s="10"/>
      <c r="M8" s="10"/>
      <c r="N8" s="13" t="str">
        <f>IF((B_07.01[[#This Row],[0050]]&lt;&gt;""),IF(ISNUMBER(MATCH(B_07.01[[#This Row],[0050]],{"Not substitutable","Highly complex substitutability","Medium complexity in terms of substitutability","Easily substitutable"},0)),""),"not applicable")</f>
        <v>not applicable</v>
      </c>
      <c r="O8" s="13" t="str">
        <f>IF((B_07.01[[#This Row],[0060]]&lt;&gt;""),IF(ISNUMBER(MATCH(B_07.01[[#This Row],[0060]],{"Lack of real alternatives","Difficulties in migrating or reintegrating","Lack of real alternatives and difficulties in migrating or reintegrating"},0)),""),"not applicable")</f>
        <v>not applicable</v>
      </c>
      <c r="P8" s="13" t="str">
        <f>IF((B_07.01[[#This Row],[0090]]&lt;&gt;""),IF(ISNUMBER(MATCH(B_07.01[[#This Row],[0090]],{"Easy","Difficult","Highly complex"},0)),""),"not applicable")</f>
        <v>not applicable</v>
      </c>
      <c r="Q8" s="13" t="str">
        <f>IF((B_07.01[[#This Row],[0100]]&lt;&gt;""),IF(ISNUMBER(MATCH(B_07.01[[#This Row],[0100]],{"Low","Medium","High","Assessment not performed"},0)),""),"not applicable")</f>
        <v>not applicable</v>
      </c>
      <c r="R8" s="13" t="str">
        <f>IF((B_07.01[[#This Row],[0110]]&lt;&gt;""),IF(ISNUMBER(MATCH(B_07.01[[#This Row],[0110]],{"Assessment not performed","Yes","No"},0)),""),"not applicable")</f>
        <v>not applicable</v>
      </c>
      <c r="S8" s="13" t="str">
        <f>IF((B_07.01[[#This Row],[0080]]&lt;&gt;""),IF(ISNUMBER(MATCH(B_07.01[[#This Row],[0080]],{"Yes","No"},0)),""),"not applicable")</f>
        <v>not applicable</v>
      </c>
    </row>
    <row r="9" spans="1:13" ht="12.75">
      <c r="A9" s="9" t="s">
        <v>310</v>
      </c>
      <c r="B9" s="9" t="s">
        <v>7</v>
      </c>
      <c r="C9" s="9" t="s">
        <v>57</v>
      </c>
      <c r="D9" s="9" t="s">
        <v>58</v>
      </c>
      <c r="E9" s="16" t="s">
        <v>421</v>
      </c>
      <c r="F9" s="9" t="s">
        <v>449</v>
      </c>
      <c r="G9" s="9" t="s">
        <v>450</v>
      </c>
      <c r="H9" s="9" t="s">
        <v>451</v>
      </c>
      <c r="I9" s="9" t="s">
        <v>452</v>
      </c>
      <c r="J9" s="9" t="s">
        <v>453</v>
      </c>
      <c r="K9" s="9" t="s">
        <v>454</v>
      </c>
      <c r="L9" s="9" t="s">
        <v>455</v>
      </c>
      <c r="M9" s="9" t="s">
        <v>456</v>
      </c>
    </row>
    <row r="10" spans="2:13" ht="12.75">
      <c r="B10" s="9" t="s">
        <v>9</v>
      </c>
      <c r="C10" s="9" t="s">
        <v>9</v>
      </c>
      <c r="D10" s="9" t="s">
        <v>9</v>
      </c>
      <c r="E10" s="9" t="s">
        <v>9</v>
      </c>
      <c r="F10" s="9" t="s">
        <v>71</v>
      </c>
      <c r="G10" s="9" t="s">
        <v>71</v>
      </c>
      <c r="H10" s="9" t="s">
        <v>71</v>
      </c>
      <c r="M10" s="9" t="s">
        <v>457</v>
      </c>
    </row>
  </sheetData>
  <conditionalFormatting sqref="N6">
    <cfRule type="expression" priority="35" dxfId="189" stopIfTrue="1">
      <formula>$N6=TRUE</formula>
    </cfRule>
    <cfRule type="expression" priority="36" dxfId="188" stopIfTrue="1">
      <formula>$N6=FALSE</formula>
    </cfRule>
  </conditionalFormatting>
  <conditionalFormatting sqref="N8">
    <cfRule type="expression" priority="31" dxfId="188" stopIfTrue="1">
      <formula>ISNA($N8)</formula>
    </cfRule>
    <cfRule type="expression" priority="32" dxfId="186" stopIfTrue="1">
      <formula>$N8="not applicable"</formula>
    </cfRule>
    <cfRule type="expression" priority="33" dxfId="188" stopIfTrue="1">
      <formula>$N8=FALSE</formula>
    </cfRule>
    <cfRule type="expression" priority="34" dxfId="189" stopIfTrue="1">
      <formula>$N8=""</formula>
    </cfRule>
  </conditionalFormatting>
  <conditionalFormatting sqref="O6">
    <cfRule type="expression" priority="29" dxfId="189" stopIfTrue="1">
      <formula>$O6=TRUE</formula>
    </cfRule>
    <cfRule type="expression" priority="30" dxfId="188" stopIfTrue="1">
      <formula>$O6=FALSE</formula>
    </cfRule>
  </conditionalFormatting>
  <conditionalFormatting sqref="O8">
    <cfRule type="expression" priority="25" dxfId="188" stopIfTrue="1">
      <formula>ISNA($O8)</formula>
    </cfRule>
    <cfRule type="expression" priority="26" dxfId="186" stopIfTrue="1">
      <formula>$O8="not applicable"</formula>
    </cfRule>
    <cfRule type="expression" priority="27" dxfId="188" stopIfTrue="1">
      <formula>$O8=FALSE</formula>
    </cfRule>
    <cfRule type="expression" priority="28" dxfId="189" stopIfTrue="1">
      <formula>$O8=""</formula>
    </cfRule>
  </conditionalFormatting>
  <conditionalFormatting sqref="P6">
    <cfRule type="expression" priority="23" dxfId="189" stopIfTrue="1">
      <formula>$P6=TRUE</formula>
    </cfRule>
    <cfRule type="expression" priority="24" dxfId="188" stopIfTrue="1">
      <formula>$P6=FALSE</formula>
    </cfRule>
  </conditionalFormatting>
  <conditionalFormatting sqref="P8">
    <cfRule type="expression" priority="19" dxfId="188" stopIfTrue="1">
      <formula>ISNA($P8)</formula>
    </cfRule>
    <cfRule type="expression" priority="20" dxfId="186" stopIfTrue="1">
      <formula>$P8="not applicable"</formula>
    </cfRule>
    <cfRule type="expression" priority="21" dxfId="188" stopIfTrue="1">
      <formula>$P8=FALSE</formula>
    </cfRule>
    <cfRule type="expression" priority="22" dxfId="189" stopIfTrue="1">
      <formula>$P8=""</formula>
    </cfRule>
  </conditionalFormatting>
  <conditionalFormatting sqref="Q6">
    <cfRule type="expression" priority="17" dxfId="189" stopIfTrue="1">
      <formula>$Q6=TRUE</formula>
    </cfRule>
    <cfRule type="expression" priority="18" dxfId="188" stopIfTrue="1">
      <formula>$Q6=FALSE</formula>
    </cfRule>
  </conditionalFormatting>
  <conditionalFormatting sqref="Q8">
    <cfRule type="expression" priority="13" dxfId="188" stopIfTrue="1">
      <formula>ISNA($Q8)</formula>
    </cfRule>
    <cfRule type="expression" priority="14" dxfId="186" stopIfTrue="1">
      <formula>$Q8="not applicable"</formula>
    </cfRule>
    <cfRule type="expression" priority="15" dxfId="188" stopIfTrue="1">
      <formula>$Q8=FALSE</formula>
    </cfRule>
    <cfRule type="expression" priority="16" dxfId="189" stopIfTrue="1">
      <formula>$Q8=""</formula>
    </cfRule>
  </conditionalFormatting>
  <conditionalFormatting sqref="R6">
    <cfRule type="expression" priority="11" dxfId="189" stopIfTrue="1">
      <formula>$R6=TRUE</formula>
    </cfRule>
    <cfRule type="expression" priority="12" dxfId="188" stopIfTrue="1">
      <formula>$R6=FALSE</formula>
    </cfRule>
  </conditionalFormatting>
  <conditionalFormatting sqref="R8">
    <cfRule type="expression" priority="7" dxfId="188" stopIfTrue="1">
      <formula>ISNA($R8)</formula>
    </cfRule>
    <cfRule type="expression" priority="8" dxfId="186" stopIfTrue="1">
      <formula>$R8="not applicable"</formula>
    </cfRule>
    <cfRule type="expression" priority="9" dxfId="188" stopIfTrue="1">
      <formula>$R8=FALSE</formula>
    </cfRule>
    <cfRule type="expression" priority="10" dxfId="189" stopIfTrue="1">
      <formula>$R8=""</formula>
    </cfRule>
  </conditionalFormatting>
  <conditionalFormatting sqref="S6">
    <cfRule type="expression" priority="5" dxfId="189" stopIfTrue="1">
      <formula>$S6=TRUE</formula>
    </cfRule>
    <cfRule type="expression" priority="6" dxfId="188" stopIfTrue="1">
      <formula>$S6=FALSE</formula>
    </cfRule>
  </conditionalFormatting>
  <conditionalFormatting sqref="S8">
    <cfRule type="expression" priority="1" dxfId="188" stopIfTrue="1">
      <formula>ISNA($S8)</formula>
    </cfRule>
    <cfRule type="expression" priority="2" dxfId="186" stopIfTrue="1">
      <formula>$S8="not applicable"</formula>
    </cfRule>
    <cfRule type="expression" priority="3" dxfId="188" stopIfTrue="1">
      <formula>$S8=FALSE</formula>
    </cfRule>
    <cfRule type="expression" priority="4" dxfId="189" stopIfTrue="1">
      <formula>$S8=""</formula>
    </cfRule>
  </conditionalFormatting>
  <pageMargins left="0.75" right="0.75" top="1" bottom="1" header="0.5" footer="0.5"/>
  <ignoredErrors>
    <ignoredError sqref="B9:C11 B6:P8" numberStoredAsText="1"/>
  </ignoredErrors>
  <drawing r:id="rId3"/>
  <legacyDrawing r:id="rId4"/>
  <tableParts>
    <tablePart r:id="rId2"/>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11FEE11B-518B-4224-8F8F-DEA53E7FBAB6}">
  <sheetPr codeName="Sheet24"/>
  <dimension ref="A1:W10"/>
  <sheetViews>
    <sheetView showGridLines="0" tabSelected="1" zoomScale="80" zoomScaleNormal="80" workbookViewId="0" topLeftCell="A1">
      <pane ySplit="1" topLeftCell="A2" activePane="bottomLeft" state="frozen"/>
      <selection pane="topLeft" activeCell="A1" sqref="A1"/>
      <selection pane="bottomLeft" activeCell="A2" sqref="A2"/>
    </sheetView>
  </sheetViews>
  <sheetFormatPr defaultRowHeight="12.75"/>
  <cols>
    <col min="1" max="1" width="6.71428571428571" customWidth="1"/>
    <col min="2" max="2" width="42.8571428571429" customWidth="1"/>
    <col min="3" max="3" width="10" customWidth="1"/>
    <col min="4" max="23" width="21.4285714285714" customWidth="1"/>
  </cols>
  <sheetData>
    <row r="1" spans="1:1" s="138" customFormat="1" ht="45.4" customHeight="1">
      <c r="A1" t="s">
        <v>631</v>
      </c>
    </row>
    <row r="3" spans="2:2" ht="12.75">
      <c r="B3" s="23" t="s">
        <v>458</v>
      </c>
    </row>
    <row r="4" spans="2:2" ht="12.75">
      <c r="B4" s="17" t="s">
        <v>459</v>
      </c>
    </row>
    <row r="6" spans="2:22" ht="12.75">
      <c r="B6" s="159"/>
      <c r="C6" s="159"/>
      <c r="D6" s="159" t="s">
        <v>307</v>
      </c>
      <c r="E6" s="159"/>
      <c r="F6" s="159"/>
      <c r="G6" s="159" t="s">
        <v>32</v>
      </c>
      <c r="H6" s="159"/>
      <c r="I6" s="159"/>
      <c r="J6" s="159" t="s">
        <v>432</v>
      </c>
      <c r="K6" s="159"/>
      <c r="L6" s="159"/>
      <c r="M6" s="159" t="s">
        <v>441</v>
      </c>
      <c r="N6" s="159"/>
      <c r="O6" s="159"/>
      <c r="P6" s="159"/>
      <c r="Q6" s="159" t="s">
        <v>445</v>
      </c>
      <c r="R6" s="159"/>
      <c r="S6" s="159"/>
      <c r="T6" s="159" t="s">
        <v>446</v>
      </c>
      <c r="U6" s="159"/>
      <c r="V6" s="159"/>
    </row>
    <row r="7" spans="2:22" ht="38.25">
      <c r="B7" s="159"/>
      <c r="C7" s="159"/>
      <c r="D7" s="8" t="s">
        <v>460</v>
      </c>
      <c r="E7" s="8" t="s">
        <v>461</v>
      </c>
      <c r="F7" s="8" t="s">
        <v>462</v>
      </c>
      <c r="G7" s="8" t="s">
        <v>463</v>
      </c>
      <c r="H7" s="8" t="s">
        <v>464</v>
      </c>
      <c r="I7" s="8" t="s">
        <v>465</v>
      </c>
      <c r="J7" s="8" t="s">
        <v>463</v>
      </c>
      <c r="K7" s="8" t="s">
        <v>464</v>
      </c>
      <c r="L7" s="8" t="s">
        <v>465</v>
      </c>
      <c r="M7" s="8" t="s">
        <v>466</v>
      </c>
      <c r="N7" s="8" t="s">
        <v>467</v>
      </c>
      <c r="O7" s="8" t="s">
        <v>468</v>
      </c>
      <c r="P7" s="8" t="s">
        <v>469</v>
      </c>
      <c r="Q7" s="8" t="s">
        <v>470</v>
      </c>
      <c r="R7" s="8" t="s">
        <v>471</v>
      </c>
      <c r="S7" s="8" t="s">
        <v>472</v>
      </c>
      <c r="T7" s="8" t="s">
        <v>463</v>
      </c>
      <c r="U7" s="8" t="s">
        <v>464</v>
      </c>
      <c r="V7" s="8" t="s">
        <v>465</v>
      </c>
    </row>
    <row r="8" spans="2:23" ht="12.75">
      <c r="B8" s="159"/>
      <c r="C8" s="159"/>
      <c r="D8" s="13" t="s">
        <v>3</v>
      </c>
      <c r="E8" s="13" t="s">
        <v>38</v>
      </c>
      <c r="F8" s="13" t="s">
        <v>36</v>
      </c>
      <c r="G8" s="13" t="s">
        <v>37</v>
      </c>
      <c r="H8" s="13" t="s">
        <v>5</v>
      </c>
      <c r="I8" s="13" t="s">
        <v>35</v>
      </c>
      <c r="J8" s="13" t="s">
        <v>40</v>
      </c>
      <c r="K8" s="13" t="s">
        <v>41</v>
      </c>
      <c r="L8" s="13" t="s">
        <v>42</v>
      </c>
      <c r="M8" s="13" t="s">
        <v>43</v>
      </c>
      <c r="N8" s="13" t="s">
        <v>44</v>
      </c>
      <c r="O8" s="13" t="s">
        <v>48</v>
      </c>
      <c r="P8" s="13" t="s">
        <v>49</v>
      </c>
      <c r="Q8" s="13" t="s">
        <v>50</v>
      </c>
      <c r="R8" s="13" t="s">
        <v>51</v>
      </c>
      <c r="S8" s="13" t="s">
        <v>52</v>
      </c>
      <c r="T8" s="13" t="s">
        <v>53</v>
      </c>
      <c r="U8" s="13" t="s">
        <v>54</v>
      </c>
      <c r="V8" s="13" t="s">
        <v>473</v>
      </c>
      <c r="W8" s="9" t="s">
        <v>474</v>
      </c>
    </row>
    <row r="9" spans="2:23" ht="12.75">
      <c r="B9" s="11" t="s">
        <v>475</v>
      </c>
      <c r="C9" s="13" t="s">
        <v>37</v>
      </c>
      <c r="D9" s="10"/>
      <c r="E9" s="10"/>
      <c r="F9" s="10"/>
      <c r="G9" s="10"/>
      <c r="H9" s="10"/>
      <c r="I9" s="10"/>
      <c r="J9" s="10"/>
      <c r="K9" s="10"/>
      <c r="L9" s="10"/>
      <c r="M9" s="10"/>
      <c r="N9" s="10"/>
      <c r="O9" s="10"/>
      <c r="P9" s="10"/>
      <c r="Q9" s="10"/>
      <c r="R9" s="10"/>
      <c r="S9" s="10"/>
      <c r="T9" s="10"/>
      <c r="U9" s="10"/>
      <c r="V9" s="10"/>
      <c r="W9" s="9" t="s">
        <v>476</v>
      </c>
    </row>
    <row r="10" spans="2:22" ht="12.75">
      <c r="B10" s="9" t="s">
        <v>310</v>
      </c>
      <c r="D10" s="9" t="s">
        <v>477</v>
      </c>
      <c r="E10" s="9" t="s">
        <v>314</v>
      </c>
      <c r="F10" s="9" t="s">
        <v>478</v>
      </c>
      <c r="G10" s="9" t="s">
        <v>479</v>
      </c>
      <c r="H10" s="9" t="s">
        <v>480</v>
      </c>
      <c r="I10" s="9" t="s">
        <v>481</v>
      </c>
      <c r="J10" s="9" t="s">
        <v>482</v>
      </c>
      <c r="K10" s="9" t="s">
        <v>483</v>
      </c>
      <c r="L10" s="9" t="s">
        <v>484</v>
      </c>
      <c r="M10" s="9" t="s">
        <v>485</v>
      </c>
      <c r="N10" s="9" t="s">
        <v>486</v>
      </c>
      <c r="O10" s="9" t="s">
        <v>487</v>
      </c>
      <c r="P10" s="9" t="s">
        <v>488</v>
      </c>
      <c r="Q10" s="9" t="s">
        <v>489</v>
      </c>
      <c r="R10" s="9" t="s">
        <v>490</v>
      </c>
      <c r="S10" s="9" t="s">
        <v>491</v>
      </c>
      <c r="T10" s="9" t="s">
        <v>492</v>
      </c>
      <c r="U10" s="9" t="s">
        <v>493</v>
      </c>
      <c r="V10" s="9" t="s">
        <v>494</v>
      </c>
    </row>
  </sheetData>
  <mergeCells count="7">
    <mergeCell ref="Q6:S6"/>
    <mergeCell ref="T6:V6"/>
    <mergeCell ref="B6:C8"/>
    <mergeCell ref="D6:F6"/>
    <mergeCell ref="G6:I6"/>
    <mergeCell ref="J6:L6"/>
    <mergeCell ref="M6:P6"/>
  </mergeCells>
  <pageMargins left="0.75" right="0.75" top="1" bottom="1" header="0.5" footer="0.5"/>
  <ignoredErrors>
    <ignoredError sqref="B10:C11 B6:W9" numberStoredAsText="1"/>
  </ignoredErrors>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23337AC9-E6BC-46FB-9DA2-B91E9C6A8D22}">
  <sheetPr codeName="Sheet26"/>
  <dimension ref="A1:I5"/>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RowHeight="15" customHeight="1"/>
  <cols>
    <col min="1" max="1" width="6.71428571428571" customWidth="1"/>
    <col min="2" max="2" width="15.1428571428571" customWidth="1"/>
    <col min="3" max="3" width="8.57142857142857" customWidth="1"/>
    <col min="4" max="5" width="9.14285714285714" customWidth="1"/>
    <col min="6" max="6" width="7.42857142857143" customWidth="1"/>
    <col min="7" max="7" width="10" bestFit="1" customWidth="1"/>
    <col min="8" max="8" width="10" customWidth="1"/>
    <col min="9" max="9" width="9.14285714285714" customWidth="1"/>
  </cols>
  <sheetData>
    <row r="1" spans="1:9" s="138" customFormat="1" ht="45.4" customHeight="1">
      <c r="A1" t="s">
        <v>631</v>
      </c>
      <c r="B1" t="s">
        <v>505</v>
      </c>
      <c r="G1" t="s">
        <v>506</v>
      </c>
      <c r="I1" t="s">
        <v>507</v>
      </c>
    </row>
    <row r="2" spans="7:9" ht="12.75">
      <c r="G2">
        <v>0</v>
      </c>
      <c r="H2">
        <v>999</v>
      </c>
      <c r="I2">
        <v>-1</v>
      </c>
    </row>
    <row r="3" spans="7:9" ht="12.75">
      <c r="G3">
        <v>1000</v>
      </c>
      <c r="H3">
        <v>999999</v>
      </c>
      <c r="I3">
        <v>-2</v>
      </c>
    </row>
    <row r="4" spans="7:9" ht="12.75">
      <c r="G4">
        <v>1000000</v>
      </c>
      <c r="H4">
        <v>99999999</v>
      </c>
      <c r="I4">
        <v>-3</v>
      </c>
    </row>
    <row r="5" spans="7:9" ht="12.75">
      <c r="G5">
        <v>100000000</v>
      </c>
      <c r="I5">
        <v>-4</v>
      </c>
    </row>
  </sheetData>
  <pageMargins left="0.7" right="0.7" top="0.75" bottom="0.75" header="0.3" footer="0.3"/>
  <pageSetup horizontalDpi="300" verticalDpi="300" orientation="portrait" paperSize="9" r:id="rId2"/>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6885E31-2BD5-4E71-92BA-046FB811E61D}">
  <dimension ref="A1:K10"/>
  <sheetViews>
    <sheetView showGridLines="0" workbookViewId="0" topLeftCell="A1">
      <selection pane="topLeft" activeCell="C15" sqref="C15"/>
    </sheetView>
  </sheetViews>
  <sheetFormatPr defaultRowHeight="15" customHeight="1"/>
  <cols>
    <col min="1" max="1" width="9.14285714285714" customWidth="1"/>
    <col min="2" max="4" width="17.4285714285714" customWidth="1"/>
    <col min="5" max="5" width="12.4285714285714" customWidth="1"/>
    <col min="6" max="10" width="9.14285714285714" customWidth="1"/>
    <col min="11" max="11" width="14.8571428571429" customWidth="1"/>
    <col min="12" max="12" width="9.14285714285714" customWidth="1"/>
  </cols>
  <sheetData>
    <row r="1" spans="1:11" ht="39">
      <c r="A1" s="127" t="str">
        <f>IF(B10=1,"Pass",IF(B10=2,"Warning",IF(B10=3,"Fail","Empty")))</f>
        <v>Pass</v>
      </c>
      <c r="B1" s="128" t="s">
        <v>511</v>
      </c>
      <c r="C1" s="128" t="s">
        <v>512</v>
      </c>
      <c r="D1" s="128" t="s">
        <v>513</v>
      </c>
      <c r="E1" s="128"/>
      <c r="F1" s="128"/>
      <c r="K1" t="s">
        <v>514</v>
      </c>
    </row>
    <row r="2" spans="3:11" ht="94.35" customHeight="1">
      <c r="C2" s="129">
        <f>'Validation Results'!X6</f>
        <v>0</v>
      </c>
      <c r="D2" s="130">
        <f>'Validation Results'!X7</f>
        <v>0</v>
      </c>
      <c r="K2" s="131" t="str">
        <f>IFERROR(CHOOSE(B10,"All good!",IF('Validation Results'!U6=1,"Warning","Warnings"),IF('Validation Results'!U7=1,"Failure","Failures")),"")</f>
        <v>All good!</v>
      </c>
    </row>
    <row r="10" spans="2:2" ht="15">
      <c r="B10" s="132">
        <f>IF('Validation Results'!E22=1,3,IF('Validation Results'!E21=1,2,IF('Validation Results'!E20=1,1,"")))</f>
        <v>1</v>
      </c>
    </row>
  </sheetData>
  <conditionalFormatting sqref="K2">
    <cfRule type="cellIs" priority="1" dxfId="23" operator="equal">
      <formula>"Warning"</formula>
    </cfRule>
    <cfRule type="cellIs" priority="2" dxfId="22" operator="equal">
      <formula>"Failure"</formula>
    </cfRule>
    <cfRule type="cellIs" priority="3" dxfId="21" operator="equal">
      <formula>"All good!"</formula>
    </cfRule>
    <cfRule type="cellIs" priority="4" dxfId="23" operator="equal">
      <formula>"Warnings"</formula>
    </cfRule>
    <cfRule type="cellIs" priority="5" dxfId="19" operator="equal">
      <formula>"Failures"</formula>
    </cfRule>
  </conditionalFormatting>
  <pageMargins left="0.7" right="0.7" top="0.75" bottom="0.75" header="0.3" footer="0.3"/>
  <pageSetup orientation="portrait" paperSize="9" r:id="rId2"/>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4157EBF-9242-4888-ACEB-3005D93D851E}">
  <sheetPr>
    <tabColor rgb="FFFF0000"/>
  </sheetPr>
  <dimension ref="A1:K10"/>
  <sheetViews>
    <sheetView showGridLines="0" workbookViewId="0" topLeftCell="A1"/>
  </sheetViews>
  <sheetFormatPr defaultRowHeight="15"/>
  <cols>
    <col min="1" max="1" width="9.14285714285714" style="204"/>
    <col min="2" max="2" width="38" style="204" customWidth="1"/>
    <col min="3" max="3" width="25.1428571428571" style="204" customWidth="1"/>
    <col min="4" max="4" width="17.4285714285714" style="204" customWidth="1"/>
    <col min="5" max="5" width="12.4285714285714" style="204" customWidth="1"/>
    <col min="6" max="10" width="9.14285714285714" style="204"/>
    <col min="11" max="11" width="14.8571428571429" style="204" customWidth="1"/>
    <col min="12" max="16384" width="9.14285714285714" style="204"/>
  </cols>
  <sheetData>
    <row r="1" spans="1:11" ht="45">
      <c r="A1" s="213" t="str">
        <f ca="1">IF(B10&gt;=1,"Pass_DB","Warning_DB")</f>
        <v>Pass_DB</v>
      </c>
      <c r="B1" s="212" t="s">
        <v>511</v>
      </c>
      <c r="C1" s="212" t="s">
        <v>512</v>
      </c>
      <c r="D1" s="212" t="s">
        <v>513</v>
      </c>
      <c r="E1" s="212"/>
      <c r="F1" s="212"/>
      <c r="K1" s="204" t="s">
        <v>514</v>
      </c>
    </row>
    <row r="2" spans="2:11" ht="113.25" customHeight="1">
      <c r="B2" s="211" t="str">
        <f ca="1">IF(B10=1,B10&amp;" Contract to Expire",B10&amp;" Contracts to Expire")</f>
        <v>1 Contract to Expire</v>
      </c>
      <c r="C2" s="210"/>
      <c r="D2" s="214"/>
      <c r="K2" s="209" t="str">
        <f ca="1">IFERROR(CHOOSE(B10,"All good!",IF('[1]Validation Results'!U6=1,"Warning","Warnings"),IF('[1]Validation Results'!U7=1,"Failure","Failures")),"")</f>
        <v>All good!</v>
      </c>
    </row>
    <row r="3" ht="14.45" customHeight="1"/>
    <row r="4" spans="1:1" ht="15">
      <c r="A4" s="205" t="str">
        <f ca="1">IF(B10=1,"Contracts","No_contracts")</f>
        <v>Contracts</v>
      </c>
    </row>
    <row r="5" spans="2:6" ht="14.45" customHeight="1">
      <c r="B5" s="208"/>
      <c r="C5" s="207" t="s">
        <v>674</v>
      </c>
      <c r="D5" s="207"/>
      <c r="E5" s="207"/>
      <c r="F5" s="207"/>
    </row>
    <row r="6" spans="3:6" ht="15">
      <c r="C6" s="207"/>
      <c r="D6" s="207"/>
      <c r="E6" s="207"/>
      <c r="F6" s="207"/>
    </row>
    <row r="10" spans="2:3" ht="15">
      <c r="B10" s="206">
        <f ca="1">C10</f>
        <v>1</v>
      </c>
      <c r="C10" s="205">
        <f ca="1">'02.02 dashboard calc'!P11</f>
        <v>1</v>
      </c>
    </row>
  </sheetData>
  <mergeCells count="1">
    <mergeCell ref="C5:F6"/>
  </mergeCells>
  <conditionalFormatting sqref="B2">
    <cfRule type="cellIs" priority="1" dxfId="23" operator="equal">
      <formula>"Warning"</formula>
    </cfRule>
    <cfRule type="cellIs" priority="2" dxfId="22" operator="equal">
      <formula>"Failure"</formula>
    </cfRule>
    <cfRule type="cellIs" priority="3" dxfId="21" operator="equal">
      <formula>"All good!"</formula>
    </cfRule>
    <cfRule type="cellIs" priority="4" dxfId="23" operator="equal">
      <formula>"Warnings"</formula>
    </cfRule>
    <cfRule type="cellIs" priority="5" dxfId="19" operator="equal">
      <formula>"Failures"</formula>
    </cfRule>
  </conditionalFormatting>
  <conditionalFormatting sqref="C5:F6">
    <cfRule type="expression" priority="6" dxfId="13">
      <formula>$J$8&gt;0</formula>
    </cfRule>
  </conditionalFormatting>
  <conditionalFormatting sqref="K2">
    <cfRule type="cellIs" priority="7" dxfId="23" operator="equal">
      <formula>"Warning"</formula>
    </cfRule>
    <cfRule type="cellIs" priority="8" dxfId="22" operator="equal">
      <formula>"Failure"</formula>
    </cfRule>
    <cfRule type="cellIs" priority="9" dxfId="21" operator="equal">
      <formula>"All good!"</formula>
    </cfRule>
    <cfRule type="cellIs" priority="10" dxfId="23" operator="equal">
      <formula>"Warnings"</formula>
    </cfRule>
    <cfRule type="cellIs" priority="11" dxfId="19" operator="equal">
      <formula>"Failures"</formula>
    </cfRule>
  </conditionalFormatting>
  <pageMargins left="0.7" right="0.7" top="0.75" bottom="0.75" header="0.3" footer="0.3"/>
  <pageSetup orientation="portrait" paperSize="9" r:id="rId2"/>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B92D218-CAF3-4845-AAE7-A5BC7565B2F2}">
  <sheetPr codeName="Sheet29"/>
  <dimension ref="A1:X25"/>
  <sheetViews>
    <sheetView showGridLines="0" zoomScale="80" zoomScaleNormal="80" workbookViewId="0" topLeftCell="A1">
      <pane ySplit="1" topLeftCell="A2" activePane="bottomLeft" state="frozen"/>
      <selection pane="topLeft" activeCell="A1" sqref="A1"/>
      <selection pane="bottomLeft" activeCell="A2" sqref="A2"/>
    </sheetView>
  </sheetViews>
  <sheetFormatPr defaultColWidth="9.42428571428571" defaultRowHeight="15" customHeight="1"/>
  <cols>
    <col min="1" max="1" width="6.71428571428571" customWidth="1"/>
    <col min="2" max="2" width="9.42857142857143" style="79"/>
    <col min="3" max="3" width="4" style="79" customWidth="1"/>
    <col min="4" max="4" width="9.42857142857143" style="79"/>
    <col min="5" max="5" width="10.5714285714286" style="79" customWidth="1"/>
    <col min="6" max="19" width="11.5714285714286" style="79" customWidth="1"/>
    <col min="20" max="20" width="11.4285714285714" style="79" customWidth="1"/>
    <col min="21" max="21" width="11.5714285714286" style="79" customWidth="1"/>
    <col min="22" max="22" width="3.42857142857143" style="79" customWidth="1"/>
    <col min="23" max="24" width="9.42857142857143" customWidth="1"/>
    <col min="25" max="25" width="67.4285714285714" customWidth="1"/>
    <col min="26" max="28" width="9.42857142857143" customWidth="1"/>
    <col min="29" max="29" width="14.4285714285714" bestFit="1" customWidth="1"/>
    <col min="30" max="64" width="9.42857142857143" customWidth="1"/>
    <col min="65" max="16384" width="9.42857142857143" style="79"/>
  </cols>
  <sheetData>
    <row r="1" spans="1:18" s="138" customFormat="1" ht="45.4" customHeight="1">
      <c r="A1" t="s">
        <v>631</v>
      </c>
      <c r="O1"/>
      <c r="R1"/>
    </row>
    <row r="2" spans="15:18" ht="14.25">
      <c r="O2"/>
      <c r="R2"/>
    </row>
    <row r="3" spans="2:24" ht="14.25">
      <c r="B3" s="187" t="s">
        <v>292</v>
      </c>
      <c r="C3" s="115"/>
      <c r="D3" s="115"/>
      <c r="E3" s="115"/>
      <c r="F3" s="115"/>
      <c r="G3" s="115"/>
      <c r="H3" s="115"/>
      <c r="I3" s="115"/>
      <c r="J3" s="115"/>
      <c r="K3" s="115"/>
      <c r="L3" s="115"/>
      <c r="M3" s="115"/>
      <c r="N3" s="115"/>
      <c r="O3" s="115"/>
      <c r="P3" s="115"/>
      <c r="Q3" s="115"/>
      <c r="R3" s="115"/>
      <c r="S3" s="115"/>
      <c r="T3" s="115"/>
      <c r="U3" s="115"/>
      <c r="V3" s="124"/>
      <c r="X3" s="115"/>
    </row>
    <row r="4" spans="2:24" ht="14.25">
      <c r="B4" s="187"/>
      <c r="C4" s="39"/>
      <c r="D4" s="201"/>
      <c r="E4" s="202"/>
      <c r="F4" s="133" t="s">
        <v>425</v>
      </c>
      <c r="G4" s="133" t="s">
        <v>325</v>
      </c>
      <c r="H4" s="133"/>
      <c r="I4" s="133"/>
      <c r="J4" s="133"/>
      <c r="K4" s="133"/>
      <c r="L4" s="133"/>
      <c r="M4" s="133"/>
      <c r="N4" s="133"/>
      <c r="O4" s="133"/>
      <c r="P4" s="133"/>
      <c r="Q4" s="133"/>
      <c r="R4" s="133"/>
      <c r="S4" s="133"/>
      <c r="T4" s="134"/>
      <c r="U4" s="133"/>
      <c r="V4" s="121"/>
      <c r="X4" s="133"/>
    </row>
    <row r="5" spans="2:24" ht="15">
      <c r="B5" s="187"/>
      <c r="C5" s="39"/>
      <c r="D5" s="198" t="s">
        <v>326</v>
      </c>
      <c r="E5" s="199"/>
      <c r="F5" s="135">
        <f>COUNTIFS(value_assertions[Status],$D5,value_assertions[Category],F$4)</f>
        <v>27</v>
      </c>
      <c r="G5" s="135">
        <f>IF(G$4="Total",SUM($F5:F5),COUNTIFS(value_assertions[Status],$D5,value_assertions[Category],G$4))</f>
        <v>27</v>
      </c>
      <c r="H5" s="135">
        <f>IF(H$4="Total",SUM($F5:G5),COUNTIFS(value_assertions[Status],$D5,value_assertions[Category],H$4))</f>
        <v>0</v>
      </c>
      <c r="I5" s="135">
        <f>IF(I$4="Total",SUM($F5:H5),COUNTIFS(value_assertions[Status],$D5,value_assertions[Category],I$4))</f>
        <v>0</v>
      </c>
      <c r="J5" s="135">
        <f>IF(J$4="Total",SUM($F5:I5),COUNTIFS(value_assertions[Status],$D5,value_assertions[Category],J$4))</f>
        <v>0</v>
      </c>
      <c r="K5" s="135">
        <f>IF(K$4="Total",SUM($F5:J5),COUNTIFS(value_assertions[Status],$D5,value_assertions[Category],K$4))</f>
        <v>0</v>
      </c>
      <c r="L5" s="135">
        <f>IF(L$4="Total",SUM($F5:K5),COUNTIFS(value_assertions[Status],$D5,value_assertions[Category],L$4))</f>
        <v>0</v>
      </c>
      <c r="M5" s="135">
        <f>IF(M$4="Total",SUM($F5:L5),COUNTIFS(value_assertions[Status],$D5,value_assertions[Category],M$4))</f>
        <v>0</v>
      </c>
      <c r="N5" s="135">
        <f>IF(N$4="Total",SUM($F5:M5),COUNTIFS(value_assertions[Status],$D5,value_assertions[Category],N$4))</f>
        <v>0</v>
      </c>
      <c r="O5" s="135">
        <f>IF(O$4="Total",SUM($F5:N5),COUNTIFS(value_assertions[Status],$D5,value_assertions[Category],O$4))</f>
        <v>0</v>
      </c>
      <c r="P5" s="135">
        <f>IF(P$4="Total",SUM($F5:O5),COUNTIFS(value_assertions[Status],$D5,value_assertions[Category],P$4))</f>
        <v>0</v>
      </c>
      <c r="Q5" s="135">
        <f>IF(Q$4="Total",SUM($F5:P5),COUNTIFS(value_assertions[Status],$D5,value_assertions[Category],Q$4))</f>
        <v>0</v>
      </c>
      <c r="R5" s="135">
        <f>IF(R$4="Total",SUM($F5:Q5),COUNTIFS(value_assertions[Status],$D5,value_assertions[Category],R$4))</f>
        <v>0</v>
      </c>
      <c r="S5" s="135">
        <f>IF(S$4="Total",SUM($F5:R5),COUNTIFS(value_assertions[Status],$D5,value_assertions[Category],S$4))</f>
        <v>0</v>
      </c>
      <c r="T5" s="135">
        <f>IF(T$4="Total",SUM($F5:S5),COUNTIFS(value_assertions[Status],$D5,value_assertions[Category],T$4))</f>
        <v>0</v>
      </c>
      <c r="U5" s="135">
        <f>IF(U$4="Total",SUM($F5:T5),COUNTIFS(value_assertions[Status],$D5,value_assertions[Category],U$4))</f>
        <v>0</v>
      </c>
      <c r="V5" s="121"/>
      <c r="X5" s="135">
        <f>MAX(F5:U5)</f>
        <v>27</v>
      </c>
    </row>
    <row r="6" spans="2:24" ht="15">
      <c r="B6" s="187"/>
      <c r="C6" s="39"/>
      <c r="D6" s="198" t="s">
        <v>327</v>
      </c>
      <c r="E6" s="199"/>
      <c r="F6" s="135">
        <f>COUNTIFS(value_assertions[Status],$D6,value_assertions[Category],F$4)</f>
        <v>0</v>
      </c>
      <c r="G6" s="135">
        <f>IF(G$4="Total",SUM($F6:F6),COUNTIFS(value_assertions[Status],$D6,value_assertions[Category],G$4))</f>
        <v>0</v>
      </c>
      <c r="H6" s="135">
        <f>IF(H$4="Total",SUM($F6:G6),COUNTIFS(value_assertions[Status],$D6,value_assertions[Category],H$4))</f>
        <v>0</v>
      </c>
      <c r="I6" s="135">
        <f>IF(I$4="Total",SUM($F6:H6),COUNTIFS(value_assertions[Status],$D6,value_assertions[Category],I$4))</f>
        <v>0</v>
      </c>
      <c r="J6" s="135">
        <f>IF(J$4="Total",SUM($F6:I6),COUNTIFS(value_assertions[Status],$D6,value_assertions[Category],J$4))</f>
        <v>0</v>
      </c>
      <c r="K6" s="135">
        <f>IF(K$4="Total",SUM($F6:J6),COUNTIFS(value_assertions[Status],$D6,value_assertions[Category],K$4))</f>
        <v>0</v>
      </c>
      <c r="L6" s="135">
        <f>IF(L$4="Total",SUM($F6:K6),COUNTIFS(value_assertions[Status],$D6,value_assertions[Category],L$4))</f>
        <v>0</v>
      </c>
      <c r="M6" s="135">
        <f>IF(M$4="Total",SUM($F6:L6),COUNTIFS(value_assertions[Status],$D6,value_assertions[Category],M$4))</f>
        <v>0</v>
      </c>
      <c r="N6" s="135">
        <f>IF(N$4="Total",SUM($F6:M6),COUNTIFS(value_assertions[Status],$D6,value_assertions[Category],N$4))</f>
        <v>0</v>
      </c>
      <c r="O6" s="135">
        <f>IF(O$4="Total",SUM($F6:N6),COUNTIFS(value_assertions[Status],$D6,value_assertions[Category],O$4))</f>
        <v>0</v>
      </c>
      <c r="P6" s="135">
        <f>IF(P$4="Total",SUM($F6:O6),COUNTIFS(value_assertions[Status],$D6,value_assertions[Category],P$4))</f>
        <v>0</v>
      </c>
      <c r="Q6" s="135">
        <f>IF(Q$4="Total",SUM($F6:P6),COUNTIFS(value_assertions[Status],$D6,value_assertions[Category],Q$4))</f>
        <v>0</v>
      </c>
      <c r="R6" s="135">
        <f>IF(R$4="Total",SUM($F6:Q6),COUNTIFS(value_assertions[Status],$D6,value_assertions[Category],R$4))</f>
        <v>0</v>
      </c>
      <c r="S6" s="135">
        <f>IF(S$4="Total",SUM($F6:R6),COUNTIFS(value_assertions[Status],$D6,value_assertions[Category],S$4))</f>
        <v>0</v>
      </c>
      <c r="T6" s="135">
        <f>IF(T$4="Total",SUM($F6:S6),COUNTIFS(value_assertions[Status],$D6,value_assertions[Category],T$4))</f>
        <v>0</v>
      </c>
      <c r="U6" s="135">
        <f>IF(U$4="Total",SUM($F6:T6),COUNTIFS(value_assertions[Status],$D6,value_assertions[Category],U$4))</f>
        <v>0</v>
      </c>
      <c r="V6" s="121"/>
      <c r="X6" s="135">
        <f>MAX(F6:U6)</f>
        <v>0</v>
      </c>
    </row>
    <row r="7" spans="2:24" ht="15">
      <c r="B7" s="187"/>
      <c r="C7" s="39"/>
      <c r="D7" s="198" t="s">
        <v>328</v>
      </c>
      <c r="E7" s="199"/>
      <c r="F7" s="136">
        <f>COUNTIFS(value_assertions[Status],$D7,value_assertions[Category],F$4)</f>
        <v>0</v>
      </c>
      <c r="G7" s="136">
        <f>IF(G$4="Total",SUM($F7:F7),COUNTIFS(value_assertions[Status],$D7,value_assertions[Category],G$4))</f>
        <v>0</v>
      </c>
      <c r="H7" s="136">
        <f>IF(H$4="Total",SUM($F7:G7),COUNTIFS(value_assertions[Status],$D7,value_assertions[Category],H$4))</f>
        <v>0</v>
      </c>
      <c r="I7" s="136">
        <f>IF(I$4="Total",SUM($F7:H7),COUNTIFS(value_assertions[Status],$D7,value_assertions[Category],I$4))</f>
        <v>0</v>
      </c>
      <c r="J7" s="136">
        <f>IF(J$4="Total",SUM($F7:I7),COUNTIFS(value_assertions[Status],$D7,value_assertions[Category],J$4))</f>
        <v>0</v>
      </c>
      <c r="K7" s="136">
        <f>IF(K$4="Total",SUM($F7:J7),COUNTIFS(value_assertions[Status],$D7,value_assertions[Category],K$4))</f>
        <v>0</v>
      </c>
      <c r="L7" s="136">
        <f>IF(L$4="Total",SUM($F7:K7),COUNTIFS(value_assertions[Status],$D7,value_assertions[Category],L$4))</f>
        <v>0</v>
      </c>
      <c r="M7" s="136">
        <f>IF(M$4="Total",SUM($F7:L7),COUNTIFS(value_assertions[Status],$D7,value_assertions[Category],M$4))</f>
        <v>0</v>
      </c>
      <c r="N7" s="136">
        <f>IF(N$4="Total",SUM($F7:M7),COUNTIFS(value_assertions[Status],$D7,value_assertions[Category],N$4))</f>
        <v>0</v>
      </c>
      <c r="O7" s="136">
        <f>IF(O$4="Total",SUM($F7:N7),COUNTIFS(value_assertions[Status],$D7,value_assertions[Category],O$4))</f>
        <v>0</v>
      </c>
      <c r="P7" s="136">
        <f>IF(P$4="Total",SUM($F7:O7),COUNTIFS(value_assertions[Status],$D7,value_assertions[Category],P$4))</f>
        <v>0</v>
      </c>
      <c r="Q7" s="136">
        <f>IF(Q$4="Total",SUM($F7:P7),COUNTIFS(value_assertions[Status],$D7,value_assertions[Category],Q$4))</f>
        <v>0</v>
      </c>
      <c r="R7" s="136">
        <f>IF(R$4="Total",SUM($F7:Q7),COUNTIFS(value_assertions[Status],$D7,value_assertions[Category],R$4))</f>
        <v>0</v>
      </c>
      <c r="S7" s="136">
        <f>IF(S$4="Total",SUM($F7:R7),COUNTIFS(value_assertions[Status],$D7,value_assertions[Category],S$4))</f>
        <v>0</v>
      </c>
      <c r="T7" s="136">
        <f>IF(T$4="Total",SUM($F7:S7),COUNTIFS(value_assertions[Status],$D7,value_assertions[Category],T$4))</f>
        <v>0</v>
      </c>
      <c r="U7" s="136">
        <f>IF(U$4="Total",SUM($F7:T7),COUNTIFS(value_assertions[Status],$D7,value_assertions[Category],U$4))</f>
        <v>0</v>
      </c>
      <c r="V7" s="121"/>
      <c r="X7" s="136">
        <f>MAX(F7:U7)</f>
        <v>0</v>
      </c>
    </row>
    <row r="8" spans="2:24" ht="15">
      <c r="B8" s="187"/>
      <c r="C8" s="39"/>
      <c r="D8" s="198" t="s">
        <v>515</v>
      </c>
      <c r="E8" s="200"/>
      <c r="F8" s="14">
        <f>COUNTIFS(value_assertions[Status],$D8,value_assertions[Category],F$4)</f>
        <v>0</v>
      </c>
      <c r="G8" s="14">
        <f>IF(G$4="Total",SUM($F8:F8),COUNTIFS(value_assertions[Status],$D8,value_assertions[Category],G$4))</f>
        <v>0</v>
      </c>
      <c r="H8" s="14">
        <f>IF(H$4="Total",SUM($F8:G8),COUNTIFS(value_assertions[Status],$D8,value_assertions[Category],H$4))</f>
        <v>0</v>
      </c>
      <c r="I8" s="14">
        <f>IF(I$4="Total",SUM($F8:H8),COUNTIFS(value_assertions[Status],$D8,value_assertions[Category],I$4))</f>
        <v>0</v>
      </c>
      <c r="J8" s="14">
        <f>IF(J$4="Total",SUM($F8:I8),COUNTIFS(value_assertions[Status],$D8,value_assertions[Category],J$4))</f>
        <v>0</v>
      </c>
      <c r="K8" s="14">
        <f>IF(K$4="Total",SUM($F8:J8),COUNTIFS(value_assertions[Status],$D8,value_assertions[Category],K$4))</f>
        <v>0</v>
      </c>
      <c r="L8" s="14">
        <f>IF(L$4="Total",SUM($F8:K8),COUNTIFS(value_assertions[Status],$D8,value_assertions[Category],L$4))</f>
        <v>0</v>
      </c>
      <c r="M8" s="14">
        <f>IF(M$4="Total",SUM($F8:L8),COUNTIFS(value_assertions[Status],$D8,value_assertions[Category],M$4))</f>
        <v>0</v>
      </c>
      <c r="N8" s="14">
        <f>IF(N$4="Total",SUM($F8:M8),COUNTIFS(value_assertions[Status],$D8,value_assertions[Category],N$4))</f>
        <v>0</v>
      </c>
      <c r="O8" s="14">
        <f>IF(O$4="Total",SUM($F8:N8),COUNTIFS(value_assertions[Status],$D8,value_assertions[Category],O$4))</f>
        <v>0</v>
      </c>
      <c r="P8" s="14">
        <f>IF(P$4="Total",SUM($F8:O8),COUNTIFS(value_assertions[Status],$D8,value_assertions[Category],P$4))</f>
        <v>0</v>
      </c>
      <c r="Q8" s="14">
        <f>IF(Q$4="Total",SUM($F8:P8),COUNTIFS(value_assertions[Status],$D8,value_assertions[Category],Q$4))</f>
        <v>0</v>
      </c>
      <c r="R8" s="14">
        <f>IF(R$4="Total",SUM($F8:Q8),COUNTIFS(value_assertions[Status],$D8,value_assertions[Category],R$4))</f>
        <v>0</v>
      </c>
      <c r="S8" s="14">
        <f>IF(S$4="Total",SUM($F8:R8),COUNTIFS(value_assertions[Status],$D8,value_assertions[Category],S$4))</f>
        <v>0</v>
      </c>
      <c r="T8" s="14">
        <f>IF(T$4="Total",SUM($F8:S8),COUNTIFS(value_assertions[Status],$D8,value_assertions[Category],T$4))</f>
        <v>0</v>
      </c>
      <c r="U8" s="14">
        <f>IF(U$4="Total",SUM($F8:T8),COUNTIFS(value_assertions[Status],$D8,value_assertions[Category],U$4))</f>
        <v>0</v>
      </c>
      <c r="V8" s="121"/>
      <c r="X8" s="14">
        <f>MAX(F8:U8)</f>
        <v>0</v>
      </c>
    </row>
    <row r="9" spans="2:24" ht="14.25">
      <c r="B9" s="187"/>
      <c r="C9" s="116"/>
      <c r="D9" s="116"/>
      <c r="E9" s="116"/>
      <c r="F9" s="116"/>
      <c r="G9" s="116"/>
      <c r="H9" s="116"/>
      <c r="I9" s="116"/>
      <c r="J9" s="116"/>
      <c r="K9" s="116"/>
      <c r="L9" s="116"/>
      <c r="M9" s="116"/>
      <c r="N9" s="116"/>
      <c r="O9" s="116"/>
      <c r="P9" s="116"/>
      <c r="Q9" s="116"/>
      <c r="R9" s="116"/>
      <c r="S9" s="116"/>
      <c r="T9" s="116"/>
      <c r="U9" s="116"/>
      <c r="V9" s="123"/>
      <c r="X9" s="116"/>
    </row>
    <row r="10" spans="15:18" ht="16.5" customHeight="1">
      <c r="O10"/>
      <c r="R10"/>
    </row>
    <row r="11" spans="2:22" ht="14.25">
      <c r="B11" s="187" t="s">
        <v>516</v>
      </c>
      <c r="C11" s="115"/>
      <c r="D11" s="115"/>
      <c r="E11" s="115"/>
      <c r="F11" s="115"/>
      <c r="G11" s="115"/>
      <c r="H11" s="115"/>
      <c r="I11" s="115"/>
      <c r="J11" s="115"/>
      <c r="K11" s="115"/>
      <c r="L11" s="115"/>
      <c r="M11" s="115"/>
      <c r="N11" s="115"/>
      <c r="O11" s="115"/>
      <c r="P11" s="115"/>
      <c r="Q11" s="115"/>
      <c r="R11" s="115"/>
      <c r="S11" s="115"/>
      <c r="T11" s="115"/>
      <c r="U11" s="115"/>
      <c r="V11" s="124"/>
    </row>
    <row r="12" spans="2:22" ht="14.25">
      <c r="B12" s="187"/>
      <c r="C12" s="39"/>
      <c r="D12" s="201"/>
      <c r="E12" s="202"/>
      <c r="F12" s="133" t="str">
        <f t="shared" si="0" ref="F12:U12">F4</f>
        <v>Other</v>
      </c>
      <c r="G12" s="133" t="str">
        <f t="shared" si="0"/>
        <v>Total</v>
      </c>
      <c r="H12" s="133">
        <f t="shared" si="0"/>
        <v>0</v>
      </c>
      <c r="I12" s="133">
        <f t="shared" si="0"/>
        <v>0</v>
      </c>
      <c r="J12" s="133">
        <f t="shared" si="0"/>
        <v>0</v>
      </c>
      <c r="K12" s="133">
        <f t="shared" si="0"/>
        <v>0</v>
      </c>
      <c r="L12" s="133">
        <f t="shared" si="0"/>
        <v>0</v>
      </c>
      <c r="M12" s="133">
        <f t="shared" si="0"/>
        <v>0</v>
      </c>
      <c r="N12" s="133">
        <f t="shared" si="0"/>
        <v>0</v>
      </c>
      <c r="O12" s="133">
        <f t="shared" si="0"/>
        <v>0</v>
      </c>
      <c r="P12" s="133">
        <f t="shared" si="0"/>
        <v>0</v>
      </c>
      <c r="Q12" s="133">
        <f t="shared" si="0"/>
        <v>0</v>
      </c>
      <c r="R12" s="133">
        <f t="shared" si="0"/>
        <v>0</v>
      </c>
      <c r="S12" s="133">
        <f t="shared" si="0"/>
        <v>0</v>
      </c>
      <c r="T12" s="133">
        <f t="shared" si="0"/>
        <v>0</v>
      </c>
      <c r="U12" s="133">
        <f t="shared" si="0"/>
        <v>0</v>
      </c>
      <c r="V12" s="121"/>
    </row>
    <row r="13" spans="2:22" ht="15">
      <c r="B13" s="187"/>
      <c r="C13" s="39"/>
      <c r="D13" s="198" t="str">
        <f>D5</f>
        <v>Pass</v>
      </c>
      <c r="E13" s="199"/>
      <c r="F13" s="135">
        <f t="shared" si="1" ref="F13:U13">IF(F5&lt;&gt;0,MAX(IF(SUM(F$5:F$7)&lt;&gt;0,F5/SUM(F$5:F$7),0),0.25),0)</f>
        <v>1</v>
      </c>
      <c r="G13" s="135">
        <f t="shared" si="1"/>
        <v>1</v>
      </c>
      <c r="H13" s="135">
        <f t="shared" si="1"/>
        <v>0</v>
      </c>
      <c r="I13" s="135">
        <f t="shared" si="1"/>
        <v>0</v>
      </c>
      <c r="J13" s="135">
        <f t="shared" si="1"/>
        <v>0</v>
      </c>
      <c r="K13" s="135">
        <f t="shared" si="1"/>
        <v>0</v>
      </c>
      <c r="L13" s="135">
        <f t="shared" si="1"/>
        <v>0</v>
      </c>
      <c r="M13" s="135">
        <f t="shared" si="1"/>
        <v>0</v>
      </c>
      <c r="N13" s="135">
        <f t="shared" si="1"/>
        <v>0</v>
      </c>
      <c r="O13" s="135">
        <f t="shared" si="1"/>
        <v>0</v>
      </c>
      <c r="P13" s="135">
        <f t="shared" si="1"/>
        <v>0</v>
      </c>
      <c r="Q13" s="135">
        <f t="shared" si="1"/>
        <v>0</v>
      </c>
      <c r="R13" s="135">
        <f t="shared" si="1"/>
        <v>0</v>
      </c>
      <c r="S13" s="135">
        <f t="shared" si="1"/>
        <v>0</v>
      </c>
      <c r="T13" s="135">
        <f t="shared" si="1"/>
        <v>0</v>
      </c>
      <c r="U13" s="135">
        <f t="shared" si="1"/>
        <v>0</v>
      </c>
      <c r="V13" s="121"/>
    </row>
    <row r="14" spans="2:22" ht="15">
      <c r="B14" s="187"/>
      <c r="C14" s="39"/>
      <c r="D14" s="198" t="str">
        <f>D6</f>
        <v>Warning</v>
      </c>
      <c r="E14" s="199"/>
      <c r="F14" s="135">
        <f t="shared" si="2" ref="F14:U14">IF(F6&lt;&gt;0,MAX(IF(SUM(F$5:F$7)&lt;&gt;0,F6/SUM(F$5:F$7),0),0.35),0)</f>
        <v>0</v>
      </c>
      <c r="G14" s="135">
        <f t="shared" si="2"/>
        <v>0</v>
      </c>
      <c r="H14" s="135">
        <f t="shared" si="2"/>
        <v>0</v>
      </c>
      <c r="I14" s="135">
        <f t="shared" si="2"/>
        <v>0</v>
      </c>
      <c r="J14" s="135">
        <f t="shared" si="2"/>
        <v>0</v>
      </c>
      <c r="K14" s="135">
        <f t="shared" si="2"/>
        <v>0</v>
      </c>
      <c r="L14" s="135">
        <f t="shared" si="2"/>
        <v>0</v>
      </c>
      <c r="M14" s="135">
        <f t="shared" si="2"/>
        <v>0</v>
      </c>
      <c r="N14" s="135">
        <f t="shared" si="2"/>
        <v>0</v>
      </c>
      <c r="O14" s="135">
        <f t="shared" si="2"/>
        <v>0</v>
      </c>
      <c r="P14" s="135">
        <f t="shared" si="2"/>
        <v>0</v>
      </c>
      <c r="Q14" s="135">
        <f t="shared" si="2"/>
        <v>0</v>
      </c>
      <c r="R14" s="135">
        <f t="shared" si="2"/>
        <v>0</v>
      </c>
      <c r="S14" s="135">
        <f t="shared" si="2"/>
        <v>0</v>
      </c>
      <c r="T14" s="135">
        <f t="shared" si="2"/>
        <v>0</v>
      </c>
      <c r="U14" s="135">
        <f t="shared" si="2"/>
        <v>0</v>
      </c>
      <c r="V14" s="121"/>
    </row>
    <row r="15" spans="2:22" ht="15">
      <c r="B15" s="187"/>
      <c r="C15" s="39"/>
      <c r="D15" s="198" t="str">
        <f>D7</f>
        <v>Failed</v>
      </c>
      <c r="E15" s="199"/>
      <c r="F15" s="135">
        <f t="shared" si="3" ref="F15:U15">IF(F7&lt;&gt;0,MAX(IF(SUM(F$5:F$7)&lt;&gt;0,F7/SUM(F$5:F$7),0),0.35),0)</f>
        <v>0</v>
      </c>
      <c r="G15" s="135">
        <f t="shared" si="3"/>
        <v>0</v>
      </c>
      <c r="H15" s="135">
        <f t="shared" si="3"/>
        <v>0</v>
      </c>
      <c r="I15" s="135">
        <f t="shared" si="3"/>
        <v>0</v>
      </c>
      <c r="J15" s="135">
        <f t="shared" si="3"/>
        <v>0</v>
      </c>
      <c r="K15" s="135">
        <f t="shared" si="3"/>
        <v>0</v>
      </c>
      <c r="L15" s="135">
        <f t="shared" si="3"/>
        <v>0</v>
      </c>
      <c r="M15" s="135">
        <f t="shared" si="3"/>
        <v>0</v>
      </c>
      <c r="N15" s="135">
        <f t="shared" si="3"/>
        <v>0</v>
      </c>
      <c r="O15" s="135">
        <f t="shared" si="3"/>
        <v>0</v>
      </c>
      <c r="P15" s="135">
        <f t="shared" si="3"/>
        <v>0</v>
      </c>
      <c r="Q15" s="135">
        <f t="shared" si="3"/>
        <v>0</v>
      </c>
      <c r="R15" s="135">
        <f t="shared" si="3"/>
        <v>0</v>
      </c>
      <c r="S15" s="135">
        <f t="shared" si="3"/>
        <v>0</v>
      </c>
      <c r="T15" s="135">
        <f t="shared" si="3"/>
        <v>0</v>
      </c>
      <c r="U15" s="135">
        <f t="shared" si="3"/>
        <v>0</v>
      </c>
      <c r="V15" s="121"/>
    </row>
    <row r="16" spans="2:22" ht="15">
      <c r="B16" s="187"/>
      <c r="C16" s="39"/>
      <c r="D16" s="198" t="str">
        <f>D8</f>
        <v>Not Applicable</v>
      </c>
      <c r="E16" s="200"/>
      <c r="F16" s="14">
        <f>COUNTIFS(value_assertions[Status],$D16,value_assertions[Category],F$4)</f>
        <v>0</v>
      </c>
      <c r="G16" s="14">
        <f>COUNTIFS(value_assertions[Status],$D16,value_assertions[Category],G$4)</f>
        <v>0</v>
      </c>
      <c r="H16" s="14">
        <f>COUNTIFS(value_assertions[Status],$D16,value_assertions[Category],H$4)</f>
        <v>0</v>
      </c>
      <c r="I16" s="14">
        <f>COUNTIFS(value_assertions[Status],$D16,value_assertions[Category],I$4)</f>
        <v>0</v>
      </c>
      <c r="J16" s="14">
        <f>COUNTIFS(value_assertions[Status],$D16,value_assertions[Category],J$4)</f>
        <v>0</v>
      </c>
      <c r="K16" s="14">
        <f>COUNTIFS(value_assertions[Status],$D16,value_assertions[Category],K$4)</f>
        <v>0</v>
      </c>
      <c r="L16" s="14">
        <f>COUNTIFS(value_assertions[Status],$D16,value_assertions[Category],L$4)</f>
        <v>0</v>
      </c>
      <c r="M16" s="14">
        <f>COUNTIFS(value_assertions[Status],$D16,value_assertions[Category],M$4)</f>
        <v>0</v>
      </c>
      <c r="N16" s="14">
        <f>COUNTIFS(value_assertions[Status],$D16,value_assertions[Category],N$4)</f>
        <v>0</v>
      </c>
      <c r="O16" s="14">
        <f>COUNTIFS(value_assertions[Status],$D16,value_assertions[Category],O$4)</f>
        <v>0</v>
      </c>
      <c r="P16" s="14">
        <f>COUNTIFS(value_assertions[Status],$D16,value_assertions[Category],P$4)</f>
        <v>0</v>
      </c>
      <c r="Q16" s="14">
        <f>COUNTIFS(value_assertions[Status],$D16,value_assertions[Category],Q$4)</f>
        <v>0</v>
      </c>
      <c r="R16" s="14">
        <f>COUNTIFS(value_assertions[Status],$D16,value_assertions[Category],R$4)</f>
        <v>0</v>
      </c>
      <c r="S16" s="14">
        <f>COUNTIFS(value_assertions[Status],$D16,value_assertions[Category],S$4)</f>
        <v>0</v>
      </c>
      <c r="T16" s="14">
        <f>COUNTIFS(value_assertions[Status],$D16,value_assertions[Category],T$4)</f>
        <v>0</v>
      </c>
      <c r="U16" s="14">
        <f>SUM(F16:T16)</f>
        <v>0</v>
      </c>
      <c r="V16" s="121"/>
    </row>
    <row r="17" spans="2:22" ht="14.25">
      <c r="B17" s="187"/>
      <c r="C17" s="116"/>
      <c r="D17" s="116"/>
      <c r="E17" s="116"/>
      <c r="F17" s="116"/>
      <c r="G17" s="116"/>
      <c r="H17" s="116"/>
      <c r="I17" s="116"/>
      <c r="J17" s="116"/>
      <c r="K17" s="116"/>
      <c r="L17" s="116"/>
      <c r="M17" s="116"/>
      <c r="N17" s="116"/>
      <c r="O17" s="116"/>
      <c r="P17" s="116"/>
      <c r="Q17" s="116"/>
      <c r="R17" s="116"/>
      <c r="S17" s="116"/>
      <c r="T17" s="116"/>
      <c r="U17" s="116"/>
      <c r="V17" s="123"/>
    </row>
    <row r="19" spans="2:6" ht="14.25">
      <c r="B19" s="187" t="s">
        <v>517</v>
      </c>
      <c r="C19" s="115"/>
      <c r="D19" s="115"/>
      <c r="E19" s="115"/>
      <c r="F19" s="124"/>
    </row>
    <row r="20" spans="2:6" ht="14.25">
      <c r="B20" s="187"/>
      <c r="C20" s="39"/>
      <c r="D20" s="137" t="str">
        <f>D5</f>
        <v>Pass</v>
      </c>
      <c r="E20" s="133">
        <f>IF(SUM(F5:U7)=0,0,IF(AND(E22=0,E21=0),1,0))</f>
        <v>1</v>
      </c>
      <c r="F20" s="121"/>
    </row>
    <row r="21" spans="2:6" ht="14.25">
      <c r="B21" s="187"/>
      <c r="C21" s="39"/>
      <c r="D21" s="137" t="str">
        <f>D6</f>
        <v>Warning</v>
      </c>
      <c r="E21" s="133">
        <f>IF(AND(SUM(F14:U14,T15)&lt;&gt;0,E22=0),1,0)</f>
        <v>0</v>
      </c>
      <c r="F21" s="121"/>
    </row>
    <row r="22" spans="2:6" ht="14.25">
      <c r="B22" s="187"/>
      <c r="C22" s="39"/>
      <c r="D22" s="137" t="str">
        <f>D7</f>
        <v>Failed</v>
      </c>
      <c r="E22" s="133">
        <f>IF(SUM(F15:S15)=0,0,1)</f>
        <v>0</v>
      </c>
      <c r="F22" s="121"/>
    </row>
    <row r="23" spans="2:6" ht="14.25">
      <c r="B23" s="187"/>
      <c r="C23" s="39"/>
      <c r="D23" s="137" t="s">
        <v>518</v>
      </c>
      <c r="E23" s="133">
        <f>IF(SUM(E20:E22)=0,1,0)</f>
        <v>0</v>
      </c>
      <c r="F23" s="121"/>
    </row>
    <row r="24" spans="2:6" ht="14.25">
      <c r="B24" s="187"/>
      <c r="C24" s="39"/>
      <c r="D24" s="39"/>
      <c r="E24" s="39"/>
      <c r="F24" s="121"/>
    </row>
    <row r="25" spans="2:6" ht="14.25">
      <c r="B25" s="187"/>
      <c r="C25" s="116"/>
      <c r="D25" s="116"/>
      <c r="E25" s="116"/>
      <c r="F25" s="123"/>
    </row>
  </sheetData>
  <protectedRanges>
    <protectedRange sqref="W10:AA10" name="Range1"/>
  </protectedRanges>
  <mergeCells count="13">
    <mergeCell ref="B19:B25"/>
    <mergeCell ref="B11:B17"/>
    <mergeCell ref="D12:E12"/>
    <mergeCell ref="D13:E13"/>
    <mergeCell ref="D14:E14"/>
    <mergeCell ref="D15:E15"/>
    <mergeCell ref="D16:E16"/>
    <mergeCell ref="B3:B9"/>
    <mergeCell ref="D5:E5"/>
    <mergeCell ref="D7:E7"/>
    <mergeCell ref="D8:E8"/>
    <mergeCell ref="D4:E4"/>
    <mergeCell ref="D6:E6"/>
  </mergeCells>
  <conditionalFormatting sqref="F6:U6">
    <cfRule type="cellIs" priority="9" dxfId="141" operator="greaterThan">
      <formula>0</formula>
    </cfRule>
    <cfRule type="cellIs" priority="10" dxfId="140" operator="equal">
      <formula>0</formula>
    </cfRule>
  </conditionalFormatting>
  <conditionalFormatting sqref="F7:U7">
    <cfRule type="cellIs" priority="11" dxfId="139" operator="equal">
      <formula>0</formula>
    </cfRule>
    <cfRule type="cellIs" priority="12" dxfId="138" operator="greaterThan">
      <formula>0</formula>
    </cfRule>
  </conditionalFormatting>
  <conditionalFormatting sqref="X6">
    <cfRule type="cellIs" priority="1" dxfId="141" operator="greaterThan">
      <formula>0</formula>
    </cfRule>
    <cfRule type="cellIs" priority="2" dxfId="140" operator="equal">
      <formula>0</formula>
    </cfRule>
  </conditionalFormatting>
  <conditionalFormatting sqref="X7">
    <cfRule type="cellIs" priority="3" dxfId="139" operator="equal">
      <formula>0</formula>
    </cfRule>
    <cfRule type="cellIs" priority="4" dxfId="138" operator="greaterThan">
      <formula>0</formula>
    </cfRule>
  </conditionalFormatting>
  <pageMargins left="0.7" right="0.7" top="0.75" bottom="0.75" header="0.3" footer="0.3"/>
  <pageSetup orientation="portrait" paperSize="1" r:id="rId2"/>
  <drawing r:id="rId1"/>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ScaleCrop>false</ScaleCrop>
  <HeadingPairs>
    <vt:vector size="2" baseType="variant">
      <vt:variant>
        <vt:lpstr>Worksheets</vt:lpstr>
      </vt:variant>
      <vt:variant>
        <vt:i4>30</vt:i4>
      </vt:variant>
    </vt:vector>
  </HeadingPairs>
  <TitlesOfParts>
    <vt:vector size="30" baseType="lpstr">
      <vt:lpstr>Project Details</vt:lpstr>
      <vt:lpstr>Dashboard</vt:lpstr>
      <vt:lpstr>Validations</vt:lpstr>
      <vt:lpstr>vp</vt:lpstr>
      <vt:lpstr>Contents</vt:lpstr>
      <vt:lpstr>Sheet1</vt:lpstr>
      <vt:lpstr>02.01 dashboard calc</vt:lpstr>
      <vt:lpstr>02.02 dashboard calc</vt:lpstr>
      <vt:lpstr>06.01 dashboard calc</vt:lpstr>
      <vt:lpstr>Controls</vt:lpstr>
      <vt:lpstr>Мap dashboard calc</vt:lpstr>
      <vt:lpstr>B_01.01.B 01.01</vt:lpstr>
      <vt:lpstr>B_01.02.B 01.02</vt:lpstr>
      <vt:lpstr>B_01.03.B 01.03</vt:lpstr>
      <vt:lpstr>B_05.01.B 05.01</vt:lpstr>
      <vt:lpstr>B_02.01.B 02.01</vt:lpstr>
      <vt:lpstr>B_02.02.B 02.02</vt:lpstr>
      <vt:lpstr>B_02.03.B 02.03</vt:lpstr>
      <vt:lpstr>B_03.01.B 03.01</vt:lpstr>
      <vt:lpstr>B_03.02.B 03.02</vt:lpstr>
      <vt:lpstr>B_03.03.B 03.03</vt:lpstr>
      <vt:lpstr>B_04.01.B 04.01</vt:lpstr>
      <vt:lpstr>B_05.02.B 05.02</vt:lpstr>
      <vt:lpstr>B_06.01.B 06.01</vt:lpstr>
      <vt:lpstr>B_07.01.B 07.01</vt:lpstr>
      <vt:lpstr>B_99.01.B 99.01</vt:lpstr>
      <vt:lpstr>vcat</vt:lpstr>
      <vt:lpstr>images</vt:lpstr>
      <vt:lpstr>images-db</vt:lpstr>
      <vt:lpstr>Validation Results</vt:lpstr>
    </vt:vector>
  </TitlesOfParts>
  <Template/>
  <Manager/>
  <Company/>
  <LinksUpToDate>false</LinksUpToDate>
  <SharedDoc>false</SharedDoc>
  <HyperlinksChanged>false</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03 Excel Report DORA</dc:title>
  <dc:subject/>
  <dc:creator>cleversoft</dc:creator>
  <cp:keywords/>
  <dc:description>0.1.0-dev.0.61+bd90b02</dc:description>
  <cp:lastModifiedBy>Iva Velinova</cp:lastModifiedBy>
  <dcterms:modified xsi:type="dcterms:W3CDTF">2025-01-23T09:27:05Z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Frame.assemblyRevision">
    <vt:lpwstr>29ebc4203678c020f86fe303d77fe1b2</vt:lpwstr>
  </property>
  <property fmtid="{D5CDD505-2E9C-101B-9397-08002B2CF9AE}" pid="3" name="SF Project Name">
    <vt:lpwstr>taxonomy-eba-dora</vt:lpwstr>
  </property>
  <property fmtid="{D5CDD505-2E9C-101B-9397-08002B2CF9AE}" pid="4" name="SF Project Version">
    <vt:lpwstr>0.0.5</vt:lpwstr>
  </property>
  <property fmtid="{D5CDD505-2E9C-101B-9397-08002B2CF9AE}" pid="5" name="SF Module Name">
    <vt:lpwstr>dora-plus</vt:lpwstr>
  </property>
  <property fmtid="{D5CDD505-2E9C-101B-9397-08002B2CF9AE}" pid="6" name="SF Module Version">
    <vt:lpwstr>0.1.0-dev.0.61+bd90b02</vt:lpwstr>
  </property>
  <property fmtid="{D5CDD505-2E9C-101B-9397-08002B2CF9AE}" pid="7" name="T Name">
    <vt:lpwstr>DORA_3.5</vt:lpwstr>
  </property>
  <property fmtid="{D5CDD505-2E9C-101B-9397-08002B2CF9AE}" pid="8" name="T Description">
    <vt:lpwstr>Digital operational resilience 1.0.0 (DPM 3.5)</vt:lpwstr>
  </property>
  <property fmtid="{D5CDD505-2E9C-101B-9397-08002B2CF9AE}" pid="9" name="T Version">
    <vt:lpwstr>1.0.0_draft</vt:lpwstr>
  </property>
  <property fmtid="{D5CDD505-2E9C-101B-9397-08002B2CF9AE}" pid="10" name="T Release Date">
    <vt:lpwstr>2024-07-11</vt:lpwstr>
  </property>
  <property fmtid="{D5CDD505-2E9C-101B-9397-08002B2CF9AE}" pid="11" name="T Publisher">
    <vt:lpwstr/>
  </property>
  <property fmtid="{D5CDD505-2E9C-101B-9397-08002B2CF9AE}" pid="12" name="T Publisher URL">
    <vt:lpwstr/>
  </property>
  <property fmtid="{D5CDD505-2E9C-101B-9397-08002B2CF9AE}" pid="13" name="T Publication Date">
    <vt:lpwstr/>
  </property>
  <property fmtid="{D5CDD505-2E9C-101B-9397-08002B2CF9AE}" pid="14" name="T Use Owner in Domain Member">
    <vt:lpwstr>FALSE</vt:lpwstr>
  </property>
  <property fmtid="{D5CDD505-2E9C-101B-9397-08002B2CF9AE}" pid="15" name="T SF Project Name">
    <vt:lpwstr>taxonomy-eba-dora</vt:lpwstr>
  </property>
  <property fmtid="{D5CDD505-2E9C-101B-9397-08002B2CF9AE}" pid="16" name="T SF Project Version">
    <vt:lpwstr>0.0.5</vt:lpwstr>
  </property>
  <property fmtid="{D5CDD505-2E9C-101B-9397-08002B2CF9AE}" pid="17" name="T SF Module Name">
    <vt:lpwstr>dora-plus</vt:lpwstr>
  </property>
  <property fmtid="{D5CDD505-2E9C-101B-9397-08002B2CF9AE}" pid="18" name="T SF Module Version">
    <vt:lpwstr>0.1.0-dev.0.61+bd90b02</vt:lpwstr>
  </property>
  <property fmtid="{D5CDD505-2E9C-101B-9397-08002B2CF9AE}" pid="19" name="MSIP_Label_61240ef3-54b7-4f58-be94-992048352034_Enabled">
    <vt:lpwstr>true</vt:lpwstr>
  </property>
  <property fmtid="{D5CDD505-2E9C-101B-9397-08002B2CF9AE}" pid="20" name="MSIP_Label_61240ef3-54b7-4f58-be94-992048352034_SetDate">
    <vt:lpwstr>2025-01-22T15:14:51Z</vt:lpwstr>
  </property>
  <property fmtid="{D5CDD505-2E9C-101B-9397-08002B2CF9AE}" pid="21" name="MSIP_Label_61240ef3-54b7-4f58-be94-992048352034_Method">
    <vt:lpwstr>Standard</vt:lpwstr>
  </property>
  <property fmtid="{D5CDD505-2E9C-101B-9397-08002B2CF9AE}" pid="22" name="MSIP_Label_61240ef3-54b7-4f58-be94-992048352034_Name">
    <vt:lpwstr>C2 - cleversoft internal</vt:lpwstr>
  </property>
  <property fmtid="{D5CDD505-2E9C-101B-9397-08002B2CF9AE}" pid="23" name="MSIP_Label_61240ef3-54b7-4f58-be94-992048352034_SiteId">
    <vt:lpwstr>022a3d7a-8c65-421f-a219-5c3d83d6739c</vt:lpwstr>
  </property>
  <property fmtid="{D5CDD505-2E9C-101B-9397-08002B2CF9AE}" pid="24" name="MSIP_Label_61240ef3-54b7-4f58-be94-992048352034_ActionId">
    <vt:lpwstr>1454cb0f-6774-4de4-ae32-0bddfba8ce92</vt:lpwstr>
  </property>
  <property fmtid="{D5CDD505-2E9C-101B-9397-08002B2CF9AE}" pid="25" name="MSIP_Label_61240ef3-54b7-4f58-be94-992048352034_ContentBits">
    <vt:lpwstr>0</vt:lpwstr>
  </property>
</Properties>
</file>