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eifrid/Dropbox (Aspuru-Guzik Lab)/Matter Lab/Data/Code/Chemical subway/RouteScore_preprint/modafinil/"/>
    </mc:Choice>
  </mc:AlternateContent>
  <xr:revisionPtr revIDLastSave="0" documentId="13_ncr:1_{76AEE91D-8A5F-344C-9B01-B5A33DBBF350}" xr6:coauthVersionLast="46" xr6:coauthVersionMax="46" xr10:uidLastSave="{00000000-0000-0000-0000-000000000000}"/>
  <bookViews>
    <workbookView xWindow="0" yWindow="460" windowWidth="35840" windowHeight="21940" activeTab="2" xr2:uid="{B67051F3-CDAA-B54D-ACC6-886EAF05BE0A}"/>
  </bookViews>
  <sheets>
    <sheet name="Step 1" sheetId="1" r:id="rId1"/>
    <sheet name="Step 2" sheetId="2" r:id="rId2"/>
    <sheet name="Step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2" i="3"/>
  <c r="Y2" i="3"/>
  <c r="L4" i="3" l="1"/>
  <c r="G4" i="3"/>
  <c r="K4" i="3" s="1"/>
  <c r="L3" i="3"/>
  <c r="G3" i="3"/>
  <c r="K3" i="3" s="1"/>
  <c r="R2" i="3"/>
  <c r="L2" i="3"/>
  <c r="L4" i="2"/>
  <c r="G4" i="2"/>
  <c r="K4" i="2" s="1"/>
  <c r="L3" i="2"/>
  <c r="G3" i="2"/>
  <c r="K3" i="2" s="1"/>
  <c r="Y2" i="2"/>
  <c r="R2" i="2"/>
  <c r="L2" i="2"/>
  <c r="T2" i="2" l="1"/>
  <c r="T2" i="3"/>
  <c r="L4" i="1" l="1"/>
  <c r="G4" i="1"/>
  <c r="K4" i="1" s="1"/>
  <c r="L3" i="1"/>
  <c r="G3" i="1"/>
  <c r="K3" i="1" s="1"/>
  <c r="Y2" i="1"/>
  <c r="R2" i="1"/>
  <c r="L2" i="1"/>
  <c r="T2" i="1" s="1"/>
  <c r="G2" i="1"/>
  <c r="K2" i="1" s="1"/>
  <c r="S2" i="1" l="1"/>
  <c r="X2" i="1" s="1"/>
  <c r="K2" i="2" s="1"/>
  <c r="S2" i="2" s="1"/>
  <c r="X2" i="2" l="1"/>
  <c r="K2" i="3" s="1"/>
  <c r="S2" i="3" s="1"/>
  <c r="Z2" i="2"/>
  <c r="Z2" i="1"/>
  <c r="X2" i="3" l="1"/>
  <c r="Z2" i="3"/>
</calcChain>
</file>

<file path=xl/sharedStrings.xml><?xml version="1.0" encoding="utf-8"?>
<sst xmlns="http://schemas.openxmlformats.org/spreadsheetml/2006/main" count="107" uniqueCount="58">
  <si>
    <t>Molecule</t>
  </si>
  <si>
    <t>SMILES</t>
  </si>
  <si>
    <t>MW</t>
  </si>
  <si>
    <t>buy CAD</t>
  </si>
  <si>
    <t>buy mass</t>
  </si>
  <si>
    <t>$/mol</t>
  </si>
  <si>
    <t>rxn moles</t>
  </si>
  <si>
    <t>n_i*C_i</t>
  </si>
  <si>
    <t>n_i*M_i</t>
  </si>
  <si>
    <t>t_H</t>
  </si>
  <si>
    <t>C_H</t>
  </si>
  <si>
    <t>Yield</t>
  </si>
  <si>
    <t>C_time</t>
  </si>
  <si>
    <t>C_money</t>
  </si>
  <si>
    <t>C_mass</t>
  </si>
  <si>
    <t>prod SMILES</t>
  </si>
  <si>
    <t>prod MW</t>
  </si>
  <si>
    <t>prod $/mol</t>
  </si>
  <si>
    <t>n_prod</t>
  </si>
  <si>
    <t>raw SS</t>
  </si>
  <si>
    <t>benzhydrol</t>
  </si>
  <si>
    <t>OC(C1=CC=CC=C1)C2=CC=CC=C2</t>
  </si>
  <si>
    <t>thiourea</t>
  </si>
  <si>
    <t>NC(N)=S</t>
  </si>
  <si>
    <t>hydrogen bromide</t>
  </si>
  <si>
    <t>[H+].[Br-]</t>
  </si>
  <si>
    <t>N=C(SC(C1=CC=CC=C1)C2=CC=CC=C2)N</t>
  </si>
  <si>
    <t>–</t>
  </si>
  <si>
    <t>diphenylmethyl isothiouronium bromide</t>
  </si>
  <si>
    <t>sodium hydroxide 50%</t>
  </si>
  <si>
    <t>[Na+].[OH-]</t>
  </si>
  <si>
    <t>chloroacetamide</t>
  </si>
  <si>
    <t>ClCC(N)=O</t>
  </si>
  <si>
    <t>NC(CSC(C1=CC=CC=C1)C2=CC=CC=C2)=O</t>
  </si>
  <si>
    <t>diphenylmethylthioacetamide</t>
  </si>
  <si>
    <t>OO</t>
  </si>
  <si>
    <t>[O-]S(S([O-])=O)=O.[Na+].[Na+]</t>
  </si>
  <si>
    <t>sodium metabisulfite</t>
  </si>
  <si>
    <t>O=S(CC(N)=O)C(C1=CC=CC=C1)C2=CC=CC=C2</t>
  </si>
  <si>
    <t>Vendor</t>
  </si>
  <si>
    <t>rxn qty</t>
  </si>
  <si>
    <t>130 g</t>
  </si>
  <si>
    <t>65 g</t>
  </si>
  <si>
    <t>https://www.sigmaaldrich.com/catalog/product/aldrich/b4856?lang=en&amp;region=CA&amp;cm_sp=Insite-_-caSrpResults_srpRecs_srpModel_benzhydrol-_-srpRecs3-3</t>
  </si>
  <si>
    <t>https://www.sigmaaldrich.com/catalog/product/mm/818591?lang=en&amp;region=CA</t>
  </si>
  <si>
    <t>260 g</t>
  </si>
  <si>
    <t>https://www.sigmaaldrich.com/catalog/product/mm/hx0600?lang=en&amp;region=CA&amp;cm_sp=Insite-_-caContent_prodMerch_gruCrossEntropy-_-prodMerch10-8</t>
  </si>
  <si>
    <t>240 g</t>
  </si>
  <si>
    <t>https://www.sigmaaldrich.com/catalog/product/sigald/06203?lang=en&amp;region=CA</t>
  </si>
  <si>
    <t>67.2 g</t>
  </si>
  <si>
    <t>https://www.sigmaaldrich.com/catalog/product/mm/802412?lang=en&amp;region=CA</t>
  </si>
  <si>
    <t>80 g</t>
  </si>
  <si>
    <t>220 g</t>
  </si>
  <si>
    <t>https://www.fishersci.com/shop/products/hydrogen-peroxide-6-2/S25361</t>
  </si>
  <si>
    <t>6% hydrogen peroxide</t>
  </si>
  <si>
    <t>27 g</t>
  </si>
  <si>
    <t>18.3 g</t>
  </si>
  <si>
    <t>https://www.sigmaaldrich.com/catalog/product/sigald/161519?lang=en&amp;region=CA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</si>
</sst>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mm/hx0600?lang=en&amp;region=CA&amp;cm_sp=Insite-_-caContent_prodMerch_gruCrossEntropy-_-prodMerch10-8" TargetMode="External"/><Relationship Id="rId2" Type="http://schemas.openxmlformats.org/officeDocument/2006/relationships/hyperlink" Target="https://www.sigmaaldrich.com/catalog/product/mm/818591?lang=en&amp;region=CA" TargetMode="External"/><Relationship Id="rId1" Type="http://schemas.openxmlformats.org/officeDocument/2006/relationships/hyperlink" Target="https://www.sigmaaldrich.com/catalog/product/aldrich/b4856?lang=en&amp;region=CA&amp;cm_sp=Insite-_-caSrpResults_srpRecs_srpModel_benzhydrol-_-srpRecs3-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igmaaldrich.com/catalog/product/mm/802412?lang=en&amp;region=CA" TargetMode="External"/><Relationship Id="rId1" Type="http://schemas.openxmlformats.org/officeDocument/2006/relationships/hyperlink" Target="https://www.sigmaaldrich.com/catalog/product/sigald/06203?lang=en&amp;region=C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igmaaldrich.com/catalog/product/sigald/161519?lang=en&amp;region=CA" TargetMode="External"/><Relationship Id="rId1" Type="http://schemas.openxmlformats.org/officeDocument/2006/relationships/hyperlink" Target="https://www.fishersci.com/shop/products/hydrogen-peroxide-6-2/S253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7E2D-16B3-9547-A0A2-AABC496B840E}">
  <dimension ref="A1:Z4"/>
  <sheetViews>
    <sheetView topLeftCell="M1" workbookViewId="0">
      <selection activeCell="Z1" sqref="Z1:Z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39</v>
      </c>
      <c r="E1" t="s">
        <v>3</v>
      </c>
      <c r="F1" t="s">
        <v>4</v>
      </c>
      <c r="G1" t="s">
        <v>5</v>
      </c>
      <c r="H1" t="s">
        <v>6</v>
      </c>
      <c r="I1" t="s">
        <v>40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t="s">
        <v>20</v>
      </c>
      <c r="B2" t="s">
        <v>21</v>
      </c>
      <c r="C2">
        <v>184.23</v>
      </c>
      <c r="D2" s="2" t="s">
        <v>43</v>
      </c>
      <c r="E2">
        <v>170</v>
      </c>
      <c r="F2">
        <v>500</v>
      </c>
      <c r="G2">
        <f>E2/(F2/C2)</f>
        <v>62.638199999999998</v>
      </c>
      <c r="H2">
        <v>0.7</v>
      </c>
      <c r="I2" t="s">
        <v>41</v>
      </c>
      <c r="K2">
        <f>H2*G2</f>
        <v>43.846739999999997</v>
      </c>
      <c r="L2">
        <f>H2*C2</f>
        <v>128.96099999999998</v>
      </c>
      <c r="N2">
        <v>1.5</v>
      </c>
      <c r="O2">
        <v>52.97</v>
      </c>
      <c r="P2">
        <v>0.99</v>
      </c>
      <c r="R2">
        <f>N2</f>
        <v>1.5</v>
      </c>
      <c r="S2">
        <f>SUM(K2:K12)+N2*O2</f>
        <v>176.03565967999998</v>
      </c>
      <c r="T2">
        <f>SUM(L2:L12)</f>
        <v>454.19319999999993</v>
      </c>
      <c r="V2" t="s">
        <v>26</v>
      </c>
      <c r="W2">
        <v>242.34</v>
      </c>
      <c r="X2">
        <f>S2/Y2</f>
        <v>254.01971093795092</v>
      </c>
      <c r="Y2">
        <f>P2*MIN(H2:H6)</f>
        <v>0.69299999999999995</v>
      </c>
      <c r="Z2">
        <f>R2*S2*T2</f>
        <v>119931.29937625524</v>
      </c>
    </row>
    <row r="3" spans="1:26" x14ac:dyDescent="0.2">
      <c r="A3" t="s">
        <v>22</v>
      </c>
      <c r="B3" t="s">
        <v>23</v>
      </c>
      <c r="C3">
        <v>76.12</v>
      </c>
      <c r="D3" s="2" t="s">
        <v>44</v>
      </c>
      <c r="E3">
        <v>605</v>
      </c>
      <c r="F3">
        <v>25000</v>
      </c>
      <c r="G3">
        <f>E3/(F3/C3)</f>
        <v>1.8421040000000002</v>
      </c>
      <c r="H3">
        <v>0.85</v>
      </c>
      <c r="I3" t="s">
        <v>42</v>
      </c>
      <c r="K3">
        <f t="shared" ref="K3:K4" si="0">H3*G3</f>
        <v>1.5657884000000002</v>
      </c>
      <c r="L3">
        <f t="shared" ref="L3:L4" si="1">H3*C3</f>
        <v>64.701999999999998</v>
      </c>
    </row>
    <row r="4" spans="1:26" x14ac:dyDescent="0.2">
      <c r="A4" t="s">
        <v>24</v>
      </c>
      <c r="B4" t="s">
        <v>25</v>
      </c>
      <c r="C4">
        <v>80.91</v>
      </c>
      <c r="D4" s="2" t="s">
        <v>46</v>
      </c>
      <c r="E4">
        <v>491</v>
      </c>
      <c r="F4">
        <v>2500</v>
      </c>
      <c r="G4">
        <f t="shared" ref="G4" si="2">E4/(F4/C4)</f>
        <v>15.890724000000001</v>
      </c>
      <c r="H4">
        <v>3.22</v>
      </c>
      <c r="I4" t="s">
        <v>45</v>
      </c>
      <c r="K4">
        <f t="shared" si="0"/>
        <v>51.168131280000004</v>
      </c>
      <c r="L4">
        <f t="shared" si="1"/>
        <v>260.53019999999998</v>
      </c>
    </row>
  </sheetData>
  <hyperlinks>
    <hyperlink ref="D2" r:id="rId1" xr:uid="{073AD572-6F69-2548-8CC1-B55B23E90C46}"/>
    <hyperlink ref="D3" r:id="rId2" xr:uid="{5FBA525E-1DFD-AE4D-9137-C1ACE30BFA14}"/>
    <hyperlink ref="D4" r:id="rId3" xr:uid="{6938ABCD-A9F8-8E41-8189-92451F6BD1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047A-4776-C945-BDAF-6D81CA89E9C6}">
  <dimension ref="A1:Z4"/>
  <sheetViews>
    <sheetView topLeftCell="G1" workbookViewId="0">
      <selection activeCell="X11" sqref="X11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39</v>
      </c>
      <c r="E1" t="s">
        <v>3</v>
      </c>
      <c r="F1" t="s">
        <v>4</v>
      </c>
      <c r="G1" t="s">
        <v>5</v>
      </c>
      <c r="H1" t="s">
        <v>6</v>
      </c>
      <c r="I1" t="s">
        <v>40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s="1" t="s">
        <v>28</v>
      </c>
      <c r="B2" t="str">
        <f>'Step 1'!V2</f>
        <v>N=C(SC(C1=CC=CC=C1)C2=CC=CC=C2)N</v>
      </c>
      <c r="C2">
        <v>242.34</v>
      </c>
      <c r="D2" t="s">
        <v>27</v>
      </c>
      <c r="E2" t="s">
        <v>27</v>
      </c>
      <c r="F2" t="s">
        <v>27</v>
      </c>
      <c r="G2">
        <v>0</v>
      </c>
      <c r="H2">
        <v>0.69299999999999995</v>
      </c>
      <c r="I2" t="s">
        <v>47</v>
      </c>
      <c r="K2">
        <f>H2*G2</f>
        <v>0</v>
      </c>
      <c r="L2">
        <f>H2*C2</f>
        <v>167.94162</v>
      </c>
      <c r="N2">
        <v>2.4166666666999999</v>
      </c>
      <c r="O2">
        <v>52.97</v>
      </c>
      <c r="P2">
        <v>0.95959595959999999</v>
      </c>
      <c r="R2">
        <f>N2</f>
        <v>2.4166666666999999</v>
      </c>
      <c r="S2">
        <f>SUM(K2:K12)+N2*O2</f>
        <v>138.66128078843232</v>
      </c>
      <c r="T2">
        <f>SUM(L2:L12)</f>
        <v>313.69002</v>
      </c>
      <c r="V2" t="s">
        <v>33</v>
      </c>
      <c r="W2">
        <v>257.35000000000002</v>
      </c>
      <c r="X2">
        <f>S2/Y2</f>
        <v>208.5132041922534</v>
      </c>
      <c r="Y2">
        <f>P2*MIN(H2:H6)</f>
        <v>0.66500000000279991</v>
      </c>
      <c r="Z2">
        <f>R2*S2*T2</f>
        <v>105116.92819884319</v>
      </c>
    </row>
    <row r="3" spans="1:26" x14ac:dyDescent="0.2">
      <c r="A3" t="s">
        <v>29</v>
      </c>
      <c r="B3" t="s">
        <v>30</v>
      </c>
      <c r="C3">
        <v>40</v>
      </c>
      <c r="D3" s="2" t="s">
        <v>48</v>
      </c>
      <c r="E3">
        <v>13900</v>
      </c>
      <c r="F3">
        <v>288000</v>
      </c>
      <c r="G3">
        <f>E3/(F3/C3)</f>
        <v>1.9305555555555556</v>
      </c>
      <c r="H3">
        <v>1.68</v>
      </c>
      <c r="I3" t="s">
        <v>49</v>
      </c>
      <c r="K3">
        <f t="shared" ref="K3:K4" si="0">H3*G3</f>
        <v>3.2433333333333332</v>
      </c>
      <c r="L3">
        <f t="shared" ref="L3:L4" si="1">H3*C3</f>
        <v>67.2</v>
      </c>
    </row>
    <row r="4" spans="1:26" x14ac:dyDescent="0.2">
      <c r="A4" t="s">
        <v>31</v>
      </c>
      <c r="B4" t="s">
        <v>32</v>
      </c>
      <c r="C4">
        <v>93.51</v>
      </c>
      <c r="D4" s="2" t="s">
        <v>50</v>
      </c>
      <c r="E4">
        <v>94.3</v>
      </c>
      <c r="F4">
        <v>1000</v>
      </c>
      <c r="G4">
        <f t="shared" ref="G4" si="2">E4/(F4/C4)</f>
        <v>8.8179929999999995</v>
      </c>
      <c r="H4">
        <v>0.84</v>
      </c>
      <c r="I4" t="s">
        <v>51</v>
      </c>
      <c r="K4">
        <f t="shared" si="0"/>
        <v>7.4071141199999992</v>
      </c>
      <c r="L4">
        <f t="shared" si="1"/>
        <v>78.548400000000001</v>
      </c>
    </row>
  </sheetData>
  <hyperlinks>
    <hyperlink ref="D3" r:id="rId1" xr:uid="{BBEA7AE4-9847-D548-B0B6-3575D5A45B10}"/>
    <hyperlink ref="D4" r:id="rId2" xr:uid="{D74F88F9-F22A-5946-928D-8FD741BBD6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DA78D-45A0-6543-B13D-5A6ADBC0224B}">
  <dimension ref="A1:Z4"/>
  <sheetViews>
    <sheetView tabSelected="1" topLeftCell="D1" workbookViewId="0">
      <selection activeCell="T14" sqref="T14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39</v>
      </c>
      <c r="E1" t="s">
        <v>3</v>
      </c>
      <c r="F1" t="s">
        <v>4</v>
      </c>
      <c r="G1" t="s">
        <v>5</v>
      </c>
      <c r="H1" t="s">
        <v>6</v>
      </c>
      <c r="I1" t="s">
        <v>40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s="1" t="s">
        <v>34</v>
      </c>
      <c r="B2" t="str">
        <f>'Step 2'!V2</f>
        <v>NC(CSC(C1=CC=CC=C1)C2=CC=CC=C2)=O</v>
      </c>
      <c r="C2">
        <v>257.35000000000002</v>
      </c>
      <c r="D2" t="s">
        <v>27</v>
      </c>
      <c r="E2" t="s">
        <v>27</v>
      </c>
      <c r="F2" t="s">
        <v>27</v>
      </c>
      <c r="G2">
        <v>0</v>
      </c>
      <c r="H2">
        <v>0.66500000000000004</v>
      </c>
      <c r="I2" t="s">
        <v>52</v>
      </c>
      <c r="K2">
        <f>H2*G2</f>
        <v>0</v>
      </c>
      <c r="L2">
        <f>H2*C2</f>
        <v>171.13775000000001</v>
      </c>
      <c r="N2">
        <v>2.6666666666999999</v>
      </c>
      <c r="O2">
        <v>52.97</v>
      </c>
      <c r="P2">
        <v>0.68765291679999996</v>
      </c>
      <c r="R2">
        <f>N2</f>
        <v>2.6666666666999999</v>
      </c>
      <c r="S2">
        <f>SUM(K2:K12)+N2*O2</f>
        <v>154.50873012716843</v>
      </c>
      <c r="T2">
        <f>SUM(L2:L12)</f>
        <v>216.52829000000003</v>
      </c>
      <c r="V2" t="s">
        <v>38</v>
      </c>
      <c r="W2">
        <v>273.35000000000002</v>
      </c>
      <c r="X2">
        <f>S2/Y2</f>
        <v>337.8796910506303</v>
      </c>
      <c r="Y2">
        <f>P2*MIN(H2)</f>
        <v>0.457289189672</v>
      </c>
      <c r="Z2">
        <f>R2*S2*T2</f>
        <v>89214.696333134561</v>
      </c>
    </row>
    <row r="3" spans="1:26" x14ac:dyDescent="0.2">
      <c r="A3" t="s">
        <v>54</v>
      </c>
      <c r="B3" t="s">
        <v>35</v>
      </c>
      <c r="C3">
        <v>34.01</v>
      </c>
      <c r="D3" s="2" t="s">
        <v>53</v>
      </c>
      <c r="E3">
        <v>13</v>
      </c>
      <c r="F3">
        <v>28.5849056604</v>
      </c>
      <c r="G3">
        <f>E3/(F3/C3)</f>
        <v>15.46725412540029</v>
      </c>
      <c r="H3">
        <v>0.79800000000000004</v>
      </c>
      <c r="I3" t="s">
        <v>55</v>
      </c>
      <c r="K3">
        <f t="shared" ref="K3:K4" si="0">H3*G3</f>
        <v>12.342868792069432</v>
      </c>
      <c r="L3">
        <f t="shared" ref="L3:L4" si="1">H3*C3</f>
        <v>27.139980000000001</v>
      </c>
    </row>
    <row r="4" spans="1:26" x14ac:dyDescent="0.2">
      <c r="A4" t="s">
        <v>37</v>
      </c>
      <c r="B4" t="s">
        <v>36</v>
      </c>
      <c r="C4">
        <v>190.11</v>
      </c>
      <c r="D4" s="2" t="s">
        <v>57</v>
      </c>
      <c r="E4">
        <v>125</v>
      </c>
      <c r="F4">
        <v>2500</v>
      </c>
      <c r="G4">
        <f t="shared" ref="G4" si="2">E4/(F4/C4)</f>
        <v>9.5054999999999996</v>
      </c>
      <c r="H4">
        <v>9.6000000000000002E-2</v>
      </c>
      <c r="I4" t="s">
        <v>56</v>
      </c>
      <c r="K4">
        <f t="shared" si="0"/>
        <v>0.91252800000000001</v>
      </c>
      <c r="L4">
        <f t="shared" si="1"/>
        <v>18.25056</v>
      </c>
    </row>
  </sheetData>
  <hyperlinks>
    <hyperlink ref="D3" r:id="rId1" xr:uid="{0CBB5D8F-5B8B-2242-81FD-6E67FD46C3E0}"/>
    <hyperlink ref="D4" r:id="rId2" xr:uid="{F8EDFAFB-D3C3-FF41-8718-E10892560D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1</vt:lpstr>
      <vt:lpstr>Step 2</vt:lpstr>
      <vt:lpstr>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Seifrid</dc:creator>
  <cp:lastModifiedBy>Martin Seifrid</cp:lastModifiedBy>
  <dcterms:created xsi:type="dcterms:W3CDTF">2020-11-24T20:49:07Z</dcterms:created>
  <dcterms:modified xsi:type="dcterms:W3CDTF">2021-05-04T00:01:20Z</dcterms:modified>
</cp:coreProperties>
</file>