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ifrid/Dropbox (Aspuru-Guzik Lab)/Matter Lab/Data/Code/Chemical subway/RouteScore_preprint/modafinil/"/>
    </mc:Choice>
  </mc:AlternateContent>
  <xr:revisionPtr revIDLastSave="0" documentId="13_ncr:1_{B994FD46-2E8D-5A42-B916-DAE35D171E1A}" xr6:coauthVersionLast="46" xr6:coauthVersionMax="46" xr10:uidLastSave="{00000000-0000-0000-0000-000000000000}"/>
  <bookViews>
    <workbookView xWindow="0" yWindow="460" windowWidth="35840" windowHeight="21940" activeTab="1" xr2:uid="{28D7DF1D-3A1A-3649-A2BA-5BD4F25E7270}"/>
  </bookViews>
  <sheets>
    <sheet name="Step 1" sheetId="1" r:id="rId1"/>
    <sheet name="Ste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L3" i="2"/>
  <c r="G3" i="2"/>
  <c r="K3" i="2" s="1"/>
  <c r="Y2" i="2"/>
  <c r="R2" i="2"/>
  <c r="L2" i="2"/>
  <c r="Y2" i="1"/>
  <c r="L7" i="1"/>
  <c r="G7" i="1"/>
  <c r="K7" i="1" s="1"/>
  <c r="L6" i="1"/>
  <c r="G6" i="1"/>
  <c r="K6" i="1" s="1"/>
  <c r="L5" i="1"/>
  <c r="G5" i="1"/>
  <c r="K5" i="1" s="1"/>
  <c r="L4" i="1"/>
  <c r="G4" i="1"/>
  <c r="K4" i="1" s="1"/>
  <c r="L3" i="1"/>
  <c r="G3" i="1"/>
  <c r="K3" i="1" s="1"/>
  <c r="R2" i="1"/>
  <c r="L2" i="1"/>
  <c r="G2" i="1"/>
  <c r="K2" i="1" s="1"/>
  <c r="T2" i="2" l="1"/>
  <c r="T2" i="1"/>
  <c r="S2" i="1"/>
  <c r="X2" i="1" s="1"/>
  <c r="K2" i="2" s="1"/>
  <c r="S2" i="2" s="1"/>
  <c r="X2" i="2" s="1"/>
  <c r="Z2" i="2" l="1"/>
  <c r="Z2" i="1"/>
</calcChain>
</file>

<file path=xl/sharedStrings.xml><?xml version="1.0" encoding="utf-8"?>
<sst xmlns="http://schemas.openxmlformats.org/spreadsheetml/2006/main" count="79" uniqueCount="55">
  <si>
    <t>Molecule</t>
  </si>
  <si>
    <t>SMILES</t>
  </si>
  <si>
    <t>MW</t>
  </si>
  <si>
    <t>buy CAD</t>
  </si>
  <si>
    <t>buy mass</t>
  </si>
  <si>
    <t>$/mol</t>
  </si>
  <si>
    <t>rxn moles</t>
  </si>
  <si>
    <t>n_i*C_i</t>
  </si>
  <si>
    <t>n_i*M_i</t>
  </si>
  <si>
    <t>t_H</t>
  </si>
  <si>
    <t>C_H</t>
  </si>
  <si>
    <t>Yield</t>
  </si>
  <si>
    <t>C_time</t>
  </si>
  <si>
    <t>C_money</t>
  </si>
  <si>
    <t>C_mass</t>
  </si>
  <si>
    <t>prod SMILES</t>
  </si>
  <si>
    <t>prod MW</t>
  </si>
  <si>
    <t>prod $/mol</t>
  </si>
  <si>
    <t>n_prod</t>
  </si>
  <si>
    <t>raw SS</t>
  </si>
  <si>
    <t>thiourea</t>
  </si>
  <si>
    <t>NC(N)=S</t>
  </si>
  <si>
    <t>potassium iodide</t>
  </si>
  <si>
    <t>[K+].[I-]</t>
  </si>
  <si>
    <t>ClC(C1=CC=CC=C1)C2=CC=CC=C2</t>
  </si>
  <si>
    <t>sodium hydroxide</t>
  </si>
  <si>
    <t>[Na+].[OH-]</t>
  </si>
  <si>
    <t>triethylamine</t>
  </si>
  <si>
    <t>chloroacetamide</t>
  </si>
  <si>
    <t>CCN(CC)CC</t>
  </si>
  <si>
    <t>ClCC(N)=O</t>
  </si>
  <si>
    <t>NC(CSC(C1=CC=CC=C1)C2=CC=CC=C2)=O</t>
  </si>
  <si>
    <t>–</t>
  </si>
  <si>
    <t>2-(Benzhydrylthio)acetamide</t>
  </si>
  <si>
    <t>O=S(CC(N)=O)C(C1=CC=CC=C1)C2=CC=CC=C2</t>
  </si>
  <si>
    <t>OO</t>
  </si>
  <si>
    <t>Vendor</t>
  </si>
  <si>
    <t>rxn qty</t>
  </si>
  <si>
    <t>https://www.sigmaaldrich.com/catalog/product/mm/818591?lang=en&amp;region=CA</t>
  </si>
  <si>
    <t>20 g</t>
  </si>
  <si>
    <t>700 mg</t>
  </si>
  <si>
    <t>44 g</t>
  </si>
  <si>
    <t>https://www.sigmaaldrich.com/catalog/product/aldrich/125032?lang=en&amp;region=CA</t>
  </si>
  <si>
    <t>https://www.sigmaaldrich.com/catalog/product/sigald/03124?lang=en&amp;region=CA</t>
  </si>
  <si>
    <t>29 g</t>
  </si>
  <si>
    <t>https://www.sigmaaldrich.com/catalog/product/sigald/06203?lang=en&amp;region=CA</t>
  </si>
  <si>
    <t>24.1 g</t>
  </si>
  <si>
    <t>22 g</t>
  </si>
  <si>
    <t>https://www.sigmaaldrich.com/catalog/product/aldrich/w424601?lang=en&amp;region=CA</t>
  </si>
  <si>
    <t>https://www.sigmaaldrich.com/catalog/product/mm/802412?lang=en&amp;region=CA</t>
  </si>
  <si>
    <t>https://www.sigmaaldrich.com/catalog/product/sigald/349887?lang=en&amp;region=CA</t>
  </si>
  <si>
    <t>30 g</t>
  </si>
  <si>
    <t>35% hydrogen peroxide</t>
  </si>
  <si>
    <t>11.7 g</t>
  </si>
  <si>
    <t>benzhydryl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</si>
</sst>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sigald/03124?lang=en&amp;region=CA" TargetMode="External"/><Relationship Id="rId2" Type="http://schemas.openxmlformats.org/officeDocument/2006/relationships/hyperlink" Target="https://www.sigmaaldrich.com/catalog/product/mm/818591?lang=en&amp;region=CA" TargetMode="External"/><Relationship Id="rId1" Type="http://schemas.openxmlformats.org/officeDocument/2006/relationships/hyperlink" Target="https://www.sigmaaldrich.com/catalog/product/mm/802412?lang=en&amp;region=CA" TargetMode="External"/><Relationship Id="rId6" Type="http://schemas.openxmlformats.org/officeDocument/2006/relationships/hyperlink" Target="https://www.sigmaaldrich.com/catalog/product/aldrich/w424601?lang=en&amp;region=CA" TargetMode="External"/><Relationship Id="rId5" Type="http://schemas.openxmlformats.org/officeDocument/2006/relationships/hyperlink" Target="https://www.sigmaaldrich.com/catalog/product/sigald/06203?lang=en&amp;region=CA" TargetMode="External"/><Relationship Id="rId4" Type="http://schemas.openxmlformats.org/officeDocument/2006/relationships/hyperlink" Target="https://www.sigmaaldrich.com/catalog/product/aldrich/125032?lang=en&amp;region=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maaldrich.com/catalog/product/sigald/349887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EE46-976B-904F-9369-2E8FD789F198}">
  <dimension ref="A1:Z7"/>
  <sheetViews>
    <sheetView topLeftCell="D1" workbookViewId="0">
      <selection activeCell="Z1" sqref="Z1:Z10485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37</v>
      </c>
      <c r="K1" t="s">
        <v>7</v>
      </c>
      <c r="L1" t="s">
        <v>8</v>
      </c>
      <c r="N1" t="s">
        <v>9</v>
      </c>
      <c r="O1" t="s">
        <v>10</v>
      </c>
      <c r="P1" t="s">
        <v>11</v>
      </c>
      <c r="R1" t="s">
        <v>12</v>
      </c>
      <c r="S1" t="s">
        <v>13</v>
      </c>
      <c r="T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20</v>
      </c>
      <c r="B2" t="s">
        <v>21</v>
      </c>
      <c r="C2">
        <v>76.12</v>
      </c>
      <c r="D2" s="1" t="s">
        <v>38</v>
      </c>
      <c r="E2">
        <v>605</v>
      </c>
      <c r="F2">
        <v>25000</v>
      </c>
      <c r="G2">
        <f>E2/(F2/C2)</f>
        <v>1.8421040000000002</v>
      </c>
      <c r="H2">
        <v>0.26274303729999998</v>
      </c>
      <c r="I2" t="s">
        <v>39</v>
      </c>
      <c r="K2">
        <f>H2*G2</f>
        <v>0.48399999998247922</v>
      </c>
      <c r="L2">
        <f>H2*C2</f>
        <v>19.999999999276</v>
      </c>
      <c r="N2">
        <v>3.75</v>
      </c>
      <c r="O2">
        <v>52.97</v>
      </c>
      <c r="P2">
        <v>0.54</v>
      </c>
      <c r="R2">
        <f>N2</f>
        <v>3.75</v>
      </c>
      <c r="S2">
        <f>SUM(K2:K12)+N2*O2</f>
        <v>381.49530781341662</v>
      </c>
      <c r="T2">
        <f>SUM(L2:L12)</f>
        <v>139.80000001263301</v>
      </c>
      <c r="V2" t="s">
        <v>31</v>
      </c>
      <c r="W2">
        <v>257.35000000000002</v>
      </c>
      <c r="X2">
        <f>S2/(Y2)</f>
        <v>3254.270579635433</v>
      </c>
      <c r="Y2">
        <f>P2*MIN(H4)</f>
        <v>0.11722912968600001</v>
      </c>
      <c r="Z2">
        <f>R2*S2*T2</f>
        <v>199998.91513925654</v>
      </c>
    </row>
    <row r="3" spans="1:26" x14ac:dyDescent="0.2">
      <c r="A3" t="s">
        <v>22</v>
      </c>
      <c r="B3" t="s">
        <v>23</v>
      </c>
      <c r="C3">
        <v>166</v>
      </c>
      <c r="D3" s="1" t="s">
        <v>43</v>
      </c>
      <c r="E3">
        <v>1730</v>
      </c>
      <c r="F3">
        <v>1000</v>
      </c>
      <c r="G3">
        <f>E3/(F3/C3)</f>
        <v>287.18</v>
      </c>
      <c r="H3">
        <v>4.2168674699999999E-3</v>
      </c>
      <c r="I3" t="s">
        <v>40</v>
      </c>
      <c r="K3">
        <f t="shared" ref="K3:K7" si="0">H3*G3</f>
        <v>1.2110000000346</v>
      </c>
      <c r="L3">
        <f t="shared" ref="L3:L7" si="1">H3*C3</f>
        <v>0.70000000001999996</v>
      </c>
    </row>
    <row r="4" spans="1:26" x14ac:dyDescent="0.2">
      <c r="A4" t="s">
        <v>54</v>
      </c>
      <c r="B4" t="s">
        <v>24</v>
      </c>
      <c r="C4">
        <v>202.68</v>
      </c>
      <c r="D4" s="1" t="s">
        <v>42</v>
      </c>
      <c r="E4">
        <v>402</v>
      </c>
      <c r="F4">
        <v>100</v>
      </c>
      <c r="G4">
        <f t="shared" ref="G4:G7" si="2">E4/(F4/C4)</f>
        <v>814.77359999999999</v>
      </c>
      <c r="H4">
        <v>0.21709098090000001</v>
      </c>
      <c r="I4" t="s">
        <v>41</v>
      </c>
      <c r="K4">
        <f t="shared" si="0"/>
        <v>176.88000003542425</v>
      </c>
      <c r="L4">
        <f t="shared" si="1"/>
        <v>44.000000008812002</v>
      </c>
    </row>
    <row r="5" spans="1:26" x14ac:dyDescent="0.2">
      <c r="A5" t="s">
        <v>25</v>
      </c>
      <c r="B5" t="s">
        <v>26</v>
      </c>
      <c r="C5">
        <v>40</v>
      </c>
      <c r="D5" s="1" t="s">
        <v>45</v>
      </c>
      <c r="E5">
        <v>13900</v>
      </c>
      <c r="F5">
        <v>288000</v>
      </c>
      <c r="G5">
        <f t="shared" si="2"/>
        <v>1.9305555555555556</v>
      </c>
      <c r="H5">
        <v>0.72499999999999998</v>
      </c>
      <c r="I5" t="s">
        <v>44</v>
      </c>
      <c r="K5">
        <f t="shared" si="0"/>
        <v>1.3996527777777779</v>
      </c>
      <c r="L5">
        <f t="shared" si="1"/>
        <v>29</v>
      </c>
    </row>
    <row r="6" spans="1:26" x14ac:dyDescent="0.2">
      <c r="A6" t="s">
        <v>27</v>
      </c>
      <c r="B6" t="s">
        <v>29</v>
      </c>
      <c r="C6">
        <v>101.19</v>
      </c>
      <c r="D6" s="1" t="s">
        <v>48</v>
      </c>
      <c r="E6">
        <v>671</v>
      </c>
      <c r="F6">
        <v>20000</v>
      </c>
      <c r="G6">
        <f t="shared" si="2"/>
        <v>3.3949244999999997</v>
      </c>
      <c r="H6">
        <v>0.2381658267</v>
      </c>
      <c r="I6" t="s">
        <v>46</v>
      </c>
      <c r="K6">
        <f t="shared" si="0"/>
        <v>0.8085550001265841</v>
      </c>
      <c r="L6">
        <f t="shared" si="1"/>
        <v>24.100000003773001</v>
      </c>
    </row>
    <row r="7" spans="1:26" x14ac:dyDescent="0.2">
      <c r="A7" t="s">
        <v>28</v>
      </c>
      <c r="B7" t="s">
        <v>30</v>
      </c>
      <c r="C7">
        <v>93.51</v>
      </c>
      <c r="D7" s="1" t="s">
        <v>49</v>
      </c>
      <c r="E7">
        <v>94.3</v>
      </c>
      <c r="F7">
        <v>1000</v>
      </c>
      <c r="G7">
        <f t="shared" si="2"/>
        <v>8.8179929999999995</v>
      </c>
      <c r="H7">
        <v>0.23526895519999999</v>
      </c>
      <c r="I7" t="s">
        <v>47</v>
      </c>
      <c r="K7">
        <f t="shared" si="0"/>
        <v>2.0746000000709133</v>
      </c>
      <c r="L7">
        <f t="shared" si="1"/>
        <v>22.000000000751999</v>
      </c>
    </row>
  </sheetData>
  <hyperlinks>
    <hyperlink ref="D7" r:id="rId1" xr:uid="{B4A53BFB-7B31-5D4E-AFF8-809AA1F53FF2}"/>
    <hyperlink ref="D2" r:id="rId2" xr:uid="{437E35F3-A2EF-2E47-9AAE-E13AC0FAD615}"/>
    <hyperlink ref="D3" r:id="rId3" xr:uid="{D3B9FD09-C3A8-2C4B-9C14-CC225F8B4494}"/>
    <hyperlink ref="D4" r:id="rId4" xr:uid="{84E15D6A-969D-DB48-BF60-7EB72453CC7A}"/>
    <hyperlink ref="D5" r:id="rId5" xr:uid="{DBC53754-C8CA-9E47-9CC2-8BA0A2A8C439}"/>
    <hyperlink ref="D6" r:id="rId6" xr:uid="{3D0631C7-0A35-7A41-AED7-970FA570B8F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36B2-23C6-3440-B632-18CBB8512D03}">
  <dimension ref="A1:Z3"/>
  <sheetViews>
    <sheetView tabSelected="1" workbookViewId="0">
      <selection activeCell="Z1" sqref="Z1:Z10485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37</v>
      </c>
      <c r="K1" t="s">
        <v>7</v>
      </c>
      <c r="L1" t="s">
        <v>8</v>
      </c>
      <c r="N1" t="s">
        <v>9</v>
      </c>
      <c r="O1" t="s">
        <v>10</v>
      </c>
      <c r="P1" t="s">
        <v>11</v>
      </c>
      <c r="R1" t="s">
        <v>12</v>
      </c>
      <c r="S1" t="s">
        <v>13</v>
      </c>
      <c r="T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33</v>
      </c>
      <c r="B2" s="3" t="str">
        <f>'Step 1'!V2</f>
        <v>NC(CSC(C1=CC=CC=C1)C2=CC=CC=C2)=O</v>
      </c>
      <c r="C2">
        <v>257.35000000000002</v>
      </c>
      <c r="D2" t="s">
        <v>32</v>
      </c>
      <c r="E2" t="s">
        <v>32</v>
      </c>
      <c r="F2" t="s">
        <v>32</v>
      </c>
      <c r="G2">
        <v>0</v>
      </c>
      <c r="H2">
        <v>0.11722912968600001</v>
      </c>
      <c r="I2" t="s">
        <v>51</v>
      </c>
      <c r="K2">
        <f>H2*G2</f>
        <v>0</v>
      </c>
      <c r="L2">
        <f>H2*C2</f>
        <v>30.168916524692104</v>
      </c>
      <c r="N2">
        <v>1.8333333332999999</v>
      </c>
      <c r="O2">
        <v>52.97</v>
      </c>
      <c r="P2">
        <v>0.93</v>
      </c>
      <c r="R2">
        <f>N2</f>
        <v>1.8333333332999999</v>
      </c>
      <c r="S2">
        <f>SUM(K2:K12)+N2*O2</f>
        <v>99.717542138640667</v>
      </c>
      <c r="T2">
        <f>SUM(L2:L12)</f>
        <v>41.868916523149103</v>
      </c>
      <c r="V2" t="s">
        <v>34</v>
      </c>
      <c r="W2">
        <v>273.35000000000002</v>
      </c>
      <c r="X2">
        <f>S2/Y2</f>
        <v>914.64607710673147</v>
      </c>
      <c r="Y2">
        <f>P2*MIN(H2:H6)</f>
        <v>0.10902309060798002</v>
      </c>
      <c r="Z2">
        <f>R2*S2*T2</f>
        <v>7654.2866539708048</v>
      </c>
    </row>
    <row r="3" spans="1:26" x14ac:dyDescent="0.2">
      <c r="A3" t="s">
        <v>52</v>
      </c>
      <c r="B3" t="s">
        <v>35</v>
      </c>
      <c r="C3">
        <v>34.01</v>
      </c>
      <c r="D3" s="1" t="s">
        <v>50</v>
      </c>
      <c r="E3">
        <v>261</v>
      </c>
      <c r="F3" s="2">
        <v>1171.8518518518999</v>
      </c>
      <c r="G3">
        <f>E3/(F3/C3)</f>
        <v>7.5748568268012066</v>
      </c>
      <c r="H3">
        <v>0.3440164657</v>
      </c>
      <c r="I3" t="s">
        <v>53</v>
      </c>
      <c r="K3">
        <f t="shared" ref="K3" si="0">H3*G3</f>
        <v>2.6058754737396681</v>
      </c>
      <c r="L3">
        <f t="shared" ref="L3" si="1">H3*C3</f>
        <v>11.699999998456999</v>
      </c>
    </row>
  </sheetData>
  <hyperlinks>
    <hyperlink ref="D3" r:id="rId1" xr:uid="{93DB4E14-8C25-3349-8FF9-87C2BA36B57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Seifrid</dc:creator>
  <cp:lastModifiedBy>Martin Seifrid</cp:lastModifiedBy>
  <dcterms:created xsi:type="dcterms:W3CDTF">2020-11-23T22:52:26Z</dcterms:created>
  <dcterms:modified xsi:type="dcterms:W3CDTF">2021-05-04T00:03:53Z</dcterms:modified>
</cp:coreProperties>
</file>