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Data/Code/Subway_Maps/_Modafinil/"/>
    </mc:Choice>
  </mc:AlternateContent>
  <xr:revisionPtr revIDLastSave="0" documentId="13_ncr:1_{7F5D3A8C-F559-AA40-8C54-E8488FBBD200}" xr6:coauthVersionLast="47" xr6:coauthVersionMax="47" xr10:uidLastSave="{00000000-0000-0000-0000-000000000000}"/>
  <bookViews>
    <workbookView xWindow="0" yWindow="460" windowWidth="35840" windowHeight="21940" activeTab="2" xr2:uid="{662B73D7-7059-1B4C-85E4-D7993B3B5A7C}"/>
  </bookViews>
  <sheets>
    <sheet name="Step 1" sheetId="1" r:id="rId1"/>
    <sheet name="Step 2" sheetId="2" r:id="rId2"/>
    <sheet name="Step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2" i="3"/>
  <c r="Y2" i="1"/>
  <c r="L3" i="3"/>
  <c r="G3" i="3"/>
  <c r="K3" i="3" s="1"/>
  <c r="Y2" i="3"/>
  <c r="R2" i="3"/>
  <c r="L2" i="3"/>
  <c r="T2" i="3" s="1"/>
  <c r="L3" i="2"/>
  <c r="G3" i="2"/>
  <c r="K3" i="2" s="1"/>
  <c r="Y2" i="2"/>
  <c r="R2" i="2"/>
  <c r="L2" i="2"/>
  <c r="T2" i="2" l="1"/>
  <c r="L4" i="1" l="1"/>
  <c r="G4" i="1"/>
  <c r="K4" i="1" s="1"/>
  <c r="L3" i="1"/>
  <c r="G3" i="1"/>
  <c r="K3" i="1" s="1"/>
  <c r="R2" i="1"/>
  <c r="L2" i="1"/>
  <c r="G2" i="1"/>
  <c r="K2" i="1" s="1"/>
  <c r="T2" i="1" l="1"/>
  <c r="S2" i="1"/>
  <c r="X2" i="1" s="1"/>
  <c r="K2" i="2" s="1"/>
  <c r="S2" i="2" s="1"/>
  <c r="X2" i="2" l="1"/>
  <c r="K2" i="3" s="1"/>
  <c r="S2" i="3" s="1"/>
  <c r="Z2" i="2"/>
  <c r="Z2" i="1"/>
  <c r="X2" i="3" l="1"/>
  <c r="Z2" i="3"/>
</calcChain>
</file>

<file path=xl/sharedStrings.xml><?xml version="1.0" encoding="utf-8"?>
<sst xmlns="http://schemas.openxmlformats.org/spreadsheetml/2006/main" count="99" uniqueCount="49">
  <si>
    <t>Molecule</t>
  </si>
  <si>
    <t>SMILES</t>
  </si>
  <si>
    <t>MW</t>
  </si>
  <si>
    <t>buy CAD</t>
  </si>
  <si>
    <t>buy mass</t>
  </si>
  <si>
    <t>$/mol</t>
  </si>
  <si>
    <t>rxn moles</t>
  </si>
  <si>
    <t>n_i*C_i</t>
  </si>
  <si>
    <t>n_i*M_i</t>
  </si>
  <si>
    <t>t_H</t>
  </si>
  <si>
    <t>C_H</t>
  </si>
  <si>
    <t>Yield</t>
  </si>
  <si>
    <t>C_time</t>
  </si>
  <si>
    <t>C_money</t>
  </si>
  <si>
    <t>C_mass</t>
  </si>
  <si>
    <t>prod SMILES</t>
  </si>
  <si>
    <t>prod MW</t>
  </si>
  <si>
    <t>prod $/mol</t>
  </si>
  <si>
    <t>n_prod</t>
  </si>
  <si>
    <t>raw SS</t>
  </si>
  <si>
    <t>OC(C1=CC=CC=C1)C2=CC=CC=C2</t>
  </si>
  <si>
    <t>diphenylmethanol</t>
  </si>
  <si>
    <t>Nafion</t>
  </si>
  <si>
    <t>FC(F)(C(F)(F)F)C(F)(F)C(F)(F)C(F)(OC(F)(F)C(F)(F)OC(F)(F)C(F)(F)S(O)(=O)=O)F</t>
  </si>
  <si>
    <t>Methyl thioglycolate</t>
  </si>
  <si>
    <t>SCC(OC)=O</t>
  </si>
  <si>
    <t>O=C(CSC(C1=CC=CC=C1)C2=CC=CC=C2)OC</t>
  </si>
  <si>
    <t>–</t>
  </si>
  <si>
    <t>Methyl 2-(benzhydrylthio)acetate</t>
  </si>
  <si>
    <t>OO</t>
  </si>
  <si>
    <t>O=C(OC)CS(C(C1=CC=CC=C1)C2=CC=CC=C2)=O</t>
  </si>
  <si>
    <t>Methyl 2- (benzhydrylsulfinyl)acetate</t>
  </si>
  <si>
    <t>O=S(CC(N)=O)C(C1=CC=CC=C1)C2=CC=CC=C2</t>
  </si>
  <si>
    <t>Vendor</t>
  </si>
  <si>
    <t>rxn qty</t>
  </si>
  <si>
    <t>6.3 g</t>
  </si>
  <si>
    <t>3.5 g</t>
  </si>
  <si>
    <t>https://www.sigmaaldrich.com/catalog/product/aldrich/b4856?lang=en&amp;region=CA&amp;cm_sp=Insite-_-caSrpResults_srpRecs_srpModel_benzhydrol-_-srpRecs3-3</t>
  </si>
  <si>
    <t>https://www.sigmaaldrich.com/catalog/product/aldrich/108995?lang=en&amp;region=CA</t>
  </si>
  <si>
    <t>https://www.sigmaaldrich.com/catalog/product/ALDRICH/309389?lang=en&amp;region=CA</t>
  </si>
  <si>
    <t>https://www.sigmaaldrich.com/catalog/product/sigald/349887?lang=en&amp;region=CA</t>
  </si>
  <si>
    <t>4 mL</t>
  </si>
  <si>
    <t>7.9 g</t>
  </si>
  <si>
    <t>50 mL</t>
  </si>
  <si>
    <t>hydrogen peroxide</t>
  </si>
  <si>
    <t>50 mg</t>
  </si>
  <si>
    <t>ammonia</t>
  </si>
  <si>
    <t>N</t>
  </si>
  <si>
    <t>https://www.sigmaaldrich.com/catalog/product/aldrich/294993?lang=en&amp;region=CA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</si>
</sst>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ALDRICH/309389?lang=en&amp;region=CA" TargetMode="External"/><Relationship Id="rId2" Type="http://schemas.openxmlformats.org/officeDocument/2006/relationships/hyperlink" Target="https://www.sigmaaldrich.com/catalog/product/aldrich/108995?lang=en&amp;region=CA" TargetMode="External"/><Relationship Id="rId1" Type="http://schemas.openxmlformats.org/officeDocument/2006/relationships/hyperlink" Target="https://www.sigmaaldrich.com/catalog/product/aldrich/b4856?lang=en&amp;region=CA&amp;cm_sp=Insite-_-caSrpResults_srpRecs_srpModel_benzhydrol-_-srpRecs3-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gmaaldrich.com/catalog/product/sigald/349887?lang=en&amp;region=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gmaaldrich.com/catalog/product/aldrich/294993?lang=en&amp;region=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3539-C27A-474D-AB54-C3F8D13988D2}">
  <dimension ref="A1:Z4"/>
  <sheetViews>
    <sheetView workbookViewId="0">
      <selection activeCell="U12" sqref="U12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t="s">
        <v>21</v>
      </c>
      <c r="B2" t="s">
        <v>20</v>
      </c>
      <c r="C2">
        <v>184.23</v>
      </c>
      <c r="D2" s="2" t="s">
        <v>37</v>
      </c>
      <c r="E2">
        <v>170</v>
      </c>
      <c r="F2">
        <v>500</v>
      </c>
      <c r="G2">
        <f>E2/(F2/C2)</f>
        <v>62.638199999999998</v>
      </c>
      <c r="H2">
        <v>3.4000000000000002E-2</v>
      </c>
      <c r="I2" t="s">
        <v>35</v>
      </c>
      <c r="K2">
        <f>H2*G2</f>
        <v>2.1296987999999999</v>
      </c>
      <c r="L2">
        <f>H2*C2</f>
        <v>6.2638199999999999</v>
      </c>
      <c r="N2">
        <v>1</v>
      </c>
      <c r="O2">
        <v>52.97</v>
      </c>
      <c r="P2">
        <v>0.88</v>
      </c>
      <c r="R2">
        <f>N2</f>
        <v>1</v>
      </c>
      <c r="S2">
        <f>SUM(K2:K12)+N2*O2</f>
        <v>56.869406199917599</v>
      </c>
      <c r="T2">
        <f>SUM(L2:L12)</f>
        <v>9.8164399999949996</v>
      </c>
      <c r="V2" t="s">
        <v>26</v>
      </c>
      <c r="W2">
        <v>272.36</v>
      </c>
      <c r="X2">
        <f>S2/Y2</f>
        <v>1958.3128856720937</v>
      </c>
      <c r="Y2">
        <f>P2*MIN(H2:H3)</f>
        <v>2.904E-2</v>
      </c>
      <c r="Z2">
        <f>R2*S2*T2</f>
        <v>558.25511379683473</v>
      </c>
    </row>
    <row r="3" spans="1:26" x14ac:dyDescent="0.2">
      <c r="A3" t="s">
        <v>24</v>
      </c>
      <c r="B3" t="s">
        <v>25</v>
      </c>
      <c r="C3">
        <v>106.14</v>
      </c>
      <c r="D3" s="2" t="s">
        <v>38</v>
      </c>
      <c r="E3">
        <v>135</v>
      </c>
      <c r="F3">
        <v>500</v>
      </c>
      <c r="G3">
        <f>E3/(F3/C3)</f>
        <v>28.657800000000002</v>
      </c>
      <c r="H3">
        <v>3.3000000000000002E-2</v>
      </c>
      <c r="I3" t="s">
        <v>36</v>
      </c>
      <c r="K3">
        <f t="shared" ref="K3:K4" si="0">H3*G3</f>
        <v>0.94570740000000009</v>
      </c>
      <c r="L3">
        <f t="shared" ref="L3:L4" si="1">H3*C3</f>
        <v>3.5026200000000003</v>
      </c>
    </row>
    <row r="4" spans="1:26" x14ac:dyDescent="0.2">
      <c r="A4" t="s">
        <v>22</v>
      </c>
      <c r="B4" t="s">
        <v>23</v>
      </c>
      <c r="C4">
        <v>1100</v>
      </c>
      <c r="D4" s="2" t="s">
        <v>39</v>
      </c>
      <c r="E4">
        <v>412</v>
      </c>
      <c r="F4">
        <v>25</v>
      </c>
      <c r="G4">
        <f t="shared" ref="G4" si="2">E4/(F4/C4)</f>
        <v>18128</v>
      </c>
      <c r="H4">
        <v>4.5454545450000002E-5</v>
      </c>
      <c r="I4" t="s">
        <v>45</v>
      </c>
      <c r="K4">
        <f t="shared" si="0"/>
        <v>0.82399999991760009</v>
      </c>
      <c r="L4">
        <f t="shared" si="1"/>
        <v>4.9999999995000002E-2</v>
      </c>
    </row>
  </sheetData>
  <hyperlinks>
    <hyperlink ref="D2" r:id="rId1" xr:uid="{CE0EE1FE-55F7-B544-92B1-8E24C291D368}"/>
    <hyperlink ref="D3" r:id="rId2" xr:uid="{05180347-8C3F-7E47-94EF-640B3FF05C0F}"/>
    <hyperlink ref="D4" r:id="rId3" xr:uid="{1A539F81-CBDA-4A49-9EAA-3936C512588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046B-A6E8-8647-B849-498B9AD9CD12}">
  <dimension ref="A1:Z3"/>
  <sheetViews>
    <sheetView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28</v>
      </c>
      <c r="B2" t="str">
        <f>'Step 1'!V2</f>
        <v>O=C(CSC(C1=CC=CC=C1)C2=CC=CC=C2)OC</v>
      </c>
      <c r="C2">
        <v>272.36</v>
      </c>
      <c r="D2" t="s">
        <v>27</v>
      </c>
      <c r="E2" t="s">
        <v>27</v>
      </c>
      <c r="F2" t="s">
        <v>27</v>
      </c>
      <c r="G2">
        <v>0</v>
      </c>
      <c r="H2">
        <v>2.9000000000000001E-2</v>
      </c>
      <c r="I2" t="s">
        <v>42</v>
      </c>
      <c r="K2">
        <f>H2*G2</f>
        <v>0</v>
      </c>
      <c r="L2">
        <f>H2*C2</f>
        <v>7.8984400000000008</v>
      </c>
      <c r="N2">
        <v>1.5</v>
      </c>
      <c r="O2">
        <v>52.97</v>
      </c>
      <c r="P2">
        <v>0.96</v>
      </c>
      <c r="R2">
        <f>N2</f>
        <v>1.5</v>
      </c>
      <c r="S2">
        <f>SUM(K2:K12)+N2*O2</f>
        <v>80.189761112199719</v>
      </c>
      <c r="T2">
        <f>SUM(L2:L12)</f>
        <v>11.197410000000001</v>
      </c>
      <c r="V2" t="s">
        <v>30</v>
      </c>
      <c r="W2">
        <v>288.36</v>
      </c>
      <c r="X2">
        <f>S2/Y2</f>
        <v>2880.37935029453</v>
      </c>
      <c r="Y2">
        <f>P2*MIN(H2:H6)</f>
        <v>2.784E-2</v>
      </c>
      <c r="Z2">
        <f>R2*S2*T2</f>
        <v>1346.8764494630345</v>
      </c>
    </row>
    <row r="3" spans="1:26" x14ac:dyDescent="0.2">
      <c r="A3" t="s">
        <v>44</v>
      </c>
      <c r="B3" t="s">
        <v>29</v>
      </c>
      <c r="C3">
        <v>34.01</v>
      </c>
      <c r="D3" s="2" t="s">
        <v>40</v>
      </c>
      <c r="E3">
        <v>261</v>
      </c>
      <c r="F3" s="3">
        <v>1171.8518518518999</v>
      </c>
      <c r="G3">
        <f>E3/(F3/C3)</f>
        <v>7.5748568268012066</v>
      </c>
      <c r="H3">
        <v>9.7000000000000003E-2</v>
      </c>
      <c r="I3" t="s">
        <v>41</v>
      </c>
      <c r="K3">
        <f t="shared" ref="K3" si="0">H3*G3</f>
        <v>0.73476111219971707</v>
      </c>
      <c r="L3">
        <f t="shared" ref="L3" si="1">H3*C3</f>
        <v>3.2989699999999997</v>
      </c>
    </row>
  </sheetData>
  <hyperlinks>
    <hyperlink ref="D3" r:id="rId1" xr:uid="{7DCC9B98-9A07-004A-A7D7-C0F777BD3313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EEC7-C513-E645-8D34-F7421F6092A9}">
  <dimension ref="A1:Z3"/>
  <sheetViews>
    <sheetView tabSelected="1" workbookViewId="0">
      <selection activeCell="A3" sqref="A3:F3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31</v>
      </c>
      <c r="B2" t="str">
        <f>'Step 2'!V2</f>
        <v>O=C(OC)CS(C(C1=CC=CC=C1)C2=CC=CC=C2)=O</v>
      </c>
      <c r="C2">
        <v>288.36</v>
      </c>
      <c r="D2" t="s">
        <v>27</v>
      </c>
      <c r="E2" t="s">
        <v>27</v>
      </c>
      <c r="F2" t="s">
        <v>27</v>
      </c>
      <c r="G2">
        <v>0</v>
      </c>
      <c r="H2">
        <v>2.7699999999999999E-2</v>
      </c>
      <c r="I2" t="s">
        <v>42</v>
      </c>
      <c r="K2">
        <f>H2*G2</f>
        <v>0</v>
      </c>
      <c r="L2">
        <f>H2*C2</f>
        <v>7.9875720000000001</v>
      </c>
      <c r="N2">
        <v>1.5</v>
      </c>
      <c r="O2">
        <v>52.97</v>
      </c>
      <c r="P2">
        <v>0.79</v>
      </c>
      <c r="R2">
        <f>N2</f>
        <v>1.5</v>
      </c>
      <c r="S2">
        <f>SUM(K2:K12)+N2*O2</f>
        <v>91.896917647058828</v>
      </c>
      <c r="T2">
        <f>SUM(L2:L12)</f>
        <v>10.542072000000001</v>
      </c>
      <c r="V2" t="s">
        <v>32</v>
      </c>
      <c r="W2">
        <v>273.35000000000002</v>
      </c>
      <c r="X2">
        <f>S2/Y2</f>
        <v>4199.4661448182987</v>
      </c>
      <c r="Y2">
        <f>P2*MIN(H2:H6)</f>
        <v>2.1883E-2</v>
      </c>
      <c r="Z2">
        <f>R2*S2*T2</f>
        <v>1453.1758836200472</v>
      </c>
    </row>
    <row r="3" spans="1:26" x14ac:dyDescent="0.2">
      <c r="A3" t="s">
        <v>46</v>
      </c>
      <c r="B3" t="s">
        <v>47</v>
      </c>
      <c r="C3">
        <v>17.03</v>
      </c>
      <c r="D3" s="2" t="s">
        <v>48</v>
      </c>
      <c r="E3">
        <v>828</v>
      </c>
      <c r="F3">
        <v>170</v>
      </c>
      <c r="G3">
        <f>E3/(F3/C3)</f>
        <v>82.946117647058827</v>
      </c>
      <c r="H3">
        <v>0.15</v>
      </c>
      <c r="I3" t="s">
        <v>43</v>
      </c>
      <c r="K3">
        <f t="shared" ref="K3" si="0">H3*G3</f>
        <v>12.441917647058824</v>
      </c>
      <c r="L3">
        <f t="shared" ref="L3" si="1">H3*C3</f>
        <v>2.5545</v>
      </c>
    </row>
  </sheetData>
  <hyperlinks>
    <hyperlink ref="D3" r:id="rId1" xr:uid="{802C8B39-80E7-3B4C-9C16-545C0BA5BF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2020-11-26T17:35:51Z</dcterms:created>
  <dcterms:modified xsi:type="dcterms:W3CDTF">2021-05-19T20:34:37Z</dcterms:modified>
</cp:coreProperties>
</file>