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ifrid/Dropbox (Aspuru-Guzik Lab)/Matter Lab/Data/Code/Chemical subway/RouteScore_preprint/modafinil/"/>
    </mc:Choice>
  </mc:AlternateContent>
  <xr:revisionPtr revIDLastSave="0" documentId="13_ncr:1_{05AD44A5-76FE-3A4B-A22E-5FC024FC86EE}" xr6:coauthVersionLast="46" xr6:coauthVersionMax="46" xr10:uidLastSave="{00000000-0000-0000-0000-000000000000}"/>
  <bookViews>
    <workbookView xWindow="0" yWindow="460" windowWidth="35840" windowHeight="21940" xr2:uid="{37E6F315-BE48-A244-9A26-6E3697DCFB59}"/>
  </bookViews>
  <sheets>
    <sheet name="Step 1" sheetId="1" r:id="rId1"/>
    <sheet name="Ste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L3" i="2"/>
  <c r="G3" i="2"/>
  <c r="K3" i="2" s="1"/>
  <c r="Y2" i="2"/>
  <c r="R2" i="2"/>
  <c r="L2" i="2"/>
  <c r="T2" i="2" s="1"/>
  <c r="Y2" i="1"/>
  <c r="E3" i="1"/>
  <c r="L4" i="1" l="1"/>
  <c r="G4" i="1"/>
  <c r="K4" i="1" s="1"/>
  <c r="L3" i="1"/>
  <c r="G3" i="1"/>
  <c r="K3" i="1" s="1"/>
  <c r="R2" i="1"/>
  <c r="L2" i="1"/>
  <c r="G2" i="1"/>
  <c r="K2" i="1" s="1"/>
  <c r="T2" i="1" l="1"/>
  <c r="S2" i="1"/>
  <c r="X2" i="1" s="1"/>
  <c r="K2" i="2" s="1"/>
  <c r="S2" i="2" s="1"/>
  <c r="X2" i="2" l="1"/>
  <c r="Z2" i="2"/>
  <c r="Z2" i="1"/>
</calcChain>
</file>

<file path=xl/sharedStrings.xml><?xml version="1.0" encoding="utf-8"?>
<sst xmlns="http://schemas.openxmlformats.org/spreadsheetml/2006/main" count="66" uniqueCount="43">
  <si>
    <t>Molecule</t>
  </si>
  <si>
    <t>SMILES</t>
  </si>
  <si>
    <t>MW</t>
  </si>
  <si>
    <t>buy CAD</t>
  </si>
  <si>
    <t>buy mass</t>
  </si>
  <si>
    <t>$/mol</t>
  </si>
  <si>
    <t>rxn moles</t>
  </si>
  <si>
    <t>n_i*C_i</t>
  </si>
  <si>
    <t>n_i*M_i</t>
  </si>
  <si>
    <t>t_H</t>
  </si>
  <si>
    <t>C_H</t>
  </si>
  <si>
    <t>Yield</t>
  </si>
  <si>
    <t>C_time</t>
  </si>
  <si>
    <t>C_money</t>
  </si>
  <si>
    <t>C_mass</t>
  </si>
  <si>
    <t>prod SMILES</t>
  </si>
  <si>
    <t>prod MW</t>
  </si>
  <si>
    <t>prod $/mol</t>
  </si>
  <si>
    <t>n_prod</t>
  </si>
  <si>
    <t>raw SS</t>
  </si>
  <si>
    <t>benzhydrol</t>
  </si>
  <si>
    <t>OC(C1=CC=CC=C1)C2=CC=CC=C2</t>
  </si>
  <si>
    <t>2-mercaptoacetamide</t>
  </si>
  <si>
    <t>SCC(N)=O</t>
  </si>
  <si>
    <t>Nafion</t>
  </si>
  <si>
    <t>FC(F)(C(F)(F)F)C(F)(F)C(F)(F)C(F)(OC(F)(F)C(F)(F)OC(F)(F)C(F)(F)S(O)(=O)=O)F</t>
  </si>
  <si>
    <t>NC(CSC(C1=CC=CC=C1)C2=CC=CC=C2)=O</t>
  </si>
  <si>
    <t>2-(benzhydrylthio)acetamide</t>
  </si>
  <si>
    <t>–</t>
  </si>
  <si>
    <t>hydrogen peroxide</t>
  </si>
  <si>
    <t>OO</t>
  </si>
  <si>
    <t>O=S(CC(N)=O)C(C1=CC=CC=C1)C2=CC=CC=C2</t>
  </si>
  <si>
    <t>Vendor</t>
  </si>
  <si>
    <t>rxn qty</t>
  </si>
  <si>
    <t>https://www.sigmaaldrich.com/catalog/product/aldrich/b4856?lang=en&amp;region=CA</t>
  </si>
  <si>
    <t>18.4 g</t>
  </si>
  <si>
    <t>9.1 g</t>
  </si>
  <si>
    <t>20 mg</t>
  </si>
  <si>
    <t>https://aksci.com/item_detail.php?cat=9295AE</t>
  </si>
  <si>
    <t>https://www.sigmaaldrich.com/catalog/product/sigald/349887?lang=en&amp;region=CA</t>
  </si>
  <si>
    <t>22.4 g</t>
  </si>
  <si>
    <t>11.6 mL</t>
  </si>
  <si>
    <t>https://www.sigmaaldrich.com/catalog/product/ALDRICH/309389?lang=en&amp;region=CA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</si>
</sst>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ALDRICH/309389?lang=en&amp;region=CA" TargetMode="External"/><Relationship Id="rId2" Type="http://schemas.openxmlformats.org/officeDocument/2006/relationships/hyperlink" Target="https://aksci.com/item_detail.php?cat=9295AE" TargetMode="External"/><Relationship Id="rId1" Type="http://schemas.openxmlformats.org/officeDocument/2006/relationships/hyperlink" Target="https://www.sigmaaldrich.com/catalog/product/aldrich/b4856?lang=en&amp;region=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maaldrich.com/catalog/product/sigald/349887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846B-237E-AA4F-A65C-9A4DB388D710}">
  <dimension ref="A1:Z4"/>
  <sheetViews>
    <sheetView tabSelected="1" workbookViewId="0">
      <selection activeCell="U12" sqref="U1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33</v>
      </c>
      <c r="K1" t="s">
        <v>7</v>
      </c>
      <c r="L1" t="s">
        <v>8</v>
      </c>
      <c r="N1" t="s">
        <v>9</v>
      </c>
      <c r="O1" t="s">
        <v>10</v>
      </c>
      <c r="P1" t="s">
        <v>11</v>
      </c>
      <c r="R1" t="s">
        <v>12</v>
      </c>
      <c r="S1" t="s">
        <v>13</v>
      </c>
      <c r="T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t="s">
        <v>20</v>
      </c>
      <c r="B2" t="s">
        <v>21</v>
      </c>
      <c r="C2">
        <v>184.23</v>
      </c>
      <c r="D2" s="2" t="s">
        <v>34</v>
      </c>
      <c r="E2">
        <v>170</v>
      </c>
      <c r="F2">
        <v>500</v>
      </c>
      <c r="G2">
        <f>E2/(F2/C2)</f>
        <v>62.638199999999998</v>
      </c>
      <c r="H2">
        <v>0.1</v>
      </c>
      <c r="I2" t="s">
        <v>35</v>
      </c>
      <c r="K2">
        <f>H2*G2</f>
        <v>6.2638199999999999</v>
      </c>
      <c r="L2">
        <f>H2*C2</f>
        <v>18.422999999999998</v>
      </c>
      <c r="N2">
        <v>1</v>
      </c>
      <c r="O2">
        <v>52.97</v>
      </c>
      <c r="P2">
        <v>0.88</v>
      </c>
      <c r="R2">
        <f>N2</f>
        <v>1</v>
      </c>
      <c r="S2">
        <f>SUM(K2:K12)+N2*O2</f>
        <v>289.84892999996703</v>
      </c>
      <c r="T2">
        <f>SUM(L2:L12)</f>
        <v>27.555999999997997</v>
      </c>
      <c r="V2" t="s">
        <v>26</v>
      </c>
      <c r="W2">
        <v>257.35000000000002</v>
      </c>
      <c r="X2">
        <f>S2/Y2</f>
        <v>3293.737840908716</v>
      </c>
      <c r="Y2">
        <f>P2*MIN(H2)</f>
        <v>8.8000000000000009E-2</v>
      </c>
      <c r="Z2">
        <f>R2*S2*T2</f>
        <v>7987.0771150785113</v>
      </c>
    </row>
    <row r="3" spans="1:26" x14ac:dyDescent="0.2">
      <c r="A3" t="s">
        <v>22</v>
      </c>
      <c r="B3" t="s">
        <v>23</v>
      </c>
      <c r="C3">
        <v>91.13</v>
      </c>
      <c r="D3" s="2" t="s">
        <v>38</v>
      </c>
      <c r="E3">
        <f>1.33*95</f>
        <v>126.35000000000001</v>
      </c>
      <c r="F3">
        <v>5</v>
      </c>
      <c r="G3">
        <f>E3/(F3/C3)</f>
        <v>2302.8550999999998</v>
      </c>
      <c r="H3">
        <v>0.1</v>
      </c>
      <c r="I3" t="s">
        <v>36</v>
      </c>
      <c r="K3">
        <f t="shared" ref="K3:K4" si="0">H3*G3</f>
        <v>230.28550999999999</v>
      </c>
      <c r="L3">
        <f t="shared" ref="L3:L4" si="1">H3*C3</f>
        <v>9.1129999999999995</v>
      </c>
    </row>
    <row r="4" spans="1:26" x14ac:dyDescent="0.2">
      <c r="A4" t="s">
        <v>24</v>
      </c>
      <c r="B4" t="s">
        <v>25</v>
      </c>
      <c r="C4">
        <v>1100</v>
      </c>
      <c r="D4" s="2" t="s">
        <v>42</v>
      </c>
      <c r="E4">
        <v>412</v>
      </c>
      <c r="F4">
        <v>25</v>
      </c>
      <c r="G4">
        <f t="shared" ref="G4" si="2">E4/(F4/C4)</f>
        <v>18128</v>
      </c>
      <c r="H4">
        <v>1.8181818179999999E-5</v>
      </c>
      <c r="I4" t="s">
        <v>37</v>
      </c>
      <c r="K4">
        <f t="shared" si="0"/>
        <v>0.32959999996703998</v>
      </c>
      <c r="L4">
        <f t="shared" si="1"/>
        <v>1.9999999998E-2</v>
      </c>
    </row>
  </sheetData>
  <hyperlinks>
    <hyperlink ref="D2" r:id="rId1" xr:uid="{5F047780-8505-9A42-A4AA-1ABBD9339724}"/>
    <hyperlink ref="D3" r:id="rId2" xr:uid="{A46A59CE-ADA9-DC4A-8F45-0BCCA40A2A21}"/>
    <hyperlink ref="D4" r:id="rId3" xr:uid="{9A81D281-4B48-2D40-B5D6-245118B9E92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5A7D-658B-824B-90BD-6B702BB4D4B6}">
  <dimension ref="A1:Z3"/>
  <sheetViews>
    <sheetView workbookViewId="0">
      <selection activeCell="Z1" sqref="Z1:Z104857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33</v>
      </c>
      <c r="K1" t="s">
        <v>7</v>
      </c>
      <c r="L1" t="s">
        <v>8</v>
      </c>
      <c r="N1" t="s">
        <v>9</v>
      </c>
      <c r="O1" t="s">
        <v>10</v>
      </c>
      <c r="P1" t="s">
        <v>11</v>
      </c>
      <c r="R1" t="s">
        <v>12</v>
      </c>
      <c r="S1" t="s">
        <v>13</v>
      </c>
      <c r="T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s="1" t="s">
        <v>27</v>
      </c>
      <c r="B2" t="str">
        <f>'Step 1'!V2</f>
        <v>NC(CSC(C1=CC=CC=C1)C2=CC=CC=C2)=O</v>
      </c>
      <c r="C2">
        <v>257.35000000000002</v>
      </c>
      <c r="E2" t="s">
        <v>28</v>
      </c>
      <c r="F2" t="s">
        <v>28</v>
      </c>
      <c r="G2">
        <v>0</v>
      </c>
      <c r="H2">
        <v>8.6999999999999994E-2</v>
      </c>
      <c r="I2" t="s">
        <v>40</v>
      </c>
      <c r="K2">
        <f>H2*G2</f>
        <v>0</v>
      </c>
      <c r="L2">
        <f>H2*C2</f>
        <v>22.38945</v>
      </c>
      <c r="N2">
        <v>2</v>
      </c>
      <c r="O2">
        <v>52.97</v>
      </c>
      <c r="P2">
        <v>0.91</v>
      </c>
      <c r="R2">
        <f>N2</f>
        <v>2</v>
      </c>
      <c r="S2">
        <f>SUM(K2:K12)+N2*O2</f>
        <v>108.06095991150434</v>
      </c>
      <c r="T2">
        <f>SUM(L2:L12)</f>
        <v>31.91225</v>
      </c>
      <c r="V2" t="s">
        <v>31</v>
      </c>
      <c r="W2">
        <v>273.35000000000002</v>
      </c>
      <c r="X2">
        <f>S2/Y2</f>
        <v>1364.9230758052843</v>
      </c>
      <c r="Y2">
        <f>P2*MIN(H2:H6)</f>
        <v>7.916999999999999E-2</v>
      </c>
      <c r="Z2">
        <f>R2*S2*T2</f>
        <v>6896.9367358718091</v>
      </c>
    </row>
    <row r="3" spans="1:26" x14ac:dyDescent="0.2">
      <c r="A3" t="s">
        <v>29</v>
      </c>
      <c r="B3" t="s">
        <v>30</v>
      </c>
      <c r="C3">
        <v>34.01</v>
      </c>
      <c r="D3" s="2" t="s">
        <v>39</v>
      </c>
      <c r="E3">
        <v>261</v>
      </c>
      <c r="F3" s="3">
        <v>1171.8518518518999</v>
      </c>
      <c r="G3">
        <f>E3/(F3/C3)</f>
        <v>7.5748568268012066</v>
      </c>
      <c r="H3">
        <v>0.28000000000000003</v>
      </c>
      <c r="I3" t="s">
        <v>41</v>
      </c>
      <c r="K3">
        <f t="shared" ref="K3" si="0">H3*G3</f>
        <v>2.1209599115043383</v>
      </c>
      <c r="L3">
        <f>H3*C3</f>
        <v>9.5228000000000002</v>
      </c>
    </row>
  </sheetData>
  <hyperlinks>
    <hyperlink ref="D3" r:id="rId1" xr:uid="{34BB49B5-954D-9A46-9ED5-43A0165B9FF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Seifrid</dc:creator>
  <cp:lastModifiedBy>Martin Seifrid</cp:lastModifiedBy>
  <dcterms:created xsi:type="dcterms:W3CDTF">2020-11-24T22:20:59Z</dcterms:created>
  <dcterms:modified xsi:type="dcterms:W3CDTF">2021-05-04T00:01:36Z</dcterms:modified>
</cp:coreProperties>
</file>