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seifrid/Dropbox (Aspuru-Guzik Lab)/Matter Lab/Data/Code/Chemical subway/RouteScore_preprint/modafinil/"/>
    </mc:Choice>
  </mc:AlternateContent>
  <xr:revisionPtr revIDLastSave="0" documentId="13_ncr:1_{B71DEFDF-0650-204C-BDCD-2B31BAC06DEE}" xr6:coauthVersionLast="46" xr6:coauthVersionMax="46" xr10:uidLastSave="{00000000-0000-0000-0000-000000000000}"/>
  <bookViews>
    <workbookView xWindow="0" yWindow="460" windowWidth="35840" windowHeight="21940" xr2:uid="{59EA321C-4429-414F-AF32-F4E15F6FB019}"/>
  </bookViews>
  <sheets>
    <sheet name="Step 1" sheetId="1" r:id="rId1"/>
    <sheet name="Step 2" sheetId="2" r:id="rId2"/>
    <sheet name="Step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2" i="3"/>
  <c r="L3" i="1"/>
  <c r="L3" i="3" l="1"/>
  <c r="G3" i="3"/>
  <c r="K3" i="3" s="1"/>
  <c r="Y2" i="3"/>
  <c r="R2" i="3"/>
  <c r="L2" i="3"/>
  <c r="L3" i="2"/>
  <c r="L4" i="2"/>
  <c r="G4" i="2"/>
  <c r="K4" i="2" s="1"/>
  <c r="G3" i="2"/>
  <c r="K3" i="2" s="1"/>
  <c r="Y2" i="2"/>
  <c r="R2" i="2"/>
  <c r="L2" i="2"/>
  <c r="G3" i="1"/>
  <c r="K3" i="1" s="1"/>
  <c r="Y2" i="1"/>
  <c r="R2" i="1"/>
  <c r="L2" i="1"/>
  <c r="T2" i="1" s="1"/>
  <c r="G2" i="1"/>
  <c r="K2" i="1" s="1"/>
  <c r="S2" i="1" s="1"/>
  <c r="X2" i="1" s="1"/>
  <c r="K2" i="2" s="1"/>
  <c r="T2" i="2" l="1"/>
  <c r="T2" i="3"/>
  <c r="S2" i="2"/>
  <c r="X2" i="2" s="1"/>
  <c r="K2" i="3" s="1"/>
  <c r="S2" i="3" s="1"/>
  <c r="X2" i="3" s="1"/>
  <c r="Z2" i="1"/>
  <c r="Z2" i="3" l="1"/>
  <c r="Z2" i="2"/>
</calcChain>
</file>

<file path=xl/sharedStrings.xml><?xml version="1.0" encoding="utf-8"?>
<sst xmlns="http://schemas.openxmlformats.org/spreadsheetml/2006/main" count="99" uniqueCount="50">
  <si>
    <t>Molecule</t>
  </si>
  <si>
    <t>SMILES</t>
  </si>
  <si>
    <t>MW</t>
  </si>
  <si>
    <t>buy CAD</t>
  </si>
  <si>
    <t>buy mass</t>
  </si>
  <si>
    <t>$/mol</t>
  </si>
  <si>
    <t>rxn moles</t>
  </si>
  <si>
    <t>n_i*C_i</t>
  </si>
  <si>
    <t>n_i*M_i</t>
  </si>
  <si>
    <t>t_H</t>
  </si>
  <si>
    <t>C_H</t>
  </si>
  <si>
    <t>Yield</t>
  </si>
  <si>
    <t>C_time</t>
  </si>
  <si>
    <t>C_money</t>
  </si>
  <si>
    <t>C_mass</t>
  </si>
  <si>
    <t>prod SMILES</t>
  </si>
  <si>
    <t>prod MW</t>
  </si>
  <si>
    <t>prod $/mol</t>
  </si>
  <si>
    <t>n_prod</t>
  </si>
  <si>
    <t>raw SS</t>
  </si>
  <si>
    <t>benzhydrol</t>
  </si>
  <si>
    <t>OC(C1=CC=CC=C1)C2=CC=CC=C2</t>
  </si>
  <si>
    <t>thioglycolic acid</t>
  </si>
  <si>
    <t>SCC(O)=O</t>
  </si>
  <si>
    <t>OC(CSC(C1=CC=CC=C1)C2=CC=CC=C2)=O</t>
  </si>
  <si>
    <t>–</t>
  </si>
  <si>
    <t>benzhydrylsulfanyl)acetic acid</t>
  </si>
  <si>
    <t>thionyl chloride</t>
  </si>
  <si>
    <t>ClS(Cl)=O</t>
  </si>
  <si>
    <t>[NH4+].[OH-]</t>
  </si>
  <si>
    <t>NC(CSC(C1=CC=CC=C1)C2=CC=CC=C2)=O</t>
  </si>
  <si>
    <t>(2-Benzhydrylsulfanyl)acetamide</t>
  </si>
  <si>
    <t>OO</t>
  </si>
  <si>
    <t>O=S(CC(N)=O)C(C1=CC=CC=C1)C2=CC=CC=C2</t>
  </si>
  <si>
    <t>rxn qty</t>
  </si>
  <si>
    <t>Vendor</t>
  </si>
  <si>
    <t>https://www.sigmaaldrich.com/catalog/product/aldrich/b4856?lang=en&amp;region=CA&amp;cm_sp=Insite-_-caSrpResults_srpRecs_srpModel_benzhydrol-_-srpRecs3-3</t>
  </si>
  <si>
    <t>25 g</t>
  </si>
  <si>
    <t>50 g</t>
  </si>
  <si>
    <t>https://www.sigmaaldrich.com/catalog/product/sial/t3758?lang=en&amp;region=CA</t>
  </si>
  <si>
    <t>19.5 g</t>
  </si>
  <si>
    <t>20mL</t>
  </si>
  <si>
    <t>https://www.sigmaaldrich.com/catalog/product/sial/320536?lang=en&amp;region=CA</t>
  </si>
  <si>
    <t>https://www.sigmaaldrich.com/catalog/product/sigald/05002?lang=en&amp;region=CA</t>
  </si>
  <si>
    <t>250 mL</t>
  </si>
  <si>
    <t>30% ammonium hydroxide</t>
  </si>
  <si>
    <t>30% hydrogen peroxide</t>
  </si>
  <si>
    <t>https://www.sigmaaldrich.com/catalog/product/sigma/h1009?lang=en&amp;region=CA&amp;cm_sp=Insite-_-caSrpResults_srpRecs_srpModel_hydrogen%20peroxide-_-srpRecs3-2</t>
  </si>
  <si>
    <t>14.4 g</t>
  </si>
  <si>
    <t>5.6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</si>
</sst>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igmaaldrich.com/catalog/product/sial/t3758?lang=en&amp;region=CA" TargetMode="External"/><Relationship Id="rId1" Type="http://schemas.openxmlformats.org/officeDocument/2006/relationships/hyperlink" Target="https://www.sigmaaldrich.com/catalog/product/aldrich/b4856?lang=en&amp;region=CA&amp;cm_sp=Insite-_-caSrpResults_srpRecs_srpModel_benzhydrol-_-srpRecs3-3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igmaaldrich.com/catalog/product/sigald/05002?lang=en&amp;region=CA" TargetMode="External"/><Relationship Id="rId1" Type="http://schemas.openxmlformats.org/officeDocument/2006/relationships/hyperlink" Target="https://www.sigmaaldrich.com/catalog/product/sial/320536?lang=en&amp;region=C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igmaaldrich.com/catalog/product/sigma/h1009?lang=en&amp;region=CA&amp;cm_sp=Insite-_-caSrpResults_srpRecs_srpModel_hydrogen%20peroxide-_-srpRecs3-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7B560-FA56-4840-890C-3E53C02C0F46}">
  <dimension ref="A1:Z3"/>
  <sheetViews>
    <sheetView tabSelected="1" workbookViewId="0">
      <selection activeCell="Z1" sqref="Z1:Z1048576"/>
    </sheetView>
  </sheetViews>
  <sheetFormatPr baseColWidth="10" defaultRowHeight="16" x14ac:dyDescent="0.2"/>
  <sheetData>
    <row r="1" spans="1:26" x14ac:dyDescent="0.2">
      <c r="A1" t="s">
        <v>0</v>
      </c>
      <c r="B1" t="s">
        <v>1</v>
      </c>
      <c r="C1" t="s">
        <v>2</v>
      </c>
      <c r="D1" t="s">
        <v>35</v>
      </c>
      <c r="E1" t="s">
        <v>3</v>
      </c>
      <c r="F1" t="s">
        <v>4</v>
      </c>
      <c r="G1" t="s">
        <v>5</v>
      </c>
      <c r="H1" t="s">
        <v>6</v>
      </c>
      <c r="I1" t="s">
        <v>34</v>
      </c>
      <c r="K1" t="s">
        <v>7</v>
      </c>
      <c r="L1" t="s">
        <v>8</v>
      </c>
      <c r="N1" t="s">
        <v>9</v>
      </c>
      <c r="O1" t="s">
        <v>10</v>
      </c>
      <c r="P1" t="s">
        <v>11</v>
      </c>
      <c r="R1" t="s">
        <v>12</v>
      </c>
      <c r="S1" t="s">
        <v>13</v>
      </c>
      <c r="T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</row>
    <row r="2" spans="1:26" x14ac:dyDescent="0.2">
      <c r="A2" t="s">
        <v>20</v>
      </c>
      <c r="B2" t="s">
        <v>21</v>
      </c>
      <c r="C2">
        <v>184.23</v>
      </c>
      <c r="D2" s="2" t="s">
        <v>36</v>
      </c>
      <c r="E2">
        <v>170</v>
      </c>
      <c r="F2">
        <v>500</v>
      </c>
      <c r="G2">
        <f>E2/(F2/C2)</f>
        <v>62.638199999999998</v>
      </c>
      <c r="H2">
        <v>0.27139999999999997</v>
      </c>
      <c r="I2" t="s">
        <v>38</v>
      </c>
      <c r="K2">
        <f>H2*G2</f>
        <v>17.000007479999997</v>
      </c>
      <c r="L2">
        <f>H2*C2</f>
        <v>50.000021999999994</v>
      </c>
      <c r="N2">
        <v>1.6666666667000001</v>
      </c>
      <c r="O2">
        <v>52.97</v>
      </c>
      <c r="P2">
        <v>0.99</v>
      </c>
      <c r="R2">
        <f>N2</f>
        <v>1.6666666667000001</v>
      </c>
      <c r="S2">
        <f>SUM(K2:K12)+N2*O2</f>
        <v>109.77076584074003</v>
      </c>
      <c r="T2">
        <f>SUM(L2:L12)</f>
        <v>75.001389999999986</v>
      </c>
      <c r="V2" t="s">
        <v>24</v>
      </c>
      <c r="W2">
        <v>258.33999999999997</v>
      </c>
      <c r="X2">
        <f>S2/Y2</f>
        <v>408.54665237764539</v>
      </c>
      <c r="Y2">
        <f>P2*MIN(H2:H6)</f>
        <v>0.26868599999999998</v>
      </c>
      <c r="Z2">
        <f>R2*S2*T2</f>
        <v>13721.60003264113</v>
      </c>
    </row>
    <row r="3" spans="1:26" x14ac:dyDescent="0.2">
      <c r="A3" t="s">
        <v>22</v>
      </c>
      <c r="B3" t="s">
        <v>23</v>
      </c>
      <c r="C3">
        <v>92.12</v>
      </c>
      <c r="D3" s="2" t="s">
        <v>39</v>
      </c>
      <c r="E3">
        <v>119</v>
      </c>
      <c r="F3">
        <v>663</v>
      </c>
      <c r="G3">
        <f>E3/(F3/C3)</f>
        <v>16.534358974358977</v>
      </c>
      <c r="H3">
        <v>0.27139999999999997</v>
      </c>
      <c r="I3" t="s">
        <v>37</v>
      </c>
      <c r="K3">
        <f>H3*G3</f>
        <v>4.4874250256410262</v>
      </c>
      <c r="L3">
        <f>H3*C3</f>
        <v>25.001367999999999</v>
      </c>
    </row>
  </sheetData>
  <hyperlinks>
    <hyperlink ref="D2" r:id="rId1" xr:uid="{B3EF21BB-0D62-1847-A31E-543DD365A7AA}"/>
    <hyperlink ref="D3" r:id="rId2" xr:uid="{0AF4C15C-9E20-084F-A0AF-4DAC8E3CA558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58B9D-E0FE-3C4B-904E-8EE89D13A5F9}">
  <dimension ref="A1:Z4"/>
  <sheetViews>
    <sheetView workbookViewId="0">
      <selection activeCell="Z1" sqref="Z1:Z1048576"/>
    </sheetView>
  </sheetViews>
  <sheetFormatPr baseColWidth="10" defaultRowHeight="16" x14ac:dyDescent="0.2"/>
  <sheetData>
    <row r="1" spans="1:26" x14ac:dyDescent="0.2">
      <c r="A1" t="s">
        <v>0</v>
      </c>
      <c r="B1" t="s">
        <v>1</v>
      </c>
      <c r="C1" t="s">
        <v>2</v>
      </c>
      <c r="D1" t="s">
        <v>35</v>
      </c>
      <c r="E1" t="s">
        <v>3</v>
      </c>
      <c r="F1" t="s">
        <v>4</v>
      </c>
      <c r="G1" t="s">
        <v>5</v>
      </c>
      <c r="H1" t="s">
        <v>6</v>
      </c>
      <c r="I1" t="s">
        <v>34</v>
      </c>
      <c r="K1" t="s">
        <v>7</v>
      </c>
      <c r="L1" t="s">
        <v>8</v>
      </c>
      <c r="N1" t="s">
        <v>9</v>
      </c>
      <c r="O1" t="s">
        <v>10</v>
      </c>
      <c r="P1" t="s">
        <v>11</v>
      </c>
      <c r="R1" t="s">
        <v>12</v>
      </c>
      <c r="S1" t="s">
        <v>13</v>
      </c>
      <c r="T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</row>
    <row r="2" spans="1:26" x14ac:dyDescent="0.2">
      <c r="A2" s="1" t="s">
        <v>26</v>
      </c>
      <c r="B2" t="str">
        <f>'Step 1'!V2</f>
        <v>OC(CSC(C1=CC=CC=C1)C2=CC=CC=C2)=O</v>
      </c>
      <c r="C2">
        <v>258.33999999999997</v>
      </c>
      <c r="D2" t="s">
        <v>25</v>
      </c>
      <c r="E2" t="s">
        <v>25</v>
      </c>
      <c r="F2" t="s">
        <v>25</v>
      </c>
      <c r="G2">
        <v>0</v>
      </c>
      <c r="H2">
        <v>7.5499999999999998E-2</v>
      </c>
      <c r="I2" t="s">
        <v>40</v>
      </c>
      <c r="K2">
        <f>H2*G2</f>
        <v>0</v>
      </c>
      <c r="L2">
        <f>H2*C2</f>
        <v>19.504669999999997</v>
      </c>
      <c r="N2">
        <v>2.6666666666999999</v>
      </c>
      <c r="O2">
        <v>52.97</v>
      </c>
      <c r="P2">
        <v>0.87</v>
      </c>
      <c r="R2">
        <f>N2</f>
        <v>2.6666666666999999</v>
      </c>
      <c r="S2">
        <f>SUM(K2:K12)+N2*O2</f>
        <v>153.9362968420289</v>
      </c>
      <c r="T2">
        <f>SUM(L2:L12)</f>
        <v>104.11795492237499</v>
      </c>
      <c r="V2" t="s">
        <v>30</v>
      </c>
      <c r="W2">
        <v>257.35000000000002</v>
      </c>
      <c r="X2">
        <f>S2/Y2</f>
        <v>2343.5532745989026</v>
      </c>
      <c r="Y2">
        <f>P2*MIN(H2:H6)</f>
        <v>6.5684999999999993E-2</v>
      </c>
      <c r="Z2">
        <f>R2*S2*T2</f>
        <v>42740.086441909443</v>
      </c>
    </row>
    <row r="3" spans="1:26" x14ac:dyDescent="0.2">
      <c r="A3" t="s">
        <v>27</v>
      </c>
      <c r="B3" t="s">
        <v>28</v>
      </c>
      <c r="C3">
        <v>118.96</v>
      </c>
      <c r="D3" s="2" t="s">
        <v>42</v>
      </c>
      <c r="E3">
        <v>185</v>
      </c>
      <c r="F3">
        <v>1631</v>
      </c>
      <c r="G3">
        <f>E3/(F3/C3)</f>
        <v>13.493316983445739</v>
      </c>
      <c r="H3">
        <v>0.27479999999999999</v>
      </c>
      <c r="I3" t="s">
        <v>41</v>
      </c>
      <c r="K3">
        <f t="shared" ref="K3:K4" si="0">H3*G3</f>
        <v>3.7079635070508892</v>
      </c>
      <c r="L3">
        <f t="shared" ref="L3:L4" si="1">H3*C3</f>
        <v>32.690207999999998</v>
      </c>
    </row>
    <row r="4" spans="1:26" x14ac:dyDescent="0.2">
      <c r="A4" t="s">
        <v>45</v>
      </c>
      <c r="B4" t="s">
        <v>29</v>
      </c>
      <c r="C4">
        <v>35.049999999999997</v>
      </c>
      <c r="D4" s="2" t="s">
        <v>43</v>
      </c>
      <c r="E4">
        <v>359</v>
      </c>
      <c r="F4" s="3">
        <v>2076.9230769229998</v>
      </c>
      <c r="G4">
        <f>E4/(F4/C4)</f>
        <v>6.0584574074076318</v>
      </c>
      <c r="H4">
        <v>1.4814001975</v>
      </c>
      <c r="I4" t="s">
        <v>44</v>
      </c>
      <c r="K4">
        <f t="shared" si="0"/>
        <v>8.9749999998790031</v>
      </c>
      <c r="L4">
        <f t="shared" si="1"/>
        <v>51.923076922374996</v>
      </c>
    </row>
  </sheetData>
  <hyperlinks>
    <hyperlink ref="D3" r:id="rId1" xr:uid="{8ECFFFFC-FE05-AF4E-B19C-5B1B2E533A7E}"/>
    <hyperlink ref="D4" r:id="rId2" xr:uid="{AC4E7A79-4A95-774A-AA60-EC85F3CF35FE}"/>
  </hyperlink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B2A52-1B52-1644-98DF-79F5B54EE96A}">
  <dimension ref="A1:Z3"/>
  <sheetViews>
    <sheetView topLeftCell="M1" workbookViewId="0">
      <selection activeCell="Z1" sqref="Z1:Z1048576"/>
    </sheetView>
  </sheetViews>
  <sheetFormatPr baseColWidth="10" defaultRowHeight="16" x14ac:dyDescent="0.2"/>
  <sheetData>
    <row r="1" spans="1:26" x14ac:dyDescent="0.2">
      <c r="A1" t="s">
        <v>0</v>
      </c>
      <c r="B1" t="s">
        <v>1</v>
      </c>
      <c r="C1" t="s">
        <v>2</v>
      </c>
      <c r="D1" t="s">
        <v>35</v>
      </c>
      <c r="E1" t="s">
        <v>3</v>
      </c>
      <c r="F1" t="s">
        <v>4</v>
      </c>
      <c r="G1" t="s">
        <v>5</v>
      </c>
      <c r="H1" t="s">
        <v>6</v>
      </c>
      <c r="I1" t="s">
        <v>34</v>
      </c>
      <c r="K1" t="s">
        <v>7</v>
      </c>
      <c r="L1" t="s">
        <v>8</v>
      </c>
      <c r="N1" t="s">
        <v>9</v>
      </c>
      <c r="O1" t="s">
        <v>10</v>
      </c>
      <c r="P1" t="s">
        <v>11</v>
      </c>
      <c r="R1" t="s">
        <v>12</v>
      </c>
      <c r="S1" t="s">
        <v>13</v>
      </c>
      <c r="T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</row>
    <row r="2" spans="1:26" x14ac:dyDescent="0.2">
      <c r="A2" s="1" t="s">
        <v>31</v>
      </c>
      <c r="B2" t="str">
        <f>'Step 2'!V2</f>
        <v>NC(CSC(C1=CC=CC=C1)C2=CC=CC=C2)=O</v>
      </c>
      <c r="C2">
        <v>257.35000000000002</v>
      </c>
      <c r="D2" t="s">
        <v>25</v>
      </c>
      <c r="E2" t="s">
        <v>25</v>
      </c>
      <c r="F2" t="s">
        <v>25</v>
      </c>
      <c r="G2">
        <v>0</v>
      </c>
      <c r="H2">
        <v>5.6000000000000001E-2</v>
      </c>
      <c r="I2" t="s">
        <v>48</v>
      </c>
      <c r="K2">
        <f>H2*G2</f>
        <v>0</v>
      </c>
      <c r="L2">
        <f>H2*C2</f>
        <v>14.411600000000002</v>
      </c>
      <c r="N2">
        <v>1.25</v>
      </c>
      <c r="O2">
        <v>52.97</v>
      </c>
      <c r="P2">
        <v>0.67</v>
      </c>
      <c r="R2">
        <f>N2</f>
        <v>1.25</v>
      </c>
      <c r="S2">
        <f>SUM(K2:K12)+N2*O2</f>
        <v>68.180177657610386</v>
      </c>
      <c r="T2">
        <f>SUM(L2:L12)</f>
        <v>16.091694</v>
      </c>
      <c r="V2" t="s">
        <v>33</v>
      </c>
      <c r="W2">
        <v>273.35000000000002</v>
      </c>
      <c r="X2">
        <f>S2/Y2</f>
        <v>2059.9485666085679</v>
      </c>
      <c r="Y2">
        <f>P2*MIN(H2:H6)</f>
        <v>3.3098000000000002E-2</v>
      </c>
      <c r="Z2">
        <f>R2*S2*T2</f>
        <v>1371.4181946648789</v>
      </c>
    </row>
    <row r="3" spans="1:26" x14ac:dyDescent="0.2">
      <c r="A3" t="s">
        <v>46</v>
      </c>
      <c r="B3" t="s">
        <v>32</v>
      </c>
      <c r="C3">
        <v>34.01</v>
      </c>
      <c r="D3" s="2" t="s">
        <v>47</v>
      </c>
      <c r="E3">
        <v>150</v>
      </c>
      <c r="F3">
        <v>128.07692308</v>
      </c>
      <c r="G3">
        <f>E3/(F3/C3)</f>
        <v>39.831531530574615</v>
      </c>
      <c r="H3">
        <v>4.9399999999999999E-2</v>
      </c>
      <c r="I3" t="s">
        <v>49</v>
      </c>
      <c r="K3">
        <f>H3*G3</f>
        <v>1.967677657610386</v>
      </c>
      <c r="L3">
        <f>H3*C3</f>
        <v>1.680094</v>
      </c>
    </row>
  </sheetData>
  <hyperlinks>
    <hyperlink ref="D3" r:id="rId1" xr:uid="{33731E43-9953-9D4A-9F1E-3D8707AFEBFF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Step 1</vt:lpstr>
      <vt:lpstr>Step 2</vt:lpstr>
      <vt:lpstr>Step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Seifrid</dc:creator>
  <cp:lastModifiedBy>Martin Seifrid</cp:lastModifiedBy>
  <dcterms:created xsi:type="dcterms:W3CDTF">2020-11-23T20:41:33Z</dcterms:created>
  <dcterms:modified xsi:type="dcterms:W3CDTF">2021-05-04T00:03:07Z</dcterms:modified>
</cp:coreProperties>
</file>