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new" sheetId="1" r:id="rId4"/>
    <sheet state="visible" name="Sheet11" sheetId="2" r:id="rId5"/>
    <sheet state="visible" name="done" sheetId="3" r:id="rId6"/>
    <sheet state="visible" name="Sheet6" sheetId="4" r:id="rId7"/>
    <sheet state="visible" name="old version" sheetId="5" r:id="rId8"/>
    <sheet state="visible" name="deleted" sheetId="6" r:id="rId9"/>
    <sheet state="visible" name="komayl" sheetId="7" r:id="rId10"/>
  </sheets>
  <definedNames>
    <definedName hidden="1" localSheetId="0" name="_xlnm._FilterDatabase">new!$A$1:$P$802</definedName>
    <definedName hidden="1" localSheetId="2" name="_xlnm._FilterDatabase">done!$A$1:$Q$265</definedName>
  </definedNames>
  <calcPr/>
</workbook>
</file>

<file path=xl/sharedStrings.xml><?xml version="1.0" encoding="utf-8"?>
<sst xmlns="http://schemas.openxmlformats.org/spreadsheetml/2006/main" count="15713" uniqueCount="5895">
  <si>
    <t>Item Arabic Name</t>
  </si>
  <si>
    <t>ITEM UID</t>
  </si>
  <si>
    <t>Done</t>
  </si>
  <si>
    <t>Item English Name</t>
  </si>
  <si>
    <t>item Code</t>
  </si>
  <si>
    <t>Tag 1</t>
  </si>
  <si>
    <t>Tag 2</t>
  </si>
  <si>
    <t>Category</t>
  </si>
  <si>
    <t>variants</t>
  </si>
  <si>
    <t>total cost</t>
  </si>
  <si>
    <t>short desc</t>
  </si>
  <si>
    <t>Barcode</t>
  </si>
  <si>
    <t>Quantity</t>
  </si>
  <si>
    <t>Inventory</t>
  </si>
  <si>
    <t>price</t>
  </si>
  <si>
    <t>cost</t>
  </si>
  <si>
    <t>تخت ب.ب</t>
  </si>
  <si>
    <t>B-100</t>
  </si>
  <si>
    <t>Indoor</t>
  </si>
  <si>
    <t>A high-quality Takht B.B suitable for various environments.</t>
  </si>
  <si>
    <t>STORAGE تخت ب.ب طبيعي</t>
  </si>
  <si>
    <t>B-628/NATURAL</t>
  </si>
  <si>
    <t>A high-quality STORAGE Natural PP gasket suitable for various environments.</t>
  </si>
  <si>
    <t>B-68</t>
  </si>
  <si>
    <t>B-90</t>
  </si>
  <si>
    <t>كرسي ستاربكس بدون يد</t>
  </si>
  <si>
    <t>C-1017</t>
  </si>
  <si>
    <t>Restaurant</t>
  </si>
  <si>
    <t>Outdoor</t>
  </si>
  <si>
    <t>Aluminium Chair</t>
  </si>
  <si>
    <t>A high-quality Starbucks chair without handle suitable for various environments.</t>
  </si>
  <si>
    <t>STARBAX CHAIR</t>
  </si>
  <si>
    <t>C-1052/GE</t>
  </si>
  <si>
    <t>A high-quality STARBAX CHAIR suitable for various environments.</t>
  </si>
  <si>
    <t>المنيوم  X كرسي ستاربكس</t>
  </si>
  <si>
    <t>C-1080</t>
  </si>
  <si>
    <t>A high-quality Aluminum x Starbucks chair suitable for various environments.</t>
  </si>
  <si>
    <t>كرسي سفرة</t>
  </si>
  <si>
    <t>C-1106/BE</t>
  </si>
  <si>
    <t>Dining Chairs</t>
  </si>
  <si>
    <t>A high-quality Dining chair suitable for various environments.</t>
  </si>
  <si>
    <t>كرسي بلاستيك ملون برتغالي</t>
  </si>
  <si>
    <t>C-1121</t>
  </si>
  <si>
    <t>Plastic Chair</t>
  </si>
  <si>
    <t>A high-quality Portuguese colored plastic chair suitable for various environments.</t>
  </si>
  <si>
    <t>COUNTER HIGH CHAIR</t>
  </si>
  <si>
    <t>C-1167</t>
  </si>
  <si>
    <t>High Chair</t>
  </si>
  <si>
    <t>A high-quality COUNTER HIGH CHAIR suitable for various environments.</t>
  </si>
  <si>
    <t>كرسي بار</t>
  </si>
  <si>
    <t>C-1311</t>
  </si>
  <si>
    <t>A high-quality Bar stool suitable for various environments.</t>
  </si>
  <si>
    <t>كرسي بلاستيك ثقيل</t>
  </si>
  <si>
    <t>C-139B</t>
  </si>
  <si>
    <t>A high-quality Heavy plastic chair suitable for various environments.</t>
  </si>
  <si>
    <t>C-1585</t>
  </si>
  <si>
    <t>SWIVEL BAR  STOOL</t>
  </si>
  <si>
    <t>C-1619/BS</t>
  </si>
  <si>
    <t>A high-quality SWIVEL BAR STOOL suitable for various environments.</t>
  </si>
  <si>
    <t>C-2101</t>
  </si>
  <si>
    <t>BAR TABLE</t>
  </si>
  <si>
    <t>C-2208T</t>
  </si>
  <si>
    <t>Bar Tables</t>
  </si>
  <si>
    <t>A high-quality BAR TABLE suitable for various environments.</t>
  </si>
  <si>
    <t>STORAGE TABLE</t>
  </si>
  <si>
    <t>C-2209T</t>
  </si>
  <si>
    <t>A high-quality STORAGE TABLE suitable for various environments.</t>
  </si>
  <si>
    <t>PUB TABLE ROUND</t>
  </si>
  <si>
    <t>C-2211T</t>
  </si>
  <si>
    <t>A high-quality PUB TABLE ROUND suitable for various environments.</t>
  </si>
  <si>
    <t>كرسي حديد مع يد</t>
  </si>
  <si>
    <t>C-3018/METAL</t>
  </si>
  <si>
    <t>Metal Chair</t>
  </si>
  <si>
    <t>A high-quality Iron chair with handle suitable for various environments.</t>
  </si>
  <si>
    <t>كرسي حديد بدون يد</t>
  </si>
  <si>
    <t>C-3534/KD</t>
  </si>
  <si>
    <t>A high-quality Iron chair without handle suitable for various environments.</t>
  </si>
  <si>
    <t>كرسي كروم مع جلد</t>
  </si>
  <si>
    <t>C-362</t>
  </si>
  <si>
    <t>A high-quality Chrome chair with leather suitable for various environments.</t>
  </si>
  <si>
    <t>كرسي ستاربكس مع يد المنيوم</t>
  </si>
  <si>
    <t>C-8029</t>
  </si>
  <si>
    <t>A high-quality Starbucks chair with aluminum handle suitable for various environments.</t>
  </si>
  <si>
    <t>MIX BROWN - كرسي ستاربكس</t>
  </si>
  <si>
    <t>C-8051</t>
  </si>
  <si>
    <t>A high-quality MIX BROWN - Starbucks chair suitable for various environments.</t>
  </si>
  <si>
    <t>كرسي بلاستيك مع كروم شبك</t>
  </si>
  <si>
    <t>C-9049</t>
  </si>
  <si>
    <t>A high-quality Plastic chair with chrome mesh suitable for various environments.</t>
  </si>
  <si>
    <t>PLASTIC CHAIR X</t>
  </si>
  <si>
    <t>C-H011</t>
  </si>
  <si>
    <t>A high-quality PLASTIC CHAIR suitable for various environments.</t>
  </si>
  <si>
    <t>كرسي حديد</t>
  </si>
  <si>
    <t>C-LITA-WS</t>
  </si>
  <si>
    <t>A high-quality Iron chair suitable for various environments.</t>
  </si>
  <si>
    <t>C-LORA</t>
  </si>
  <si>
    <t>TABLE TOP 70*70 CM</t>
  </si>
  <si>
    <t>C-PLASTIC/TABLE</t>
  </si>
  <si>
    <t>Table Top</t>
  </si>
  <si>
    <t>A high-quality TABLE TOP 70*70 CM suitable for various environments.</t>
  </si>
  <si>
    <t>WALNUT كرسي بار جلد</t>
  </si>
  <si>
    <t>C-SB101/CF/WALNUT</t>
  </si>
  <si>
    <t>A high-quality WALNUT leather bar stool suitable for various environments.</t>
  </si>
  <si>
    <t>كرسي خشب مع يد</t>
  </si>
  <si>
    <t>C-XMS-2008/G</t>
  </si>
  <si>
    <t>A high-quality Wooden chair with handle suitable for various environments.</t>
  </si>
  <si>
    <t>C-XMS-2008/GRN</t>
  </si>
  <si>
    <t>C-XMS-2008/NTRL</t>
  </si>
  <si>
    <t>C-XMS-2008/OAK</t>
  </si>
  <si>
    <t>C-XMS-2145</t>
  </si>
  <si>
    <t>CUSHION</t>
  </si>
  <si>
    <t>C-XMS-CUSHION</t>
  </si>
  <si>
    <t>A high-quality CUSHION suitable for various environments.</t>
  </si>
  <si>
    <t>كرسي سفرة جلد</t>
  </si>
  <si>
    <t>CR-9032</t>
  </si>
  <si>
    <t>A high-quality Leather dining chair suitable for various environments.</t>
  </si>
  <si>
    <t>طاولة نص خشب</t>
  </si>
  <si>
    <t>CT-1154-1</t>
  </si>
  <si>
    <t>A high-quality Wooden half table suitable for various environments.</t>
  </si>
  <si>
    <t>SAND BAG 10KG</t>
  </si>
  <si>
    <t>G-SAND BAG</t>
  </si>
  <si>
    <t>Gazibo</t>
  </si>
  <si>
    <t>A high-quality SAND BAG 10KG suitable for various environments.</t>
  </si>
  <si>
    <t>\\\</t>
  </si>
  <si>
    <t>خيمة رسور 3*3 م</t>
  </si>
  <si>
    <t>GZ 0115/3*3-RED</t>
  </si>
  <si>
    <t>A high-quality Rasour tent 3*3 m suitable for various environments.</t>
  </si>
  <si>
    <t>خيمة رسور 3*4.5 م</t>
  </si>
  <si>
    <t>GZ 0115/3*4.5-BEIGE</t>
  </si>
  <si>
    <t>A high-quality Rasour tent 3*4.5 m suitable for various environments.</t>
  </si>
  <si>
    <t>GZ 0115/3*4.5-BLUE</t>
  </si>
  <si>
    <t>GZ 0115/3*4.5-DRK GR</t>
  </si>
  <si>
    <t>GZ 0115/3*4.5-KAKI</t>
  </si>
  <si>
    <t>GZ 0115/3*4.5-RED</t>
  </si>
  <si>
    <t>GAZIBO -خيمة 3*3 ثقيل قماش</t>
  </si>
  <si>
    <t>GZ-AN042</t>
  </si>
  <si>
    <t>A high-quality GAZIBO -Tent 3*3 heavy canvas suitable for various environments.</t>
  </si>
  <si>
    <t>خيمة 3*4.5  م رسور</t>
  </si>
  <si>
    <t>وجه طاولة 70*110 سم فرزاليت ماليزي</t>
  </si>
  <si>
    <t>A high-quality Tent 3*4.5 m Rasour suitable for various environments.</t>
  </si>
  <si>
    <t>ISO TOP-70*110-CMNT</t>
  </si>
  <si>
    <t xml:space="preserve">color cmnt,size 70*70,size 70*110,size 80*80,size 80*120 </t>
  </si>
  <si>
    <t>Werzalit table tops are durable, weather-resistant surfaces made from compressed wood fibers and resin, ideal for high-traffic areas and available in various colors and patterns.</t>
  </si>
  <si>
    <t>ISO TOP-70*110/CABIN</t>
  </si>
  <si>
    <t>color cabin,size 80*80,size 70*110</t>
  </si>
  <si>
    <t>ISO TOP-70*110/CRISS</t>
  </si>
  <si>
    <t xml:space="preserve">color criss,size 70*70,size 70*110,size 80*80,size 80*120 </t>
  </si>
  <si>
    <t>ISO TOP-70*110B/WOOD</t>
  </si>
  <si>
    <t xml:space="preserve">color wood,size 70*70,size 70*110,size 80*80,size 80*120 </t>
  </si>
  <si>
    <t>وجه طاولة 70*70 سم فرزاليت ماليزي</t>
  </si>
  <si>
    <t>ISO TOP-70*70-P/WORK</t>
  </si>
  <si>
    <t>color work,size 70*70,size 80*80</t>
  </si>
  <si>
    <t>ISO TOP-70*70-S/IRON</t>
  </si>
  <si>
    <t>color iron,size 70*70,size 80*80</t>
  </si>
  <si>
    <t>وجه طاولة 80*120 سم فرزاليت ماليزي</t>
  </si>
  <si>
    <t>ISO TOP-80*120-CHOCO</t>
  </si>
  <si>
    <t>color choco,size 80*80,size 80*120</t>
  </si>
  <si>
    <t>ISO TOP-80*120-D/OAK</t>
  </si>
  <si>
    <t>color d/oak,size 80*80,size 70*110,size 80*120</t>
  </si>
  <si>
    <t>ISO TOP-80*120/CABIN</t>
  </si>
  <si>
    <t>ISO TOP-80*120B/WOOD</t>
  </si>
  <si>
    <t>وجه طاولة 80*80 سم فرزاليت ماليزي</t>
  </si>
  <si>
    <t>ISO TOP-80*80-B/WOOD</t>
  </si>
  <si>
    <t>ISO TOP-80*80-P/WORK</t>
  </si>
  <si>
    <t>ISO TOP-80*80-S/IRON</t>
  </si>
  <si>
    <t>ISO TOP-80*80S/CABIN</t>
  </si>
  <si>
    <t>JY 1737</t>
  </si>
  <si>
    <t>طاولة بلاستيك 80*80 سم</t>
  </si>
  <si>
    <t>P-03/80*80</t>
  </si>
  <si>
    <t>A high-quality Plastic table 80*80 cm suitable for various environments.</t>
  </si>
  <si>
    <t>كرسي بلاستيك مع خشب بدون يد</t>
  </si>
  <si>
    <t>P-623/B</t>
  </si>
  <si>
    <t xml:space="preserve">color black, white </t>
  </si>
  <si>
    <t>A high-quality Plastic chair with wood without handle suitable for various environments.</t>
  </si>
  <si>
    <t>كرسي بلاستيك</t>
  </si>
  <si>
    <t>P-713</t>
  </si>
  <si>
    <t>A high-quality Plastic chair suitable for various environments.</t>
  </si>
  <si>
    <t>كرسي بلاستيك حفر</t>
  </si>
  <si>
    <t>P-717/B</t>
  </si>
  <si>
    <t xml:space="preserve">color black,white </t>
  </si>
  <si>
    <t>A high-quality Drilled plastic chair suitable for various environments.</t>
  </si>
  <si>
    <t>SINGLE CHAIR</t>
  </si>
  <si>
    <t>P-SF1-1</t>
  </si>
  <si>
    <t>A high-quality SINGLE CHAIR suitable for various environments.</t>
  </si>
  <si>
    <t>قاعدة كبس مدور اسود 45 سم</t>
  </si>
  <si>
    <t>PCTB-P01/450</t>
  </si>
  <si>
    <t>Table Base</t>
  </si>
  <si>
    <t>color black,white</t>
  </si>
  <si>
    <t>A high-quality Black round base, 45 cm suitable for various environments.</t>
  </si>
  <si>
    <t>قاعدة كبس مربع اسود 45 سم</t>
  </si>
  <si>
    <t>PCTB-P03/450</t>
  </si>
  <si>
    <t>A high-quality Black square press base, 45 cm suitable for various environments.</t>
  </si>
  <si>
    <t>قاعدة كبس مربع ستانلس 45 سم</t>
  </si>
  <si>
    <t>PSSBP-03/450</t>
  </si>
  <si>
    <t>A high-quality Stainless steel square base, 45 cm suitable for various environments.</t>
  </si>
  <si>
    <t>قاعدة مستطيل 40*70</t>
  </si>
  <si>
    <t>PTB-10/4070</t>
  </si>
  <si>
    <t>A high-quality Rectangle base 40*70 suitable for various environments.</t>
  </si>
  <si>
    <t>قاعدة مستطيل 45*90</t>
  </si>
  <si>
    <t>PTB-15/4590</t>
  </si>
  <si>
    <t>A high-quality Rectangle base 45*90 suitable for various environments.</t>
  </si>
  <si>
    <t>مرجوحة حديد مقعدين</t>
  </si>
  <si>
    <t>S-3132B</t>
  </si>
  <si>
    <t>A high-quality Two-seater iron swing suitable for various environments.</t>
  </si>
  <si>
    <t>مرجوحة خشب مقعدين</t>
  </si>
  <si>
    <t>S-601</t>
  </si>
  <si>
    <t>A high-quality Two seater wooden swing suitable for various environments.</t>
  </si>
  <si>
    <t>SAVANNAH PARK BENCH</t>
  </si>
  <si>
    <t>SD-362/2</t>
  </si>
  <si>
    <t>A high-quality SAVANNAH PARK BENCH suitable for various environments.</t>
  </si>
  <si>
    <t>طاولة حديد 80*80</t>
  </si>
  <si>
    <t>T-801/80</t>
  </si>
  <si>
    <t>A high-quality Iron table 80*80 suitable for various environments.</t>
  </si>
  <si>
    <t>وجه طاولة خشب 70*70 سم</t>
  </si>
  <si>
    <t>T.TOP-6702/70</t>
  </si>
  <si>
    <t>A high-quality Wooden table top 70*70 cm suitable for various environments.</t>
  </si>
  <si>
    <t>وجه طاولة خشب 80*80 سم</t>
  </si>
  <si>
    <t>T.TOP-6702/80</t>
  </si>
  <si>
    <t>A high-quality Wooden table top 80*80 cm suitable for various environments.</t>
  </si>
  <si>
    <t>وجه طاولة خشب 120*80 سم</t>
  </si>
  <si>
    <t>T.TOP-6703/120</t>
  </si>
  <si>
    <t>A high-quality Wooden table top 120*80 cm suitable for various environments.</t>
  </si>
  <si>
    <t>وجه طاولة 60 سم مدور</t>
  </si>
  <si>
    <t>T.TOP-TEAK 001/60</t>
  </si>
  <si>
    <t>SIZE ROUND 60 cm,SIZE 70 cm,SIZE 80 cm</t>
  </si>
  <si>
    <t>A high-quality Table top 60 cm round suitable for various environments.</t>
  </si>
  <si>
    <t>وجه طاولة 60*60 مربع</t>
  </si>
  <si>
    <t>T.TOP-TEAK 001/60*60</t>
  </si>
  <si>
    <t>SIZE 60*60,SIZE 80*80</t>
  </si>
  <si>
    <t>A high-quality Table face 60*60 square suitable for various environments.</t>
  </si>
  <si>
    <t>وجه طاولة 70 سم مدور</t>
  </si>
  <si>
    <t>T.TOP-TEAK 001/70</t>
  </si>
  <si>
    <t>A high-quality Table top 70 cm round suitable for various environments.</t>
  </si>
  <si>
    <t>وجه طاولة 80 سم مدور</t>
  </si>
  <si>
    <t>T.TOP-TEAK 001/80</t>
  </si>
  <si>
    <t>A high-quality Table top 80 cm round suitable for various environments.</t>
  </si>
  <si>
    <t>وجه طاولة 80*80 مربع</t>
  </si>
  <si>
    <t>T.TOP-TEAK 001/80*80</t>
  </si>
  <si>
    <t>A high-quality Table face 80*80 square suitable for various environments.</t>
  </si>
  <si>
    <t>وجه طاولة 70*120 مستطيل</t>
  </si>
  <si>
    <t>T.TOP-TEAK001/70*120</t>
  </si>
  <si>
    <t>SIZE 70*120, SIZE 80*130</t>
  </si>
  <si>
    <t>A high-quality Table face 70*120 rectangle suitable for various environments.</t>
  </si>
  <si>
    <t>وجه طاولة 80*130 مستطيل</t>
  </si>
  <si>
    <t>T.TOP-TEAK001/80*130</t>
  </si>
  <si>
    <t>A high-quality Table face 80*130 rectangle suitable for various environments.</t>
  </si>
  <si>
    <t>قاعدة حديد رمادي مربع</t>
  </si>
  <si>
    <t>TB-339-40/8P7</t>
  </si>
  <si>
    <t>A high-quality Square gray iron base suitable for various environments.</t>
  </si>
  <si>
    <t>TABLE BASE STNLS</t>
  </si>
  <si>
    <t>TB-339-40SS/8305</t>
  </si>
  <si>
    <t>A high-quality TABLE BASE STNLS suitable for various environments.</t>
  </si>
  <si>
    <t>قاعدة حديد مجوز</t>
  </si>
  <si>
    <t>TB-341-8</t>
  </si>
  <si>
    <t>A high-quality Perforated iron base suitable for various environments.</t>
  </si>
  <si>
    <t>FIX CAST IRON BASE STNLS</t>
  </si>
  <si>
    <t>TB-347-21SS</t>
  </si>
  <si>
    <t>A high-quality FIX CAST IRON BASE STNLS suitable for various environments.</t>
  </si>
  <si>
    <t>TABLE BASE DOUBLE/STNLS</t>
  </si>
  <si>
    <t>TB-369/SS</t>
  </si>
  <si>
    <t>A high-quality TABLE BASE DOUBLE/STNLS suitable for various environments.</t>
  </si>
  <si>
    <t>TABLE BASE DOUBLE ALUM</t>
  </si>
  <si>
    <t>TB-440</t>
  </si>
  <si>
    <t>A high-quality TABLE BASE DOUBLE ALUM suitable for various environments.</t>
  </si>
  <si>
    <t>ALUMINUM TABLE TOP 60*60</t>
  </si>
  <si>
    <t>TB-5066</t>
  </si>
  <si>
    <t>A high-quality ALUMINUM TABLE TOP 60*60 suitable for various environments.</t>
  </si>
  <si>
    <t>قاعدة فونت مدور كبير أملس</t>
  </si>
  <si>
    <t>TBN-307</t>
  </si>
  <si>
    <t>A high-quality Large smooth round font base suitable for various environments.</t>
  </si>
  <si>
    <t>قاعدة فونت مدور كبير</t>
  </si>
  <si>
    <t>TBN-315</t>
  </si>
  <si>
    <t>A high-quality Large round font base suitable for various environments.</t>
  </si>
  <si>
    <t>قاعدة فونت مستطيل أملس</t>
  </si>
  <si>
    <t>TBN-319</t>
  </si>
  <si>
    <t>A high-quality Font base is a smooth rectangle suitable for various environments.</t>
  </si>
  <si>
    <t>قاعدة فونت مجوز أملس</t>
  </si>
  <si>
    <t>TBN-319/8040</t>
  </si>
  <si>
    <t>A high-quality Smooth majouz font base suitable for various environments.</t>
  </si>
  <si>
    <t>TEAK وجه طاولة 110*70 سم</t>
  </si>
  <si>
    <t>TG-257A</t>
  </si>
  <si>
    <t>SIZE 70*110</t>
  </si>
  <si>
    <t>A high-quality TEAK table face 110*70 cm suitable for various environments.</t>
  </si>
  <si>
    <t>شمسية 200 سم ألمنيوم</t>
  </si>
  <si>
    <t>UM-800AL</t>
  </si>
  <si>
    <t>Umbrella</t>
  </si>
  <si>
    <t>A high-quality Umbrella 200 cm aluminum suitable for various environments.</t>
  </si>
  <si>
    <t>وجه فرزاليت تركي 80*120</t>
  </si>
  <si>
    <t>WT-272/80*120</t>
  </si>
  <si>
    <t>وجه فرزاليت تركي 80*140</t>
  </si>
  <si>
    <t>WT-272/80*140</t>
  </si>
  <si>
    <t>وجه فرزاليت تركي 70 مدور</t>
  </si>
  <si>
    <t>WT-272/Q70</t>
  </si>
  <si>
    <t>color vange size round 70, 80*120, 80*140  فانغي</t>
  </si>
  <si>
    <t>وجه فرزاليت تركي 60*60/رمادي</t>
  </si>
  <si>
    <t>WT-4573/60*60</t>
  </si>
  <si>
    <t>color grey size 60*60, 70*120,80*120 رمادي موشح</t>
  </si>
  <si>
    <t>وجه طاولة فرزاليت تركي 70*120 سم/رمادي</t>
  </si>
  <si>
    <t>WT-4573/70*120</t>
  </si>
  <si>
    <t>وجه فرزاليت تركي 80*120/رمادي</t>
  </si>
  <si>
    <t>WT-4573/80*120</t>
  </si>
  <si>
    <t>وجه طاولة فرزاليت تركي 60*60 سم/ احمر</t>
  </si>
  <si>
    <t>WT-4604/60*60</t>
  </si>
  <si>
    <t>احمر مقلم size 60*60, 70*120</t>
  </si>
  <si>
    <t>وجه فرزاليت تركي 70*120/ احمر</t>
  </si>
  <si>
    <t>WT-4604/70*120</t>
  </si>
  <si>
    <t>وجه فرزاليت تركي 70*70/ احمر</t>
  </si>
  <si>
    <t>WT-4604/70*70</t>
  </si>
  <si>
    <t>وجه فرزاليت تركي 80*120/ صخري</t>
  </si>
  <si>
    <t>WT-4614/80*120</t>
  </si>
  <si>
    <t>وجه فرزاليت تركي 70*70/ اسود-ابيض</t>
  </si>
  <si>
    <t>WT-7537/70*70</t>
  </si>
  <si>
    <t>وجه فرزاليت تركي 80*80/اسود-ابيض</t>
  </si>
  <si>
    <t>WT-7537/80*80</t>
  </si>
  <si>
    <t>WT-7537/Q70</t>
  </si>
  <si>
    <t xml:space="preserve">white block size round 70, 70*70,80*80 </t>
  </si>
  <si>
    <t>وجه طاولة فرزاليت تركي 70*120 سم</t>
  </si>
  <si>
    <t>WT-TOP/120*70</t>
  </si>
  <si>
    <t>وجه طاولة فرزاليت تركي 80*120 سم</t>
  </si>
  <si>
    <t>WT-TOP/120*80</t>
  </si>
  <si>
    <t>وجه طاولة فرزاليت تركي80*140 سم</t>
  </si>
  <si>
    <t>WT-TOP/140*80</t>
  </si>
  <si>
    <t>وجه طاولة فرزاليت تركي 60*60 سم</t>
  </si>
  <si>
    <t>WT.TOP-410/60</t>
  </si>
  <si>
    <t>marble size round 60, 60*60 مرخم</t>
  </si>
  <si>
    <t>وجه فرزاليت تركي 60 مدور</t>
  </si>
  <si>
    <t>WT.TOP-410/Q60</t>
  </si>
  <si>
    <t>WT.TOP-525/70*120</t>
  </si>
  <si>
    <t>natural size round 60, 70*120 طبيعي</t>
  </si>
  <si>
    <t>WT.TOP-525/Q60</t>
  </si>
  <si>
    <t>FOLDING طاولة بلاستيك 122*76 سم / كسر</t>
  </si>
  <si>
    <t>XYZ 122Z</t>
  </si>
  <si>
    <t>A high-quality FOLDING Plastic table 122*76 cm / broken suitable for various environments.</t>
  </si>
  <si>
    <t>طاولة بلاستيك 152*76 سم</t>
  </si>
  <si>
    <t>XYZ 152C</t>
  </si>
  <si>
    <t>A high-quality Plastic table 152*76 cm suitable for various environments.</t>
  </si>
  <si>
    <t>FOLDING طاولة بلاستيك 152*76 سم / كسر</t>
  </si>
  <si>
    <t>XYZ 152Z</t>
  </si>
  <si>
    <t>A high-quality FOLDING Plastic table 152*76 cm / broken suitable for various environments.</t>
  </si>
  <si>
    <t>FOLDING طاولة بلاستيك 180*74 سم / كسر</t>
  </si>
  <si>
    <t>XYZ 180Z</t>
  </si>
  <si>
    <t>A high-quality FOLDING Plastic table 180*74 cm / broken suitable for various environments.</t>
  </si>
  <si>
    <t>طاولة بلاستيك 183*76 سم</t>
  </si>
  <si>
    <t>XYZ 183C</t>
  </si>
  <si>
    <t>A high-quality Plastic table 183*76 cm suitable for various environments.</t>
  </si>
  <si>
    <t>FISHING CHAIR كرسي صيد طبق</t>
  </si>
  <si>
    <t>XYZ 9001HY</t>
  </si>
  <si>
    <t>A high-quality FISHING CHAIR Fishing chair dish suitable for various environments.</t>
  </si>
  <si>
    <t>ALUMINUM TABLE BASE DOUBLE</t>
  </si>
  <si>
    <t>Y-5045</t>
  </si>
  <si>
    <t>A high-quality ALUMINUM TABLE BASE DOUBLE suitable for various environments.</t>
  </si>
  <si>
    <t>قاعدة ألمنيوم 3 أرجل</t>
  </si>
  <si>
    <t>Y-505-3</t>
  </si>
  <si>
    <t>A high-quality Aluminum base 3 legs suitable for various environments.</t>
  </si>
  <si>
    <t>قاعدة ألمنيوم 3 أرجل نفخ</t>
  </si>
  <si>
    <t>Y-MD-042/3</t>
  </si>
  <si>
    <t>A high-quality Aluminum base 3 inflatable legs suitable for various environments.</t>
  </si>
  <si>
    <t>وجه طاولة خشب طبيعي مدور 120 سم</t>
  </si>
  <si>
    <t>Y-T120</t>
  </si>
  <si>
    <t>ROUND TOP: SIZE 80,SIZE 90,SIZE 120</t>
  </si>
  <si>
    <t>A high-quality Round natural wood table top, 120 cm suitable for various environments.</t>
  </si>
  <si>
    <t>وجه طاولة خشب طبيعي مدور 80 سم</t>
  </si>
  <si>
    <t>Y-T80</t>
  </si>
  <si>
    <t>A high-quality Round natural wood table top 80 cm suitable for various environments.</t>
  </si>
  <si>
    <t>وجه طاولة خشب طبيعي 130*80 سم</t>
  </si>
  <si>
    <t>Y-T80*130</t>
  </si>
  <si>
    <t>SIZE 80*130,SIZE 90*150,SIZE 60*60,SIZE 80*80</t>
  </si>
  <si>
    <t>A high-quality Natural wood table top 130*80 cm suitable for various environments.</t>
  </si>
  <si>
    <t>وجه طاولة خشب طبيعي مدور 90 سم</t>
  </si>
  <si>
    <t>Y-T90</t>
  </si>
  <si>
    <t>A high-quality Round natural wood table top 90 cm suitable for various environments.</t>
  </si>
  <si>
    <t>وجه طاولة خشب طبيعي 150*90 سم</t>
  </si>
  <si>
    <t>Y-T90*150CM</t>
  </si>
  <si>
    <t>A high-quality Natural wood table top 150*90 cm suitable for various environments.</t>
  </si>
  <si>
    <t>TABLE BASE DOUBLE - حفر</t>
  </si>
  <si>
    <t>Y5018-ST</t>
  </si>
  <si>
    <t>A high-quality TABLE BASE DOUBLE - drilling suitable for various environments.</t>
  </si>
  <si>
    <t>قاعدة</t>
  </si>
  <si>
    <t>YB-506</t>
  </si>
  <si>
    <t>A high-quality a base suitable for various environments.</t>
  </si>
  <si>
    <t>طاولة ألمنيوم 80*80 مربع مع قاعدة</t>
  </si>
  <si>
    <t>YB-513-8</t>
  </si>
  <si>
    <t>Aluminium Set</t>
  </si>
  <si>
    <t>A high-quality Aluminum table 80*80 square with base suitable for various environments.</t>
  </si>
  <si>
    <t>طاولة مدورة 115 سم</t>
  </si>
  <si>
    <t>YCZ-115</t>
  </si>
  <si>
    <t>A high-quality Round table 115 cm suitable for various environments.</t>
  </si>
  <si>
    <t>طاولة مستطيل 153*76 سم</t>
  </si>
  <si>
    <t>YCZ-152</t>
  </si>
  <si>
    <t>A high-quality Rectangular table 153*76 cm suitable for various environments.</t>
  </si>
  <si>
    <t>YCZ-152Z</t>
  </si>
  <si>
    <t>طاولة مدورة 154 سم</t>
  </si>
  <si>
    <t>YCZ-154</t>
  </si>
  <si>
    <t>A high-quality Round table 154 cm suitable for various environments.</t>
  </si>
  <si>
    <t>FOLD / طاولة مدورة 154 سم</t>
  </si>
  <si>
    <t>YCZ-154RZ</t>
  </si>
  <si>
    <t>A high-quality FOLD / Round table 154 cm suitable for various environments.</t>
  </si>
  <si>
    <t>طاولة 172*82 سم</t>
  </si>
  <si>
    <t>YCZ-172</t>
  </si>
  <si>
    <t>A high-quality Table 172*82 cm suitable for various environments.</t>
  </si>
  <si>
    <t>طاولة مدور 180 سم</t>
  </si>
  <si>
    <t>YCZ-183/R</t>
  </si>
  <si>
    <t>A high-quality Round table 180 cm suitable for various environments.</t>
  </si>
  <si>
    <t>FOLD /  طاولة مستطيل 183*76 سم</t>
  </si>
  <si>
    <t>YCZ-183Z</t>
  </si>
  <si>
    <t>A high-quality FOLD / Rectangular table 183*76 cm suitable for various environments.</t>
  </si>
  <si>
    <t>طاولة مستطيل 201*90 سم</t>
  </si>
  <si>
    <t>YCZ-200</t>
  </si>
  <si>
    <t>A high-quality Rectangular table 201*90 cm suitable for various environments.</t>
  </si>
  <si>
    <t>طاولة مستطيل 244*76 سم</t>
  </si>
  <si>
    <t>YCZ-244</t>
  </si>
  <si>
    <t>A high-quality Rectangular table 244*76 cm suitable for various environments.</t>
  </si>
  <si>
    <t>طاولة مدورة 60 سم</t>
  </si>
  <si>
    <t>YCZ-61R</t>
  </si>
  <si>
    <t>A high-quality Round table 60 cm suitable for various environments.</t>
  </si>
  <si>
    <t>طاولة</t>
  </si>
  <si>
    <t>YCZ-76</t>
  </si>
  <si>
    <t>A high-quality table suitable for various environments.</t>
  </si>
  <si>
    <t>طاولة مدورة 80 سم</t>
  </si>
  <si>
    <t>YCZ-80R</t>
  </si>
  <si>
    <t>A high-quality Round table 80 cm suitable for various environments.</t>
  </si>
  <si>
    <t>طاولة مربعة</t>
  </si>
  <si>
    <t>YCZ-86</t>
  </si>
  <si>
    <t>A high-quality Square table suitable for various environments.</t>
  </si>
  <si>
    <t>وجه خشب 110*70</t>
  </si>
  <si>
    <t>Z WOOD 110</t>
  </si>
  <si>
    <t>NATURAL WOOD TOP,SIZE 70*110</t>
  </si>
  <si>
    <t>A high-quality Wood face 110*70 suitable for various environments.</t>
  </si>
  <si>
    <t>وجه خشب 60*60</t>
  </si>
  <si>
    <t>Z WOOD 60</t>
  </si>
  <si>
    <t>A high-quality Wood face 60*60 suitable for various environments.</t>
  </si>
  <si>
    <t>طقم المنيوم 3 مقاعد</t>
  </si>
  <si>
    <t>ZAL 1015/WHITE</t>
  </si>
  <si>
    <t>A high-quality Aluminum set of 3 seats suitable for various environments.</t>
  </si>
  <si>
    <t>طقم المنيوم 1+1+3</t>
  </si>
  <si>
    <t>ZAL 1377</t>
  </si>
  <si>
    <t>A high-quality Aluminum set 1+1+3 suitable for various environments.</t>
  </si>
  <si>
    <t>ZAL 1660</t>
  </si>
  <si>
    <t>طقم المنيوم 1+2+3</t>
  </si>
  <si>
    <t>ZAL 1788</t>
  </si>
  <si>
    <t>A high-quality Aluminum set 1+2+3 suitable for various environments.</t>
  </si>
  <si>
    <t>ZAL 2708/5-GREY FRM</t>
  </si>
  <si>
    <t>طقم المنيوم 7 مقاعد</t>
  </si>
  <si>
    <t>ZAL 2708/7-GREY</t>
  </si>
  <si>
    <t>A high-quality Aluminum set of 7 seats suitable for various environments.</t>
  </si>
  <si>
    <t>ZAL 5069/3</t>
  </si>
  <si>
    <t>طاولة المنيوم 70 مدور</t>
  </si>
  <si>
    <t>ZAL 570/70</t>
  </si>
  <si>
    <t>A high-quality Aluminum table 70 round suitable for various environments.</t>
  </si>
  <si>
    <t>طاولة المنيوم 80*80</t>
  </si>
  <si>
    <t>ZAL 888/513</t>
  </si>
  <si>
    <t>A high-quality Aluminum table 80*80 suitable for various environments.</t>
  </si>
  <si>
    <t>BLK طاولة المنيوم مع زجاج  80 سم مدور</t>
  </si>
  <si>
    <t>ZAL HY-8008</t>
  </si>
  <si>
    <t>A high-quality BLK aluminum table with glass, 80 cm round suitable for various environments.</t>
  </si>
  <si>
    <t>COFFEE طاولة المنيوم مع زجاج  80 سم مدور</t>
  </si>
  <si>
    <t>ZAL HY-8008/COFFEE</t>
  </si>
  <si>
    <t>A high-quality COFFEE Aluminum table with glass, 80 cm round suitable for various environments.</t>
  </si>
  <si>
    <t>طاولة المنيوم مع زجاج  80*80 سم مربع</t>
  </si>
  <si>
    <t>ZAL HY-8009</t>
  </si>
  <si>
    <t>A high-quality Aluminum table with glass, 80*80 cm square suitable for various environments.</t>
  </si>
  <si>
    <t>BLK طاولة المنيوم مع زجاج 80*120 سم</t>
  </si>
  <si>
    <t>ZAL HY-8012/BLK</t>
  </si>
  <si>
    <t>A high-quality BLK aluminum table with glass 80*120 cm suitable for various environments.</t>
  </si>
  <si>
    <t>COFFEE طاولة المنيوم مع زجاج 80*120 سم</t>
  </si>
  <si>
    <t>ZAL HY-8012/COFFEE</t>
  </si>
  <si>
    <t>A high-quality COFFEE Aluminum table with glass, 80*120 cm suitable for various environments.</t>
  </si>
  <si>
    <t>BLK طاولة المنيوم مع زجاج  105 سم مدور</t>
  </si>
  <si>
    <t>ZAL HY-8013/BLK</t>
  </si>
  <si>
    <t>A high-quality BLK aluminum table with glass, 105 cm round suitable for various environments.</t>
  </si>
  <si>
    <t>COFFEE طاولة المنيوم مع زجاج  105 سم مدور</t>
  </si>
  <si>
    <t>ZAL HY-8013/COFFEE</t>
  </si>
  <si>
    <t>A high-quality COFFEE Aluminum table with glass, 105 cm round suitable for various environments.</t>
  </si>
  <si>
    <t>COFFEE طاولة المنيوم مع زجاج 90*150 سم</t>
  </si>
  <si>
    <t>ZAL HY-8015</t>
  </si>
  <si>
    <t>A high-quality COFFEE Aluminum table with glass, 90*150 cm suitable for various environments.</t>
  </si>
  <si>
    <t>BLK طاولة المنيوم مع زجاج 90*150 سم</t>
  </si>
  <si>
    <t>ZAL HY-8015/BLK</t>
  </si>
  <si>
    <t>A high-quality BLK aluminum table with glass 90*150 cm suitable for various environments.</t>
  </si>
  <si>
    <t>BLK طقم المنيوم طاولة 80*80 مربع+4 كراسي</t>
  </si>
  <si>
    <t>ZAL HY8009+HY7025</t>
  </si>
  <si>
    <t>A high-quality BLK aluminum table set 80*80 square + 4 chairs suitable for various environments.</t>
  </si>
  <si>
    <t>BLK طقم المنيوم طاولة 90*150 سم + 6 كراسي</t>
  </si>
  <si>
    <t>ZAL HY8015+HY7025</t>
  </si>
  <si>
    <t>A high-quality BLK aluminum table set 90*150 cm + 6 chairs suitable for various environments.</t>
  </si>
  <si>
    <t>ZAL J5173/3</t>
  </si>
  <si>
    <t>GREY طقم المنيوم 3 مقاعد</t>
  </si>
  <si>
    <t>ZAL J5185/3</t>
  </si>
  <si>
    <t>A high-quality GREY Aluminum 3-Seater Set suitable for various environments.</t>
  </si>
  <si>
    <t>DRK GRY طقم المنيوم 3 مقاعد</t>
  </si>
  <si>
    <t>ZAL J5199/3</t>
  </si>
  <si>
    <t>A high-quality DRK GRY Aluminum 3-Seater Set suitable for various environments.</t>
  </si>
  <si>
    <t>OFF WHITE طقم المنيوم 3 مقاعد</t>
  </si>
  <si>
    <t>ZAL J5199/3-OFF WHIT</t>
  </si>
  <si>
    <t>A high-quality OFF WHITE Aluminum 3-seat set suitable for various environments.</t>
  </si>
  <si>
    <t>ZAL J5199/3-WHITE</t>
  </si>
  <si>
    <t>ANTRA  طقم المنيوم 1+1+3 باج</t>
  </si>
  <si>
    <t>ZAL-ALANYA</t>
  </si>
  <si>
    <t>A high-quality ANTRA aluminum set 1+1+3 bag suitable for various environments.</t>
  </si>
  <si>
    <t>CREAM   طقم المنيوم 1+1+3</t>
  </si>
  <si>
    <t>ZAL-ALANYA /CAPU</t>
  </si>
  <si>
    <t>A high-quality CREAM Aluminum set 1+1+3 suitable for various environments.</t>
  </si>
  <si>
    <t>تخت حديد وخشب طابقين</t>
  </si>
  <si>
    <t>ZB JERSY DOUBLE</t>
  </si>
  <si>
    <t>A high-quality Two-story iron and wood yacht suitable for various environments.</t>
  </si>
  <si>
    <t>تخت حديد و خشب 120 سم</t>
  </si>
  <si>
    <t>ZB JERSY-120</t>
  </si>
  <si>
    <t>A high-quality Iron and wood tent, 120 cm suitable for various environments.</t>
  </si>
  <si>
    <t>تخت حديد و خشب 170 سم</t>
  </si>
  <si>
    <t>ZB JERSY-170</t>
  </si>
  <si>
    <t>A high-quality Iron and wood tent, 170 cm suitable for various environments.</t>
  </si>
  <si>
    <t>تخت حديد و خشب 100 سم</t>
  </si>
  <si>
    <t>ZB JERSY-90</t>
  </si>
  <si>
    <t>A high-quality Iron and wood tent, 100 cm suitable for various environments.</t>
  </si>
  <si>
    <t>تخت حديد وخشب طابقين خفيف</t>
  </si>
  <si>
    <t>ZB MAVIS DOUBLE</t>
  </si>
  <si>
    <t>A high-quality Light iron and wood double decker yacht suitable for various environments.</t>
  </si>
  <si>
    <t>FLOWER STAND 3 PCS - حامل زريعة</t>
  </si>
  <si>
    <t>ZBF 1193A</t>
  </si>
  <si>
    <t>Rattan Set</t>
  </si>
  <si>
    <t>A high-quality FLOWER STAND 3 PCS - Fry stand suitable for various environments.</t>
  </si>
  <si>
    <t>طاولة رزين 80*80 سم</t>
  </si>
  <si>
    <t>ZBF 1307/T-80</t>
  </si>
  <si>
    <t>A high-quality Razen table 80*80 cm suitable for various environments.</t>
  </si>
  <si>
    <t>طاولة رزين 90*90</t>
  </si>
  <si>
    <t>ZBF 1307/T-90</t>
  </si>
  <si>
    <t>A high-quality Razen table 90*90 suitable for various environments.</t>
  </si>
  <si>
    <t>كرسي رزين</t>
  </si>
  <si>
    <t>ZBF 1395</t>
  </si>
  <si>
    <t>A high-quality Sober chair suitable for various environments.</t>
  </si>
  <si>
    <t>طقم رزين  طاولة 150 سم +6 كراسي</t>
  </si>
  <si>
    <t>ZBF 1506/6</t>
  </si>
  <si>
    <t>A high-quality Rasin table set 150 cm + 6 chairs suitable for various environments.</t>
  </si>
  <si>
    <t>كرسي رزين مع فرش</t>
  </si>
  <si>
    <t>ZBF 1506/C</t>
  </si>
  <si>
    <t>A high-quality Decent chair with upholstery suitable for various environments.</t>
  </si>
  <si>
    <t>طاولة رزين 45 سم</t>
  </si>
  <si>
    <t>ZBF 1506/T</t>
  </si>
  <si>
    <t>A high-quality Razen table 45 cm suitable for various environments.</t>
  </si>
  <si>
    <t>ZBF 1517/C</t>
  </si>
  <si>
    <t>طقم رزين زاوية</t>
  </si>
  <si>
    <t>ZBF 1552 CORNER</t>
  </si>
  <si>
    <t>A high-quality Corner sober set suitable for various environments.</t>
  </si>
  <si>
    <t>طاولة رزين 75*110 سم</t>
  </si>
  <si>
    <t>ZBF 1776/110</t>
  </si>
  <si>
    <t>A high-quality Razen table 75*110 cm suitable for various environments.</t>
  </si>
  <si>
    <t>طاولة رزين 80*130 سم</t>
  </si>
  <si>
    <t>ZBF 1776/130</t>
  </si>
  <si>
    <t>A high-quality Razen table 80*130 cm suitable for various environments.</t>
  </si>
  <si>
    <t>ZBF 1922/C</t>
  </si>
  <si>
    <t>طقم زين طاولة 90*90 + 4 كراسي ابيض</t>
  </si>
  <si>
    <t>ZBF 1970</t>
  </si>
  <si>
    <t>A high-quality Decorative table set 90*90 + 4 white chairs suitable for various environments.</t>
  </si>
  <si>
    <t>طقم بار رزين 1+6 كراسي فانغي</t>
  </si>
  <si>
    <t>ZBF 1972A</t>
  </si>
  <si>
    <t>A high-quality A sober bar set of 1 + 6 fangy chairs suitable for various environments.</t>
  </si>
  <si>
    <t>طقم خيزران مقعدين</t>
  </si>
  <si>
    <t>ZBF 1997-2</t>
  </si>
  <si>
    <t>A high-quality Two-seater rattan set suitable for various environments.</t>
  </si>
  <si>
    <t>XTRA  طقم رزين مقعدين</t>
  </si>
  <si>
    <t>ZBF 1997/2+++</t>
  </si>
  <si>
    <t>A high-quality XTRA 2-seat sofa set suitable for various environments.</t>
  </si>
  <si>
    <t>شزلونغ رزين</t>
  </si>
  <si>
    <t>ZBF 2019</t>
  </si>
  <si>
    <t>A high-quality A sober chazlong suitable for various environments.</t>
  </si>
  <si>
    <t>بنك بلاستيك</t>
  </si>
  <si>
    <t>ZBK-180 BENCH</t>
  </si>
  <si>
    <t>A high-quality Plastic bank suitable for various environments.</t>
  </si>
  <si>
    <t>قاعدة حديد نفخ مدور طارة</t>
  </si>
  <si>
    <t>ZBZ 3003IR</t>
  </si>
  <si>
    <t>A high-quality Round inflatable iron base hoop suitable for various environments.</t>
  </si>
  <si>
    <t>قاعدة حديد نفخ مجوز عالي 110 سم</t>
  </si>
  <si>
    <t>ZBZ 3018/110IR</t>
  </si>
  <si>
    <t>A high-quality Inflatable iron base, 110 cm high suitable for various environments.</t>
  </si>
  <si>
    <t>قاعدة حديد مربع درج 60 سم</t>
  </si>
  <si>
    <t>ZBZ 3019/IR</t>
  </si>
  <si>
    <t>A high-quality Square iron drawer base 60 cm suitable for various environments.</t>
  </si>
  <si>
    <t>قاعدة ستانلس مربع</t>
  </si>
  <si>
    <t>ZBZS 1031</t>
  </si>
  <si>
    <t>A high-quality Square stainless base suitable for various environments.</t>
  </si>
  <si>
    <t>ZBZS 451B/55</t>
  </si>
  <si>
    <t>عامود ثياب حديد</t>
  </si>
  <si>
    <t>ZCH 2086</t>
  </si>
  <si>
    <t>A high-quality Iron clothes pole suitable for various environments.</t>
  </si>
  <si>
    <t>عامود ثياب خشب</t>
  </si>
  <si>
    <t>ZCH 506</t>
  </si>
  <si>
    <t>A high-quality Wooden clothes pole suitable for various environments.</t>
  </si>
  <si>
    <t>ZCH 60B</t>
  </si>
  <si>
    <t>رمادي فاتح  RECLYNER CHAIR كرسي برم</t>
  </si>
  <si>
    <t>ZCR 31602-1Z/8</t>
  </si>
  <si>
    <t>A high-quality LIGHT GRAY RECLYNER CHAIR Swivel chair suitable for various environments.</t>
  </si>
  <si>
    <t>RECLYNER CHAIR - رمادي فاتح</t>
  </si>
  <si>
    <t>ZCR 31831-1R/8</t>
  </si>
  <si>
    <t>A high-quality RECLYNER CHAIR - light grey suitable for various environments.</t>
  </si>
  <si>
    <t>بنك فونت  150 سم</t>
  </si>
  <si>
    <t>ZFB 025PA/150</t>
  </si>
  <si>
    <t>A high-quality Font bank 150 cm suitable for various environments.</t>
  </si>
  <si>
    <t>كرسي فونت</t>
  </si>
  <si>
    <t>ZFB 1003C</t>
  </si>
  <si>
    <t>A high-quality Font chair suitable for various environments.</t>
  </si>
  <si>
    <t>ZFB 1005C</t>
  </si>
  <si>
    <t>طاولة فونت</t>
  </si>
  <si>
    <t>ZFB 1017T</t>
  </si>
  <si>
    <t>A high-quality Font table suitable for various environments.</t>
  </si>
  <si>
    <t>ZFB 1024T</t>
  </si>
  <si>
    <t>كرسي مع يد حبل</t>
  </si>
  <si>
    <t>ZGC 6201/DRK NTRL</t>
  </si>
  <si>
    <t>A high-quality Chair with rope handle suitable for various environments.</t>
  </si>
  <si>
    <t>كرسي المنيوم حبل برم</t>
  </si>
  <si>
    <t>ZGC M640</t>
  </si>
  <si>
    <t>A high-quality Aluminum chair twisted rope suitable for various environments.</t>
  </si>
  <si>
    <t>طاولة 80 سم مدور</t>
  </si>
  <si>
    <t>ZH 515-1</t>
  </si>
  <si>
    <t>A high-quality Table 80 cm round suitable for various environments.</t>
  </si>
  <si>
    <t>عامود ثياب</t>
  </si>
  <si>
    <t>ZH 565</t>
  </si>
  <si>
    <t>A high-quality A clothes column suitable for various environments.</t>
  </si>
  <si>
    <t>وجه طاولة 100*60</t>
  </si>
  <si>
    <t>ZHBL 60*100</t>
  </si>
  <si>
    <t>size 60*60,size 70*70,size 80*80,size 60*100,size 70*110,size 80*120</t>
  </si>
  <si>
    <t>Durable and elegant high-pressure laminate table tops with superior scratch and stain resistance.</t>
  </si>
  <si>
    <t>وجه طاولة 60*60</t>
  </si>
  <si>
    <t>ZHBL 60*60</t>
  </si>
  <si>
    <t>وجه طاولة 70*110</t>
  </si>
  <si>
    <t>ZHBL 70*110</t>
  </si>
  <si>
    <t>وجه طاولة 70*70</t>
  </si>
  <si>
    <t>ZHBL 70*70</t>
  </si>
  <si>
    <t>وجه طاولة 80*120</t>
  </si>
  <si>
    <t>ZHBL 80*120</t>
  </si>
  <si>
    <t>وجه طاولة 80*80</t>
  </si>
  <si>
    <t>ZHBL 80*80</t>
  </si>
  <si>
    <t>GLD + RED كرسي اوتيل حديد</t>
  </si>
  <si>
    <t>ZHC A300</t>
  </si>
  <si>
    <t>A high-quality GLD + RED iron hotel chair suitable for various environments.</t>
  </si>
  <si>
    <t>موجود برقم اخر هو المعتمد 2103</t>
  </si>
  <si>
    <t>FLOWER DESIGN كرسي اوتيل المنيوم</t>
  </si>
  <si>
    <t>ZHC A306</t>
  </si>
  <si>
    <t>A high-quality FLOWER DESIGN Aluminum hotel chair suitable for various environments.</t>
  </si>
  <si>
    <t>GREY بوف مقعد</t>
  </si>
  <si>
    <t>ZHLX 2022 STOOL/GRY</t>
  </si>
  <si>
    <t>A high-quality GREY POF SEAT suitable for various environments.</t>
  </si>
  <si>
    <t>BLUE بوف زاوية</t>
  </si>
  <si>
    <t>ZHLX 2022/CRNR-BLU</t>
  </si>
  <si>
    <t>A high-quality BLUE POV ANGLE suitable for various environments.</t>
  </si>
  <si>
    <t>GREEN بوف زاوية</t>
  </si>
  <si>
    <t>ZHLX 2022/CRNR-GREEN</t>
  </si>
  <si>
    <t>A high-quality GREEN POF ANGLE suitable for various environments.</t>
  </si>
  <si>
    <t>GRAY بوف زاوية</t>
  </si>
  <si>
    <t>ZHLX 2022/CRNR-GRY</t>
  </si>
  <si>
    <t>A high-quality GRAY POV ANGLE suitable for various environments.</t>
  </si>
  <si>
    <t>SAND بوف زاوية</t>
  </si>
  <si>
    <t>ZHLX 2022/CRNR-SND</t>
  </si>
  <si>
    <t>A high-quality SAND POV ANGLE suitable for various environments.</t>
  </si>
  <si>
    <t>BLUE -L-SHAPE  بوف</t>
  </si>
  <si>
    <t>ZHLX 2022/L SHAPE-BL</t>
  </si>
  <si>
    <t>A high-quality BLUE-L-SHAPE POV suitable for various environments.</t>
  </si>
  <si>
    <t>GREEN -L-SHAPE  بوف</t>
  </si>
  <si>
    <t>ZHLX 2022/L SHAPE-GR</t>
  </si>
  <si>
    <t>A high-quality GREEN-L-SHAPE POV suitable for various environments.</t>
  </si>
  <si>
    <t>GREY -L-SHAPE  بوف</t>
  </si>
  <si>
    <t>ZHLX 2022/L SHAPE-GY</t>
  </si>
  <si>
    <t>A high-quality GREY -L-SHAPE POV suitable for various environments.</t>
  </si>
  <si>
    <t>SAND -L-SHAPE  بوف</t>
  </si>
  <si>
    <t>ZHLX 2022/L SHAPE-SN</t>
  </si>
  <si>
    <t>A high-quality SAND-L-SHAPE POV suitable for various environments.</t>
  </si>
  <si>
    <t>قاعدة المنيوم 4 ارجل</t>
  </si>
  <si>
    <t>ZI 032</t>
  </si>
  <si>
    <t>A high-quality Aluminum base with 4 legs suitable for various environments.</t>
  </si>
  <si>
    <t>فاترين</t>
  </si>
  <si>
    <t>ZI 5029</t>
  </si>
  <si>
    <t>A high-quality They are lukewarm suitable for various environments.</t>
  </si>
  <si>
    <t>طاولة 80*80 سم</t>
  </si>
  <si>
    <t>ZI 555</t>
  </si>
  <si>
    <t>A high-quality Table 80*80 cm suitable for various environments.</t>
  </si>
  <si>
    <t>ZI 608</t>
  </si>
  <si>
    <t>تخت 160*190</t>
  </si>
  <si>
    <t>ZI ARIS QWEEN</t>
  </si>
  <si>
    <t>A high-quality Takht 160*190 suitable for various environments.</t>
  </si>
  <si>
    <t>كومود</t>
  </si>
  <si>
    <t>ZI LIBRA NIGHTSTAND</t>
  </si>
  <si>
    <t>A high-quality Commode suitable for various environments.</t>
  </si>
  <si>
    <t>ZI MOROCCO</t>
  </si>
  <si>
    <t>قاعدة شمسية 50 كلغ</t>
  </si>
  <si>
    <t>ZI UMBRELLA BASE</t>
  </si>
  <si>
    <t>A high-quality Solar base 50 kg suitable for various environments.</t>
  </si>
  <si>
    <t>وجه فرزاليت ماليزي 70*110</t>
  </si>
  <si>
    <t>ZIS 110 AGED PINE</t>
  </si>
  <si>
    <t xml:space="preserve">color aged pine,size 70*70,size 70*110,size 80*80,size 80*120 </t>
  </si>
  <si>
    <t>ZIS 110 BUTTERNUT</t>
  </si>
  <si>
    <t xml:space="preserve">color butternut,size 70*70,size 70*110,size 80*80 </t>
  </si>
  <si>
    <t>ZIS 110 CEMENT</t>
  </si>
  <si>
    <t>ZIS 110 CRISS</t>
  </si>
  <si>
    <t>ZIS 110 D/OAK</t>
  </si>
  <si>
    <t>ZIS 110 G/OAK</t>
  </si>
  <si>
    <t xml:space="preserve">color g/oak,size 70*70,size 70*110,size 80*80,size 80*120 </t>
  </si>
  <si>
    <t>ZIS 110 RUSTIC MAPLE</t>
  </si>
  <si>
    <t xml:space="preserve">color rustic maple,size 70*110,size 80*80,size 80*120 </t>
  </si>
  <si>
    <t>ZIS 110 S/CABIN</t>
  </si>
  <si>
    <t>وجه فرزاليت ماليزي 80*120</t>
  </si>
  <si>
    <t>ZIS 120 AGED PINE</t>
  </si>
  <si>
    <t>ZIS 120 CEMENT</t>
  </si>
  <si>
    <t>ZIS 120 CHOCO/OAK</t>
  </si>
  <si>
    <t>ZIS 120 CRISS</t>
  </si>
  <si>
    <t>ZIS 120 D/OAK</t>
  </si>
  <si>
    <t>ZIS 120 G/OAK</t>
  </si>
  <si>
    <t>ZIS 120 R/MAPLE</t>
  </si>
  <si>
    <t>ZIS 120 S/CABIN</t>
  </si>
  <si>
    <t>وجه فرزاليت ماليزي 70*70</t>
  </si>
  <si>
    <t>ZIS 70 AGED PINE</t>
  </si>
  <si>
    <t>ZIS 70 B/STEEL</t>
  </si>
  <si>
    <t>color b/steel,size 70*70</t>
  </si>
  <si>
    <t>ZIS 70 B/WOOD</t>
  </si>
  <si>
    <t>ZIS 70 BUTTERNUT</t>
  </si>
  <si>
    <t>ZIS 70 CRISS</t>
  </si>
  <si>
    <t>ZIS 70 G/OAK</t>
  </si>
  <si>
    <t>ZIS 70 S/IRON</t>
  </si>
  <si>
    <t>ZIS 70 YANGON</t>
  </si>
  <si>
    <t xml:space="preserve">color yangon,size 70*70,size 80*80 </t>
  </si>
  <si>
    <t>وجه فرزاليت ماليزي 80*80</t>
  </si>
  <si>
    <t>ZIS 80 AGED PINE</t>
  </si>
  <si>
    <t>ZIS 80 B/WOOD</t>
  </si>
  <si>
    <t>ZIS 80 BUTTERNUT</t>
  </si>
  <si>
    <t>ZIS 80 CEMENT</t>
  </si>
  <si>
    <t>ZIS 80 CHOCO/OAK</t>
  </si>
  <si>
    <t xml:space="preserve">color choco/oak,size 80*80,size 80*120 </t>
  </si>
  <si>
    <t>ZIS 80 CRISS</t>
  </si>
  <si>
    <t>ZIS 80 D/MICA</t>
  </si>
  <si>
    <t xml:space="preserve">color d/mica,size 80*80 </t>
  </si>
  <si>
    <t>ZIS 80 D/OAK</t>
  </si>
  <si>
    <t>ZIS 80 G/OAK</t>
  </si>
  <si>
    <t>ZIS 80 P/WORK</t>
  </si>
  <si>
    <t>ZIS 80 R/MAPLE</t>
  </si>
  <si>
    <t>ZIS 80 YANGON</t>
  </si>
  <si>
    <t>طاولة بلاستيك 180 سم شنطة</t>
  </si>
  <si>
    <t>ZK-180B/BROWN</t>
  </si>
  <si>
    <t>A high-quality Plastic table, 180 cm, bag suitable for various environments.</t>
  </si>
  <si>
    <t>ZK-180B/GREY</t>
  </si>
  <si>
    <t>ZK-180B/WHITE</t>
  </si>
  <si>
    <t>طاولة رزين 80*80</t>
  </si>
  <si>
    <t>ZL 348</t>
  </si>
  <si>
    <t>A high-quality Razen table 80*80 suitable for various environments.</t>
  </si>
  <si>
    <t>طقم تك مقعدين ثقيل</t>
  </si>
  <si>
    <t>ZNJ 6301</t>
  </si>
  <si>
    <t>A high-quality Heavy duty two seater set suitable for various environments.</t>
  </si>
  <si>
    <t>وجه طاولة بلاستيك 60*60</t>
  </si>
  <si>
    <t>ZP ABS-60</t>
  </si>
  <si>
    <t>A high-quality Plastic table top 60*60 suitable for various environments.</t>
  </si>
  <si>
    <t>وجه طاولة بلاستيك 80*80</t>
  </si>
  <si>
    <t>ZP ABS-80</t>
  </si>
  <si>
    <t>A high-quality Plastic table top 80*80 suitable for various environments.</t>
  </si>
  <si>
    <t>كرسي جلد وحديد</t>
  </si>
  <si>
    <t>ZRC 0023YC</t>
  </si>
  <si>
    <t>A high-quality Leather and iron chair suitable for various environments.</t>
  </si>
  <si>
    <t>كرسي حديد وقماش</t>
  </si>
  <si>
    <t>ZRC HY-7025</t>
  </si>
  <si>
    <t>A high-quality Iron and cloth chair suitable for various environments.</t>
  </si>
  <si>
    <t>SILVER طاولة بار حديد ثقيل 60*60</t>
  </si>
  <si>
    <t>ZRF 002/60 BAR-SLVR</t>
  </si>
  <si>
    <t>A high-quality SILVER heavy iron bar table 60*60 suitable for various environments.</t>
  </si>
  <si>
    <t>SILVER  طاولة حديد ثقيل 80*80</t>
  </si>
  <si>
    <t>ZRF 002/80-SILVER</t>
  </si>
  <si>
    <t>A high-quality SILVER heavy iron table 80*80 suitable for various environments.</t>
  </si>
  <si>
    <t>كرسي بار حديد عريض مع ظهر</t>
  </si>
  <si>
    <t>ZRF 3701-30/WHITE</t>
  </si>
  <si>
    <t>A high-quality Wide iron bar stool with back suitable for various environments.</t>
  </si>
  <si>
    <t>طاولة حديد وجه خشب 60*60</t>
  </si>
  <si>
    <t>ZRF YK-6060</t>
  </si>
  <si>
    <t>A high-quality Iron table with wood face 60*60 suitable for various environments.</t>
  </si>
  <si>
    <t>طاولة حديد وجه خشب 70*70</t>
  </si>
  <si>
    <t>ZRF YK-7070</t>
  </si>
  <si>
    <t>A high-quality Iron table with wood face 70*70 suitable for various environments.</t>
  </si>
  <si>
    <t>كرسي حديد مع يد اسود</t>
  </si>
  <si>
    <t>ZRF9005/18</t>
  </si>
  <si>
    <t>A high-quality Iron chair with black handle suitable for various environments.</t>
  </si>
  <si>
    <t>MATT BLK 60cm  كرسي بار حديد قصير</t>
  </si>
  <si>
    <t>ZRF9009-24/MATT BLK</t>
  </si>
  <si>
    <t>A high-quality MATT BLK 60cm short iron bar stool suitable for various environments.</t>
  </si>
  <si>
    <t>طاولة رزين 90*150 سم</t>
  </si>
  <si>
    <t>ZRI 1122/T</t>
  </si>
  <si>
    <t>A high-quality Razen table 90*150 cm suitable for various environments.</t>
  </si>
  <si>
    <t>مرجوحة مقعدين</t>
  </si>
  <si>
    <t>ZS 128/BRWN+WHITE</t>
  </si>
  <si>
    <t>A high-quality Two-seater swing suitable for various environments.</t>
  </si>
  <si>
    <t>ZS 128/GREY</t>
  </si>
  <si>
    <t>مرجوحة 3 مقاعد مع شبك</t>
  </si>
  <si>
    <t>ZS 8209/BLUE</t>
  </si>
  <si>
    <t>A high-quality 3 seater swing with net suitable for various environments.</t>
  </si>
  <si>
    <t>ZS 8209/GREEN</t>
  </si>
  <si>
    <t>ZS 8209/GREY</t>
  </si>
  <si>
    <t>ZS 8209/KHAKI</t>
  </si>
  <si>
    <t>1 - 2 مرجوحة</t>
  </si>
  <si>
    <t>ZS 9972HY/GREY</t>
  </si>
  <si>
    <t>A high-quality 1 - 2 swings suitable for various environments.</t>
  </si>
  <si>
    <t>ZS 9972HY/KAKI</t>
  </si>
  <si>
    <t>مرجوحة 3 مقاعد شبك</t>
  </si>
  <si>
    <t>ZSW 002</t>
  </si>
  <si>
    <t>A high-quality 3 seater mesh swing suitable for various environments.</t>
  </si>
  <si>
    <t>كرسي تركي فدار من طقم</t>
  </si>
  <si>
    <t>ZT TURKEY CHAIR</t>
  </si>
  <si>
    <t>A high-quality Turkish chair from a set suitable for various environments.</t>
  </si>
  <si>
    <t>طاولة بلاستيك 150 سم</t>
  </si>
  <si>
    <t>ZT-SENGUS TABLE</t>
  </si>
  <si>
    <t>A high-quality Plastic table 150 cm suitable for various environments.</t>
  </si>
  <si>
    <t>وجه طاولة المنيوم 120*70</t>
  </si>
  <si>
    <t>ZTA 120*70 PS</t>
  </si>
  <si>
    <t>SIZE 60*60,SIZE 70*70,SIZE 80*80,SIZE 70*120</t>
  </si>
  <si>
    <t>A high-quality Aluminum table top 120*70 suitable for various environments.</t>
  </si>
  <si>
    <t>وجه طاولة المنيوم 60*60</t>
  </si>
  <si>
    <t>ZTA 60*60 PS</t>
  </si>
  <si>
    <t>A high-quality Aluminum table top 60*60 suitable for various environments.</t>
  </si>
  <si>
    <t>وجه طاولة المنيوم 70*70</t>
  </si>
  <si>
    <t>ZTA 70*70 PS</t>
  </si>
  <si>
    <t>A high-quality Aluminum table top 70*70 suitable for various environments.</t>
  </si>
  <si>
    <t>وجه طاولة المنيوم 80*80</t>
  </si>
  <si>
    <t>ZTA 80*80 PS</t>
  </si>
  <si>
    <t>A high-quality Aluminum table top 80*80 suitable for various environments.</t>
  </si>
  <si>
    <t>قاعدة المنيوم 4 ارجل ثقيل عريض</t>
  </si>
  <si>
    <t>ZTB 001</t>
  </si>
  <si>
    <t>A high-quality Aluminum base, 4 heavy, wide legs suitable for various environments.</t>
  </si>
  <si>
    <t>ZTB 003</t>
  </si>
  <si>
    <t>قاعدة المنيوم قلاب</t>
  </si>
  <si>
    <t>ZTB 009</t>
  </si>
  <si>
    <t>A high-quality Aluminum flip base suitable for various environments.</t>
  </si>
  <si>
    <t>قاعدة فونت درج مدور</t>
  </si>
  <si>
    <t>ZTB 011A</t>
  </si>
  <si>
    <t>A high-quality Round drawer font base suitable for various environments.</t>
  </si>
  <si>
    <t>335/ قاعدة فونت مجوز</t>
  </si>
  <si>
    <t>ZTB 072G/76</t>
  </si>
  <si>
    <t>A high-quality 335/Fontâ€™s rule is permitted suitable for various environments.</t>
  </si>
  <si>
    <t>قاعدة فونت بار 4 ارجل قسطل حفر</t>
  </si>
  <si>
    <t>ZTB 079H/1080</t>
  </si>
  <si>
    <t>A high-quality Font bar base, 4 legs, drill pipe suitable for various environments.</t>
  </si>
  <si>
    <t>قاعدة حديد بار درج مدور</t>
  </si>
  <si>
    <t>ZTB 3099H</t>
  </si>
  <si>
    <t>A high-quality Round drawer bar iron base suitable for various environments.</t>
  </si>
  <si>
    <t>قاعدة حديد بار ملس مربع</t>
  </si>
  <si>
    <t>ZTB 3155H</t>
  </si>
  <si>
    <t>A high-quality Square smooth bar iron base suitable for various environments.</t>
  </si>
  <si>
    <t>قاعدة فونت مربع</t>
  </si>
  <si>
    <t>ZTB 43E</t>
  </si>
  <si>
    <t>A high-quality Font square rule suitable for various environments.</t>
  </si>
  <si>
    <t>رفيع X قاعدة فونت</t>
  </si>
  <si>
    <t>ZTB 53E</t>
  </si>
  <si>
    <t>A high-quality Thin X Font Base suitable for various environments.</t>
  </si>
  <si>
    <t>قاعدة فونت مجوز</t>
  </si>
  <si>
    <t>ZTB 75E</t>
  </si>
  <si>
    <t>A high-quality Font rule is permitted suitable for various environments.</t>
  </si>
  <si>
    <t>قاعدة ستانلس مدور ملس اسود</t>
  </si>
  <si>
    <t>ZTB E18B-45</t>
  </si>
  <si>
    <t>A high-quality Smooth black round stainless base suitable for various environments.</t>
  </si>
  <si>
    <t>قاعدة ستانلس بار</t>
  </si>
  <si>
    <t>ZTB E19-50</t>
  </si>
  <si>
    <t>A high-quality Stainless bar base suitable for various environments.</t>
  </si>
  <si>
    <t>قاعدة ستانلس 38 سم</t>
  </si>
  <si>
    <t>ZTBS 19C</t>
  </si>
  <si>
    <t>A high-quality Stainless base 38 cm suitable for various environments.</t>
  </si>
  <si>
    <t>C72 قاعدة ستنلس مدور</t>
  </si>
  <si>
    <t>ZTBS 20 E</t>
  </si>
  <si>
    <t>A high-quality C72 round stainless steel base suitable for various environments.</t>
  </si>
  <si>
    <t>WHITE وجه فرزاليت تركي 70*70</t>
  </si>
  <si>
    <t>ZTO 101/70*70</t>
  </si>
  <si>
    <t>color white :size 70*70,size 80*80,size 80*120</t>
  </si>
  <si>
    <t>Stylish and durable indoor table tops with a range of colors and patterns.</t>
  </si>
  <si>
    <t>WHITE وجه فرزاليت تركي 70 مدور</t>
  </si>
  <si>
    <t>ZTO 101/70Q</t>
  </si>
  <si>
    <t>color white : size round 70,80,90</t>
  </si>
  <si>
    <t>WHITE وجه فرزاليت تركي 80*120</t>
  </si>
  <si>
    <t>ZTO 101/80*120</t>
  </si>
  <si>
    <t>WHITE وجه فرزاليت تركي 80*80</t>
  </si>
  <si>
    <t>ZTO 101/80*80</t>
  </si>
  <si>
    <t>WHITE  وجه فرزاليت تركي 80 مدور</t>
  </si>
  <si>
    <t>ZTO 101/80Q</t>
  </si>
  <si>
    <t>WHITE وجه فرزاليت تركي 90 مدور</t>
  </si>
  <si>
    <t>ZTO 101/90Q</t>
  </si>
  <si>
    <t>BLACK وجه فرزاليت تركي 60 مدور</t>
  </si>
  <si>
    <t>ZTO 111/60Q</t>
  </si>
  <si>
    <t>color black : size round 60,70,80,90</t>
  </si>
  <si>
    <t>BLACK وجه فرزاليت تركي 70*70</t>
  </si>
  <si>
    <t>ZTO 111/70*70</t>
  </si>
  <si>
    <t>color black :size 70*70,size 80*80,size 80*120</t>
  </si>
  <si>
    <t>BLACK  وجه فرزاليت تركي 70 مدور</t>
  </si>
  <si>
    <t>ZTO 111/70Q</t>
  </si>
  <si>
    <t>BLACK وجه فرزاليت تركي 80*120</t>
  </si>
  <si>
    <t>ZTO 111/80*120</t>
  </si>
  <si>
    <t>BLACK  وجه فرزاليت تركي 80*80</t>
  </si>
  <si>
    <t>ZTO 111/80*80</t>
  </si>
  <si>
    <t>BLACK وجه فرزاليت تركي 80 مدور</t>
  </si>
  <si>
    <t>ZTO 111/80Q</t>
  </si>
  <si>
    <t>BLACK وجه فرزاليت تركي 90 مدور</t>
  </si>
  <si>
    <t>ZTO 111/90Q</t>
  </si>
  <si>
    <t>Wenge  وجه فرزاليت تركي 80*80</t>
  </si>
  <si>
    <t>ZTO 209/80*80</t>
  </si>
  <si>
    <t>RED WOOD وجه فرزاليت تركي 70*70</t>
  </si>
  <si>
    <t>ZTO 219/70*70</t>
  </si>
  <si>
    <t>color red wood :size 70*70,size 80*80,size 80*140</t>
  </si>
  <si>
    <t>RED WOOD وجه فرزاليت تركي 80*140</t>
  </si>
  <si>
    <t>ZTO 219/80*140</t>
  </si>
  <si>
    <t>RED WOOD  وجه فرزاليت تركي 80*80</t>
  </si>
  <si>
    <t>ZTO 219/80*80</t>
  </si>
  <si>
    <t>INDIAN WOOD وجه فرزاليت تركي 70*70</t>
  </si>
  <si>
    <t>ZTO 222/70*70</t>
  </si>
  <si>
    <t>color indian wood : size 70*70,size 80*80,size 80*120</t>
  </si>
  <si>
    <t>INDIAN WOOD وجه فرزاليت تركي 70 مدور</t>
  </si>
  <si>
    <t>ZTO 222/70Q</t>
  </si>
  <si>
    <t>color indian wood : size round 70,80</t>
  </si>
  <si>
    <t>INDIAN WOOD وجه فرزاليت تركي 80*120</t>
  </si>
  <si>
    <t>ZTO 222/80*120</t>
  </si>
  <si>
    <t>INDIAN WOOD وجه فرزاليت تركي 80*80</t>
  </si>
  <si>
    <t>ZTO 222/80*80</t>
  </si>
  <si>
    <t>INDIAN WOOD وجه فرزاليت تركي 80 مدور</t>
  </si>
  <si>
    <t>ZTO 222/80Q</t>
  </si>
  <si>
    <t>Green wood وجه فرزاليت تركي 70*70</t>
  </si>
  <si>
    <t>ZTO 223/70*70</t>
  </si>
  <si>
    <t>color Green wood: size 70*70,size 80*80,size 80*120</t>
  </si>
  <si>
    <t>Green wood وجه فرزاليت تركي 80*120</t>
  </si>
  <si>
    <t>ZTO 223/80*120</t>
  </si>
  <si>
    <t>Green wood وجه فرزاليت تركي 80*80</t>
  </si>
  <si>
    <t>ZTO 223/80*80</t>
  </si>
  <si>
    <t>PARKELETTO وجه فرزاليت تركي 80*80</t>
  </si>
  <si>
    <t>ZTO 227/80*80</t>
  </si>
  <si>
    <t>color PARKELETTO : size 80*80</t>
  </si>
  <si>
    <t>Riviera وجه فرزاليت تركي 80*120</t>
  </si>
  <si>
    <t>ZTO 233/80*120</t>
  </si>
  <si>
    <t>Riviera  وجه فرزاليت تركي 80*140</t>
  </si>
  <si>
    <t>ZTO 233/80*140</t>
  </si>
  <si>
    <t>Riviera   وجه فرزاليت تركي 80*80</t>
  </si>
  <si>
    <t>ZTO 233/80*80</t>
  </si>
  <si>
    <t>color Riviera : size 80*80,size 80*120,size 80*140</t>
  </si>
  <si>
    <t>BIANCO CARAR  وجه فرزاليت تركي 60*60</t>
  </si>
  <si>
    <t>ZTO 317/60*60</t>
  </si>
  <si>
    <t>BIANCO CARAR  وجه فرزاليت تركي 60 مدور</t>
  </si>
  <si>
    <t>ZTO 317/60Q</t>
  </si>
  <si>
    <t>color BIANCO CARAR, size round 60,70,80,90</t>
  </si>
  <si>
    <t>BIANCO CARAR وجه فرزاليت تركي 70*70</t>
  </si>
  <si>
    <t>ZTO 317/70*70</t>
  </si>
  <si>
    <t>color BIANCO CARAR, size 60*60,size 70*70,size 80*80,size 80*120.size 80*140</t>
  </si>
  <si>
    <t>BIANCO CARAR  وجه فرزاليت تركي 70 مدور</t>
  </si>
  <si>
    <t>ZTO 317/70Q</t>
  </si>
  <si>
    <t>BIANCO CARAR وجه فرزاليت تركي 80*120</t>
  </si>
  <si>
    <t>ZTO 317/80*120</t>
  </si>
  <si>
    <t>BIANCO CARAR  وجه فرزاليت تركي 80*140</t>
  </si>
  <si>
    <t>ZTO 317/80*140</t>
  </si>
  <si>
    <t>BIANCO CARAR  وجه فرزاليت تركي 80*80</t>
  </si>
  <si>
    <t>ZTO 317/80*80</t>
  </si>
  <si>
    <t>BIANCO CARAR  وجه فرزاليت تركي 80 مدور</t>
  </si>
  <si>
    <t>ZTO 317/80Q</t>
  </si>
  <si>
    <t>BIANCO CARAR وجه فرزاليت تركي 90 مدور</t>
  </si>
  <si>
    <t>ZTO 317/90Q</t>
  </si>
  <si>
    <t>ROYAL MARBLE  وجه فرزاليت تركي 60*60</t>
  </si>
  <si>
    <t>ZTO 320/60*60</t>
  </si>
  <si>
    <t>ROYAL MARBLE وجه فرزاليت تركي 60 مدور</t>
  </si>
  <si>
    <t>ZTO 320/60Q</t>
  </si>
  <si>
    <t>ROYAL MARBLE  وجه فرزاليت تركي 70*120</t>
  </si>
  <si>
    <t>ZTO 320/70*120</t>
  </si>
  <si>
    <t>ROYAL MARBLE وجه فرزاليت تركي 70*70</t>
  </si>
  <si>
    <t>ZTO 320/70*70</t>
  </si>
  <si>
    <t>color ROYAL MARBLE, size 60*60,size 70*70,size 80*80,size 80*120.size 80*140</t>
  </si>
  <si>
    <t>ROYAL MARBLE  وجه فرزاليت تركي 70 مدور</t>
  </si>
  <si>
    <t>ZTO 320/70Q</t>
  </si>
  <si>
    <t>color ROYAL MARBLE, size round 60,70,80</t>
  </si>
  <si>
    <t>ROYAL MARBLE  وجه فرزاليت تركي 80*120</t>
  </si>
  <si>
    <t>ZTO 320/80*120</t>
  </si>
  <si>
    <t>ROYAL MARBLE  وجه فرزاليت تركي 80*140</t>
  </si>
  <si>
    <t>ZTO 320/80*140</t>
  </si>
  <si>
    <t>ROYAL MARBLE  وجه فرزاليت تركي 80*80</t>
  </si>
  <si>
    <t>ZTO 320/80*80</t>
  </si>
  <si>
    <t>ROYAL MARBLE وجه فرزاليت تركي 80 مدور</t>
  </si>
  <si>
    <t>ZTO 320/80Q</t>
  </si>
  <si>
    <t>DUGY وجه فرزاليت تركي 60*60</t>
  </si>
  <si>
    <t>ZTO 325/60*60</t>
  </si>
  <si>
    <t>color dugy, size 60*60,size 70*70,size 80*80,size 80*120.size 70*120</t>
  </si>
  <si>
    <t>DUGY  وجه فرزاليت تركي 60 مدور</t>
  </si>
  <si>
    <t>ZTO 325/60Q</t>
  </si>
  <si>
    <t>color dugy , size round 60,70,80,90</t>
  </si>
  <si>
    <t>DUGY وجه فرزاليت تركي 70*120</t>
  </si>
  <si>
    <t>ZTO 325/70*120</t>
  </si>
  <si>
    <t>DUGY وجه فرزاليت تركي 70*70</t>
  </si>
  <si>
    <t>ZTO 325/70*70</t>
  </si>
  <si>
    <t>DUGY وجه فرزاليت تركي 70 مدور</t>
  </si>
  <si>
    <t>ZTO 325/70Q</t>
  </si>
  <si>
    <t>DUGY وجه فرزاليت تركي 80*120</t>
  </si>
  <si>
    <t>ZTO 325/80*120</t>
  </si>
  <si>
    <t>DUGY  وجه فرزاليت تركي 80*80</t>
  </si>
  <si>
    <t>ZTO 325/80*80</t>
  </si>
  <si>
    <t>DUGY وجه فرزاليت تركي 80 مدور</t>
  </si>
  <si>
    <t>ZTO 325/80Q</t>
  </si>
  <si>
    <t>DUGY  وجه فرزاليت تركي 90 مدور</t>
  </si>
  <si>
    <t>ZTO 325/90Q</t>
  </si>
  <si>
    <t>DIA 1- وجه فرزاليت تركي 60*60</t>
  </si>
  <si>
    <t>ZTO 329-DIA1/60*60</t>
  </si>
  <si>
    <t>color DIA 1, size 60*60,size 70*70,size 80*80,size 80*120.size 70*120,size 80*140</t>
  </si>
  <si>
    <t>DIA 1-وجه فرزاليت تركي 60 مدور</t>
  </si>
  <si>
    <t>ZTO 329-DIA1/60Q</t>
  </si>
  <si>
    <t>color DIA 1 , size round 60,70,80,90</t>
  </si>
  <si>
    <t>DIA 1-وجه فرزاليت تركي 70*120</t>
  </si>
  <si>
    <t>ZTO 329-DIA1/70*120</t>
  </si>
  <si>
    <t>DIA 1-وجه فرزاليت تركي 70*70</t>
  </si>
  <si>
    <t>ZTO 329-DIA1/70*70</t>
  </si>
  <si>
    <t>DIA 1- وجه فرزاليت تركي 70 مدور</t>
  </si>
  <si>
    <t>ZTO 329-DIA1/70Q</t>
  </si>
  <si>
    <t>DIA 1- وجه فرزاليت تركي 80*120</t>
  </si>
  <si>
    <t>ZTO 329-DIA1/80*120</t>
  </si>
  <si>
    <t>DIA 1 - وجه فرزاليت تركي 80*140</t>
  </si>
  <si>
    <t>ZTO 329-DIA1/80*140</t>
  </si>
  <si>
    <t>DIA 1- وجه فرزاليت تركي 80*80</t>
  </si>
  <si>
    <t>ZTO 329-DIA1/80*80</t>
  </si>
  <si>
    <t>DIA 1-وجه فرزاليت تركي 80 مدور</t>
  </si>
  <si>
    <t>ZTO 329-DIA1/80Q</t>
  </si>
  <si>
    <t>DIA 1-وجه فرزاليت تركي 90 مدور</t>
  </si>
  <si>
    <t>ZTO 329-DIA1/90Q</t>
  </si>
  <si>
    <t>DIA 2  وجه فرزاليت تركي 60*60</t>
  </si>
  <si>
    <t>ZTO 330/60*60</t>
  </si>
  <si>
    <t>color DIA 2, size 60*60,size 70*70,size 80*80,size 80*120.size 70*120,size 80*140</t>
  </si>
  <si>
    <t>DIA 2 وجه فرزاليت تركي 60 مدور</t>
  </si>
  <si>
    <t>ZTO 330/60Q</t>
  </si>
  <si>
    <t>color DIA 2 ,size round 60,70,80</t>
  </si>
  <si>
    <t>DIA 2 وجه فرزاليت تركي 70*120</t>
  </si>
  <si>
    <t>ZTO 330/70*120</t>
  </si>
  <si>
    <t>DIA 2 وجه فرزاليت تركي 70*70</t>
  </si>
  <si>
    <t>ZTO 330/70*70</t>
  </si>
  <si>
    <t>DIA 2 وجه فرزاليت تركي 70 مدور</t>
  </si>
  <si>
    <t>ZTO 330/70Q</t>
  </si>
  <si>
    <t>DIA 2  وجه فرزاليت تركي 80*120</t>
  </si>
  <si>
    <t>ZTO 330/80*120</t>
  </si>
  <si>
    <t>DIA 2 وجه فرزاليت تركي 80*140</t>
  </si>
  <si>
    <t>ZTO 330/80*140</t>
  </si>
  <si>
    <t>DIA 2 وجه فرزاليت تركي 80*80</t>
  </si>
  <si>
    <t>ZTO 330/80*80</t>
  </si>
  <si>
    <t>DIA 2 وجه فرزاليت تركي 80 مدور</t>
  </si>
  <si>
    <t>ZTO 330/80Q</t>
  </si>
  <si>
    <t>TERAMO  وجه فرزاليت تركي 60*60</t>
  </si>
  <si>
    <t>ZTO 331/60*60</t>
  </si>
  <si>
    <t>color teramo, size 60*60,size 70*70,size 80*80,size 80*120.size 70*120</t>
  </si>
  <si>
    <t>TERAMO وجه فرزاليت تركي 60 مدور</t>
  </si>
  <si>
    <t>ZTO 331/60Q</t>
  </si>
  <si>
    <t>color teramo ,size round 60,70,80,90</t>
  </si>
  <si>
    <t>TERAMO وجه فرزاليت تركي 70*120</t>
  </si>
  <si>
    <t>ZTO 331/70*120</t>
  </si>
  <si>
    <t>TERAMO وجه فرزاليت تركي 70*70</t>
  </si>
  <si>
    <t>ZTO 331/70*70</t>
  </si>
  <si>
    <t>TERAMO وجه فرزاليت تركي 70 مدور</t>
  </si>
  <si>
    <t>ZTO 331/70Q</t>
  </si>
  <si>
    <t>TERAMO  وجه فرزاليت تركي 80*120</t>
  </si>
  <si>
    <t>ZTO 331/80*120</t>
  </si>
  <si>
    <t>TERAMO وجه فرزاليت تركي 80*80</t>
  </si>
  <si>
    <t>ZTO 331/80*80</t>
  </si>
  <si>
    <t>TERAMO وجه فرزاليت تركي 80 مدور</t>
  </si>
  <si>
    <t>ZTO 331/80Q</t>
  </si>
  <si>
    <t>TERAMO وجه فرزاليت تركي 90 مدور</t>
  </si>
  <si>
    <t>ZTO 331/90Q</t>
  </si>
  <si>
    <t>عربية</t>
  </si>
  <si>
    <t>ZTT 631</t>
  </si>
  <si>
    <t>A high-quality Arabic suitable for various environments.</t>
  </si>
  <si>
    <t>شمسية مانيفيل 3 م</t>
  </si>
  <si>
    <t>ZU 002</t>
  </si>
  <si>
    <t>A high-quality Manifold umbrella 3m suitable for various environments.</t>
  </si>
  <si>
    <t>شمسية 350 سم</t>
  </si>
  <si>
    <t>ZU 1350</t>
  </si>
  <si>
    <t>A high-quality Umbrella 350 cm suitable for various environments.</t>
  </si>
  <si>
    <t>قاعدة رخام 35 كلغ</t>
  </si>
  <si>
    <t>ZUB 2005/35</t>
  </si>
  <si>
    <t>A high-quality Marble base 35 kg suitable for various environments.</t>
  </si>
  <si>
    <t>قاعد حجر 25 كلغ</t>
  </si>
  <si>
    <t>ZUB 25/STONE</t>
  </si>
  <si>
    <t>A high-quality Stone base 25 kg suitable for various environments.</t>
  </si>
  <si>
    <t>MARBLE BASE /2021</t>
  </si>
  <si>
    <t>ZUB 27</t>
  </si>
  <si>
    <t>A high-quality MARBLE BASE /2021 suitable for various environments.</t>
  </si>
  <si>
    <t>قاعدة رخام 30 كغ دولاب</t>
  </si>
  <si>
    <t>ZUB 30/GRNT</t>
  </si>
  <si>
    <t>A high-quality 30 kg marble base cupboard suitable for various environments.</t>
  </si>
  <si>
    <t>قاعدة باطون 50 كلغ</t>
  </si>
  <si>
    <t>ZUB 50</t>
  </si>
  <si>
    <t>A high-quality Concrete base 50 kg suitable for various environments.</t>
  </si>
  <si>
    <t>قاعدة شمسية</t>
  </si>
  <si>
    <t>ZUB BASE 46*46</t>
  </si>
  <si>
    <t>A high-quality Solar base suitable for various environments.</t>
  </si>
  <si>
    <t>قاعدة شمسية مستطيل</t>
  </si>
  <si>
    <t>ZUB BASE/3</t>
  </si>
  <si>
    <t>A high-quality Rectangle sun base suitable for various environments.</t>
  </si>
  <si>
    <t>شمسية 3 م مدور مانيفل</t>
  </si>
  <si>
    <t>ZUM 002</t>
  </si>
  <si>
    <t>A high-quality Umbrella 3 m round manifold suitable for various environments.</t>
  </si>
  <si>
    <t>شمسية 3*3 مانيفيل</t>
  </si>
  <si>
    <t>ZUM 006</t>
  </si>
  <si>
    <t>A high-quality Umbrella 3*3 manifold suitable for various environments.</t>
  </si>
  <si>
    <t>ROMAN  شمسية كوع 3*3 بدون كشكش مع قاعدة</t>
  </si>
  <si>
    <t>ZXL 2020</t>
  </si>
  <si>
    <t>A high-quality ROMAN 3*3 elbow umbrella without ruffle with base suitable for various environments.</t>
  </si>
  <si>
    <t>SOLAR UMB شمسية</t>
  </si>
  <si>
    <t>ZXL 618/SOLAR UMB</t>
  </si>
  <si>
    <t>A high-quality SOLAR UMB suitable for various environments.</t>
  </si>
  <si>
    <t>DOUBLE HEAD شمسية 3 م</t>
  </si>
  <si>
    <t>ZXL 9333</t>
  </si>
  <si>
    <t>A high-quality DOUBLE HEAD Umbrella 3m suitable for various environments.</t>
  </si>
  <si>
    <t>شمسية 3*3 كوع مع قاعدة</t>
  </si>
  <si>
    <t>ZXL HY-001</t>
  </si>
  <si>
    <t>A high-quality 3*3 elbow umbrella with base suitable for various environments.</t>
  </si>
  <si>
    <t>قاعدة شمسية حجر مدور</t>
  </si>
  <si>
    <t>ZXL HY-1002</t>
  </si>
  <si>
    <t>A high-quality Round stone solar base suitable for various environments.</t>
  </si>
  <si>
    <t>ROMAN قاعدة شمسية</t>
  </si>
  <si>
    <t>ZXL HY-1020</t>
  </si>
  <si>
    <t>A high-quality ROMAN solar base suitable for various environments.</t>
  </si>
  <si>
    <t>شمسية 270 سم مانيفيل</t>
  </si>
  <si>
    <t>ZXL HY-9001</t>
  </si>
  <si>
    <t>A high-quality Umbrella 270 cm manifold suitable for various environments.</t>
  </si>
  <si>
    <t>شمسية 270 سم مع قاعدة</t>
  </si>
  <si>
    <t>ZXL HY-9012</t>
  </si>
  <si>
    <t>A high-quality Umbrella 270 cm with base suitable for various environments.</t>
  </si>
  <si>
    <t>KAKI- BANANA شمسية 3 م كوع مدور مع قاعدة</t>
  </si>
  <si>
    <t>ZXL HY-9013</t>
  </si>
  <si>
    <t>A high-quality KAKI- BANANA 3m round elbow umbrella with base suitable for various environments.</t>
  </si>
  <si>
    <t>BEIGE- BANANA شمسية 3 م كوع مدور مع قاعدة</t>
  </si>
  <si>
    <t>ZXL HY-9013/BEIGE</t>
  </si>
  <si>
    <t>A high-quality BEIGE-BANANA Umbrella 3m round elbow with base suitable for various environments.</t>
  </si>
  <si>
    <t>GREY- BANANA شمسية 3 م كوع مدور مع قاعدة</t>
  </si>
  <si>
    <t>ZXL HY9013/GREY</t>
  </si>
  <si>
    <t>A high-quality GREY- BANANA 3m round elbow umbrella with base suitable for various environments.</t>
  </si>
  <si>
    <t>شمسية 270 سم خشب</t>
  </si>
  <si>
    <t>ZYP-1/2777</t>
  </si>
  <si>
    <t>A high-quality Umbrella 270 cm, wooden suitable for various environments.</t>
  </si>
  <si>
    <t>EXTRA شمسية 270 سم عامود مانيفيل</t>
  </si>
  <si>
    <t>ZYP-UM893</t>
  </si>
  <si>
    <t>A high-quality EXTRA Umbrella 270 cm, Mannequin Pole suitable for various environments.</t>
  </si>
  <si>
    <t>شمسية 2*2 المنيوم ثقيل رمادي</t>
  </si>
  <si>
    <t>ZYP-UM9112</t>
  </si>
  <si>
    <t>A high-quality Umbrella 2*2, heavy aluminum, gray suitable for various environments.</t>
  </si>
  <si>
    <t>شمسية 3 م مدور المنيوم ثقيل رمادي</t>
  </si>
  <si>
    <t>ZYP-UM9113</t>
  </si>
  <si>
    <t>A high-quality Umbrella, 3 m, round, heavy aluminum, gray suitable for various environments.</t>
  </si>
  <si>
    <t>كيس نص دائرة</t>
  </si>
  <si>
    <t>ZZ 6113/BEAN BAG</t>
  </si>
  <si>
    <t>A high-quality Circle text bag suitable for various environments.</t>
  </si>
  <si>
    <t>فوتاي بحر قماش</t>
  </si>
  <si>
    <t>ZZ 6123/SWMN BAG</t>
  </si>
  <si>
    <t>A high-quality Futai sea canvas suitable for various environments.</t>
  </si>
  <si>
    <t>WTR PRF فوتاي بحر</t>
  </si>
  <si>
    <t>ZZ 6123/WTR PROOF</t>
  </si>
  <si>
    <t>A high-quality WTR PRF Futai Bahr suitable for various environments.</t>
  </si>
  <si>
    <t>كيس شزلونغ بحر</t>
  </si>
  <si>
    <t>ZZ 6145/SWMN BAG</t>
  </si>
  <si>
    <t>A high-quality Sea chaise longue bag suitable for various environments.</t>
  </si>
  <si>
    <t>كيس مثلث</t>
  </si>
  <si>
    <t>ZZ 6165/XL-KING CHAI</t>
  </si>
  <si>
    <t>A high-quality Triangle bag suitable for various environments.</t>
  </si>
  <si>
    <t>بوف بالون</t>
  </si>
  <si>
    <t>ZZ 7100/BALLOON</t>
  </si>
  <si>
    <t>A high-quality Balloon pouf suitable for various environments.</t>
  </si>
  <si>
    <t>GAMING CHAIR</t>
  </si>
  <si>
    <t>ZZC 041AF</t>
  </si>
  <si>
    <t>Office Chair</t>
  </si>
  <si>
    <t>A high-quality GAMING CHAIR suitable for various environments.</t>
  </si>
  <si>
    <t>كرسي ستاربكس ملون</t>
  </si>
  <si>
    <t>ZZC 1052</t>
  </si>
  <si>
    <t>A high-quality Colorful Starbucks chair suitable for various environments.</t>
  </si>
  <si>
    <t>MIX كرسي رزين</t>
  </si>
  <si>
    <t>ZZC 1057/MIX</t>
  </si>
  <si>
    <t>A high-quality MIX sturdy chair suitable for various environments.</t>
  </si>
  <si>
    <t>LILI  كرسي مقلم بلاستيك</t>
  </si>
  <si>
    <t>ZZC 140F/BLK</t>
  </si>
  <si>
    <t>color black,blue,red,yellow,yellow</t>
  </si>
  <si>
    <t>A high-quality LILI plastic striped chair suitable for various environments.</t>
  </si>
  <si>
    <t>ZZC 140F/BLUE</t>
  </si>
  <si>
    <t>ZZC 140F/RED</t>
  </si>
  <si>
    <t>ZZC 140F/WHITE</t>
  </si>
  <si>
    <t>ZZC 140F/YELLOW</t>
  </si>
  <si>
    <t>كرسي كوان</t>
  </si>
  <si>
    <t>ZZC 202A/CHAIR</t>
  </si>
  <si>
    <t>Wood + Fabric Chair</t>
  </si>
  <si>
    <t>A high-quality Cowan chair suitable for various environments.</t>
  </si>
  <si>
    <t>كرسي حديد مع قماش</t>
  </si>
  <si>
    <t>ZZC 20Y</t>
  </si>
  <si>
    <t>A high-quality Iron chair with fabric suitable for various environments.</t>
  </si>
  <si>
    <t>LILI كرسي شبك بلاستيك</t>
  </si>
  <si>
    <t>ZZC 222/BLUE</t>
  </si>
  <si>
    <t>color blue,white,grey,red,yellow,green</t>
  </si>
  <si>
    <t>A high-quality LILI plastic mesh chair suitable for various environments.</t>
  </si>
  <si>
    <t>ZZC 222/GREEN</t>
  </si>
  <si>
    <t>ZZC 222/GREY</t>
  </si>
  <si>
    <t>ZZC 222/RED</t>
  </si>
  <si>
    <t>ZZC 222/WHITE</t>
  </si>
  <si>
    <t>ZZC 222/YELLOW</t>
  </si>
  <si>
    <t>GREY  كرسي مكتب</t>
  </si>
  <si>
    <t>ZZC 303 ZM</t>
  </si>
  <si>
    <t>A high-quality GREY office chair suitable for various environments.</t>
  </si>
  <si>
    <t>كرسي مكتب</t>
  </si>
  <si>
    <t>ZZC 4005/B</t>
  </si>
  <si>
    <t>A high-quality Office chair suitable for various environments.</t>
  </si>
  <si>
    <t>ZZC 4006</t>
  </si>
  <si>
    <t>كرسي المنيوم</t>
  </si>
  <si>
    <t>ZZC 6604LMA</t>
  </si>
  <si>
    <t>A high-quality Aluminum chair suitable for various environments.</t>
  </si>
  <si>
    <t>BLK كرسي بلاستيك بدون يد</t>
  </si>
  <si>
    <t>ZZC 675</t>
  </si>
  <si>
    <t>A high-quality BLK plastic chair without handle suitable for various environments.</t>
  </si>
  <si>
    <t>ZZC 8001 ZM</t>
  </si>
  <si>
    <t>كرسي مكتب ثابت</t>
  </si>
  <si>
    <t>ZZC 8002 ZM</t>
  </si>
  <si>
    <t>A high-quality Fixed office chair suitable for various environments.</t>
  </si>
  <si>
    <t>كرسي وردة بلاستيك بدون يد</t>
  </si>
  <si>
    <t>ZZC 803/BLK</t>
  </si>
  <si>
    <t>A high-quality Plastic rose chair without handle suitable for various environments.</t>
  </si>
  <si>
    <t>PLEXI كرسي بلاكسي مع يد</t>
  </si>
  <si>
    <t>ZZC 8072/GREY</t>
  </si>
  <si>
    <t>A high-quality PLEXI chair with handle suitable for various environments.</t>
  </si>
  <si>
    <t>ZZC 881/BLK</t>
  </si>
  <si>
    <t>ZZC 881/GRY</t>
  </si>
  <si>
    <t>ZZC 903B ZM</t>
  </si>
  <si>
    <t>طاولة بلاستيك مع خشب 80*120</t>
  </si>
  <si>
    <t>ZZC MD/80*120/BLK</t>
  </si>
  <si>
    <t>A high-quality Plastic table with wood 80*120 suitable for various environments.</t>
  </si>
  <si>
    <t>طاولة بلاستيك مع خشب 80*80</t>
  </si>
  <si>
    <t>ZZC MD/80*80/BLK</t>
  </si>
  <si>
    <t>A high-quality Plastic table with wood 80*80 suitable for various environments.</t>
  </si>
  <si>
    <t>طاولة خشب  180 سم مدورة</t>
  </si>
  <si>
    <t>ZZC ROUND TABLE</t>
  </si>
  <si>
    <t>Dining Table</t>
  </si>
  <si>
    <t>A high-quality Wooden table 180 cm round suitable for various environments.</t>
  </si>
  <si>
    <t>BLK طاولة بار 60 سم مدور</t>
  </si>
  <si>
    <t>ZZC STONE 60/BLK</t>
  </si>
  <si>
    <t>A high-quality BLK bar table 60 cm round suitable for various environments.</t>
  </si>
  <si>
    <t>BLK&amp;GRY طاولة بار 60 سم مدور</t>
  </si>
  <si>
    <t>ZZC STONE 60/BLKGR</t>
  </si>
  <si>
    <t>A high-quality BLK&amp;GRY Bar table 60 cm round suitable for various environments.</t>
  </si>
  <si>
    <t>BLK طاولة 80 سم مدور</t>
  </si>
  <si>
    <t>ZZC STONE 80/BLACK</t>
  </si>
  <si>
    <t>A high-quality BLK table 80 cm round suitable for various environments.</t>
  </si>
  <si>
    <t>كرسي خشب قماش بدون يد</t>
  </si>
  <si>
    <t>ZZC W-638</t>
  </si>
  <si>
    <t>A high-quality Wooden fabric chair without handle suitable for various environments.</t>
  </si>
  <si>
    <t>كرسي سفرة جلد عريض مع يد</t>
  </si>
  <si>
    <t>ZZC Y2212</t>
  </si>
  <si>
    <t>A high-quality Wide leather dining chair with handle suitable for various environments.</t>
  </si>
  <si>
    <t>وجه المنيوم 80*80 اصلي</t>
  </si>
  <si>
    <t>ZZQ 051/80</t>
  </si>
  <si>
    <t>A high-quality Aluminum face 80*80 original suitable for various environments.</t>
  </si>
  <si>
    <t>قاعدة ستانلس مجوز</t>
  </si>
  <si>
    <t>ZZQ 07 CROSS</t>
  </si>
  <si>
    <t>A high-quality Stainless steel base suitable for various environments.</t>
  </si>
  <si>
    <t>وجه طاولة 120*80</t>
  </si>
  <si>
    <t>ZZQ 197/120</t>
  </si>
  <si>
    <t>A high-quality Table face 120*80 suitable for various environments.</t>
  </si>
  <si>
    <t>ZZQ 197/80</t>
  </si>
  <si>
    <t>Chinese lamayka,size 80*80,size 80*120</t>
  </si>
  <si>
    <t>A high-quality Table face 80*80 suitable for various environments.</t>
  </si>
  <si>
    <t>ZZQ 232/120</t>
  </si>
  <si>
    <t>ZZQ 232/60</t>
  </si>
  <si>
    <t>A high-quality Table face 60*60 suitable for various environments.</t>
  </si>
  <si>
    <t>ZZQ 251/60</t>
  </si>
  <si>
    <t>Chinese lamayka,size 60*60,size 70*70</t>
  </si>
  <si>
    <t>ZZQ 251/70</t>
  </si>
  <si>
    <t>A high-quality Table face 70*70 suitable for various environments.</t>
  </si>
  <si>
    <t>ZZQ 304</t>
  </si>
  <si>
    <t>ZZQ 369/120</t>
  </si>
  <si>
    <t>A high-quality Table face 80*120 suitable for various environments.</t>
  </si>
  <si>
    <t>ZZQ 369/70</t>
  </si>
  <si>
    <t>Chinese lamayka,size 70*70,SIZE 80*120</t>
  </si>
  <si>
    <t>وجه رزين 60*60</t>
  </si>
  <si>
    <t>ZZQ 9060/60</t>
  </si>
  <si>
    <t>zise 60*60,size 70*70,size 80*80,size 90*90,size 70*120,size 80*130</t>
  </si>
  <si>
    <t>A high-quality Sober face 60*60 suitable for various environments.</t>
  </si>
  <si>
    <t>وجه رزين 70*70</t>
  </si>
  <si>
    <t>ZZQ 9070/70</t>
  </si>
  <si>
    <t>A high-quality Sober face 70*70 suitable for various environments.</t>
  </si>
  <si>
    <t>وجه رزين 80*80</t>
  </si>
  <si>
    <t>ZZQ 9080/80</t>
  </si>
  <si>
    <t>A high-quality Sober face 80*80 suitable for various environments.</t>
  </si>
  <si>
    <t>وجه رزين 70*120</t>
  </si>
  <si>
    <t>ZZQ 9120/120</t>
  </si>
  <si>
    <t>A high-quality Sober face 70*120 suitable for various environments.</t>
  </si>
  <si>
    <t>وجه رزين 80*130</t>
  </si>
  <si>
    <t>ZZQ 9130/130</t>
  </si>
  <si>
    <t>A high-quality Sober face 80*130 suitable for various environments.</t>
  </si>
  <si>
    <t>ZZQ 953/60</t>
  </si>
  <si>
    <t>Chinese lamayka,size 60*60,size 70*70,size 80*80,size 90*90,size80*130</t>
  </si>
  <si>
    <t>ZZQ 953/70</t>
  </si>
  <si>
    <t>ZZQ 953/80</t>
  </si>
  <si>
    <t>وجه طاولة 90*90</t>
  </si>
  <si>
    <t>ZZQ 953/90</t>
  </si>
  <si>
    <t>A high-quality Table face 90*90 suitable for various environments.</t>
  </si>
  <si>
    <t>ZZR 3000</t>
  </si>
  <si>
    <t>ZZR 4165</t>
  </si>
  <si>
    <t>طقم رزين مقعدين رمادي</t>
  </si>
  <si>
    <t>ZZR 4395-3</t>
  </si>
  <si>
    <t>A high-quality Gray two-seater sober set suitable for various environments.</t>
  </si>
  <si>
    <t>ZZR 608-T</t>
  </si>
  <si>
    <t>وجه طاولة ستانلس 80*120 أصلي</t>
  </si>
  <si>
    <t>ZZS 3036/120</t>
  </si>
  <si>
    <t>A high-quality Original 80*120 stainless steel table top suitable for various environments.</t>
  </si>
  <si>
    <t>وجه طاولة ستانلس 60 مدور أصلي</t>
  </si>
  <si>
    <t>ZZS 3036/60R</t>
  </si>
  <si>
    <t>round top size 60,size 70</t>
  </si>
  <si>
    <t>A high-quality Original round 60 stainless steel table top suitable for various environments.</t>
  </si>
  <si>
    <t>وجه طاولة ستانلس 70*70 أصلي</t>
  </si>
  <si>
    <t>ZZS 3036/70</t>
  </si>
  <si>
    <t>size 70*70,size 80*80,size 80*120</t>
  </si>
  <si>
    <t>A high-quality Original 70*70 stainless steel table top suitable for various environments.</t>
  </si>
  <si>
    <t>وجه طاولة ستانلس 70 مدور أصلي</t>
  </si>
  <si>
    <t>ZZS 3036/70R</t>
  </si>
  <si>
    <t>A high-quality Original round 70 stainless steel table top suitable for various environments.</t>
  </si>
  <si>
    <t>احذية درفتين طويلة مربعات</t>
  </si>
  <si>
    <t>ZZS 3950KM</t>
  </si>
  <si>
    <t>Shoe Cabinet</t>
  </si>
  <si>
    <t>A high-quality Double-sided long square shoes suitable for various environments.</t>
  </si>
  <si>
    <t>قاعدة المنيوم 4 ارجل ثقيل</t>
  </si>
  <si>
    <t>ZZS 9023/4</t>
  </si>
  <si>
    <t>A high-quality Aluminum base with 4 heavy legs suitable for various environments.</t>
  </si>
  <si>
    <t>كبير X قاعدة ستانلس</t>
  </si>
  <si>
    <t>ZZS B07/B</t>
  </si>
  <si>
    <t>A high-quality Large suitable for various environments.</t>
  </si>
  <si>
    <t>صغير Xقاعدة ستانلس</t>
  </si>
  <si>
    <t>ZZS E07/S</t>
  </si>
  <si>
    <t>A high-quality Small X stainless steel base suitable for various environments.</t>
  </si>
  <si>
    <t>وجه طاولة فرزاليت مستطيل 80*120</t>
  </si>
  <si>
    <t>ZZT 120/80</t>
  </si>
  <si>
    <t>chinese wersalite size 70*70,size 80*80,size 80*120</t>
  </si>
  <si>
    <t>A high-quality The face of the Versalite table is rectangular 80*120 suitable for various environments.</t>
  </si>
  <si>
    <t>وجه طاولة فرزاليت 60 مدور</t>
  </si>
  <si>
    <t>ZZT 600</t>
  </si>
  <si>
    <t>chinese wersalite size 60,size 70,size 80</t>
  </si>
  <si>
    <t>A high-quality The face of the Versalite table is 60 round suitable for various environments.</t>
  </si>
  <si>
    <t>وجه خشب ثقيل 60*60</t>
  </si>
  <si>
    <t>ZZT 6702/60</t>
  </si>
  <si>
    <t>A high-quality Heavy wood face 60*60 suitable for various environments.</t>
  </si>
  <si>
    <t>وجه خشب ثقيل 90*90</t>
  </si>
  <si>
    <t>ZZT 6702/90</t>
  </si>
  <si>
    <t>A high-quality Heavy wood face 90*90 suitable for various environments.</t>
  </si>
  <si>
    <t>وجه طاولة فرزاليت مربع 70*70</t>
  </si>
  <si>
    <t>ZZT 70/70</t>
  </si>
  <si>
    <t>A high-quality Versalite table face square 70*70 suitable for various environments.</t>
  </si>
  <si>
    <t>وجه طاولة فرزاليت 70 مدور</t>
  </si>
  <si>
    <t>ZZT 700</t>
  </si>
  <si>
    <t>A high-quality The face of the Versalite table is 70 round suitable for various environments.</t>
  </si>
  <si>
    <t>وجه طاولة فرزاليت مربع 80*80</t>
  </si>
  <si>
    <t>ZZT 80/80</t>
  </si>
  <si>
    <t>A high-quality The face of the Versalette table is square, 80*80 suitable for various environments.</t>
  </si>
  <si>
    <t>وجه طاولة خشب طبيعي 80*80</t>
  </si>
  <si>
    <t>ZZT WOOD</t>
  </si>
  <si>
    <t>A high-quality Natural wood table top 80*80 suitable for various environments.</t>
  </si>
  <si>
    <t>برفان خشب</t>
  </si>
  <si>
    <t>ZZY 025</t>
  </si>
  <si>
    <t>A high-quality Wood perfume suitable for various environments.</t>
  </si>
  <si>
    <t>وجه المنيوم الصلي</t>
  </si>
  <si>
    <t>ZZY 5044</t>
  </si>
  <si>
    <t>A high-quality Solid aluminum face suitable for various environments.</t>
  </si>
  <si>
    <t>برفان - 1000</t>
  </si>
  <si>
    <t>ZZY SCREEN</t>
  </si>
  <si>
    <t>A high-quality Perfume - 1000 suitable for various environments.</t>
  </si>
  <si>
    <t>GAMING CHAIR 1 BLK + 9 BLK&amp;GREY</t>
  </si>
  <si>
    <t>BLK كرسي اوتيل حديد قماش MATT BLK</t>
  </si>
  <si>
    <t>ZZC HC300A/BLK</t>
  </si>
  <si>
    <t>GOLD+ RED كرسي اوتيل حديد قماش 68+153</t>
  </si>
  <si>
    <t>ZZC HC300A/RED</t>
  </si>
  <si>
    <t>335/ 72 قاعدة فونت مجوز</t>
  </si>
  <si>
    <t>H 64 قاعدة فونت مجوز</t>
  </si>
  <si>
    <t>ZTB 072G/76-64</t>
  </si>
  <si>
    <t>AUSTRLIAN SND STN وجه سيراميك 80*130</t>
  </si>
  <si>
    <t>Z SIR 130*80</t>
  </si>
  <si>
    <t>ARMANI GREY وجه سيراميك 60 مدور</t>
  </si>
  <si>
    <t>Z SIR 60</t>
  </si>
  <si>
    <r>
      <rPr>
        <rFont val="Arial"/>
      </rPr>
      <t>round ceramic table top showcases a sleek grey marble look with gentle white veins</t>
    </r>
    <r>
      <rPr>
        <rFont val="Arial"/>
        <color rgb="FF1155CC"/>
        <u/>
      </rPr>
      <t>mawrbled.com</t>
    </r>
    <r>
      <rPr>
        <rFont val="Arial"/>
      </rPr>
      <t>. It's a compact yet classy piece that adds modern elegance to a small dining area or coffee nook. Made from premium quality ceramic, it's tough against scratches and easy to clean, so there's no need to worry about spills during everyday use.</t>
    </r>
  </si>
  <si>
    <t>ARMANI GREY وجه سيراميك 70 مدور</t>
  </si>
  <si>
    <t>Z SIR 70</t>
  </si>
  <si>
    <t>round table top offering a bit more surface for meals or gatherings while retaining a stylish modern vibe. It features the same sophisticated grey marble pattern with subtle veining, bringing a touch of luxury to your space. Built with top-grade ceramic, this top is scratch-resistant and simple to maintain, meaning you get a high-end look with no fuss.</t>
  </si>
  <si>
    <t>ARMANI GREY وجه سيراميك 80*130</t>
  </si>
  <si>
    <t>Z SIR 80*130</t>
  </si>
  <si>
    <t>style to your dining area. Its rectangular shape comfortably fits family meals or game nights. The grey stone pattern with soft white veining looks luxurious, yet the ceramic surface is extremely durable and stain-resistant. You can enjoy its premium look every day with little to no maintenance required.</t>
  </si>
  <si>
    <t>ARMANI GREY وجه سيراميك 70*120</t>
  </si>
  <si>
    <t>Z SIR 70*120</t>
  </si>
  <si>
    <t>Armani Grey table top is a space-saving option that doesn’t compromise on style. It presents the same chic grey marble-like finish to elevate your dining nook or studio. Despite its elegant appearance, the ceramic surface is hard-wearing and easy to wipe clean — so no need to stress over accidental spills or scratches.</t>
  </si>
  <si>
    <t>ARMANI GREY وجه سيراميك 90*160</t>
  </si>
  <si>
    <t>Z SIR 90*160</t>
  </si>
  <si>
    <r>
      <t>Armani Grey ceramic top is ideal for bigger dining tables and entertaining. It showcases the beautiful grey marble design on a generous surface that can host family dinners with ease. Even with its upscale look, the ceramic top stands up to daily use – resisting heat, scratches, and stains for long-lasting beauty</t>
    </r>
    <r>
      <rPr>
        <rFont val="Arial"/>
        <color rgb="FF1155CC"/>
        <u/>
      </rPr>
      <t>dwella.in</t>
    </r>
    <r>
      <rPr>
        <rFont val="Arial"/>
      </rPr>
      <t>. You get luxury and durability in one, with minimal upkeep.</t>
    </r>
  </si>
  <si>
    <t>LAUREN BLK GOLD وجه سيراميك 70 مدور</t>
  </si>
  <si>
    <t>Z SIR 70/BLK GLD</t>
  </si>
  <si>
    <r>
      <rPr>
        <rFont val="Arial"/>
      </rPr>
      <t>Round table top offers a bold black marble look streaked with shimmering gold veins</t>
    </r>
    <r>
      <rPr>
        <rFont val="Arial"/>
        <color rgb="FF1155CC"/>
        <u/>
      </rPr>
      <t>dmnewmaterials.ca</t>
    </r>
    <r>
      <rPr>
        <rFont val="Arial"/>
      </rPr>
      <t>. This striking circular top becomes a statement piece in any room, while its size is great for cozy gatherings. Crafted from premium ceramic, it's as durable as it is beautiful – no need to worry that scratches or spills will dull its shine.</t>
    </r>
  </si>
  <si>
    <t>LAUREN BLK GOLD وجه سيراميك 80*130</t>
  </si>
  <si>
    <t>Z SIR 80*130/BLK GLD</t>
  </si>
  <si>
    <t>A rectangular 80×130 cm Lauren Black Gold table top that infuses luxury into your dining area. The design features a deep black stone pattern with glamorous gold veining for an opulent touch. Beyond looks, it’s made of high-quality ceramic that’s scratch-resistant and heat-resistant, so everyday use won’t tarnish its elegance. It's a premium centerpiece that remains easy to clean and maintain.</t>
  </si>
  <si>
    <t>LAUREN BLK GOLD وجه سيراميك 70*120</t>
  </si>
  <si>
    <t>Z SIR 70*120/BLK GLD</t>
  </si>
  <si>
    <t>Compact yet luxurious, the Lauren Black Gold 70×120 cm top fits smaller dining spaces or breakfast nooks with style. Its rich black-and-gold marble design immediately draws the eye and adds a hint of glamour. The ceramic surface means this top is built tough – you get the upscale aesthetic without the worry of high maintenance or damage from daily use.</t>
  </si>
  <si>
    <t>LAUREN BLK GOLD وجه سيراميك 90*160</t>
  </si>
  <si>
    <t>Z SIR 90*160/BLK GLD</t>
  </si>
  <si>
    <t>The Lauren Black Gold 90×160 cm table top delivers grand style for larger tables. Its expansive surface highlights the dramatic black marble design with fine golden veins, making every meal feel special. Even with its high-end appearance, this ceramic top is easy to live with: the material is resilient against scratches and heat, and cleaning is a breeze – no special care needed to keep it looking fabulous.</t>
  </si>
  <si>
    <t>SNOW MWNTN WHITE MATوجه سيراميك 60 مدور</t>
  </si>
  <si>
    <t>Z SIR 60/SNOW MOUNTN</t>
  </si>
  <si>
    <t>For a bright and modern look, the Snow Mountain White Matte 60 cm round top is just the thing. It features a crisp white marble style with subtle grey veins on a smooth matte ceramic surface. This petite round top brings a fresh, airy feel to small spaces, and since it's premium ceramic, it's resistant to stains and scratches. You can enjoy its clean look daily without any fuss.</t>
  </si>
  <si>
    <t>SNOW MWNTN WHITE MAT وجه سيراميك 80*130</t>
  </si>
  <si>
    <t>Z SIR 80*130/SNOW MO</t>
  </si>
  <si>
    <r>
      <rPr>
        <rFont val="Arial"/>
      </rPr>
      <t>Bigger and equally stunning, the Snow Mountain White Matte 80×130 cm table top offers a spacious surface with a sleek white marble-inspired design. The matte finish gives it a soft, contemporary vibe, perfect for family dining or a home office. Its porcelain ceramic build means it’s not only elegant but also extremely durable — no need to worry about hot dishes or spills, as it cleans up easily and won’t stain</t>
    </r>
    <r>
      <rPr>
        <rFont val="Arial"/>
        <color rgb="FF1155CC"/>
        <u/>
      </rPr>
      <t>bedbathandbeyond.com</t>
    </r>
    <r>
      <rPr>
        <rFont val="Arial"/>
      </rPr>
      <t>. You get a bright, beautiful surface that’s made for everyday life.</t>
    </r>
  </si>
  <si>
    <t>طاولة سيراميك 90*180</t>
  </si>
  <si>
    <t>ZZC A8</t>
  </si>
  <si>
    <t>قاعدة فونت 4 ارجل قسطل رفيع</t>
  </si>
  <si>
    <t>ZTB 070A</t>
  </si>
  <si>
    <t>ZZC 3029 ZM</t>
  </si>
  <si>
    <t>AUSTRLIAN SND STN وجه سيراميك 60 مدور</t>
  </si>
  <si>
    <t>Z SIR 60/AUST</t>
  </si>
  <si>
    <r>
      <rPr>
        <rFont val="Arial"/>
      </rPr>
      <t>Inspired by nature, the Australian Sandstone 60 cm round ceramic top brings a warm, earthy charm to your decor. With its sand-beige color and subtle stone texture, this compact round top looks and feels like real sandstone – only without the heavy upkeep real stone requires</t>
    </r>
    <r>
      <rPr>
        <rFont val="Arial"/>
        <color rgb="FF1155CC"/>
        <u/>
      </rPr>
      <t>darthindustries.com.au</t>
    </r>
    <r>
      <rPr>
        <rFont val="Arial"/>
      </rPr>
      <t>. Despite its laid-back style, the premium ceramic surface is hard and non-porous, offering rock-solid durability. You get natural stone beauty with worry-free use, perfect for a cozy patio table or breakfast nook.</t>
    </r>
  </si>
  <si>
    <t>AUSTRLIAN SND STN وجه سيراميك 60*60</t>
  </si>
  <si>
    <t>Z SIR 60*60/AUST</t>
  </si>
  <si>
    <t>Australian Sandstone ceramic top that captures the rustic beauty of natural stone in a convenient square shape. It's an excellent choice for side tables or small dining setups, adding an organic touch with its sandy beige tones. The ceramic material is high quality, giving you a solid, easy-to-clean surface that doesn’t need special treatment – no need to fear coffee stains or hot dishes on this resilient top.</t>
  </si>
  <si>
    <t>AUSTRLIAN SND STN وجه سيراميك 80*80</t>
  </si>
  <si>
    <t>Z SIR 80*80/AUST</t>
  </si>
  <si>
    <t>Upgrade a larger coffee or dining table with the Australian Sandstone 80×80 cm top. This spacious square slab showcases gentle beige stone patterns that create a relaxed, inviting atmosphere. Built with premium ceramic, it’s ready for daily life: resistant to scratches, moisture, and heat. You can enjoy the look of sandstone without the usual worries, as this surface is simple to maintain and built to last.</t>
  </si>
  <si>
    <t>AUSTRLIAN SND STN وجه سيراميك 90*90</t>
  </si>
  <si>
    <t>Z SIR 90*90/AUST</t>
  </si>
  <si>
    <t>Ceramic top delivers a broad, natural-looking surface. The generous square size and realistic sandstone design make it ideal for family tables or outdoor settings where you want an earthy, outdoorsy feel. It's impressively durable thanks to its ceramic construction — holding up to meals, crafts, and everything in between, all while being easy to wipe clean. There’s no need to sacrifice convenience for style with this piece.</t>
  </si>
  <si>
    <t>ARMANI GREY وجه سيراميك 60*60</t>
  </si>
  <si>
    <t>Z SIR 60*60/ARMNI</t>
  </si>
  <si>
    <t>Armani Grey ceramic top that brings sleek sophistication to even the smallest tables. It features the signature grey marble-like pattern with subtle veining in a neat square size, perfect for end tables or compact dining areas. Premium ceramic makes it sturdy and scratch-resistant, so it handles daily wear effortlessly. Enjoy a luxurious look without any high-maintenance requirements — just wipe it clean and it stays gorgeous.</t>
  </si>
  <si>
    <t>ARMANI GREY وجه سيراميك 70*70</t>
  </si>
  <si>
    <t>Z SIR 70*70/ARMNI</t>
  </si>
  <si>
    <t>Bigger than the 60×60, the Armani Grey 70×70 cm top offers more room while maintaining that elegant grey marble design. This square ceramic slab can be the highlight of a breakfast table or craft desk, lending a modern and upscale vibe. It’s built from top-quality ceramic, which means it's ready for real life: you won’t have to fuss over spills or hot cups, because it's easy to clean and hard to damage.</t>
  </si>
  <si>
    <t>ARMANI GREY وجه سيراميك 80*80</t>
  </si>
  <si>
    <t>Z SIR 80*80/ARMNI</t>
  </si>
  <si>
    <t>The Armani Grey 80×80 cm ceramic table top provides a perfect balance of style and space. Its larger square surface flaunts the contemporary grey marble look, bringing a sense of luxury to medium-sized tables. Beyond aesthetics, it stands strong in everyday use – the ceramic top resists scratches and heat, so there's no need to worry when hosting dinner or working on crafts. Stylish, durable, and low-fuss, it's made for both elegance and everyday living.</t>
  </si>
  <si>
    <t>ARMANI GREY وجه سيراميك 90*90</t>
  </si>
  <si>
    <t>Z SIR 90*90/ARMNI</t>
  </si>
  <si>
    <t>As the largest square in the Armani Grey range, the 90×90 cm ceramic top makes a bold impression. It covers a substantial area with its refined grey marble-inspired pattern, making it ideal for big coffee tables or intimate dining for four. Despite its high-end appearance, it's incredibly user-friendly: the ceramic surface won't scratch easily and shrugs off spills, meaning you can enjoy its beauty without any of the usual upkeep concerns.</t>
  </si>
  <si>
    <t>LAUREN BLK GOLD وجه سيراميك 60 مدور</t>
  </si>
  <si>
    <t>Z SIR 60/BLK GLD</t>
  </si>
  <si>
    <t>A smaller round option with big style, the Lauren Black Gold 60 cm round top turns even a petite table into a conversation piece. The black background and golden veining give it a glamorous flair, while the compact size is perfect for a chic side table or balcony bistro set. Made from durable ceramic, it's not just pretty — it's practical too. You get a luxury look that’s scratch-resistant and easy to clean, so there’s no need to treat it with kid gloves.</t>
  </si>
  <si>
    <t>LAUREN BLK GOLD وجه سيراميك 60*60</t>
  </si>
  <si>
    <t>Z SIR 60*60/BLK GLD</t>
  </si>
  <si>
    <t>Lauren Black Gold ceramic top brings bold elegance in a square format. Its dramatic black-and-gold marble effect packs visual punch, instantly elevating a small table or nook. With premium ceramic construction, the top is tough enough for everyday use – resisting heat and scratches – so you can enjoy its refined look without any worry. It’s an easy way to add a dash of luxury to your space, minus the maintenance hassle.</t>
  </si>
  <si>
    <t>LAUREN BLK GOLD وجه سيراميك 70*70</t>
  </si>
  <si>
    <t>Z SIR 70*70/BLK GLD</t>
  </si>
  <si>
    <r>
      <t>Lauren Black Gold square top offers a bit more space to show off its extravagant design. The striking black marble style with golden accents creates a focal point in any room, whether on a coffee table or a dining table. Despite its high-end vibe, this ceramic surface is built for real life: it’s stain and scratch resistant</t>
    </r>
    <r>
      <rPr>
        <rFont val="Arial"/>
        <color rgb="FF1155CC"/>
        <u/>
      </rPr>
      <t>dmnewmaterials.ca</t>
    </r>
    <r>
      <rPr>
        <rFont val="Arial"/>
      </rPr>
      <t xml:space="preserve"> and cleans up with a quick wipe. That means you get all the glamour with none of the fuss.</t>
    </r>
  </si>
  <si>
    <t>LAUREN BLK GOLD وجه سيراميك 80*80</t>
  </si>
  <si>
    <t>Z SIR 80*80/BLK GLD</t>
  </si>
  <si>
    <t>The Lauren Black Gold 80×80 cm top is where luxury meets functionality on a larger scale. It provides a generous area adorned with that signature black-and-gold pattern, great for bigger side tables or compact dining settings that need a touch of elegance. This ceramic top isn’t delicate when it comes to use – it’s robust and user-friendly, standing up to daily demands. You won’t need to worry about careful handling; it’s designed to shine day after day while staying low-maintenance.</t>
  </si>
  <si>
    <t>LAUREN BLK GOLD وجه سيراميك 90*90</t>
  </si>
  <si>
    <t>Z SIR 90*90/BLK GLD</t>
  </si>
  <si>
    <t>For maximum impact, the Lauren Black Gold 90×90 cm ceramic top delivers an expansive canvas of opulent design. The broad square surface highlights the luxurious black marble look with fine gold veins, making any large coffee or dining table feel like a high-end showpiece. Yet it’s made for everyday enjoyment: the high-quality ceramic is scratch-proof and easy to wipe clean. Go ahead and use it daily — there's no need to keep this beauty just for show.</t>
  </si>
  <si>
    <t>SNOW MWNTN WHITE MAT وجه سيراميك 60*60</t>
  </si>
  <si>
    <t>Z SIR 60*60/SNOW MOU</t>
  </si>
  <si>
    <t>The Snow Mountain White Matte 60×60 cm top offers a sleek and bright accent for any small table. Its white marble-like design with soft grey swirls is presented in a matte finish, giving a modern but cozy feel. It's compact yet makes a space feel open and light. And because it’s made of premium ceramic, you get a durable, non-porous surface that’s effortless to maintain — no need to worry about coffee spills or art projects leaving stains.</t>
  </si>
  <si>
    <t>SNOW MWNTN WHITE MAT وجه سيراميك 70 مدور</t>
  </si>
  <si>
    <t>Z SIR 70/SNOW MOUNT</t>
  </si>
  <si>
    <t>Elegant and approachable, the Snow Mountain White Matte 70 cm round top brings a friendly modern style to your table. The white marble-inspired pattern is subtle and chic, and the matte finish means no glare — just a smooth, inviting surface. Sized for versatility, this round top works great for small dining areas or work tables. Plus, it's made from high-grade ceramic, which means it’s strong against scratches and heat. You can enjoy its crisp look every day without any special care or caution.</t>
  </si>
  <si>
    <t>SNOW MWNTN WHITE MAT وجه سيراميك 70*70</t>
  </si>
  <si>
    <t>Z SIR 70*70/SNOW MOU</t>
  </si>
  <si>
    <t>Snow Mountain White Matte top provides a clean, stylish surface for your home projects or meals. The square shape and white marble-like design brighten up the room, while the matte ceramic gives it a sophisticated yet relaxed character. Whether you're using it for crafts or coffee breaks, the durable ceramic material stands up to it all – resisting spills and scratches. It’s a premium piece that stays looking great with minimal effort, so there’s no need to worry about wear and tear.</t>
  </si>
  <si>
    <t>SNOW MWNTN WHITE MAT وجه سيراميك 80 مدور</t>
  </si>
  <si>
    <t>Z SIR 80/SNOW MOUNT</t>
  </si>
  <si>
    <t>Make a statement with the Snow Mountain White Matte 80 cm round top – it's spacious and stunning. The larger circular design shows off more of the elegant white marble pattern, instantly lifting the look of your dining or meeting area. The matte finish on the ceramic adds contemporary charm and hides fingerprints or smudges. Best of all, it’s built tough: you can place hot plates or laptops on it and later wipe it clean with ease. This top combines high-end style with everyday ease, so you can relax and enjoy it.</t>
  </si>
  <si>
    <t>SNOW MWNTN WHITE MAT وجه سيراميك 80*80</t>
  </si>
  <si>
    <t>Z SIR 80*80/SNOW MOU</t>
  </si>
  <si>
    <t>The Snow Mountain White Matte 80×80 cm ceramic top brings a generous, luminous surface to your setting. Its square shape is perfect for modern dining tables or large coffee tables, featuring an eye-catching yet soothing white marble look in a velvety matte finish. Even with its refined appearance, it’s incredibly practical – the ceramic top is scratch-resistant, spill-proof, and simple to clean. With this piece, you get a bright and beautiful table top that invites daily use without any high-maintenance needs.</t>
  </si>
  <si>
    <t>GREY كرسي سفرة جلد</t>
  </si>
  <si>
    <t>ZZC Y035-35/47</t>
  </si>
  <si>
    <t>كرسي بلاستيك بدون يد</t>
  </si>
  <si>
    <t>ZZC PP-902/BLK</t>
  </si>
  <si>
    <t>GREY كرسي بلاستيك</t>
  </si>
  <si>
    <t>ZZC 831/GRY</t>
  </si>
  <si>
    <t>BLK كرسي بلاستيك عريض</t>
  </si>
  <si>
    <t>ZZC P-776B</t>
  </si>
  <si>
    <t>ZZC PP-792/BLK</t>
  </si>
  <si>
    <t>BLK X كرسي بلاستيك</t>
  </si>
  <si>
    <t>ZZC P-713</t>
  </si>
  <si>
    <t>306 /عريض كبير X قاعدة فونت 4 ارجل</t>
  </si>
  <si>
    <t>ZTB 076A/620</t>
  </si>
  <si>
    <t>H 108 CM/50 قاعدة فونت بارملس مربع</t>
  </si>
  <si>
    <t>ZTB 052A</t>
  </si>
  <si>
    <t>306 عريض صغيرX قاعدة فونت 4 ارجل</t>
  </si>
  <si>
    <t>ZTB 076A/540</t>
  </si>
  <si>
    <t>قاعدة فونت حفر 3 ارجل صغير</t>
  </si>
  <si>
    <t>ZTB 080A</t>
  </si>
  <si>
    <t>قاعدة فونت حفر 4 ارجل صغير</t>
  </si>
  <si>
    <t>ZTB 081A</t>
  </si>
  <si>
    <t xml:space="preserve"> </t>
  </si>
  <si>
    <t>GZ-S18/3*4.5</t>
  </si>
  <si>
    <t>C-1010</t>
  </si>
  <si>
    <t>Blue / Grey / Walnut</t>
  </si>
  <si>
    <t>كرسي ستاربكس مع يد</t>
  </si>
  <si>
    <t>C-1029</t>
  </si>
  <si>
    <t>A high-quality Starbucks chair with handle suitable for various environments.</t>
  </si>
  <si>
    <t>C-1038</t>
  </si>
  <si>
    <t>Dark Beige/GREY/Natural/ DRK BRWN/LIGHT BRWN</t>
  </si>
  <si>
    <t>C-1054/BE</t>
  </si>
  <si>
    <t>كرسي جلد</t>
  </si>
  <si>
    <t>C-1600</t>
  </si>
  <si>
    <t>Dining Chair</t>
  </si>
  <si>
    <t>A high-quality Leather chair suitable for various environments.</t>
  </si>
  <si>
    <t>C-1655</t>
  </si>
  <si>
    <t>C-1691</t>
  </si>
  <si>
    <t xml:space="preserve"> brown / beige / Dark Green</t>
  </si>
  <si>
    <t>C-2101/NATRL</t>
  </si>
  <si>
    <t>C-2131</t>
  </si>
  <si>
    <t>C-2333</t>
  </si>
  <si>
    <t>C-2333/NATRL</t>
  </si>
  <si>
    <t>كرسي بار جلد</t>
  </si>
  <si>
    <t>C-30-CF</t>
  </si>
  <si>
    <t>A high-quality Leather bar chair suitable for various environments.</t>
  </si>
  <si>
    <t>كرسي بار خشب ثابت</t>
  </si>
  <si>
    <t>C-30-H/SF</t>
  </si>
  <si>
    <t xml:space="preserve">white / brown / Natural
</t>
  </si>
  <si>
    <t>A high-quality Fixed wood bar chair suitable for various environments.</t>
  </si>
  <si>
    <t>كرسي أصابع</t>
  </si>
  <si>
    <t>C-313</t>
  </si>
  <si>
    <t>A high-quality Fingers chair suitable for various environments.</t>
  </si>
  <si>
    <t>60 cm/كرسي بار "24</t>
  </si>
  <si>
    <t>C-3503/24</t>
  </si>
  <si>
    <t>A high-quality 60cm/bar chair 24 suitable for various environments.</t>
  </si>
  <si>
    <t>C-3533/KD</t>
  </si>
  <si>
    <t>كرسي حفر</t>
  </si>
  <si>
    <t>C-414C</t>
  </si>
  <si>
    <t>A high-quality Drilling chair suitable for various environments.</t>
  </si>
  <si>
    <t>C-5165</t>
  </si>
  <si>
    <t>كرسي سفرة قماش</t>
  </si>
  <si>
    <t>C-6002/C-RH</t>
  </si>
  <si>
    <t>A high-quality Fabric dining chair suitable for various environments.</t>
  </si>
  <si>
    <t>C-6002RH</t>
  </si>
  <si>
    <t>C-6017RH</t>
  </si>
  <si>
    <t>Blue / Dark Beige / Ligth Beige</t>
  </si>
  <si>
    <t>C-8011</t>
  </si>
  <si>
    <t>C-835</t>
  </si>
  <si>
    <t>DARK GREY/GREY</t>
  </si>
  <si>
    <t>C-838</t>
  </si>
  <si>
    <t>C-858</t>
  </si>
  <si>
    <t>C-859</t>
  </si>
  <si>
    <t>Dark Beige / Grey</t>
  </si>
  <si>
    <t>C-ERMES</t>
  </si>
  <si>
    <t>LINA PLEXI CHAIR</t>
  </si>
  <si>
    <t>C-H001</t>
  </si>
  <si>
    <t>LINA PLEXI/LINA GOLD PLEXI/LINA WHITE PLEXI</t>
  </si>
  <si>
    <t>A high-quality LINA PLEXI CHAIR suitable for various environments.</t>
  </si>
  <si>
    <t>LOTUS WHITE PLEXI CHAIR</t>
  </si>
  <si>
    <t>C-H001/BW</t>
  </si>
  <si>
    <t>A high-quality LOTUS WHITE PLEXI CHAIR suitable for various environments.</t>
  </si>
  <si>
    <t>C-MILLIE</t>
  </si>
  <si>
    <t>CAPU كرسي بار جلد</t>
  </si>
  <si>
    <t>C-SB101/CF</t>
  </si>
  <si>
    <t>A high-quality CAPU leather bar chair suitable for various environments.</t>
  </si>
  <si>
    <t>CAPUCINO كرسي بار عادي</t>
  </si>
  <si>
    <t>C-SB101/SF/CAPU</t>
  </si>
  <si>
    <t>A high-quality CAPUCINO Regular bar stool suitable for various environments.</t>
  </si>
  <si>
    <t>WALNUT  كرسي بار عادي</t>
  </si>
  <si>
    <t>C-SB101/SF/WALNUT</t>
  </si>
  <si>
    <t>A high-quality WALNUT regular bar stool suitable for various environments.</t>
  </si>
  <si>
    <t>كرسي خشب بدون يد</t>
  </si>
  <si>
    <t>C-XMS-2001/ANT</t>
  </si>
  <si>
    <t>ANTQ GRY/DARK/GREY</t>
  </si>
  <si>
    <t>A high-quality ANTQ GRY Wooden chair without handle suitable for various environments.</t>
  </si>
  <si>
    <t>C170</t>
  </si>
  <si>
    <t>كرسي هزاز خشب</t>
  </si>
  <si>
    <t>CR-3175R</t>
  </si>
  <si>
    <t>Mixed items</t>
  </si>
  <si>
    <t>A high-quality Wooden rocking chair suitable for various environments.</t>
  </si>
  <si>
    <t>طقم سفرة طاولة + 4 كراسي</t>
  </si>
  <si>
    <t>DS-7006/134C</t>
  </si>
  <si>
    <t>A high-quality Dining set table + 4 chairs suitable for various environments.</t>
  </si>
  <si>
    <t>كرسي سفرة ثقيل</t>
  </si>
  <si>
    <t>H-TMH-322</t>
  </si>
  <si>
    <t>A high-quality Heavy dining chair suitable for various environments.</t>
  </si>
  <si>
    <t>H-TMH-338</t>
  </si>
  <si>
    <t>H-TMH-383</t>
  </si>
  <si>
    <t>كرسي سفرة ثقيل خشب</t>
  </si>
  <si>
    <t>H-TMH-460</t>
  </si>
  <si>
    <t>A high-quality Heavy wooden dining chair suitable for various environments.</t>
  </si>
  <si>
    <t>JY 1985</t>
  </si>
  <si>
    <t>JY 2916</t>
  </si>
  <si>
    <t>JY1024</t>
  </si>
  <si>
    <t>مراية أوفال</t>
  </si>
  <si>
    <t>M-20124</t>
  </si>
  <si>
    <t>A high-quality Oval mirror suitable for various environments.</t>
  </si>
  <si>
    <t>حامل جاكيت</t>
  </si>
  <si>
    <t>M-83000</t>
  </si>
  <si>
    <t>A high-quality Jacket holder suitable for various environments.</t>
  </si>
  <si>
    <t>P-130-DP</t>
  </si>
  <si>
    <t xml:space="preserve">Blue / Dark Beige / Black / Brown / Silver / Orange / Red / Ligth Beige / Dark Green
</t>
  </si>
  <si>
    <t>كرسي بلاستيك مع خشب مع يد</t>
  </si>
  <si>
    <t>P-132-DPP7</t>
  </si>
  <si>
    <t>Red / Dark Beige / Black / Ligth Beige / Brown</t>
  </si>
  <si>
    <t>A high-quality Plastic chair with wood and handle suitable for various environments.</t>
  </si>
  <si>
    <t>كرسي بلاستيك مع ستانلس</t>
  </si>
  <si>
    <t>P-255</t>
  </si>
  <si>
    <t>A high-quality Plastic chair with stainless steel suitable for various environments.</t>
  </si>
  <si>
    <t>كرسي بلاستيك مع يد</t>
  </si>
  <si>
    <t>P-276</t>
  </si>
  <si>
    <t>A high-quality Plastic chair with handle suitable for various environments.</t>
  </si>
  <si>
    <t>طاولة بار</t>
  </si>
  <si>
    <t>P-524-BWD</t>
  </si>
  <si>
    <t>A high-quality Bar table suitable for various environments.</t>
  </si>
  <si>
    <t>P-623/G</t>
  </si>
  <si>
    <t>GREY/ WHITE/BLK</t>
  </si>
  <si>
    <t>P-656K</t>
  </si>
  <si>
    <t>Blue / black / Red</t>
  </si>
  <si>
    <t>P-700A</t>
  </si>
  <si>
    <t>BLK/DRK GRY/GREEN</t>
  </si>
  <si>
    <t>كرسي بلاستيك - كرسي مطعم</t>
  </si>
  <si>
    <t>P-700A/DRK GRY</t>
  </si>
  <si>
    <t>A high-quality Plastic chair - restaurant chair suitable for various environments.</t>
  </si>
  <si>
    <t>P-700A/GRN</t>
  </si>
  <si>
    <t>كرسي بلاستيك شبك</t>
  </si>
  <si>
    <t>P-710</t>
  </si>
  <si>
    <t>black / Beige / Red / Brown</t>
  </si>
  <si>
    <t>A high-quality Plastic mesh chair suitable for various environments.</t>
  </si>
  <si>
    <t>قاعدة كبس مدور اسود 40 سم</t>
  </si>
  <si>
    <t>PCTB-P01/400</t>
  </si>
  <si>
    <t>black / white</t>
  </si>
  <si>
    <t>A high-quality Black round base, 40 cm suitable for various environments.</t>
  </si>
  <si>
    <t>قاعدة كبس مدور ابيض 40 سم</t>
  </si>
  <si>
    <t>PCTB-P01/400-WHITE</t>
  </si>
  <si>
    <t>A high-quality White round base, 40 cm suitable for various environments.</t>
  </si>
  <si>
    <t>قاعدة كبس مدور ابيض 45 سم</t>
  </si>
  <si>
    <t>PCTB-P01/450-WHITE</t>
  </si>
  <si>
    <t>A high-quality White round base, 45 cm suitable for various environments.</t>
  </si>
  <si>
    <t>قاعدة كبس مربع ابيض 45 سم</t>
  </si>
  <si>
    <t>PCTB-P03/450-WHITE</t>
  </si>
  <si>
    <t>A high-quality White square press base, 45 cm suitable for various environments.</t>
  </si>
  <si>
    <t>قاعدة كبس مدور ستانلس 40 سم</t>
  </si>
  <si>
    <t>PSSBP-01/400</t>
  </si>
  <si>
    <t>A high-quality Stainless steel round base, 40 cm suitable for various environments.</t>
  </si>
  <si>
    <t>قاعدة كبس مدور ستانلس 45 سم</t>
  </si>
  <si>
    <t>PSSBP-01/450</t>
  </si>
  <si>
    <t>A high-quality Stainless steel round base, 45 cm suitable for various environments.</t>
  </si>
  <si>
    <t>قاعدة كبس مربع ستانلس 40 سم</t>
  </si>
  <si>
    <t>PSSBP-03/400</t>
  </si>
  <si>
    <t>A high-quality Stainless steel square base, 40 cm suitable for various environments.</t>
  </si>
  <si>
    <t>قاعدة مدور 45 سم اسود ذهبي</t>
  </si>
  <si>
    <t>PTB-02/450</t>
  </si>
  <si>
    <t>A high-quality Round base, 45 cm, black and gold suitable for various environments.</t>
  </si>
  <si>
    <t>قاعدة مربع 40 سم</t>
  </si>
  <si>
    <t>PTB-08/400</t>
  </si>
  <si>
    <t>A high-quality Square base 40 cm suitable for various environments.</t>
  </si>
  <si>
    <t>قاعدة مربع  45 سم</t>
  </si>
  <si>
    <t>PTB-08/450</t>
  </si>
  <si>
    <t>A high-quality Square base 45 cm suitable for various environments.</t>
  </si>
  <si>
    <t>PTB-10/4590</t>
  </si>
  <si>
    <t>قاعدة مدور 45 سم قاعدة مدور</t>
  </si>
  <si>
    <t>PTB-13/450</t>
  </si>
  <si>
    <t>A high-quality Round base 45 cm Round base suitable for various environments.</t>
  </si>
  <si>
    <t>PTB-15/4070</t>
  </si>
  <si>
    <t>PTB-16/450</t>
  </si>
  <si>
    <t>CHAIR</t>
  </si>
  <si>
    <t>R-6034</t>
  </si>
  <si>
    <t>A high-quality CHAIR suitable for various environments.</t>
  </si>
  <si>
    <t>بنك فونت</t>
  </si>
  <si>
    <t>SD-9061</t>
  </si>
  <si>
    <t>A high-quality Font Bank suitable for various environments.</t>
  </si>
  <si>
    <t>SD-9062</t>
  </si>
  <si>
    <t>SD-9063</t>
  </si>
  <si>
    <t>IRON BENCH</t>
  </si>
  <si>
    <t>SD-ST-07</t>
  </si>
  <si>
    <t>A high-quality IRON BENCH suitable for various environments.</t>
  </si>
  <si>
    <t>SD-ST-08</t>
  </si>
  <si>
    <t>SD-ST-10</t>
  </si>
  <si>
    <t>SD-ST-11</t>
  </si>
  <si>
    <t>طقم بلاستيك مقعدين مع فرش</t>
  </si>
  <si>
    <t>SF-4001/GREY</t>
  </si>
  <si>
    <t xml:space="preserve">Grey/White Grey/White
</t>
  </si>
  <si>
    <t>A high-quality Two plastic chairs set with upholstery suitable for various environments.</t>
  </si>
  <si>
    <t>طقم بلاستيك و حديد مقعدين</t>
  </si>
  <si>
    <t>SF-4002</t>
  </si>
  <si>
    <t>A high-quality Plastic and iron set of two chairs suitable for various environments.</t>
  </si>
  <si>
    <t>TABLE BASE DOUBLE</t>
  </si>
  <si>
    <t>TB-301/8040</t>
  </si>
  <si>
    <t>A high-quality TABLE BASE DOUBLE suitable for various environments.</t>
  </si>
  <si>
    <t>قاعدة فونت مدوركبير عامود نفخ</t>
  </si>
  <si>
    <t>TB-313/56</t>
  </si>
  <si>
    <t>A high-quality Font base, large inflatable column suitable for various environments.</t>
  </si>
  <si>
    <t>قاعدة فونت درج 4 أرجل</t>
  </si>
  <si>
    <t>TB-330</t>
  </si>
  <si>
    <t>A high-quality Font drawer base 4 legs suitable for various environments.</t>
  </si>
  <si>
    <t>TB-341SS/8305</t>
  </si>
  <si>
    <t>TABLE BASE / M</t>
  </si>
  <si>
    <t>TB-368</t>
  </si>
  <si>
    <t>A high-quality TABLE BASE/M suitable for various environments.</t>
  </si>
  <si>
    <t>TABLE BASE DOUBLE/M</t>
  </si>
  <si>
    <t>TB-369/M</t>
  </si>
  <si>
    <t>A high-quality TABLE BASE DOUBLE/M suitable for various environments.</t>
  </si>
  <si>
    <t>TABLE BASE X/STNLS FOLDING</t>
  </si>
  <si>
    <t>TB-373/SF3</t>
  </si>
  <si>
    <t>A high-quality TABLE BASE X/STNLS FOLDING suitable for various environments.</t>
  </si>
  <si>
    <t>TABLE BASE M / X عريض</t>
  </si>
  <si>
    <t>TB-374</t>
  </si>
  <si>
    <t>A high-quality TABLE BASE M/X WIDE suitable for various environments.</t>
  </si>
  <si>
    <t>TABLE BASE S</t>
  </si>
  <si>
    <t>TB-374-SS</t>
  </si>
  <si>
    <t>A high-quality TABLE BASE S suitable for various environments.</t>
  </si>
  <si>
    <t>TABLE BASE FONT 4/X</t>
  </si>
  <si>
    <t>TB-417F-4K</t>
  </si>
  <si>
    <t>A high-quality TABLE BASE FONT 4/X suitable for various environments.</t>
  </si>
  <si>
    <t>قاعدة فونت مجوز قلاب</t>
  </si>
  <si>
    <t>TB-418F-4K</t>
  </si>
  <si>
    <t>A high-quality Flip font base suitable for various environments.</t>
  </si>
  <si>
    <t>CAST IRON BASE/4 GL</t>
  </si>
  <si>
    <t>TB-442B</t>
  </si>
  <si>
    <t>A high-quality CAST IRON BASE/4 GL suitable for various environments.</t>
  </si>
  <si>
    <t>TBN-212-80</t>
  </si>
  <si>
    <t>TABLE BASE 8 CORNER</t>
  </si>
  <si>
    <t>TBN-361/43</t>
  </si>
  <si>
    <t>A high-quality TABLE BASE 8 CORNER suitable for various environments.</t>
  </si>
  <si>
    <t>عربية شاي خشب</t>
  </si>
  <si>
    <t>TT-101/1</t>
  </si>
  <si>
    <t>A high-quality Wooden tea cart suitable for various environments.</t>
  </si>
  <si>
    <t>CAMPING CHAIR كرسي طبق صغير</t>
  </si>
  <si>
    <t>XYZ 614</t>
  </si>
  <si>
    <t>Black / Ligth Beige</t>
  </si>
  <si>
    <t>A high-quality CAMPING CHAIR Small dish chair suitable for various environments.</t>
  </si>
  <si>
    <t>FOLDING CHAIR</t>
  </si>
  <si>
    <t>XYZ 7001HY</t>
  </si>
  <si>
    <t>A high-quality FOLDING CHAIR suitable for various environments.</t>
  </si>
  <si>
    <t>FISHING CHAIR</t>
  </si>
  <si>
    <t>XYZ 7002-HY</t>
  </si>
  <si>
    <t>A high-quality FISHING CHAIR suitable for various environments.</t>
  </si>
  <si>
    <t>قاعدة المنيوم اسود</t>
  </si>
  <si>
    <t>Y-9052</t>
  </si>
  <si>
    <t>A high-quality Black aluminum base suitable for various environments.</t>
  </si>
  <si>
    <t>طاولة حديد 70*70 سم اسود</t>
  </si>
  <si>
    <t>ZAL 5035/613</t>
  </si>
  <si>
    <t>A high-quality Iron table 70*70 cm black suitable for various environments.</t>
  </si>
  <si>
    <t>طاولة حديد 70 سم مدور</t>
  </si>
  <si>
    <t>ZAL 5045/612</t>
  </si>
  <si>
    <t>A high-quality Iron table 70 cm round suitable for various environments.</t>
  </si>
  <si>
    <t>طاولة المنيوم 60 مدور</t>
  </si>
  <si>
    <t>ZAL 560/60</t>
  </si>
  <si>
    <t>A high-quality Aluminum table 60 round suitable for various environments.</t>
  </si>
  <si>
    <t>COFFEE CHAIR</t>
  </si>
  <si>
    <t>ZAL 7003HY</t>
  </si>
  <si>
    <t>A high-quality COFFEE CHAIR suitable for various environments.</t>
  </si>
  <si>
    <t>كرسي رزين برم</t>
  </si>
  <si>
    <t>ZBF 3180/BEIGE</t>
  </si>
  <si>
    <t>blue/Grey</t>
  </si>
  <si>
    <t>A high-quality Rasin twirl chair suitable for various environments.</t>
  </si>
  <si>
    <t>كرسي هزاز رزين</t>
  </si>
  <si>
    <t>ZBF D05A/GREY</t>
  </si>
  <si>
    <t xml:space="preserve">Grey/NTRL
</t>
  </si>
  <si>
    <t>A high-quality A demure rocking chair suitable for various environments.</t>
  </si>
  <si>
    <t>سلة رزين مفرد</t>
  </si>
  <si>
    <t>ZBF J2271A/SINGLE</t>
  </si>
  <si>
    <t>A high-quality Single riser basket suitable for various environments.</t>
  </si>
  <si>
    <t>طقم رزين مقعدين</t>
  </si>
  <si>
    <t>ZBF KXB-B/2</t>
  </si>
  <si>
    <t>A high-quality Two-seater sofa set suitable for various environments.</t>
  </si>
  <si>
    <t>سلة رزين</t>
  </si>
  <si>
    <t>ZBF SD08M</t>
  </si>
  <si>
    <t>A high-quality Sober basket suitable for various environments.</t>
  </si>
  <si>
    <t>كرسي هزاز رزين خشب</t>
  </si>
  <si>
    <t>ZBF SD17/GREY</t>
  </si>
  <si>
    <t>A high-quality Solid wood rocking chair suitable for various environments.</t>
  </si>
  <si>
    <t>قاعدة حديد نفخ مدور</t>
  </si>
  <si>
    <t>ZBZ 3006IR</t>
  </si>
  <si>
    <t>A high-quality Round blown iron base suitable for various environments.</t>
  </si>
  <si>
    <t>قاعدة حديد نفخ مدور حلزون</t>
  </si>
  <si>
    <t>ZBZ 3009IR</t>
  </si>
  <si>
    <t>A high-quality Round snail inflatable iron base suitable for various environments.</t>
  </si>
  <si>
    <t>قاعدة حديد مدوراسود</t>
  </si>
  <si>
    <t>ZBZ 3010IR/BLK</t>
  </si>
  <si>
    <t>A high-quality Black Madura Iron Base suitable for various environments.</t>
  </si>
  <si>
    <t>45 CM / قاعدة حديد نفخ مدور ملس</t>
  </si>
  <si>
    <t>ZBZ 3012IR/AA</t>
  </si>
  <si>
    <t>A high-quality 45 cm / smooth round inflatable iron base suitable for various environments.</t>
  </si>
  <si>
    <t>قاعدة حديد مربع اسود</t>
  </si>
  <si>
    <t>ZBZ 3013IR/BLK</t>
  </si>
  <si>
    <t>A high-quality Black square iron base suitable for various environments.</t>
  </si>
  <si>
    <t>قاعدة حديد مربع درج 65 سم</t>
  </si>
  <si>
    <t>ZBZ 3019IRAA</t>
  </si>
  <si>
    <t>A high-quality Square iron drawer base 65 cm suitable for various environments.</t>
  </si>
  <si>
    <t>قاعدة حديد مستطيل</t>
  </si>
  <si>
    <t>ZBZ 4071B/72</t>
  </si>
  <si>
    <t>A high-quality Rectangular iron base suitable for various environments.</t>
  </si>
  <si>
    <t>ZBZS 1029</t>
  </si>
  <si>
    <t>ZBZS 1034</t>
  </si>
  <si>
    <t>ZBZS 14/4080-SSTB</t>
  </si>
  <si>
    <t>قاعدة ستانلس مستطيل كبس</t>
  </si>
  <si>
    <t>ZBZS 4071B</t>
  </si>
  <si>
    <t>A high-quality Stainless steel rectangular base suitable for various environments.</t>
  </si>
  <si>
    <t>بني RECLYNER CHAIR كرسي برم</t>
  </si>
  <si>
    <t>ZCR 31602-1Z/14</t>
  </si>
  <si>
    <t>A high-quality RECLYNER CHAIR Brown swivel chair suitable for various environments.</t>
  </si>
  <si>
    <t>رمادي غامق  RECLYNER CHAIR كرسي برم</t>
  </si>
  <si>
    <t>ZCR 31602-1Z/15</t>
  </si>
  <si>
    <t>A high-quality DARK GRAY RECLYNER CHAIR Swivel chair suitable for various environments.</t>
  </si>
  <si>
    <t>RECLYNER CHAIR - بني</t>
  </si>
  <si>
    <t>ZCR 31831-1R/14</t>
  </si>
  <si>
    <t>A high-quality RECLYNER CHAIR - brown suitable for various environments.</t>
  </si>
  <si>
    <t>RECLYNER CHAIR - رمادي غامق</t>
  </si>
  <si>
    <t>ZCR 31831-1R/15</t>
  </si>
  <si>
    <t>A high-quality RECLYNER CHAIR - dark grey suitable for various environments.</t>
  </si>
  <si>
    <t>RECLYNER CHAIR - باج غامق</t>
  </si>
  <si>
    <t>ZCR 31831-1R/4</t>
  </si>
  <si>
    <t>A high-quality RECLYNER CHAIR - dark beige suitable for various environments.</t>
  </si>
  <si>
    <t>طقم طاولة + 4 كراسي خشب</t>
  </si>
  <si>
    <t>ZDS 1622</t>
  </si>
  <si>
    <t>A high-quality Table set + 4 wooden chairs suitable for various environments.</t>
  </si>
  <si>
    <t>بنك فونت  122 سم</t>
  </si>
  <si>
    <t>ZFB 025PA/122</t>
  </si>
  <si>
    <t>A high-quality Font bank 122 cm suitable for various environments.</t>
  </si>
  <si>
    <t>بنك فونت  180 سم</t>
  </si>
  <si>
    <t>ZFB 025PA/180</t>
  </si>
  <si>
    <t>A high-quality Bank Font 180 cm suitable for various environments.</t>
  </si>
  <si>
    <t>بنك فونت مقعدين بدون يد</t>
  </si>
  <si>
    <t>ZFB 078</t>
  </si>
  <si>
    <t>A high-quality Bank Font Two Seats Without Handles suitable for various environments.</t>
  </si>
  <si>
    <t>بنك فونت 3 مقاعد بدون يد</t>
  </si>
  <si>
    <t>ZFB 102A</t>
  </si>
  <si>
    <t>A high-quality Bank Fount 3 Seats Without Handle suitable for various environments.</t>
  </si>
  <si>
    <t>بنك فونت 3 مقاعد مع يد</t>
  </si>
  <si>
    <t>ZFB 130PB</t>
  </si>
  <si>
    <t>A high-quality Bank Fount 3 Seats with Handle suitable for various environments.</t>
  </si>
  <si>
    <t>بنك فونت مقعدين مع يد 120 سم</t>
  </si>
  <si>
    <t>ZFB 307</t>
  </si>
  <si>
    <t>A high-quality Two-seater bank fountain with handle 120 cm suitable for various environments.</t>
  </si>
  <si>
    <t>بنك فونت مقعدين مع يد 150 سم</t>
  </si>
  <si>
    <t>ZFB 315PB</t>
  </si>
  <si>
    <t>A high-quality Two-seater bank fountain with handle, 150 cm suitable for various environments.</t>
  </si>
  <si>
    <t>ZFB F3</t>
  </si>
  <si>
    <t>ZGC 6201/DRK GREY</t>
  </si>
  <si>
    <t>ZGC 6216/DRK GREY</t>
  </si>
  <si>
    <t>كرسي بار المنيوم حبل</t>
  </si>
  <si>
    <t>ZGC 8205/DRK GREY</t>
  </si>
  <si>
    <t xml:space="preserve">GREY/DRK NTRL/GREEN
</t>
  </si>
  <si>
    <t>A high-quality Aluminum rope bar stool suitable for various environments.</t>
  </si>
  <si>
    <t>كرسي بدون يد حبل شبك</t>
  </si>
  <si>
    <t>ZGC 8207/DRK GREY</t>
  </si>
  <si>
    <t>A high-quality Chair without handle rope mesh suitable for various environments.</t>
  </si>
  <si>
    <t>كرسي المنيوم مع يد حبل عريض</t>
  </si>
  <si>
    <t>ZGC 9206/DRK GREY</t>
  </si>
  <si>
    <t>A high-quality Aluminum chair with wide rope handle suitable for various environments.</t>
  </si>
  <si>
    <t>CROSS كرسي المنيوم حبل</t>
  </si>
  <si>
    <t>ZGC M628</t>
  </si>
  <si>
    <t>A high-quality CROSS aluminum rope chair suitable for various environments.</t>
  </si>
  <si>
    <t>كرسي المنيوم حبل ضهر عالي</t>
  </si>
  <si>
    <t>ZGC M630</t>
  </si>
  <si>
    <t>A high-quality Aluminum high-back chair suitable for various environments.</t>
  </si>
  <si>
    <t>عامود ثياب ستانلس</t>
  </si>
  <si>
    <t>ZHC 10081SH</t>
  </si>
  <si>
    <t>A high-quality Stainless clothes pole suitable for various environments.</t>
  </si>
  <si>
    <t>كرسي اوتيل المنيوم /سادة</t>
  </si>
  <si>
    <t>ZHC A306/RED</t>
  </si>
  <si>
    <t>A high-quality Aluminum hotel chair/plain suitable for various environments.</t>
  </si>
  <si>
    <t>صوفا قلاب بني</t>
  </si>
  <si>
    <t>ZI 210103/47</t>
  </si>
  <si>
    <t>brown/blue</t>
  </si>
  <si>
    <t>A high-quality Brown flip flop sofa suitable for various environments.</t>
  </si>
  <si>
    <t>قاعدة ستانلس مدور</t>
  </si>
  <si>
    <t>ZQ 70E</t>
  </si>
  <si>
    <t>A high-quality Round stainless base suitable for various environments.</t>
  </si>
  <si>
    <t>X قاعدة ستانلس عريض</t>
  </si>
  <si>
    <t>ZQ 71E</t>
  </si>
  <si>
    <t>A high-quality X wide stainless base suitable for various environments.</t>
  </si>
  <si>
    <t>كرسي المنيوم ستاربكس بدون يد</t>
  </si>
  <si>
    <t>ZRC 01/ALU</t>
  </si>
  <si>
    <t>A high-quality Starbucks aluminum chair without handle suitable for various environments.</t>
  </si>
  <si>
    <t xml:space="preserve"> كرسي هزاز خشب</t>
  </si>
  <si>
    <t>ZRC 030/HR017/18</t>
  </si>
  <si>
    <t>LIGHT GRY /BLUE/beige</t>
  </si>
  <si>
    <t>A high-quality LIGHT GRY Wooden rocking chair suitable for various environments.</t>
  </si>
  <si>
    <t>DBL TUBE كرسي ستاربكس كبير مع يد فانغي</t>
  </si>
  <si>
    <t>ZRC 12/R CHAIR</t>
  </si>
  <si>
    <t>A high-quality DBL TUBE Large Starbucks Chair with Fungi Handle suitable for various environments.</t>
  </si>
  <si>
    <t>كرسي ستاربكس بني مع يد</t>
  </si>
  <si>
    <t>ZRC 305ZF</t>
  </si>
  <si>
    <t>A high-quality Brown Starbucks chair with handle suitable for various environments.</t>
  </si>
  <si>
    <t>ZRC CY0023/1502-21</t>
  </si>
  <si>
    <t>Leather and iron BLK / LigthGRY/Dark GRY</t>
  </si>
  <si>
    <t>BLACK طاولة بار حديد ثقيل 60*60</t>
  </si>
  <si>
    <t>ZRF 002/60 BAR-BLK</t>
  </si>
  <si>
    <t>A high-quality BLACK Heavy iron bar table 60*60 suitable for various environments.</t>
  </si>
  <si>
    <t>ZRF 18309A/BLK</t>
  </si>
  <si>
    <t>BLK/BLUE/GREEN/GREY</t>
  </si>
  <si>
    <t>ZRF 18322MC/BLK</t>
  </si>
  <si>
    <t>ZRF 19307/BLK</t>
  </si>
  <si>
    <t>BLK/BLUE/GREY</t>
  </si>
  <si>
    <t>ZRF 20035A/BLK</t>
  </si>
  <si>
    <t>BLK/GREY</t>
  </si>
  <si>
    <t>كرسي حديد عريض مع يد</t>
  </si>
  <si>
    <t>ZRF 20042A/BLUE</t>
  </si>
  <si>
    <t>blue/GREEN/Grey</t>
  </si>
  <si>
    <t>A high-quality Wide iron chair with handle suitable for various environments.</t>
  </si>
  <si>
    <t>ZRF 21313MC/GRY</t>
  </si>
  <si>
    <t>كرسي بار حديد عريض اسود سادة</t>
  </si>
  <si>
    <t>ZRF 3600-30/BLACK</t>
  </si>
  <si>
    <t>blue/BLK</t>
  </si>
  <si>
    <t>A high-quality Wide, plain black iron bar stool suitable for various environments.</t>
  </si>
  <si>
    <t>كرسي بار حديد عريض</t>
  </si>
  <si>
    <t>ZRF 3600-30/GREEN</t>
  </si>
  <si>
    <t>GREEN/RED/BLK/WHITE/YELLOW</t>
  </si>
  <si>
    <t>A high-quality Wide iron bar stool suitable for various environments.</t>
  </si>
  <si>
    <t>ZRF 3701-30/BLACK</t>
  </si>
  <si>
    <t>BLACK/SILVER</t>
  </si>
  <si>
    <t>قاعدة طاولة حديد بار اسود</t>
  </si>
  <si>
    <t>ZRF 6060/105</t>
  </si>
  <si>
    <t>A high-quality Black iron bar table base suitable for various environments.</t>
  </si>
  <si>
    <t>طاولة حديد وجه خشب 80*80</t>
  </si>
  <si>
    <t>ZRF YK-8080</t>
  </si>
  <si>
    <t>A high-quality Iron table with wood face 80*80 suitable for various environments.</t>
  </si>
  <si>
    <t>MATT BLK كرسي حديد مع يد مقعد خشب</t>
  </si>
  <si>
    <t>ZRF9005-18/WOOD</t>
  </si>
  <si>
    <t>A high-quality MATT BLK Iron chair with wooden seat handle suitable for various environments.</t>
  </si>
  <si>
    <t>VNTG  كرسي حديد مع يد</t>
  </si>
  <si>
    <t>ZRF9005/BLUE</t>
  </si>
  <si>
    <t xml:space="preserve">blue,white,yellow </t>
  </si>
  <si>
    <t>A high-quality VNTG Iron chair with handle suitable for various environments.</t>
  </si>
  <si>
    <t>MATT BLK  BIG  كرسي بار حديد</t>
  </si>
  <si>
    <t>ZRF9005A-30/MATT</t>
  </si>
  <si>
    <t>A high-quality MATT BLK BIG Iron bar chair suitable for various environments.</t>
  </si>
  <si>
    <t>لايوجد متغيرات</t>
  </si>
  <si>
    <t>كرسي حديد بدون يد اسود سادة</t>
  </si>
  <si>
    <t>ZRF9008</t>
  </si>
  <si>
    <t>BLACK/RED/WHITE/SILVER</t>
  </si>
  <si>
    <t>A high-quality Iron chair without handle, plain black suitable for various environments.</t>
  </si>
  <si>
    <t>V كرسي حديد بدون يد اسود ملون</t>
  </si>
  <si>
    <t>ZRF9008/BLK</t>
  </si>
  <si>
    <t>Vantage BLK/Vantage RED/ Vantage WHITE/Vantage YELLOW</t>
  </si>
  <si>
    <t>A high-quality V iron chair without handle, black colored suitable for various environments.</t>
  </si>
  <si>
    <t>BLACK كرسي بار حديد سادة</t>
  </si>
  <si>
    <t>ZRF9009</t>
  </si>
  <si>
    <t>BLK/BLUE/RED/WHITE/YELLOW/SILVER</t>
  </si>
  <si>
    <t>A high-quality BLACK Plain iron bar stool suitable for various environments.</t>
  </si>
  <si>
    <t>MATT BLK   كرسي بار حديد مقعد خشب</t>
  </si>
  <si>
    <t>ZRF9009-30/WOOD</t>
  </si>
  <si>
    <t>A high-quality MATT BLK iron bar chair wood bench suitable for various environments.</t>
  </si>
  <si>
    <t>V كرسي بار حديد</t>
  </si>
  <si>
    <t>ZRF9009/BLK</t>
  </si>
  <si>
    <t>Vantag BLK/Vantag BLUE/Vantag GREE/Vantag RED/Vantag WHITE/Vantag YELLOW</t>
  </si>
  <si>
    <t>A high-quality V iron bar chair suitable for various environments.</t>
  </si>
  <si>
    <t>YELLOW VNTG  كرسي بار حديد</t>
  </si>
  <si>
    <t>ZRF9009/YELLOW</t>
  </si>
  <si>
    <t>A high-quality YELLOW VNTG iron bar chair suitable for various environments.</t>
  </si>
  <si>
    <t>MATT BLK   كرسي بار حديد مع ظهر</t>
  </si>
  <si>
    <t>ZRF9012-30/MATT BLK</t>
  </si>
  <si>
    <t>A high-quality MATT BLK Iron bar stool with back suitable for various environments.</t>
  </si>
  <si>
    <t>كرسي بار حديد وخشب ثابت</t>
  </si>
  <si>
    <t>ZRF9023</t>
  </si>
  <si>
    <t>A high-quality Fixed iron and wood bar stool suitable for various environments.</t>
  </si>
  <si>
    <t>MATT BLK كرسي بار حديد مع ضهر</t>
  </si>
  <si>
    <t>ZRF9027</t>
  </si>
  <si>
    <t>كرسي بار حديد برم</t>
  </si>
  <si>
    <t>ZRF9041</t>
  </si>
  <si>
    <t>A high-quality Twisted iron bar stool suitable for various environments.</t>
  </si>
  <si>
    <t>ZS 128/BLUE+WHITE</t>
  </si>
  <si>
    <t>Swings</t>
  </si>
  <si>
    <t>BLUE+WHITE/COFFEE/ GREEN+WHITE</t>
  </si>
  <si>
    <t>احذية 3 درف جلد</t>
  </si>
  <si>
    <t>ZSR 03</t>
  </si>
  <si>
    <t>A high-quality 3 drawer leather shoes suitable for various environments.</t>
  </si>
  <si>
    <t>خزانة احذية درفتين</t>
  </si>
  <si>
    <t>ZSR 1400/SN</t>
  </si>
  <si>
    <t>A high-quality Two-door shoe cabinet suitable for various environments.</t>
  </si>
  <si>
    <t>خزانة احذية  3 درف</t>
  </si>
  <si>
    <t>ZSR 2300/SN</t>
  </si>
  <si>
    <t>A high-quality 3 drawer shoe cabinet suitable for various environments.</t>
  </si>
  <si>
    <t>احذية درفتين طويلة اباجور</t>
  </si>
  <si>
    <t>ZSR 3950</t>
  </si>
  <si>
    <t>A high-quality Long double-door shoes suitable for various environments.</t>
  </si>
  <si>
    <t>خزانة احذية طويلة</t>
  </si>
  <si>
    <t>ZSR 4200/SN</t>
  </si>
  <si>
    <t>A high-quality Long shoe cabinet suitable for various environments.</t>
  </si>
  <si>
    <t>سلة رزين تركي</t>
  </si>
  <si>
    <t>ZT 999</t>
  </si>
  <si>
    <t>A high-quality Turkish rose basket suitable for various environments.</t>
  </si>
  <si>
    <t>كرسي بلاستيك تركي مع يد</t>
  </si>
  <si>
    <t>ZT-SEGNUS CHAIR/BLK</t>
  </si>
  <si>
    <t xml:space="preserve">black/Grey/White
</t>
  </si>
  <si>
    <t>A high-quality Turkish plastic chair with handle suitable for various environments.</t>
  </si>
  <si>
    <t>قاعدة فونت مدور ملس</t>
  </si>
  <si>
    <t>ZTB 001A/72</t>
  </si>
  <si>
    <t>A high-quality Rounded smooth font base suitable for various environments.</t>
  </si>
  <si>
    <t>ZTB 04B/450</t>
  </si>
  <si>
    <t>قاعدة فونت بارملس مربع</t>
  </si>
  <si>
    <t>A high-quality Font-Parmeless square base suitable for various environments.</t>
  </si>
  <si>
    <t>قاعدة فونت مربع ملس</t>
  </si>
  <si>
    <t>ZTB 052A/72</t>
  </si>
  <si>
    <t>A high-quality Smooth square font base suitable for various environments.</t>
  </si>
  <si>
    <t>A high-quality Font base, 4 legs, thin cast suitable for various environments.</t>
  </si>
  <si>
    <t>A high-quality 306 small wide x font base 4 legs suitable for various environments.</t>
  </si>
  <si>
    <t>قاعدة فونت حفر 4 ارجل قسطل رفيع</t>
  </si>
  <si>
    <t>ZTB 079A/720/4</t>
  </si>
  <si>
    <t>A high-quality Drilling font base, 4 legs, thin pipe suitable for various environments.</t>
  </si>
  <si>
    <t>قاعدة فونت حفر 4 ارجل قسطل عريض</t>
  </si>
  <si>
    <t>ZTB 079H/720</t>
  </si>
  <si>
    <t>A high-quality Drilling font base, 4 legs, wide pipe suitable for various environments.</t>
  </si>
  <si>
    <t>قاعدة فونت 4 ارجل قسطل ملس وردة</t>
  </si>
  <si>
    <t>ZTB 079KA</t>
  </si>
  <si>
    <t>A high-quality Font base, 4 legs, rose smoothie suitable for various environments.</t>
  </si>
  <si>
    <t>قاعدة فونت بار 4 ارجل قسطل ملس</t>
  </si>
  <si>
    <t>ZTB 079KA/76-350</t>
  </si>
  <si>
    <t>A high-quality Font bar base with 4 legs, Castel smoothie suitable for various environments.</t>
  </si>
  <si>
    <t>A high-quality Small 3-legged drilling font base suitable for various environments.</t>
  </si>
  <si>
    <t>قاعدة فونت مربع كعب</t>
  </si>
  <si>
    <t>ZTB 097A</t>
  </si>
  <si>
    <t>A high-quality Square heel font base suitable for various environments.</t>
  </si>
  <si>
    <t>قاعدة فونت ماليزيا</t>
  </si>
  <si>
    <t>ZTB 104A</t>
  </si>
  <si>
    <t>A high-quality Font Malaysia base suitable for various environments.</t>
  </si>
  <si>
    <t>قاعدة فونت مستطيل</t>
  </si>
  <si>
    <t>ZTB 10B/450</t>
  </si>
  <si>
    <t>A high-quality Rectangular font base suitable for various environments.</t>
  </si>
  <si>
    <t>قاعدة فونت بار</t>
  </si>
  <si>
    <t>ZTB 307HF/53</t>
  </si>
  <si>
    <t>A high-quality Font-Bar rule suitable for various environments.</t>
  </si>
  <si>
    <t>T8 قاعدة ستنلس مربع</t>
  </si>
  <si>
    <t>ZTBS 05/45</t>
  </si>
  <si>
    <t>A high-quality T8 square stainless base suitable for various environments.</t>
  </si>
  <si>
    <t>Z 1/قاعدة ستنلس قلاب مفرد</t>
  </si>
  <si>
    <t>ZTBS 8Z</t>
  </si>
  <si>
    <t>A high-quality Z 1/single flap stainless steel base suitable for various environments.</t>
  </si>
  <si>
    <t>بنك انتظارمقعدين حديد رمادي</t>
  </si>
  <si>
    <t>ZYA 19A/2</t>
  </si>
  <si>
    <t>A high-quality Waiting bank two benches gray iron suitable for various environments.</t>
  </si>
  <si>
    <t>بنك انتظار 3 مقاعد جلد</t>
  </si>
  <si>
    <t>ZYA 25</t>
  </si>
  <si>
    <t>A high-quality Waiting bank 3 leather seats suitable for various environments.</t>
  </si>
  <si>
    <t>بنك انتظار مقعدين حديد + طاولة</t>
  </si>
  <si>
    <t>ZYA 26</t>
  </si>
  <si>
    <t>A high-quality Waiting bank, two iron seats + table suitable for various environments.</t>
  </si>
  <si>
    <t>بنك انتظار 3 مقاعد ستانلس ثقيل</t>
  </si>
  <si>
    <t>ZYA 52</t>
  </si>
  <si>
    <t>A high-quality Heavy stainless 3 seater waiting bank suitable for various environments.</t>
  </si>
  <si>
    <t>كرسي قماش مع سندة</t>
  </si>
  <si>
    <t>ZZ W039.001.01</t>
  </si>
  <si>
    <t>A high-quality Fabric chair with support suitable for various environments.</t>
  </si>
  <si>
    <t>كرسي المنيوم رزين</t>
  </si>
  <si>
    <t>ZZC 010</t>
  </si>
  <si>
    <t>A high-quality Solid aluminum chair suitable for various environments.</t>
  </si>
  <si>
    <t xml:space="preserve">  كرسي بلاستيك مقعد جلد</t>
  </si>
  <si>
    <t>ZZC 086</t>
  </si>
  <si>
    <t>BLACK/GREY</t>
  </si>
  <si>
    <t>A high-quality BLK plastic chair with leather seat suitable for various environments.</t>
  </si>
  <si>
    <t>كرسي قماش اسود</t>
  </si>
  <si>
    <t>ZZC 1029/B</t>
  </si>
  <si>
    <t>BLACK/yellow</t>
  </si>
  <si>
    <t>A high-quality Black fabric chair suitable for various environments.</t>
  </si>
  <si>
    <t>كرسي قماش ابيض واسود</t>
  </si>
  <si>
    <t>ZZC 1029/BW</t>
  </si>
  <si>
    <t xml:space="preserve">Black and whit/Red and white
</t>
  </si>
  <si>
    <t>A high-quality Black and white fabric chair suitable for various environments.</t>
  </si>
  <si>
    <t>كرسي بلاستيك مع يد رفيع</t>
  </si>
  <si>
    <t>ZZC 1790/BLK</t>
  </si>
  <si>
    <t xml:space="preserve">BLK/BLUE/GREY
</t>
  </si>
  <si>
    <t>A high-quality Plastic chair with thin handle suitable for various environments.</t>
  </si>
  <si>
    <t>كرسي طبق خشب</t>
  </si>
  <si>
    <t>ZZC 2015</t>
  </si>
  <si>
    <t>A high-quality Wooden plate chair suitable for various environments.</t>
  </si>
  <si>
    <t>كرسي عريض مع يد حبل</t>
  </si>
  <si>
    <t>ZZC 615/BLK</t>
  </si>
  <si>
    <t>A high-quality Wide chair with rope handle suitable for various environments.</t>
  </si>
  <si>
    <t>كرسي بلاستيك مربع</t>
  </si>
  <si>
    <t>ZZC 685/BLK</t>
  </si>
  <si>
    <t>A high-quality Square plastic chair suitable for various environments.</t>
  </si>
  <si>
    <t>كرسي طبق بلاستيك</t>
  </si>
  <si>
    <t>ZZC 7028</t>
  </si>
  <si>
    <t>A high-quality Plastic dish chair suitable for various environments.</t>
  </si>
  <si>
    <t>كرسي بلاستيك بار</t>
  </si>
  <si>
    <t>ZZC 7028-BAR/GREY</t>
  </si>
  <si>
    <t>A high-quality Plastic bar chair suitable for various environments.</t>
  </si>
  <si>
    <t>X كرسي بلاستيك</t>
  </si>
  <si>
    <t>ZZC 721/BLK</t>
  </si>
  <si>
    <t>A high-quality X plastic chair suitable for various environments.</t>
  </si>
  <si>
    <t>كرسي بلاستيك مقلم بدون يد</t>
  </si>
  <si>
    <t>ZZC 722/BLK</t>
  </si>
  <si>
    <t>A high-quality Striped plastic chair without handle suitable for various environments.</t>
  </si>
  <si>
    <t>كرسي بلاستيك مقلم عريض بدون يد</t>
  </si>
  <si>
    <t>ZZC 723/BLK</t>
  </si>
  <si>
    <t>A high-quality Wide striped plastic chair without handle suitable for various environments.</t>
  </si>
  <si>
    <t>كرسي طبق جلد</t>
  </si>
  <si>
    <t>ZZC 7469</t>
  </si>
  <si>
    <t>Red / Blue</t>
  </si>
  <si>
    <t>A high-quality Leather plate chair suitable for various environments.</t>
  </si>
  <si>
    <t>ZZC 780/BLK</t>
  </si>
  <si>
    <t>ZZC 803NEW/BLK</t>
  </si>
  <si>
    <t>كرسي بلاستيك مع حديد</t>
  </si>
  <si>
    <t>ZZC 832NEW/BLK</t>
  </si>
  <si>
    <t>A high-quality Plastic chair with iron suitable for various environments.</t>
  </si>
  <si>
    <t>ZZC 98</t>
  </si>
  <si>
    <t>BLK  كرسي اوتيل حديد قماش</t>
  </si>
  <si>
    <t>BLACK/BLUE/grey/RED</t>
  </si>
  <si>
    <t>A high-quality BLK fabric iron hotel chair suitable for various environments.</t>
  </si>
  <si>
    <t>ZZC MD/80*120/GRY</t>
  </si>
  <si>
    <t>ZZC MD/80*80</t>
  </si>
  <si>
    <t>ZZC PP-738/BLK</t>
  </si>
  <si>
    <t>ZZC PP-753D/BLK</t>
  </si>
  <si>
    <t>BLK/WHITE</t>
  </si>
  <si>
    <t>BLK كرسي بلاستيك شبك مع يد</t>
  </si>
  <si>
    <t>ZZC PP-778D</t>
  </si>
  <si>
    <t>A high-quality BLK plastic mesh chair with handle suitable for various environments.</t>
  </si>
  <si>
    <t>BLK-GREY-GREEN-RED-YELLOW</t>
  </si>
  <si>
    <t>A high-quality Plastic chair without handle suitable for various environments.</t>
  </si>
  <si>
    <t>كرسي بار بلاستيك</t>
  </si>
  <si>
    <t>ZZC PP-799/BLK</t>
  </si>
  <si>
    <t>BLK/GREY/WHITE/YELLOW</t>
  </si>
  <si>
    <t>A high-quality Plastic bar stool suitable for various environments.</t>
  </si>
  <si>
    <t>BLK/GREY/GREEN/RED/YELLOW</t>
  </si>
  <si>
    <t xml:space="preserve"> كرسي بلاستيك مع يد</t>
  </si>
  <si>
    <t>ZZC PP-903</t>
  </si>
  <si>
    <t>A high-quality BLK plastic chair with handle suitable for various environments.</t>
  </si>
  <si>
    <t>ZZC PP-905/BLK</t>
  </si>
  <si>
    <t>BLK/GREY/RED/YELLOW</t>
  </si>
  <si>
    <t>كرسي بلاستيك حبل مع يد</t>
  </si>
  <si>
    <t>ZZC PP-920A/DRK GREY</t>
  </si>
  <si>
    <t>DRK GREY/GREY/WHITE</t>
  </si>
  <si>
    <t>A high-quality Plastic rope chair with handle suitable for various environments.</t>
  </si>
  <si>
    <t>BLK&amp;GRY طاولة 80 سم مدور</t>
  </si>
  <si>
    <t>ZZC STONE 80</t>
  </si>
  <si>
    <t>A high-quality BLK&amp;GRY 80 cm round table suitable for various environments.</t>
  </si>
  <si>
    <t>WHITE طاولة 80 سم مدور</t>
  </si>
  <si>
    <t>ZZC STONE 80/WHITE</t>
  </si>
  <si>
    <t>A high-quality WHITE table 80 cm round suitable for various environments.</t>
  </si>
  <si>
    <t>ZZC WB/1-GREY</t>
  </si>
  <si>
    <t>GREY/WHITE</t>
  </si>
  <si>
    <t>ZZS 07E</t>
  </si>
  <si>
    <t>قاعدة ستانلس مجوز قلاب</t>
  </si>
  <si>
    <t>ZZS 13H</t>
  </si>
  <si>
    <t>A high-quality Stainless steel base with flip flop suitable for various environments.</t>
  </si>
  <si>
    <t>ZZS 18B/50</t>
  </si>
  <si>
    <t>T</t>
  </si>
  <si>
    <t>ZZS 19/45</t>
  </si>
  <si>
    <t>قاعدة المنيوم مجوز</t>
  </si>
  <si>
    <t>ZZS 9020</t>
  </si>
  <si>
    <t>A high-quality Aluminum base is permissible suitable for various environments.</t>
  </si>
  <si>
    <t>قاعدة المنيوم مجوز تركيب</t>
  </si>
  <si>
    <t>ZZS 9023</t>
  </si>
  <si>
    <t>A high-quality Aluminum base can be installed suitable for various environments.</t>
  </si>
  <si>
    <t>قاعدة المنيوم مستطيل</t>
  </si>
  <si>
    <t>ZZS 9038</t>
  </si>
  <si>
    <t>A high-quality Rectangular aluminum base suitable for various environments.</t>
  </si>
  <si>
    <t xml:space="preserve">                                                                                                                                                                                                                            </t>
  </si>
  <si>
    <t>ZZS E30</t>
  </si>
  <si>
    <t>ZZS E30B</t>
  </si>
  <si>
    <t>عربية مشروب كبير</t>
  </si>
  <si>
    <t>ZZY 8674</t>
  </si>
  <si>
    <t>A high-quality Large Arabic drink suitable for various environments.</t>
  </si>
  <si>
    <t>عربية مشروب صغير</t>
  </si>
  <si>
    <t>ZZY 8675</t>
  </si>
  <si>
    <t>A high-quality Arabic small drink suitable for various environments.</t>
  </si>
  <si>
    <t>BABY HIGH CHAIR PLASTIC</t>
  </si>
  <si>
    <t>ZZY 8715</t>
  </si>
  <si>
    <t>A high-quality BABY HIGH CHAIR PLASTIC suitable for various environments.</t>
  </si>
  <si>
    <t>BABY RESTRNT PLASTIC CHAIR</t>
  </si>
  <si>
    <t>ZZY Y07/09</t>
  </si>
  <si>
    <t>Green / Blue / red</t>
  </si>
  <si>
    <t>A high-quality BABY RESTRNT PLASTIC CHAIR suitable for various environments.</t>
  </si>
  <si>
    <t>BEIGE كرسي سفرة جلد عريض مع يد</t>
  </si>
  <si>
    <t>ZZC Y2212/35-44</t>
  </si>
  <si>
    <t>Beige/GREY/DARK GREEN</t>
  </si>
  <si>
    <t>Elegant BEIGE wide leather dining chair with a sleek handle for style and comfort</t>
  </si>
  <si>
    <t>309/ 72 قاعدة فونت مجوز</t>
  </si>
  <si>
    <t>ZTB 074G/76</t>
  </si>
  <si>
    <t>Stylish 309/72 Font Rule dining chair, blending modern design with comfort.</t>
  </si>
  <si>
    <t>BEIGE كرسي سفرة جلد</t>
  </si>
  <si>
    <t>ZZC Y035-12/07</t>
  </si>
  <si>
    <t>Beige/DARK GREEN</t>
  </si>
  <si>
    <t>Elegant BEIGE leather dining chair for a sophisticated dining experience.</t>
  </si>
  <si>
    <t>ZZC Y061-12/07</t>
  </si>
  <si>
    <t>كرسي بار بلاستيك أسود</t>
  </si>
  <si>
    <t>P-728/B</t>
  </si>
  <si>
    <t>Sleek Black plastic bar stool, perfect for modern spaces.</t>
  </si>
  <si>
    <t>H 108 CM/54 قاعدة فونت بار ملس مدور</t>
  </si>
  <si>
    <t>ZTB 001A</t>
  </si>
  <si>
    <t>H 108 CM/54 rounded smooth bar font base for stability and style.</t>
  </si>
  <si>
    <t>قاعدة فونت مدور ملس 54 سم</t>
  </si>
  <si>
    <t>ZTB 001A/540</t>
  </si>
  <si>
    <t>BLK</t>
  </si>
  <si>
    <t>Stylish Rounded font base, 54 cm, for a contemporary touch.</t>
  </si>
  <si>
    <t>قاعدة حديد نفخ مدور ملس 54 سم</t>
  </si>
  <si>
    <t>Smooth round inflatable iron base, 54 cm, for durability and comfort.</t>
  </si>
  <si>
    <t>cast Tron Base/ square - TB_302</t>
  </si>
  <si>
    <t>Modern Font square rule for a sleek and balanced look.</t>
  </si>
  <si>
    <t>قاعدة فونت 4 أرجل-عريض كبير /306</t>
  </si>
  <si>
    <t>Sturdy Font base 4 legs - large wide / 306 for enhanced support.</t>
  </si>
  <si>
    <t>قاعدة شمسية كونكري</t>
  </si>
  <si>
    <t>23900D-15KG-GREY</t>
  </si>
  <si>
    <t>+++    /طقم رزين 1+2+3</t>
  </si>
  <si>
    <t>BF-1776A</t>
  </si>
  <si>
    <t>C-1038/BLK-GRY</t>
  </si>
  <si>
    <t>C-1038/DRK BRWN</t>
  </si>
  <si>
    <t>C-1038/LIGHT BRWN</t>
  </si>
  <si>
    <t>كرسي ستاربكس / SAMPLE</t>
  </si>
  <si>
    <t>C-1081A</t>
  </si>
  <si>
    <t>المنيوم مع يد X كرسي ستاربكس</t>
  </si>
  <si>
    <t>C-1081B</t>
  </si>
  <si>
    <t>C-115</t>
  </si>
  <si>
    <t>كرسي سفرة / كسر من طقم</t>
  </si>
  <si>
    <t>C-133</t>
  </si>
  <si>
    <t>C-1540</t>
  </si>
  <si>
    <t>كرسي درج</t>
  </si>
  <si>
    <t>C-212</t>
  </si>
  <si>
    <t>CHAIR SPARE PARTS</t>
  </si>
  <si>
    <t>C-242/UPP</t>
  </si>
  <si>
    <t>كرسي سفرة عريض</t>
  </si>
  <si>
    <t>C-244</t>
  </si>
  <si>
    <t>كرسي سفرة شبح</t>
  </si>
  <si>
    <t>C-248</t>
  </si>
  <si>
    <t>C-2806/JY</t>
  </si>
  <si>
    <t>C-287</t>
  </si>
  <si>
    <t>C-289</t>
  </si>
  <si>
    <t>C-6874</t>
  </si>
  <si>
    <t>كرسي المنيوم مع يد</t>
  </si>
  <si>
    <t>C-835/GRY</t>
  </si>
  <si>
    <t>C-91644</t>
  </si>
  <si>
    <t>LINA GOLD PLEXI CHAIR</t>
  </si>
  <si>
    <t>C-H001/B</t>
  </si>
  <si>
    <t>LINA WHITE PLEXI CHAIR</t>
  </si>
  <si>
    <t>C-H001/C</t>
  </si>
  <si>
    <t>كرسي سفرة طبيعي</t>
  </si>
  <si>
    <t>C-ROMANIA/NATURAL</t>
  </si>
  <si>
    <t>ANTQ GRY كرسي خشب بدون يد</t>
  </si>
  <si>
    <t>DARK  كرسي خشب بدون يد</t>
  </si>
  <si>
    <t>C-XMS-2001/E</t>
  </si>
  <si>
    <t>GREY - كرسي خشب بدون يد</t>
  </si>
  <si>
    <t>C-XMS-2001/G</t>
  </si>
  <si>
    <t>كرسي سفرة - سنيورة</t>
  </si>
  <si>
    <t>C158</t>
  </si>
  <si>
    <t>TABLE</t>
  </si>
  <si>
    <t>CF-OUTDOOR TABLE</t>
  </si>
  <si>
    <t>RECLYNER كرسي هزاز جلد</t>
  </si>
  <si>
    <t>CR-80362/SX</t>
  </si>
  <si>
    <t>CR-80401/SX</t>
  </si>
  <si>
    <t>طقم كوان 1+2</t>
  </si>
  <si>
    <t>CT-042/8047</t>
  </si>
  <si>
    <t>طاولة نص طبيعي</t>
  </si>
  <si>
    <t>CT-1169/GT</t>
  </si>
  <si>
    <t>CT-1170/GT</t>
  </si>
  <si>
    <t>طاولة كومبيوتر</t>
  </si>
  <si>
    <t>CT-205</t>
  </si>
  <si>
    <t>CT-604</t>
  </si>
  <si>
    <t>طاولة عامود</t>
  </si>
  <si>
    <t>CT2400</t>
  </si>
  <si>
    <t>طقم سفرة 1+4 كراسي</t>
  </si>
  <si>
    <t>DS-2544/4</t>
  </si>
  <si>
    <t>طقم سفرة 1 طاولة + 6 كراسي</t>
  </si>
  <si>
    <t>DS-91644/6</t>
  </si>
  <si>
    <t>DIGITAL قازان 10 ليتر مع قسطل</t>
  </si>
  <si>
    <t>FB-1043</t>
  </si>
  <si>
    <t>قازان 8 ليتر</t>
  </si>
  <si>
    <t>FB-1101</t>
  </si>
  <si>
    <t>قازان 10 ليتر</t>
  </si>
  <si>
    <t>FB-FA1003</t>
  </si>
  <si>
    <t>SIDE AND BAG FOR TENT 10M</t>
  </si>
  <si>
    <t>G-10M BIG VELCRO</t>
  </si>
  <si>
    <t>SIDE AND BAG FOR TENT 12M</t>
  </si>
  <si>
    <t>G-12M BIG VELCRO/W</t>
  </si>
  <si>
    <t>G-12M ROPE</t>
  </si>
  <si>
    <t>SIDE AND BAG FOR TENT 15M</t>
  </si>
  <si>
    <t>G-15M BIG VELCRO</t>
  </si>
  <si>
    <t>خيمة 3*2 م رسور المنيوم</t>
  </si>
  <si>
    <t>G-S203/TENT-J806</t>
  </si>
  <si>
    <t>زجاج</t>
  </si>
  <si>
    <t>GLASS</t>
  </si>
  <si>
    <t>خيمة حديد 3*3 م</t>
  </si>
  <si>
    <t>GZ-067</t>
  </si>
  <si>
    <t>خيمة 3*3 م</t>
  </si>
  <si>
    <t>GZ-301</t>
  </si>
  <si>
    <t>COVER</t>
  </si>
  <si>
    <t>GZ-S18/COVER</t>
  </si>
  <si>
    <t>H-TMH 272</t>
  </si>
  <si>
    <t>درسوار</t>
  </si>
  <si>
    <t>H-TMH 35/BH</t>
  </si>
  <si>
    <t>H-TMH 36/BH</t>
  </si>
  <si>
    <t>H-TMH-399</t>
  </si>
  <si>
    <t>JY1656</t>
  </si>
  <si>
    <t>فرش لونا مقعدين</t>
  </si>
  <si>
    <t>LUNA/F</t>
  </si>
  <si>
    <t>فرش لونا 3 مقاعد</t>
  </si>
  <si>
    <t>LUNA/F3</t>
  </si>
  <si>
    <t>M-20124/WH</t>
  </si>
  <si>
    <t>فرشة 70 سم</t>
  </si>
  <si>
    <t>MATTRESS 70/BB</t>
  </si>
  <si>
    <t>MATTRESS 70/C18</t>
  </si>
  <si>
    <t>برفان قش</t>
  </si>
  <si>
    <t>P-07054S/JH</t>
  </si>
  <si>
    <t>كرسي بار بلاستيك أبيض</t>
  </si>
  <si>
    <t>P-623/W</t>
  </si>
  <si>
    <t>P-623G/B</t>
  </si>
  <si>
    <t>P-717/W</t>
  </si>
  <si>
    <t>P-FINICIA CHAIR</t>
  </si>
  <si>
    <t>برفان أبيض</t>
  </si>
  <si>
    <t>P-SCREEN/WHITE</t>
  </si>
  <si>
    <t>طقم بلاستيك مقعدين</t>
  </si>
  <si>
    <t>P-SF1-2</t>
  </si>
  <si>
    <t>2-SEAT CHAIR</t>
  </si>
  <si>
    <t>P-SF1-2/2</t>
  </si>
  <si>
    <t>RECT TABLE</t>
  </si>
  <si>
    <t>P-SF1-C</t>
  </si>
  <si>
    <t>SMALL - طقم بلاستيك مقعدين</t>
  </si>
  <si>
    <t>P-SF2</t>
  </si>
  <si>
    <t>RATTAN TABLE 80*80 cm</t>
  </si>
  <si>
    <t>PNDA-TABLE</t>
  </si>
  <si>
    <t>R-1077</t>
  </si>
  <si>
    <t>R-1126</t>
  </si>
  <si>
    <t>R-15-2</t>
  </si>
  <si>
    <t>R-2070/C</t>
  </si>
  <si>
    <t>R-2125/C</t>
  </si>
  <si>
    <t>كرسي رزين من طقم</t>
  </si>
  <si>
    <t>R-3125</t>
  </si>
  <si>
    <t>RATTAN CHAIR</t>
  </si>
  <si>
    <t>R-3143/S</t>
  </si>
  <si>
    <t>DINNING TABLE   80*130</t>
  </si>
  <si>
    <t>R-4125/130</t>
  </si>
  <si>
    <t>DINNING TABLE   80*80</t>
  </si>
  <si>
    <t>R-4125/80</t>
  </si>
  <si>
    <t>وجه طاولة رزين 130*80</t>
  </si>
  <si>
    <t>R-953/T</t>
  </si>
  <si>
    <t>R-956C</t>
  </si>
  <si>
    <t>طاولة خيزران 85</t>
  </si>
  <si>
    <t>R-AYLA/T</t>
  </si>
  <si>
    <t>كرسي خيزران أستور</t>
  </si>
  <si>
    <t>R-UT-ASTOR/888981</t>
  </si>
  <si>
    <t>كرسي هزاز خيزران ناغو</t>
  </si>
  <si>
    <t>R-UT-NUGO-130051</t>
  </si>
  <si>
    <t>مرجوحة 3 مقاعد</t>
  </si>
  <si>
    <t>S-3209</t>
  </si>
  <si>
    <t>مرجوحة  خشب 3 مقاعد</t>
  </si>
  <si>
    <t>S-88212</t>
  </si>
  <si>
    <t>S-88351</t>
  </si>
  <si>
    <t>SAMPLE  سلة رزين تعليق</t>
  </si>
  <si>
    <t>SAMPLE HANGING BASKE</t>
  </si>
  <si>
    <t>طقم حديد 1+4 كراسي</t>
  </si>
  <si>
    <t>SD-2071</t>
  </si>
  <si>
    <t>SF-4001/W-G</t>
  </si>
  <si>
    <t>SF-4001/WHITE</t>
  </si>
  <si>
    <t>SF-4002/GREY</t>
  </si>
  <si>
    <t>SPARE PARTS</t>
  </si>
  <si>
    <t>طاولة سفرة 90*150 سم</t>
  </si>
  <si>
    <t>T-1532</t>
  </si>
  <si>
    <t>طاولة 100*200 سم مستطيل</t>
  </si>
  <si>
    <t>T-264-3960A</t>
  </si>
  <si>
    <t>طاولة 240 سم</t>
  </si>
  <si>
    <t>T-269-4272</t>
  </si>
  <si>
    <t>طاولة 120*160 سم</t>
  </si>
  <si>
    <t>T-4800-16</t>
  </si>
  <si>
    <t>طاولة 120*75 سم كونيك</t>
  </si>
  <si>
    <t>T-514</t>
  </si>
  <si>
    <t>طاولة سفرة 120 سم / كسر من طقم</t>
  </si>
  <si>
    <t>T-7006</t>
  </si>
  <si>
    <t>طاولة سفرة 150*90 سم ثابت بطيختين</t>
  </si>
  <si>
    <t>T-7074RH</t>
  </si>
  <si>
    <t>طاولة سفرة 160*100 سم بطيختين</t>
  </si>
  <si>
    <t>T-7132RH</t>
  </si>
  <si>
    <t>طاولة 165 سم بطيختين</t>
  </si>
  <si>
    <t>T-D3648</t>
  </si>
  <si>
    <t>طاولة 120 سم</t>
  </si>
  <si>
    <t>T-ROMANIA/120</t>
  </si>
  <si>
    <t>بني LCD طاولة</t>
  </si>
  <si>
    <t>T.V.183/TS</t>
  </si>
  <si>
    <t>T.V.223/TS</t>
  </si>
  <si>
    <t>T.V.321-BRN/TS</t>
  </si>
  <si>
    <t>بني بدون ستاند LCD طاولة</t>
  </si>
  <si>
    <t>T.V.325-1/TS</t>
  </si>
  <si>
    <t>بني مع ستاند LCD طاولة</t>
  </si>
  <si>
    <t>T.V.325-BRN/TS</t>
  </si>
  <si>
    <t>T.V.333-BRN/TS</t>
  </si>
  <si>
    <t>T.V.336/TS</t>
  </si>
  <si>
    <t>T.V.338/TS</t>
  </si>
  <si>
    <t>T.V.339-BRN/TS</t>
  </si>
  <si>
    <t>طاولة 90*195 سم بطيخة</t>
  </si>
  <si>
    <t>T10-016</t>
  </si>
  <si>
    <t>طاولة كوليست 105*150</t>
  </si>
  <si>
    <t>T4200-16</t>
  </si>
  <si>
    <t>قاعدة فونت 3 ارجل حفر</t>
  </si>
  <si>
    <t>TB-205</t>
  </si>
  <si>
    <t>CAST IRON BASE-SQUARE</t>
  </si>
  <si>
    <t>TB-301</t>
  </si>
  <si>
    <t>CAST IRON BASE/X</t>
  </si>
  <si>
    <t>TB-306</t>
  </si>
  <si>
    <t>TABLE BASE TUBE</t>
  </si>
  <si>
    <t>TB-307/T</t>
  </si>
  <si>
    <t>CAST IRON BASE/X BIG</t>
  </si>
  <si>
    <t>TB-308</t>
  </si>
  <si>
    <t>TB-309</t>
  </si>
  <si>
    <t>CAST IRON BASE/SLM X</t>
  </si>
  <si>
    <t>TB-311A</t>
  </si>
  <si>
    <t>TB-311AA</t>
  </si>
  <si>
    <t>TABLE BASE</t>
  </si>
  <si>
    <t>TB-315</t>
  </si>
  <si>
    <t>قاعدة حديد اسود مربع</t>
  </si>
  <si>
    <t>TB-339-40/8</t>
  </si>
  <si>
    <t>TABLE BASE / WHITE</t>
  </si>
  <si>
    <t>TBN-207P4</t>
  </si>
  <si>
    <t>قاعدة فونت مدور أملس</t>
  </si>
  <si>
    <t>TBN-303</t>
  </si>
  <si>
    <t>قاعدة فونت مربع أملس</t>
  </si>
  <si>
    <t>TBN-304</t>
  </si>
  <si>
    <t>PLASTIC TRAY</t>
  </si>
  <si>
    <t>TS-8659</t>
  </si>
  <si>
    <t>TS-8673</t>
  </si>
  <si>
    <t>TS-8689</t>
  </si>
  <si>
    <t>TS-8690</t>
  </si>
  <si>
    <t>طاولة خشب 100 سم</t>
  </si>
  <si>
    <t>TW-SOFIA/T-7228</t>
  </si>
  <si>
    <t>شمسية كوع حديد 250 سم</t>
  </si>
  <si>
    <t>UB-001/C</t>
  </si>
  <si>
    <t>KG 50  قاعدة شمسية</t>
  </si>
  <si>
    <t>UB-UMBRELLA BASE</t>
  </si>
  <si>
    <t>شمسية 200 سم حديد</t>
  </si>
  <si>
    <t>UM-1200S</t>
  </si>
  <si>
    <t>WOODEN UMBRELLA 4*4</t>
  </si>
  <si>
    <t>UM-1444</t>
  </si>
  <si>
    <t>شمسية كوع 2.5*2.5 م</t>
  </si>
  <si>
    <t>UM-2.5*2.5/06</t>
  </si>
  <si>
    <t>شمسية 200 سم مدور ألومنيوم</t>
  </si>
  <si>
    <t>UM-200/DUPLEX-ALU</t>
  </si>
  <si>
    <t>شمسية 200 سم مدور حديد</t>
  </si>
  <si>
    <t>UM-200/STEEL</t>
  </si>
  <si>
    <t>شمسية خشب 3*3 م</t>
  </si>
  <si>
    <t>UM-3*3/48</t>
  </si>
  <si>
    <t>شمسية كوع 4*3 م</t>
  </si>
  <si>
    <t>UM-3*4/05</t>
  </si>
  <si>
    <t>شمسية 4*4 م</t>
  </si>
  <si>
    <t>UM-4*4/09</t>
  </si>
  <si>
    <t>شمسية كوع ثقيل 5 م مدور</t>
  </si>
  <si>
    <t>UM-5 /10</t>
  </si>
  <si>
    <t>KG قاعدة شمسية غرانيت 25</t>
  </si>
  <si>
    <t>US-25-GR</t>
  </si>
  <si>
    <t>KG قاعدة شمسية باطون 35</t>
  </si>
  <si>
    <t>US-35-C2</t>
  </si>
  <si>
    <t>US-35-D1</t>
  </si>
  <si>
    <t>TABLE TOP ORIGINAL 60*60CM</t>
  </si>
  <si>
    <t>Y-051A</t>
  </si>
  <si>
    <t>COFFEE TABLE TOP 70*70</t>
  </si>
  <si>
    <t>Y-369-7</t>
  </si>
  <si>
    <t>وجه طاولة خشب ثقيل 60*60</t>
  </si>
  <si>
    <t>Y6023-6</t>
  </si>
  <si>
    <t>وجه طاولة خشب ثقيل 80*80</t>
  </si>
  <si>
    <t>Y6023-8</t>
  </si>
  <si>
    <t>وجه طاولة خشب 80*80</t>
  </si>
  <si>
    <t>YA-1040T-8</t>
  </si>
  <si>
    <t>وجه طاولة ألمنيوم 60*60</t>
  </si>
  <si>
    <t>YA-603</t>
  </si>
  <si>
    <t>YCD-49</t>
  </si>
  <si>
    <t>YCD-50</t>
  </si>
  <si>
    <t>YCD-58</t>
  </si>
  <si>
    <t>YCD-61</t>
  </si>
  <si>
    <t>GEZON</t>
  </si>
  <si>
    <t>Z ARTIFICIAL-2018</t>
  </si>
  <si>
    <t>PILLOWS - مخدة ملون</t>
  </si>
  <si>
    <t>Z PILLOWS</t>
  </si>
  <si>
    <t>زاوية مطبخ تركي ثقيل</t>
  </si>
  <si>
    <t>Z TURKEY</t>
  </si>
  <si>
    <t>ZAL 1003/WHITE</t>
  </si>
  <si>
    <t>ZAL 1015/DRK GREY</t>
  </si>
  <si>
    <t>طاولة المنيوم 150 سم /فدار</t>
  </si>
  <si>
    <t>ZAL 150/R/T</t>
  </si>
  <si>
    <t>ZAL 2708/5-WHITE FRM</t>
  </si>
  <si>
    <t>طقم المنيوم 8 مقاعد</t>
  </si>
  <si>
    <t>ZAL 2708/8-GREY</t>
  </si>
  <si>
    <t>ANTRA طقم حديد 1+1+3 باج</t>
  </si>
  <si>
    <t>ZAL PRAGA</t>
  </si>
  <si>
    <t>طاولة نص</t>
  </si>
  <si>
    <t>ZBC 1200</t>
  </si>
  <si>
    <t>مكتبة</t>
  </si>
  <si>
    <t>ZBC 1600</t>
  </si>
  <si>
    <t>ZBC 1800</t>
  </si>
  <si>
    <t>ZBC 1810</t>
  </si>
  <si>
    <t>CC مكتبة صغيرة زاوية</t>
  </si>
  <si>
    <t>ZBC 900CC</t>
  </si>
  <si>
    <t>جيكون رزين</t>
  </si>
  <si>
    <t>ZBF 1657</t>
  </si>
  <si>
    <t>طقم بار رزين 1+6 كراسي رمادي</t>
  </si>
  <si>
    <t>ZBF 1972B</t>
  </si>
  <si>
    <t>XTRA  طقم رزين 3 مقاعد</t>
  </si>
  <si>
    <t>ZBF 1997/3+++</t>
  </si>
  <si>
    <t>ZBF 3180/GREY</t>
  </si>
  <si>
    <t>سلة موزة صيني</t>
  </si>
  <si>
    <t>ZBF 88QL/BL</t>
  </si>
  <si>
    <t>كرسي هزاز خيزران كورسيكا</t>
  </si>
  <si>
    <t>ZBF CORSICA</t>
  </si>
  <si>
    <t>ZBF D05A/NTRL</t>
  </si>
  <si>
    <t>طقم خيزران كناري مقعدين</t>
  </si>
  <si>
    <t>ZBF KENARI</t>
  </si>
  <si>
    <t>ZBF KENARI/COFFEE</t>
  </si>
  <si>
    <t>ZBF KENARI/HONEY</t>
  </si>
  <si>
    <t>طقم خيزران 3 مقعد</t>
  </si>
  <si>
    <t>ZBF LUNA/3</t>
  </si>
  <si>
    <t>40 CM / قاعدة حديد نفخ مدور ملس</t>
  </si>
  <si>
    <t>ZBZ 3012IR</t>
  </si>
  <si>
    <t>قاعدة حديد مربع رمادي</t>
  </si>
  <si>
    <t>ZBZ 3013IR/GRY</t>
  </si>
  <si>
    <t>قاعدة حديد نفخ مجوز عالي 65سم</t>
  </si>
  <si>
    <t>ZBZ 3018/65IR</t>
  </si>
  <si>
    <t>قاعدة حديد نفخ مجوز عالي 72*40</t>
  </si>
  <si>
    <t>ZBZ 3018/72AA</t>
  </si>
  <si>
    <t>ZBZ 3018/72IR</t>
  </si>
  <si>
    <t>قاعدة حديد كبس مربع اسود 40 سم</t>
  </si>
  <si>
    <t>ZBZ 401-80/30</t>
  </si>
  <si>
    <t>ZBZ 4071B/65</t>
  </si>
  <si>
    <t>CROSS - X قاعدة</t>
  </si>
  <si>
    <t>ZBZ 9001IR</t>
  </si>
  <si>
    <t>قاعدة ستانلس كبس مجوز</t>
  </si>
  <si>
    <t>ZBZS 4070B/55</t>
  </si>
  <si>
    <t>ZBZS 4070B/65</t>
  </si>
  <si>
    <t>ZBZS 451B/72</t>
  </si>
  <si>
    <t>باج غامق  RECLYNER CHAIR كرسي برم</t>
  </si>
  <si>
    <t>ZCR 31602-1Z</t>
  </si>
  <si>
    <t>ZCT 329</t>
  </si>
  <si>
    <t>ZCT 331</t>
  </si>
  <si>
    <t>ZCT 332</t>
  </si>
  <si>
    <t>ZCT 336</t>
  </si>
  <si>
    <t>كرسي كوان فدار</t>
  </si>
  <si>
    <t>ZCT 336/CHAIR</t>
  </si>
  <si>
    <t>طاولة زجاج 60 سم</t>
  </si>
  <si>
    <t>ZDS 202/T-GLASS</t>
  </si>
  <si>
    <t>طقم كوان 1+4 كراسي</t>
  </si>
  <si>
    <t>ZDS 202A</t>
  </si>
  <si>
    <t>ZFB 307PB</t>
  </si>
  <si>
    <t>بنك فونت مقعدين بدون ظهر</t>
  </si>
  <si>
    <t>ZFB 309</t>
  </si>
  <si>
    <t>ZGC 8205/DRK NTRL</t>
  </si>
  <si>
    <t>ZGC 8205/GREEN</t>
  </si>
  <si>
    <t>ZGC 8207/DRK NTRL</t>
  </si>
  <si>
    <t>ZGC 8207/GREEN</t>
  </si>
  <si>
    <t>TECKNO خزانة درفتين</t>
  </si>
  <si>
    <t>ZI 006LSC</t>
  </si>
  <si>
    <t>TECKNO خزانة درفتين 90 سم</t>
  </si>
  <si>
    <t>ZI 007LSC</t>
  </si>
  <si>
    <t>ZI 013LSC</t>
  </si>
  <si>
    <t>ZI 020LSC</t>
  </si>
  <si>
    <t>PANTRY CLOSET 60cm  خزانة درفتين</t>
  </si>
  <si>
    <t>ZI 022LSC</t>
  </si>
  <si>
    <t>ZI 19A</t>
  </si>
  <si>
    <t>صوفا قلاب رمادي غامق</t>
  </si>
  <si>
    <t>ZI 210103/11</t>
  </si>
  <si>
    <t>صوفا قلاب باج</t>
  </si>
  <si>
    <t>ZI 210103/28</t>
  </si>
  <si>
    <t>صوفا قلاب رمادي فاتح</t>
  </si>
  <si>
    <t>ZI 210103/6</t>
  </si>
  <si>
    <t>صوفا قلاب اخضر غامق</t>
  </si>
  <si>
    <t>ZI 210103/85</t>
  </si>
  <si>
    <t>طقم طاولات تركي 1+2</t>
  </si>
  <si>
    <t>ZI 261/N</t>
  </si>
  <si>
    <t>طاولة 100*200 سم</t>
  </si>
  <si>
    <t>ZI 3960-18</t>
  </si>
  <si>
    <t>طاولة 100 سم</t>
  </si>
  <si>
    <t>ZI 4200SP</t>
  </si>
  <si>
    <t>خزانة</t>
  </si>
  <si>
    <t>ZI 7202 AUDI</t>
  </si>
  <si>
    <t>تخت مفرد 90 سم</t>
  </si>
  <si>
    <t>ZI 90101</t>
  </si>
  <si>
    <t>خزنة</t>
  </si>
  <si>
    <t>ZI SHELF 20EA</t>
  </si>
  <si>
    <t>ZI WATER/A</t>
  </si>
  <si>
    <t>ZI WATER/B</t>
  </si>
  <si>
    <t>ZI WATER/C</t>
  </si>
  <si>
    <t>طاولة بلاستيك 240 سم شنطة</t>
  </si>
  <si>
    <t>ZK-240/WHITE</t>
  </si>
  <si>
    <t>ZL 1200</t>
  </si>
  <si>
    <t>ZL 441</t>
  </si>
  <si>
    <t>ZL 603A</t>
  </si>
  <si>
    <t>ZL 604A</t>
  </si>
  <si>
    <t>ZL 662A</t>
  </si>
  <si>
    <t>TEAK  صوفا</t>
  </si>
  <si>
    <t>ZNJ 619</t>
  </si>
  <si>
    <t>كرسي مكتب طويل شبك</t>
  </si>
  <si>
    <t>ZOC 02A/WHEEL</t>
  </si>
  <si>
    <t>ZOC 1W</t>
  </si>
  <si>
    <t>ZOC 27FSY</t>
  </si>
  <si>
    <t>ZOC 321A/FSH</t>
  </si>
  <si>
    <t>ZOC 886A/FS</t>
  </si>
  <si>
    <t>ZOT 1700</t>
  </si>
  <si>
    <t>BC مكتبة صغيرة</t>
  </si>
  <si>
    <t>ZOT 900</t>
  </si>
  <si>
    <t>كرسي بلاستيك ملون</t>
  </si>
  <si>
    <t>ZQ 1201</t>
  </si>
  <si>
    <t>طقم صواني خيزران</t>
  </si>
  <si>
    <t>ZR TRAY</t>
  </si>
  <si>
    <t>LIGHT GRY كرسي هزاز خشب</t>
  </si>
  <si>
    <t>BLUE  كرسي هزاز خشب</t>
  </si>
  <si>
    <t>ZRC 030/HR017/22</t>
  </si>
  <si>
    <t>DRK GRY كرسي هزاز خشب</t>
  </si>
  <si>
    <t>ZRC 030/HR017/30</t>
  </si>
  <si>
    <t>BLK كرسي جلد وحديد</t>
  </si>
  <si>
    <t>ZRC CY0023/899A013</t>
  </si>
  <si>
    <t>ZRC CY0023/899A21</t>
  </si>
  <si>
    <t>ZRF 18309A/BLUE</t>
  </si>
  <si>
    <t>ZRF 18309A/GRN</t>
  </si>
  <si>
    <t>ZRF 18309A/GRY</t>
  </si>
  <si>
    <t>ZRF 19307/BLUE</t>
  </si>
  <si>
    <t>ZRF 19307/GRN</t>
  </si>
  <si>
    <t>ZRF 19307/GRY</t>
  </si>
  <si>
    <t>ZRF 20035A/GRY</t>
  </si>
  <si>
    <t>ZRF 20042A/GRN</t>
  </si>
  <si>
    <t>ZRF 20042A/GRY</t>
  </si>
  <si>
    <t>ZRF 3600-30/BLUE</t>
  </si>
  <si>
    <t>ZRF 3600-30/RED</t>
  </si>
  <si>
    <t>ZRF 3600-30/VNTG BLK</t>
  </si>
  <si>
    <t>ZRF 3600-30/WHITE</t>
  </si>
  <si>
    <t>ZRF 3600-30/YELLOW</t>
  </si>
  <si>
    <t>ZRF 3701-30/SILVER</t>
  </si>
  <si>
    <t>V كرسي حديد مع يد</t>
  </si>
  <si>
    <t>ZRF9005/RED</t>
  </si>
  <si>
    <t>ZRF9005/WHITE</t>
  </si>
  <si>
    <t>ZRF9005/YELLOW</t>
  </si>
  <si>
    <t>RED كرسي حديد بدون يد سادة</t>
  </si>
  <si>
    <t>ZRF9008/MATT RED</t>
  </si>
  <si>
    <t>WHITE  كرسي حديد بدون يد سادة</t>
  </si>
  <si>
    <t>ZRF9008/MATT WHITE</t>
  </si>
  <si>
    <t>V كرسي حديد بدون يد</t>
  </si>
  <si>
    <t>ZRF9008/RED</t>
  </si>
  <si>
    <t>SILVER  كرسي حديد بدون يد</t>
  </si>
  <si>
    <t>ZRF9008/SILVER</t>
  </si>
  <si>
    <t>ZRF9008/WHITE</t>
  </si>
  <si>
    <t>V كرسي حديد بدون يد ملون</t>
  </si>
  <si>
    <t>ZRF9008/YELLOW</t>
  </si>
  <si>
    <t>BLUE 76cm كرسي بار حديد سادة</t>
  </si>
  <si>
    <t>ZRF9009-30/MATT BLUE</t>
  </si>
  <si>
    <t>RED 76cm  كرسي بار حديد سادة</t>
  </si>
  <si>
    <t>ZRF9009-30/MATT RED</t>
  </si>
  <si>
    <t>WHITE 76cm كرسي بار حديد سادة</t>
  </si>
  <si>
    <t>ZRF9009-30/MATT WHIT</t>
  </si>
  <si>
    <t>YELLOW 76cm  كرسي بار حديد سادة</t>
  </si>
  <si>
    <t>ZRF9009-30/MATT YELL</t>
  </si>
  <si>
    <t>SILVER 76cm  كرسي بار حديد</t>
  </si>
  <si>
    <t>ZRF9009-30/SILVER</t>
  </si>
  <si>
    <t>ZRF9009/BLUE</t>
  </si>
  <si>
    <t>ZRF9009/GRN</t>
  </si>
  <si>
    <t>ZRF9009/RED</t>
  </si>
  <si>
    <t>ZRF9009/WHITE</t>
  </si>
  <si>
    <t>ZRZ 1641-2</t>
  </si>
  <si>
    <t>طقم رزين 1+4</t>
  </si>
  <si>
    <t>ZRZ 3196</t>
  </si>
  <si>
    <t>كرسي رزين فدار</t>
  </si>
  <si>
    <t>ZRZ 3196/C</t>
  </si>
  <si>
    <t>طاولة رزين فدار</t>
  </si>
  <si>
    <t>ZRZ 3196/T</t>
  </si>
  <si>
    <t>ZS 128/COFFEE</t>
  </si>
  <si>
    <t>ZS 128/GREEN+WHITE</t>
  </si>
  <si>
    <t>VS خزانة احذية درفتين مع جارور</t>
  </si>
  <si>
    <t>ZS 40081-S3</t>
  </si>
  <si>
    <t>خزانة احذية درفتين طويلة جلد</t>
  </si>
  <si>
    <t>ZSR 01</t>
  </si>
  <si>
    <t>احذية درفتين جلد</t>
  </si>
  <si>
    <t>ZSR 02</t>
  </si>
  <si>
    <t>احذية درفتين مربعات</t>
  </si>
  <si>
    <t>ZSR 1400K</t>
  </si>
  <si>
    <t>خزانة احذية 3 درف باج</t>
  </si>
  <si>
    <t>ZSR 1500 AN</t>
  </si>
  <si>
    <t>خزانة احذية 4 درف جلد</t>
  </si>
  <si>
    <t>ZSR 3660HJ</t>
  </si>
  <si>
    <t>احذية طويلة مربعات</t>
  </si>
  <si>
    <t>ZSR 3665KS</t>
  </si>
  <si>
    <t>احذية درفتين طويلة جلد</t>
  </si>
  <si>
    <t>ZSR 3950HJ</t>
  </si>
  <si>
    <t>ZSR 4200</t>
  </si>
  <si>
    <t>احذية درفتين طويلة مضلع</t>
  </si>
  <si>
    <t>ZSR 4200K</t>
  </si>
  <si>
    <t>احذية 6 درف جلد</t>
  </si>
  <si>
    <t>ZSR 5000 HJ</t>
  </si>
  <si>
    <t>خزانة احذية 6 درف</t>
  </si>
  <si>
    <t>ZSR 5000/SN</t>
  </si>
  <si>
    <t>خزانة احذية درفتين جلد</t>
  </si>
  <si>
    <t>ZSR MV1400</t>
  </si>
  <si>
    <t>BIG سلة قماش مدور</t>
  </si>
  <si>
    <t>ZT 004/BIG</t>
  </si>
  <si>
    <t>MED سلة قماش مدور</t>
  </si>
  <si>
    <t>ZT 004/MED</t>
  </si>
  <si>
    <t>SMALL سلة قماش مدور</t>
  </si>
  <si>
    <t>ZT 004NT</t>
  </si>
  <si>
    <t>BIG  سلة قماش اوفال مفتوح</t>
  </si>
  <si>
    <t>ZT 013/BIG</t>
  </si>
  <si>
    <t>MED  سلة قماش اوفال مفتوح</t>
  </si>
  <si>
    <t>ZT 013/MED</t>
  </si>
  <si>
    <t>SML سلة قماش اوفال مفتوح</t>
  </si>
  <si>
    <t>ZT 013/SML</t>
  </si>
  <si>
    <t>BIG سلة رزين مدور</t>
  </si>
  <si>
    <t>ZT 052/BIG</t>
  </si>
  <si>
    <t>MED سلة رزين مدور</t>
  </si>
  <si>
    <t>ZT 052/MED</t>
  </si>
  <si>
    <t>SMALL سلة رزين مدور</t>
  </si>
  <si>
    <t>ZT 052/SML</t>
  </si>
  <si>
    <t>طقم رزين 3 مقاعد ديكور</t>
  </si>
  <si>
    <t>ZT CASA/3</t>
  </si>
  <si>
    <t>زاوية تركي قماش</t>
  </si>
  <si>
    <t>ZT CORNER</t>
  </si>
  <si>
    <t>خزانة احذية بلاستيك</t>
  </si>
  <si>
    <t>ZT-1189</t>
  </si>
  <si>
    <t>طقم بلاستيك 3 مقاعد ثقيل</t>
  </si>
  <si>
    <t>ZT-139/3</t>
  </si>
  <si>
    <t>ZT-SEGNUS CHAIR/CAPU</t>
  </si>
  <si>
    <t>ZT-SEGNUS CHAIR/GRY</t>
  </si>
  <si>
    <t>ZT-SEGNUS CHAIR/WHIT</t>
  </si>
  <si>
    <t>ZTB 301</t>
  </si>
  <si>
    <t>قاعدة فونت</t>
  </si>
  <si>
    <t>ZTB 308</t>
  </si>
  <si>
    <t>ZTB 335</t>
  </si>
  <si>
    <t>عريض X قاعدة فونت</t>
  </si>
  <si>
    <t>ZTB 87E</t>
  </si>
  <si>
    <t>قاعدة ستانلس اسود 38 سم</t>
  </si>
  <si>
    <t>ZTBS 19B</t>
  </si>
  <si>
    <t>ZTBS 9034</t>
  </si>
  <si>
    <t>ZTT 1906A</t>
  </si>
  <si>
    <t>ZTT 1932A</t>
  </si>
  <si>
    <t>ZTT 2187A</t>
  </si>
  <si>
    <t>طاولة تلفزيون</t>
  </si>
  <si>
    <t>ZTT 2203/TV</t>
  </si>
  <si>
    <t>ZTT 2203A</t>
  </si>
  <si>
    <t>ZTT 601</t>
  </si>
  <si>
    <t>ZTT 602/TV</t>
  </si>
  <si>
    <t>ZTT 602A</t>
  </si>
  <si>
    <t>ZTT 603/TV</t>
  </si>
  <si>
    <t>ZTT 604/TV</t>
  </si>
  <si>
    <t>طاولة زجاج 60 سم كسر مدور</t>
  </si>
  <si>
    <t>ZTT 650</t>
  </si>
  <si>
    <t>ZTT 662/TV</t>
  </si>
  <si>
    <t>BLK عربية مشروب بلاستيك مربع</t>
  </si>
  <si>
    <t>ZTT D03M</t>
  </si>
  <si>
    <t>WHITE عربية مشروب بلاستيك مربع</t>
  </si>
  <si>
    <t>ZTT D03M/WHITE</t>
  </si>
  <si>
    <t>BLK عربية مشروب بلاستيك مدور</t>
  </si>
  <si>
    <t>ZTT Y03M/BLK</t>
  </si>
  <si>
    <t>WHITE عربية مشروب بلاستيك مدور</t>
  </si>
  <si>
    <t>ZTT Y03M/WHITE</t>
  </si>
  <si>
    <t>ZTV 1200</t>
  </si>
  <si>
    <t>ZTV 1210</t>
  </si>
  <si>
    <t>شمسية 2*2</t>
  </si>
  <si>
    <t>ZU 1222</t>
  </si>
  <si>
    <t>شمسية 3*2</t>
  </si>
  <si>
    <t>ZU 1233</t>
  </si>
  <si>
    <t>شمسية 3*3 م</t>
  </si>
  <si>
    <t>ZU 1333</t>
  </si>
  <si>
    <t>شمسية 3*3 كوع</t>
  </si>
  <si>
    <t>ZUM 2001</t>
  </si>
  <si>
    <t>قاعدة شمسية  - 2001</t>
  </si>
  <si>
    <t>ZUM 2001/MARBLE</t>
  </si>
  <si>
    <t>شمسية كوع 270 مع بلاطة حديد</t>
  </si>
  <si>
    <t>ZUM 2006</t>
  </si>
  <si>
    <t>شمسية كوع 270 مع بلاطة المنيوم</t>
  </si>
  <si>
    <t>ZUM 2006/ALU</t>
  </si>
  <si>
    <t>شمسية كوع 3*3 ثقيل / كسر</t>
  </si>
  <si>
    <t>ZUM 2007</t>
  </si>
  <si>
    <t>شمسية كوع 270 سم + بلاطة</t>
  </si>
  <si>
    <t>ZUM 2021</t>
  </si>
  <si>
    <t>ZUM BANANA</t>
  </si>
  <si>
    <t>ACCACIA طاولة سفرة 180 سم</t>
  </si>
  <si>
    <t>ZV 10212</t>
  </si>
  <si>
    <t>ACCACIA طاولة سفرة 160 سم</t>
  </si>
  <si>
    <t>ZV 10212/160</t>
  </si>
  <si>
    <t>ACCACIA كومود</t>
  </si>
  <si>
    <t>ZV 10286</t>
  </si>
  <si>
    <t>RALPH طاولة زاوية</t>
  </si>
  <si>
    <t>ZV 80328</t>
  </si>
  <si>
    <t>RALPH T.V.</t>
  </si>
  <si>
    <t>ZV 80351</t>
  </si>
  <si>
    <t>RALPH تخت 160 سم</t>
  </si>
  <si>
    <t>ZV 80361</t>
  </si>
  <si>
    <t>RALPH تخت 180 سم</t>
  </si>
  <si>
    <t>ZV 80362</t>
  </si>
  <si>
    <t>RALPH تخت 110 سم</t>
  </si>
  <si>
    <t>ZV 80364</t>
  </si>
  <si>
    <t>RALPH شوفينيير</t>
  </si>
  <si>
    <t>ZV 80371</t>
  </si>
  <si>
    <t>RALPH مراية</t>
  </si>
  <si>
    <t>ZV 80376</t>
  </si>
  <si>
    <t>RALPH كومود</t>
  </si>
  <si>
    <t>ZV 80386</t>
  </si>
  <si>
    <t>طقم 1+4</t>
  </si>
  <si>
    <t>ZW 707</t>
  </si>
  <si>
    <t>ROMAN شمسية كوع المنيوم ثقيل 3*3</t>
  </si>
  <si>
    <t>ZXL 002</t>
  </si>
  <si>
    <t>BANANA شمسية كوع حديد 3 م مدور</t>
  </si>
  <si>
    <t>ZXL 003/3M</t>
  </si>
  <si>
    <t>BANANA شمسية كوع حديد 270 سم</t>
  </si>
  <si>
    <t>ZXL 2.7M</t>
  </si>
  <si>
    <t>شمسية 270 سم حديد مانيفيل</t>
  </si>
  <si>
    <t>ZXL 2021/270</t>
  </si>
  <si>
    <t>شمسية كوع 2.5 * 2.5 بدون قاعدة</t>
  </si>
  <si>
    <t>ZXL 9101</t>
  </si>
  <si>
    <t>WATER TANK قاعدة شمسية ماء</t>
  </si>
  <si>
    <t>ZXL B88150</t>
  </si>
  <si>
    <t>ZXL HY1001</t>
  </si>
  <si>
    <t>SILVER  بنك انتظار ستانلس</t>
  </si>
  <si>
    <t>ZYA 19A/STNLS</t>
  </si>
  <si>
    <t>كرسي رزين مع طراحة</t>
  </si>
  <si>
    <t>ZZC 02LMA</t>
  </si>
  <si>
    <t>BLK  كرسي بلاستيك مقعد جلد</t>
  </si>
  <si>
    <t>كرسي بلاستيك مقعد جلد</t>
  </si>
  <si>
    <t>ZZC 086/GRY</t>
  </si>
  <si>
    <t>كرسي قماش اصفر</t>
  </si>
  <si>
    <t>ZZC 1029/BURB</t>
  </si>
  <si>
    <t>كرسي قماش احمر وابيض</t>
  </si>
  <si>
    <t>ZZC 1029/RW</t>
  </si>
  <si>
    <t>ZZC 1790/BLUE</t>
  </si>
  <si>
    <t>ZZC 1790/GREY</t>
  </si>
  <si>
    <t>قماش صيفي</t>
  </si>
  <si>
    <t>ZZC 180011BX</t>
  </si>
  <si>
    <t>ZZC 2020A ZM</t>
  </si>
  <si>
    <t>ZZC 2020B ZM</t>
  </si>
  <si>
    <t>ZZC 202A ZM</t>
  </si>
  <si>
    <t>ZZC 4005/G</t>
  </si>
  <si>
    <t>ZZC 4005/R</t>
  </si>
  <si>
    <t>GREY كرسي مكتب دولاب</t>
  </si>
  <si>
    <t>ZZC 515B/ZV</t>
  </si>
  <si>
    <t>كرسي جلد وخشب مع بلاستيك</t>
  </si>
  <si>
    <t>ZZC 635/GRN</t>
  </si>
  <si>
    <t>ZZC 635/RED</t>
  </si>
  <si>
    <t>ZZC 635/WHITE</t>
  </si>
  <si>
    <t>ZZC 685/GREY</t>
  </si>
  <si>
    <t>ZZC 6903 ZM</t>
  </si>
  <si>
    <t>ZZC 707A ZM</t>
  </si>
  <si>
    <t>ZZC 707B ZM</t>
  </si>
  <si>
    <t>ZZC 721/GREY</t>
  </si>
  <si>
    <t>ZZC 722/GREY</t>
  </si>
  <si>
    <t>ZZC 723/GREY</t>
  </si>
  <si>
    <t>ZZC 727B/ZV</t>
  </si>
  <si>
    <t>ZZC 803NEW/GREY</t>
  </si>
  <si>
    <t>ZZC 808D/FS</t>
  </si>
  <si>
    <t>ZZC 832NEW/GREY</t>
  </si>
  <si>
    <t>ZZC 9010 ZM</t>
  </si>
  <si>
    <t>ZZC 905A/ZM</t>
  </si>
  <si>
    <t>كرسي بار حديد مع بلاستيك</t>
  </si>
  <si>
    <t>ZZC 927/BLK</t>
  </si>
  <si>
    <t>ZZC 927/GREY</t>
  </si>
  <si>
    <t>كرسي بار خشب جلد</t>
  </si>
  <si>
    <t>ZZC B-302/BAR CHAIR</t>
  </si>
  <si>
    <t>ZZC C-033</t>
  </si>
  <si>
    <t>ZZC D048</t>
  </si>
  <si>
    <t>كرسي مكتب مع سندة</t>
  </si>
  <si>
    <t>ZZC FS188</t>
  </si>
  <si>
    <t>BLUE كرسي اوتيل حديد قماش</t>
  </si>
  <si>
    <t>ZZC HC300A/BLUE</t>
  </si>
  <si>
    <t>BLK  كرسي اوتيل حديد جلد</t>
  </si>
  <si>
    <t>ZZC HC300A/PU BLK</t>
  </si>
  <si>
    <t>RED كرسي اوتيل حديد قماش</t>
  </si>
  <si>
    <t>ZZC PP-753D/WHITE</t>
  </si>
  <si>
    <t>كرسي بلاستيك شبك مع يد</t>
  </si>
  <si>
    <t>ZZC PP-778DWHITE</t>
  </si>
  <si>
    <t>ZZC PP-792/GREY</t>
  </si>
  <si>
    <t>ZZC PP-792/GRN</t>
  </si>
  <si>
    <t>ZZC PP-792/RED</t>
  </si>
  <si>
    <t>ZZC PP-792/YELOW</t>
  </si>
  <si>
    <t>ZZC PP-799/GREY</t>
  </si>
  <si>
    <t>ZZC PP-799/WHITE</t>
  </si>
  <si>
    <t>ZZC PP-799/YELLOW</t>
  </si>
  <si>
    <t>ZZC PP-902/GREY</t>
  </si>
  <si>
    <t>ZZC PP-902/GRN</t>
  </si>
  <si>
    <t>ZZC PP-902/RED</t>
  </si>
  <si>
    <t>ZZC PP-902/YELLOW</t>
  </si>
  <si>
    <t>BLK كرسي بلاستيك مع يد</t>
  </si>
  <si>
    <t>ZZC PP-903/GREY</t>
  </si>
  <si>
    <t>ZZC PP-903/GRN</t>
  </si>
  <si>
    <t>ZZC PP-903/RED</t>
  </si>
  <si>
    <t>ZZC PP-903/YELOW</t>
  </si>
  <si>
    <t>ZZC PP-905/GREY</t>
  </si>
  <si>
    <t>ZZC PP-905/RED</t>
  </si>
  <si>
    <t>ZZC PP-905/YELLOW</t>
  </si>
  <si>
    <t>LIGHT GREY كرسي بلاستيك حبل مع يد</t>
  </si>
  <si>
    <t>ZZC PP-920A/GREY</t>
  </si>
  <si>
    <t>ZZC PP-920A/WHITE</t>
  </si>
  <si>
    <t>WHITE طاولة بار 60 سم مدور</t>
  </si>
  <si>
    <t>ZZC STONE 60/WHITE</t>
  </si>
  <si>
    <t>كرسي خشب قماش مع يد</t>
  </si>
  <si>
    <t>ZZC W-620</t>
  </si>
  <si>
    <t>كرسي شبك بلاستيك</t>
  </si>
  <si>
    <t>ZZC WB/1</t>
  </si>
  <si>
    <t>ZZC WB/1-WHITE</t>
  </si>
  <si>
    <t>مراية تعليق مربع</t>
  </si>
  <si>
    <t>ZZM 31H</t>
  </si>
  <si>
    <t>مراية تعليق مدور</t>
  </si>
  <si>
    <t>ZZM 31Q</t>
  </si>
  <si>
    <t>BLK مراية ستاند مدور</t>
  </si>
  <si>
    <t>ZZM 320</t>
  </si>
  <si>
    <t>مراية ستاند مدور</t>
  </si>
  <si>
    <t>ZZM 320/PINK</t>
  </si>
  <si>
    <t>مراية مستطيل 50*160 سم</t>
  </si>
  <si>
    <t>ZZM 8137/160</t>
  </si>
  <si>
    <t>LED مراية مستطيل</t>
  </si>
  <si>
    <t>ZZM 8137/LED</t>
  </si>
  <si>
    <t>كبير X قاعدة مفرد</t>
  </si>
  <si>
    <t>ZZQ 07-7</t>
  </si>
  <si>
    <t>قاعدة بار</t>
  </si>
  <si>
    <t>ZZQ 20</t>
  </si>
  <si>
    <t>وجه طاولة 110*70</t>
  </si>
  <si>
    <t>ZZQ 232/110</t>
  </si>
  <si>
    <t>ZZQ 232/70</t>
  </si>
  <si>
    <t>كرسي رزين المنيوم</t>
  </si>
  <si>
    <t>ZZR 1254</t>
  </si>
  <si>
    <t>كرسي وكر</t>
  </si>
  <si>
    <t>ZZR 3872/CHAIR</t>
  </si>
  <si>
    <t>احذية درفتين</t>
  </si>
  <si>
    <t>ZZS 121KM</t>
  </si>
  <si>
    <t>قاعدة حديد مدور مسح/40 سم</t>
  </si>
  <si>
    <t>ZZS 14F</t>
  </si>
  <si>
    <t>احذية 3 درف زجاج</t>
  </si>
  <si>
    <t>ZZS 4002KM</t>
  </si>
  <si>
    <t>احذية 6 درف</t>
  </si>
  <si>
    <t>ZZS 5000KS</t>
  </si>
  <si>
    <t>قاعدة المنيوم</t>
  </si>
  <si>
    <t>ZZS 9025</t>
  </si>
  <si>
    <t>ZZS 9041</t>
  </si>
  <si>
    <t>ZZT 2085A</t>
  </si>
  <si>
    <t>وجه خشب ثقيل 70*70</t>
  </si>
  <si>
    <t>ZZT 6702/70</t>
  </si>
  <si>
    <t>وجه خشب ثقيل 80*80</t>
  </si>
  <si>
    <t>ZZT 6702/80</t>
  </si>
  <si>
    <t>وجه خشب ثقيل 120*70</t>
  </si>
  <si>
    <t>ZZT 6703/127</t>
  </si>
  <si>
    <t>وجه خشب ثقيل 130*80</t>
  </si>
  <si>
    <t>ZZT 6703/128</t>
  </si>
  <si>
    <t>وجه طاولة غرانيت 80*80</t>
  </si>
  <si>
    <t>ZZT 80*80</t>
  </si>
  <si>
    <t>وجه طاولة فرزاليت 80 مدور</t>
  </si>
  <si>
    <t>ZZT 800</t>
  </si>
  <si>
    <t>ZZY 024</t>
  </si>
  <si>
    <t>اكسسورا مطعم</t>
  </si>
  <si>
    <t>ZZY 8688</t>
  </si>
  <si>
    <t>ZZY 8689</t>
  </si>
  <si>
    <t>ZZY 8690</t>
  </si>
  <si>
    <t>ZZY 8691</t>
  </si>
  <si>
    <t>ZZZ 3872/2</t>
  </si>
  <si>
    <t>طقم رزين 3 مقاعد</t>
  </si>
  <si>
    <t>ZZZ 3873/3</t>
  </si>
  <si>
    <t>DARK GREEN LEATHER</t>
  </si>
  <si>
    <t>ZZC FC35-40 PVC LEAT</t>
  </si>
  <si>
    <t>DARK GREY LEATHER</t>
  </si>
  <si>
    <t>ZZC FC35-47 PVC LEAT</t>
  </si>
  <si>
    <t>GREY LEATHER</t>
  </si>
  <si>
    <t>ZZC FC35-50 PVC LEAT</t>
  </si>
  <si>
    <t>COFFEE LEATHER</t>
  </si>
  <si>
    <t>ZZC FC69-77 PVC LEAT</t>
  </si>
  <si>
    <t>BLUE LEATHER</t>
  </si>
  <si>
    <t>ZZC FC69-37 PVC LEAT</t>
  </si>
  <si>
    <t>GREY كرسي سفرة جلد عريض مع يد</t>
  </si>
  <si>
    <t>ZZC Y2212/35-47</t>
  </si>
  <si>
    <t>DRK GREEN كرسي سفرة جلد عريض مع يد</t>
  </si>
  <si>
    <t>ZZC Y2212/35-37</t>
  </si>
  <si>
    <t>GREEN خيمة 3*3 م رسور</t>
  </si>
  <si>
    <t>ZG-S18</t>
  </si>
  <si>
    <t>BLUE خيمة 3*3 م رسور</t>
  </si>
  <si>
    <t>ZG-S18/BLUE</t>
  </si>
  <si>
    <t>GREY خيمة 3*3 م رسور</t>
  </si>
  <si>
    <t>ZG-S18/GREY</t>
  </si>
  <si>
    <t>BLACK LEATHER</t>
  </si>
  <si>
    <t>ZZC FC50-64 PVC LEAT</t>
  </si>
  <si>
    <t>ZZC FC50-69 PVC LEAT</t>
  </si>
  <si>
    <t>ZZC FC50-48 PVC LEAT</t>
  </si>
  <si>
    <t>RED LEATHER</t>
  </si>
  <si>
    <t>ZZC FC50-31 PVC LEAT</t>
  </si>
  <si>
    <t>WHITE LEATHER</t>
  </si>
  <si>
    <t>ZZC FC50-03 PVC LEAT</t>
  </si>
  <si>
    <t>ZZC FC 50-45 PVC LEA</t>
  </si>
  <si>
    <t>ZZC A1/GREY</t>
  </si>
  <si>
    <t>ZZC A2/BLK&amp;GOLD</t>
  </si>
  <si>
    <t>طاولة سيراميك 80*140</t>
  </si>
  <si>
    <t>ZZC A3/LIGHT GREY</t>
  </si>
  <si>
    <t>ZZC A4 SMPL</t>
  </si>
  <si>
    <t>ZZC A5/GREY</t>
  </si>
  <si>
    <t>ZZC A6</t>
  </si>
  <si>
    <t>ZZC A7</t>
  </si>
  <si>
    <t>BLK كرسي مكتب</t>
  </si>
  <si>
    <t>ZZC 4005</t>
  </si>
  <si>
    <t>DRK GREEN كرسي سفرة جلد</t>
  </si>
  <si>
    <t>ZZC Y035-35/37</t>
  </si>
  <si>
    <t>ZZC Y061-35/47</t>
  </si>
  <si>
    <t>ZZC Y061-35/37</t>
  </si>
  <si>
    <t>ZZC FC50-54/PVC</t>
  </si>
  <si>
    <t>DARK BLUE LEATHER</t>
  </si>
  <si>
    <t>ZZC FC50-55/PVC</t>
  </si>
  <si>
    <t>ZZC FC50-61/PVC</t>
  </si>
  <si>
    <t>BLK كرسي بلاستيك</t>
  </si>
  <si>
    <t>ZZC 831</t>
  </si>
  <si>
    <t>ZZC P-700A</t>
  </si>
  <si>
    <t>P-728/GRY</t>
  </si>
  <si>
    <t>item number</t>
  </si>
  <si>
    <t>long desc</t>
  </si>
  <si>
    <t>price for business</t>
  </si>
  <si>
    <t>كرسي سفرة                                         STK</t>
  </si>
  <si>
    <t>STK dining chair</t>
  </si>
  <si>
    <t xml:space="preserve">  </t>
  </si>
  <si>
    <t>Leather dining chair</t>
  </si>
  <si>
    <t xml:space="preserve">كرسي سفرة </t>
  </si>
  <si>
    <t xml:space="preserve">Dining chair </t>
  </si>
  <si>
    <t>Wide dining chair</t>
  </si>
  <si>
    <t>C-2145</t>
  </si>
  <si>
    <t>Dining chair</t>
  </si>
  <si>
    <t>C-133/134</t>
  </si>
  <si>
    <t>C-338</t>
  </si>
  <si>
    <t>C-2716</t>
  </si>
  <si>
    <t>كرسي سفرة اصابع</t>
  </si>
  <si>
    <t>Fingers dining chair</t>
  </si>
  <si>
    <t>C-313/554</t>
  </si>
  <si>
    <t>كرسي سفرة حفر</t>
  </si>
  <si>
    <t>Drilled dining chair</t>
  </si>
  <si>
    <t>C-414/559</t>
  </si>
  <si>
    <t>C-2806</t>
  </si>
  <si>
    <t>C-460-460/1 قماش</t>
  </si>
  <si>
    <t>C-6002</t>
  </si>
  <si>
    <t>Fabric dining chair</t>
  </si>
  <si>
    <t>C-6017</t>
  </si>
  <si>
    <t>C-TMH-136</t>
  </si>
  <si>
    <t>C-TMH-287</t>
  </si>
  <si>
    <t>C-TMH-383</t>
  </si>
  <si>
    <t>C-MILLE</t>
  </si>
  <si>
    <t>كرسي سفرة فانغي</t>
  </si>
  <si>
    <t>Vangi dining chair</t>
  </si>
  <si>
    <t>C-ROMANIA</t>
  </si>
  <si>
    <t>Natural dining chair</t>
  </si>
  <si>
    <t>كرسي خشب وقماش مع يد</t>
  </si>
  <si>
    <t>Wood and fabric chair with handle</t>
  </si>
  <si>
    <t>C-W620</t>
  </si>
  <si>
    <t>كرسي خشب وقماش بدون يد</t>
  </si>
  <si>
    <t>Wood and fabric chair without handle</t>
  </si>
  <si>
    <t>C-W638</t>
  </si>
  <si>
    <t xml:space="preserve">كرسي اوتيل المنيوم </t>
  </si>
  <si>
    <t xml:space="preserve">Aluminum hotel chair </t>
  </si>
  <si>
    <t>C-A306</t>
  </si>
  <si>
    <t>كرسي اوتيل حديد</t>
  </si>
  <si>
    <t>Iron hotel chair</t>
  </si>
  <si>
    <t>C-A300/B</t>
  </si>
  <si>
    <t>كرسي مطعم جلد وحديد</t>
  </si>
  <si>
    <t>Leather and iron restaurant chair</t>
  </si>
  <si>
    <t>C-0023</t>
  </si>
  <si>
    <t>C-229</t>
  </si>
  <si>
    <t>كرسي سفرة عريض جلد مع يد</t>
  </si>
  <si>
    <t>Wide leather dining chair with handle</t>
  </si>
  <si>
    <t>C-Y2212</t>
  </si>
  <si>
    <t>كرسي خشب X</t>
  </si>
  <si>
    <t>X wood chair</t>
  </si>
  <si>
    <t>C-2001</t>
  </si>
  <si>
    <t>كرسي خشب X مع يد</t>
  </si>
  <si>
    <t>X wooden chair with handle</t>
  </si>
  <si>
    <t>C-2008</t>
  </si>
  <si>
    <t xml:space="preserve">كرسي ستاربكس </t>
  </si>
  <si>
    <t xml:space="preserve">Starbucks chair </t>
  </si>
  <si>
    <t>C-1029 / C-1927</t>
  </si>
  <si>
    <t>Description</t>
  </si>
  <si>
    <t>Item No.</t>
  </si>
  <si>
    <t>كرسي قماش مع بوف</t>
  </si>
  <si>
    <t>Fabric chair with pouf</t>
  </si>
  <si>
    <t>C-390001</t>
  </si>
  <si>
    <t xml:space="preserve">كرسي قماش </t>
  </si>
  <si>
    <t xml:space="preserve">Fabric chair </t>
  </si>
  <si>
    <t>C-N39</t>
  </si>
  <si>
    <t>كرسي ريلاكس</t>
  </si>
  <si>
    <t>Relax chair</t>
  </si>
  <si>
    <t>TURK RELAX CHAIR</t>
  </si>
  <si>
    <t>كرسي ريلاكس برم</t>
  </si>
  <si>
    <t>Relax twirl chair</t>
  </si>
  <si>
    <t>C-2023</t>
  </si>
  <si>
    <t>كرسي PLEXI</t>
  </si>
  <si>
    <t>PLEXI chair</t>
  </si>
  <si>
    <t>C-8072</t>
  </si>
  <si>
    <t xml:space="preserve">طاولة سفرة </t>
  </si>
  <si>
    <t xml:space="preserve">طاولة سفرة 120*150 سم بطيختين        </t>
  </si>
  <si>
    <t xml:space="preserve">Dining table 120*150 cm with two watermelons        </t>
  </si>
  <si>
    <t>T-3648</t>
  </si>
  <si>
    <t>Dining table</t>
  </si>
  <si>
    <t>طاولة سفرة 120 سم                             STK</t>
  </si>
  <si>
    <t>Dining table 120 cm STK</t>
  </si>
  <si>
    <t>T-254</t>
  </si>
  <si>
    <t>T-2544</t>
  </si>
  <si>
    <t>طاولة سفرة 150 سم                             STK</t>
  </si>
  <si>
    <t>Dining table 150 cm STK</t>
  </si>
  <si>
    <t>طاولة سفرة 100*200 سم مستطيل</t>
  </si>
  <si>
    <t>Dining table 100*200 cm rectangle</t>
  </si>
  <si>
    <t>T-264-3960</t>
  </si>
  <si>
    <t>طاولة سفرة  240 سم مستطيل</t>
  </si>
  <si>
    <t>Dining table 240 cm rectangular</t>
  </si>
  <si>
    <t>طاولة سفرة 150 سم بطيختين</t>
  </si>
  <si>
    <t>Dining table 150 cm with two watermelons</t>
  </si>
  <si>
    <t>T-3660SP</t>
  </si>
  <si>
    <t>Table 120 cm</t>
  </si>
  <si>
    <t>طاولة 95*160 سم</t>
  </si>
  <si>
    <t>Table 95*160 cm</t>
  </si>
  <si>
    <t>T-2032</t>
  </si>
  <si>
    <t>طاولة سفرة 100*200 سم                    STK</t>
  </si>
  <si>
    <t>Dining table 100*200 cm STK</t>
  </si>
  <si>
    <t>T-3960A</t>
  </si>
  <si>
    <t xml:space="preserve">طاولة 150*105 سم كوليس </t>
  </si>
  <si>
    <t xml:space="preserve">Collis table 150*105 cm </t>
  </si>
  <si>
    <t>T-4200-16</t>
  </si>
  <si>
    <t>طاولة 105 سم مدور</t>
  </si>
  <si>
    <t>Table 105 cm round</t>
  </si>
  <si>
    <t>T-4200-SP</t>
  </si>
  <si>
    <t>طاولة 250 سم بطيختين</t>
  </si>
  <si>
    <t>Table 250 cm with two watermelons</t>
  </si>
  <si>
    <t>T-4278-20</t>
  </si>
  <si>
    <t>طاولة 160*120 سم</t>
  </si>
  <si>
    <t>Table 160*120 cm</t>
  </si>
  <si>
    <t>طاولة 90*150 سم شطب</t>
  </si>
  <si>
    <t>Table 90*150 cm, chamfered</t>
  </si>
  <si>
    <t>T-7074</t>
  </si>
  <si>
    <t>طاولة سفرة 100*200 سم بطيختين</t>
  </si>
  <si>
    <t>Dining table 100*200 cm with two watermelons</t>
  </si>
  <si>
    <t>T-7132</t>
  </si>
  <si>
    <t>Table 80*80 cm</t>
  </si>
  <si>
    <t>T-555</t>
  </si>
  <si>
    <t>طاولة 95*150 سم</t>
  </si>
  <si>
    <t>Table 95*150 cm</t>
  </si>
  <si>
    <t>T-ROMANIA</t>
  </si>
  <si>
    <t>طاولة 75*120 سم</t>
  </si>
  <si>
    <t>Table 75*120 cm</t>
  </si>
  <si>
    <t>طاولة زجاج 80 سم مدور</t>
  </si>
  <si>
    <t>Glass table 80 cm round</t>
  </si>
  <si>
    <t>T-E111</t>
  </si>
  <si>
    <t>طاولة خشب 80*80 سم</t>
  </si>
  <si>
    <t>Wooden table 80*80 cm</t>
  </si>
  <si>
    <t>T-MD 80*80</t>
  </si>
  <si>
    <t>طاولة خشب 80*120 سم</t>
  </si>
  <si>
    <t>Wooden table 80*120 cm</t>
  </si>
  <si>
    <t>T-MD 80*120</t>
  </si>
  <si>
    <t>Dining table 90*150 cm</t>
  </si>
  <si>
    <t xml:space="preserve">طاولة 180 سم خشب مدور </t>
  </si>
  <si>
    <t xml:space="preserve">Table 180 cm round wood </t>
  </si>
  <si>
    <t>T-ROUND TABLE</t>
  </si>
  <si>
    <t>خزانة احذية</t>
  </si>
  <si>
    <t>Two-door leather shoe cabinet</t>
  </si>
  <si>
    <t>Z 1400 MV</t>
  </si>
  <si>
    <t>Shoe cabinet</t>
  </si>
  <si>
    <t xml:space="preserve">خزانة احذية 4 درف مربعات جارور طويلة </t>
  </si>
  <si>
    <t xml:space="preserve">Shoe cabinet with 4 drawers, long drawer boxes </t>
  </si>
  <si>
    <t>Z 4200 KS</t>
  </si>
  <si>
    <t>خزانة احذية  6 درف مربعات</t>
  </si>
  <si>
    <t>Shoe cabinet with 6 square drawers</t>
  </si>
  <si>
    <t>Z 5000 KS</t>
  </si>
  <si>
    <t>خزانة احذية  3 درف مربعات</t>
  </si>
  <si>
    <t>Shoe cabinet with 3 square drawers</t>
  </si>
  <si>
    <t>Z 1500</t>
  </si>
  <si>
    <t xml:space="preserve">خزانة احذية درفتين </t>
  </si>
  <si>
    <t xml:space="preserve">Two-door shoe cabinet </t>
  </si>
  <si>
    <t xml:space="preserve">Z 1400  </t>
  </si>
  <si>
    <t xml:space="preserve">خزانة احذية 4 درف اباجور جارور طويلة </t>
  </si>
  <si>
    <t xml:space="preserve">Shoe cabinet, 4 drawers, tall drawer lamps </t>
  </si>
  <si>
    <t>Z 4200 KM</t>
  </si>
  <si>
    <t>خزانة احذية 3 درف مع زجاج</t>
  </si>
  <si>
    <t>3-drawer shoe cabinet with glass</t>
  </si>
  <si>
    <t>Z 4002</t>
  </si>
  <si>
    <t>خزانة احذية درفتين شبك طويلة</t>
  </si>
  <si>
    <t>Long two-door mesh shoe cabinet</t>
  </si>
  <si>
    <t>Z 3950 KM</t>
  </si>
  <si>
    <t>Z 3665</t>
  </si>
  <si>
    <t>خزانة احذية درفة مربعات</t>
  </si>
  <si>
    <t>Square sliding shoe cabinet</t>
  </si>
  <si>
    <t>Z 6200 KS</t>
  </si>
  <si>
    <t>خزانة احذية 3 درف</t>
  </si>
  <si>
    <t>3 drawer shoe cabinet</t>
  </si>
  <si>
    <t>AN 1500</t>
  </si>
  <si>
    <t xml:space="preserve">خزانة احذية  6 درف </t>
  </si>
  <si>
    <t xml:space="preserve">6-drawer shoe cabinet </t>
  </si>
  <si>
    <t>AN 8320</t>
  </si>
  <si>
    <t>خزانة احذية  6 درف جلد</t>
  </si>
  <si>
    <t>6 drawer leather shoe cabinet</t>
  </si>
  <si>
    <t>HJ 5000</t>
  </si>
  <si>
    <t>Long two-door leather shoe cabinet</t>
  </si>
  <si>
    <t>HJ 3950</t>
  </si>
  <si>
    <t xml:space="preserve">خزانة احذية 4 درف جلد </t>
  </si>
  <si>
    <t xml:space="preserve">Shoe cabinet with 4 drawers, leather </t>
  </si>
  <si>
    <t>HJ 3660</t>
  </si>
  <si>
    <t xml:space="preserve">خزانة احذية 3 درف جلد </t>
  </si>
  <si>
    <t xml:space="preserve">3 drawer leather shoe cabinet </t>
  </si>
  <si>
    <t>HJ 03</t>
  </si>
  <si>
    <t>HJ 02</t>
  </si>
  <si>
    <t>HJ 01</t>
  </si>
  <si>
    <t>خزانة احذية درفتين مع جارور</t>
  </si>
  <si>
    <t>Two-door shoe cabinet with drawer</t>
  </si>
  <si>
    <t xml:space="preserve">خزانة احذية 4 درف </t>
  </si>
  <si>
    <t xml:space="preserve">4 drawer shoe cabinet </t>
  </si>
  <si>
    <t>CAZA 1400</t>
  </si>
  <si>
    <t>خزانة احذية 4 درف جارور</t>
  </si>
  <si>
    <t>Shoe cabinet with 4 drawers</t>
  </si>
  <si>
    <t>CAZA 4200</t>
  </si>
  <si>
    <t>CAZA 8320</t>
  </si>
  <si>
    <t xml:space="preserve">خزانة احذية درفة </t>
  </si>
  <si>
    <t xml:space="preserve">Shelves shoe cabinet </t>
  </si>
  <si>
    <t>SN 6200</t>
  </si>
  <si>
    <t>SN 1400</t>
  </si>
  <si>
    <t>SN 2300</t>
  </si>
  <si>
    <t xml:space="preserve">خزانة احذية درفتين طويلة </t>
  </si>
  <si>
    <t xml:space="preserve">Long two-door shoe cabinet </t>
  </si>
  <si>
    <t>SN 4200</t>
  </si>
  <si>
    <t>SN 5000</t>
  </si>
  <si>
    <t>طقم سفرة + فاترين</t>
  </si>
  <si>
    <t xml:space="preserve">طقم سفرة طاولة + 4 كراسي  </t>
  </si>
  <si>
    <t xml:space="preserve">Dining set table + 4 chairs  </t>
  </si>
  <si>
    <t>Dining set + vases</t>
  </si>
  <si>
    <t xml:space="preserve">طقم سفرة طاولة + 6 كراسي  </t>
  </si>
  <si>
    <t xml:space="preserve">Dining set table + 6 chairs  </t>
  </si>
  <si>
    <t>1532/1540</t>
  </si>
  <si>
    <t>DS-7006/133-134</t>
  </si>
  <si>
    <t>طقم سفرة طاولة + 4 كراسي بني</t>
  </si>
  <si>
    <t>Brown dining table + 4 chairs set</t>
  </si>
  <si>
    <t>DS-ROMANIA/4</t>
  </si>
  <si>
    <t>طقم سفرة طاولة + 4 كراسي طبيعي</t>
  </si>
  <si>
    <t>Natural dining table + 4 chairs set</t>
  </si>
  <si>
    <t>طقم سفرة طاولة + 6 كراسي طبيعي</t>
  </si>
  <si>
    <t>Natural dining table + 6 chairs set</t>
  </si>
  <si>
    <t>DS-ROMANIA/6</t>
  </si>
  <si>
    <t xml:space="preserve">طقم طاولة 90*150سم + 6 كراسي فانغي </t>
  </si>
  <si>
    <t xml:space="preserve">Table set 90*150 cm + 6 Fanghi chairs </t>
  </si>
  <si>
    <t>H-2025+272</t>
  </si>
  <si>
    <t xml:space="preserve">طقم طاولة كسر + 4 كراسي </t>
  </si>
  <si>
    <t xml:space="preserve">Breaking table set + 4 chairs </t>
  </si>
  <si>
    <t>SW-707</t>
  </si>
  <si>
    <t xml:space="preserve">فاترين 3 درف </t>
  </si>
  <si>
    <t>BH-3313</t>
  </si>
  <si>
    <t>فاترين 3 درف طويل</t>
  </si>
  <si>
    <t>BH-5029</t>
  </si>
  <si>
    <t>Dressoir</t>
  </si>
  <si>
    <t>BH-35</t>
  </si>
  <si>
    <t>BH-36</t>
  </si>
  <si>
    <t>صوفا &amp; صالون</t>
  </si>
  <si>
    <t>Heavy Turkish kitchen corner</t>
  </si>
  <si>
    <t xml:space="preserve">Z TURKEY </t>
  </si>
  <si>
    <t>Sofa &amp; Salon</t>
  </si>
  <si>
    <t>بنك جلد مقعدين</t>
  </si>
  <si>
    <t>Leather bank two seats</t>
  </si>
  <si>
    <t>ZL LOVE SEAT C47</t>
  </si>
  <si>
    <t>صوفا قلاب</t>
  </si>
  <si>
    <t>Flip sofa</t>
  </si>
  <si>
    <t>Z 210103</t>
  </si>
  <si>
    <t>زاوية قماش تركي</t>
  </si>
  <si>
    <t>Corner of Turkish fabric</t>
  </si>
  <si>
    <t>Z TURKEY CORNER</t>
  </si>
  <si>
    <t>برجار تركي</t>
  </si>
  <si>
    <t>Turkish burger</t>
  </si>
  <si>
    <t>ZT BARJER</t>
  </si>
  <si>
    <t>صالون تركي  GOLD</t>
  </si>
  <si>
    <t>GOLD Turkish Salon</t>
  </si>
  <si>
    <t>ZT KENT</t>
  </si>
  <si>
    <t>ZT ELIPS</t>
  </si>
  <si>
    <t>برجار OSLO GOLD</t>
  </si>
  <si>
    <t>OSLO GOLD BURGER</t>
  </si>
  <si>
    <t>ZT BARJER OSLO</t>
  </si>
  <si>
    <t>صالون تركي</t>
  </si>
  <si>
    <t>Turkish salon</t>
  </si>
  <si>
    <t>ZT LAUREN</t>
  </si>
  <si>
    <t>صالون تركي  GOLD ثقيل</t>
  </si>
  <si>
    <t>Heavy Turkish salon GOLD</t>
  </si>
  <si>
    <t>ZT SIRE</t>
  </si>
  <si>
    <t>كنباية 3 مقاعد فدار</t>
  </si>
  <si>
    <t>3-seater sofa in a house</t>
  </si>
  <si>
    <t>ZT SIRE/3</t>
  </si>
  <si>
    <t>بارجير</t>
  </si>
  <si>
    <t>Barger</t>
  </si>
  <si>
    <t xml:space="preserve">غرف نوم &amp; تخت </t>
  </si>
  <si>
    <t xml:space="preserve">غرف نوم  </t>
  </si>
  <si>
    <t xml:space="preserve">bed room  </t>
  </si>
  <si>
    <t>BR- NORMA</t>
  </si>
  <si>
    <t>Bedrooms &amp; Tents</t>
  </si>
  <si>
    <t>BR-GLORIA</t>
  </si>
  <si>
    <t>غرفة نوم سيارة                                    STK</t>
  </si>
  <si>
    <t>STK car bedroom</t>
  </si>
  <si>
    <t>VR-219/268/639</t>
  </si>
  <si>
    <t>غرفة نوم ولادي تركي                           STK</t>
  </si>
  <si>
    <t>BR-MELISSA</t>
  </si>
  <si>
    <t>شوفينيير</t>
  </si>
  <si>
    <t>Chauviniere</t>
  </si>
  <si>
    <t>CD-609</t>
  </si>
  <si>
    <t>Commode</t>
  </si>
  <si>
    <t>شوفينيير 3 جوارير</t>
  </si>
  <si>
    <t>Chauviniere 3 drawers</t>
  </si>
  <si>
    <t>تخت 90 سم</t>
  </si>
  <si>
    <t>90 cm bed</t>
  </si>
  <si>
    <t>مكتبة غرفة نوم ملون</t>
  </si>
  <si>
    <t>Colorful bedroom library</t>
  </si>
  <si>
    <t>تخت 160*190 سم</t>
  </si>
  <si>
    <t>Tatt 160*190 cm</t>
  </si>
  <si>
    <t>ARIS 160*190</t>
  </si>
  <si>
    <t>MOROCO</t>
  </si>
  <si>
    <t>LIBRA</t>
  </si>
  <si>
    <t>تخت 3 طوابق خشب + درج                   STK</t>
  </si>
  <si>
    <t>3-storey wooden yacht + STK stairs</t>
  </si>
  <si>
    <t>DD-712/2012</t>
  </si>
  <si>
    <t>DD-805</t>
  </si>
  <si>
    <t>DD-3006</t>
  </si>
  <si>
    <t>تخت 3 طوابق خشب ملون+جارور+ درج STK</t>
  </si>
  <si>
    <t>3-storey yacht, stained wood, drawer, STK drawer</t>
  </si>
  <si>
    <t>DD-2019</t>
  </si>
  <si>
    <t>درج                                                   STK</t>
  </si>
  <si>
    <t>STK drawer</t>
  </si>
  <si>
    <t>F-19E</t>
  </si>
  <si>
    <t>تخت طابقين حديد + خشب</t>
  </si>
  <si>
    <t>Two-storey yacht, iron + wood</t>
  </si>
  <si>
    <t>D-JERSY</t>
  </si>
  <si>
    <t xml:space="preserve">تخت 100 سم </t>
  </si>
  <si>
    <t>تخت 120 سم</t>
  </si>
  <si>
    <t>Tacht 120 cm</t>
  </si>
  <si>
    <t xml:space="preserve">تخت  B.B  </t>
  </si>
  <si>
    <t xml:space="preserve">Takht B.B  </t>
  </si>
  <si>
    <t>B-628</t>
  </si>
  <si>
    <t>خزانة ثياب &amp; كراسي هزاز و طبق</t>
  </si>
  <si>
    <t>خزانة                                                 AUDI</t>
  </si>
  <si>
    <t>AUDI locker</t>
  </si>
  <si>
    <t>WU 7202</t>
  </si>
  <si>
    <t>Wardrobe, rocking chairs and plate</t>
  </si>
  <si>
    <t xml:space="preserve">TEKNO                                   خزانة درفتين </t>
  </si>
  <si>
    <t xml:space="preserve">TEKNO double-door wardrobe </t>
  </si>
  <si>
    <t>LSC 006</t>
  </si>
  <si>
    <t xml:space="preserve">TEKNO                        90cm خزانة درفتين </t>
  </si>
  <si>
    <t xml:space="preserve">TEKNO 90cm double door wardrobe </t>
  </si>
  <si>
    <t>LSC 007</t>
  </si>
  <si>
    <t xml:space="preserve">TEKNO                                  خزانة 3 درف </t>
  </si>
  <si>
    <t xml:space="preserve">TEKNO 3-drawer cabinet </t>
  </si>
  <si>
    <t>LSC 012</t>
  </si>
  <si>
    <t>LSC 013</t>
  </si>
  <si>
    <t xml:space="preserve">خزانة                                              TEKNO   </t>
  </si>
  <si>
    <t xml:space="preserve">TEKNO cabinet   </t>
  </si>
  <si>
    <t>LSC 020</t>
  </si>
  <si>
    <t>LSC 022</t>
  </si>
  <si>
    <t>Wooden rocking chair</t>
  </si>
  <si>
    <t>CR-3175</t>
  </si>
  <si>
    <t xml:space="preserve">كرسي جلد                   RECLYNER CHAIR </t>
  </si>
  <si>
    <t>C-31602</t>
  </si>
  <si>
    <t xml:space="preserve">كرسي هزاز جلد        SWIVEL RECLYNER </t>
  </si>
  <si>
    <t xml:space="preserve">SWIVEL RECLYNER leather rocking chair </t>
  </si>
  <si>
    <t>C-31831</t>
  </si>
  <si>
    <t>كرسي طبق بلاستيك                                 STK</t>
  </si>
  <si>
    <t>STK plastic dish chair</t>
  </si>
  <si>
    <t>C-7028</t>
  </si>
  <si>
    <t>Leather plate chair</t>
  </si>
  <si>
    <t>C-7469</t>
  </si>
  <si>
    <t>Wooden plate chair</t>
  </si>
  <si>
    <t>CF-2015</t>
  </si>
  <si>
    <t xml:space="preserve">FISHING CHAIR                        كرسي صيد </t>
  </si>
  <si>
    <t xml:space="preserve">FISHING CHAIR Fishing chair </t>
  </si>
  <si>
    <t>XYZ 7002 / 9001</t>
  </si>
  <si>
    <t xml:space="preserve">CAMPING CHAIR                     كرسي طبق </t>
  </si>
  <si>
    <t xml:space="preserve">CAMPING CHAIR Dish chair </t>
  </si>
  <si>
    <t>XYZ 7003 / 614</t>
  </si>
  <si>
    <t>طاولة زاوية تركي</t>
  </si>
  <si>
    <t>Turkish corner table</t>
  </si>
  <si>
    <t>CT-350</t>
  </si>
  <si>
    <t>Text table</t>
  </si>
  <si>
    <t>CT-101A</t>
  </si>
  <si>
    <t>CT-102</t>
  </si>
  <si>
    <t>CT-709</t>
  </si>
  <si>
    <t>CT-1200ZL</t>
  </si>
  <si>
    <t>CT-707S</t>
  </si>
  <si>
    <t>CT-763ZL</t>
  </si>
  <si>
    <t>CT-603</t>
  </si>
  <si>
    <t>CT-1140</t>
  </si>
  <si>
    <t>Natural text table</t>
  </si>
  <si>
    <t>CT-1169/1170</t>
  </si>
  <si>
    <t>Wooden half table</t>
  </si>
  <si>
    <t>CT-1153/1154</t>
  </si>
  <si>
    <t>طاولة زاوية خشب</t>
  </si>
  <si>
    <t>Wooden corner table</t>
  </si>
  <si>
    <t>CT-2400</t>
  </si>
  <si>
    <t xml:space="preserve">طاولة نص زجاج بولة </t>
  </si>
  <si>
    <t xml:space="preserve">Half glass bowl table </t>
  </si>
  <si>
    <t>CT-441</t>
  </si>
  <si>
    <t>01-AH / 16-AH</t>
  </si>
  <si>
    <t>03-AH / 20-AH /21-AH</t>
  </si>
  <si>
    <t>41-AH / 22-AH</t>
  </si>
  <si>
    <t>ZL 26</t>
  </si>
  <si>
    <t>CT-601</t>
  </si>
  <si>
    <t>CT-2163</t>
  </si>
  <si>
    <t>CT-2187</t>
  </si>
  <si>
    <t>CT-1906</t>
  </si>
  <si>
    <t>CT-1932</t>
  </si>
  <si>
    <t>CT-602A</t>
  </si>
  <si>
    <t>CT-603A</t>
  </si>
  <si>
    <t>CT-604A</t>
  </si>
  <si>
    <t>CT-662A</t>
  </si>
  <si>
    <t>CT-2203</t>
  </si>
  <si>
    <t>CT-2085</t>
  </si>
  <si>
    <t>CT-2195</t>
  </si>
  <si>
    <t>طاولة نص مربع</t>
  </si>
  <si>
    <t>Square text table</t>
  </si>
  <si>
    <t>ZL 648</t>
  </si>
  <si>
    <t>طاولة نص مدور</t>
  </si>
  <si>
    <t>Round text table</t>
  </si>
  <si>
    <t>ZL 650</t>
  </si>
  <si>
    <t>طقم طاولات 1+2</t>
  </si>
  <si>
    <t>Table set 1+2</t>
  </si>
  <si>
    <t>NT-261</t>
  </si>
  <si>
    <t>طقم جيكون 3 قطع ملون خشب</t>
  </si>
  <si>
    <t>Jecon set of 3 pieces, colored wood</t>
  </si>
  <si>
    <t>NT-45</t>
  </si>
  <si>
    <t xml:space="preserve">طاولة . T.V </t>
  </si>
  <si>
    <t>ستاند T.V مستطيل</t>
  </si>
  <si>
    <t>Rectangular T.V stand</t>
  </si>
  <si>
    <t>STAND</t>
  </si>
  <si>
    <t>T.V Table</t>
  </si>
  <si>
    <t>ستاند T.V ريموت</t>
  </si>
  <si>
    <t>T.V stand with remote</t>
  </si>
  <si>
    <t>STAND RMOT</t>
  </si>
  <si>
    <t xml:space="preserve">ستاند T.V </t>
  </si>
  <si>
    <t xml:space="preserve">TV stand </t>
  </si>
  <si>
    <t>STAND 007</t>
  </si>
  <si>
    <t>TV table</t>
  </si>
  <si>
    <t>T.V.1210/ 1200 ZTV</t>
  </si>
  <si>
    <t>مكتبة T.V</t>
  </si>
  <si>
    <t>T.V.2120B</t>
  </si>
  <si>
    <t xml:space="preserve">طاولة LCD طبيعي </t>
  </si>
  <si>
    <t xml:space="preserve">Natural LCD table </t>
  </si>
  <si>
    <t>TS-1168</t>
  </si>
  <si>
    <t>طاولة LCD بني</t>
  </si>
  <si>
    <t>Brown LCD table</t>
  </si>
  <si>
    <t>TS-183 / TS-321</t>
  </si>
  <si>
    <t>TS-223</t>
  </si>
  <si>
    <t>طاولة LCD طبيعي / بني</t>
  </si>
  <si>
    <t>LCD table natural/brown</t>
  </si>
  <si>
    <t>TS-325</t>
  </si>
  <si>
    <t>TS-325-1</t>
  </si>
  <si>
    <t>TS-328-1</t>
  </si>
  <si>
    <t>TS-333</t>
  </si>
  <si>
    <t xml:space="preserve">طاولة LCD </t>
  </si>
  <si>
    <t xml:space="preserve">LCD table </t>
  </si>
  <si>
    <t xml:space="preserve">TS-334 </t>
  </si>
  <si>
    <t>TS-336 /  338</t>
  </si>
  <si>
    <t>TS-339</t>
  </si>
  <si>
    <t>T.V.601</t>
  </si>
  <si>
    <t>T.V.602</t>
  </si>
  <si>
    <t>T.V.603</t>
  </si>
  <si>
    <t>T.V.604</t>
  </si>
  <si>
    <t>T.V.662</t>
  </si>
  <si>
    <t>طاولة LCD مرخم</t>
  </si>
  <si>
    <t>Marbled LCD table</t>
  </si>
  <si>
    <t>T.V.1906</t>
  </si>
  <si>
    <t>T.V.1932</t>
  </si>
  <si>
    <t>T.V.2085</t>
  </si>
  <si>
    <t>T.V.2187</t>
  </si>
  <si>
    <t>T.V.2195</t>
  </si>
  <si>
    <t>T.V.2203</t>
  </si>
  <si>
    <t xml:space="preserve">كرسي بار </t>
  </si>
  <si>
    <t xml:space="preserve">Bar stool </t>
  </si>
  <si>
    <t>JY-1606</t>
  </si>
  <si>
    <t>Bar Stool</t>
  </si>
  <si>
    <t xml:space="preserve">كرسي بار خشب عادي </t>
  </si>
  <si>
    <t xml:space="preserve">Plain wood bar chair </t>
  </si>
  <si>
    <t>C-30/SF</t>
  </si>
  <si>
    <t>Wooden leather bar chair</t>
  </si>
  <si>
    <t>C-30/CF</t>
  </si>
  <si>
    <t>C-1054</t>
  </si>
  <si>
    <t>Leather bar chair</t>
  </si>
  <si>
    <t xml:space="preserve">C-1105 </t>
  </si>
  <si>
    <t>C-1024</t>
  </si>
  <si>
    <t>C-1455</t>
  </si>
  <si>
    <t>Bar stool</t>
  </si>
  <si>
    <t>JY-1932/JY1928/JY1985</t>
  </si>
  <si>
    <t>JY-1737</t>
  </si>
  <si>
    <t>JY-2916</t>
  </si>
  <si>
    <t xml:space="preserve">كرسي بار  "18                                40cm </t>
  </si>
  <si>
    <t xml:space="preserve">Bar stool 18" 40cm </t>
  </si>
  <si>
    <t>C-3503/18</t>
  </si>
  <si>
    <t xml:space="preserve">كرسي بار  "24                                60cm </t>
  </si>
  <si>
    <t xml:space="preserve">Bar stool 24" by 60cm </t>
  </si>
  <si>
    <t xml:space="preserve">كرسي بار  "26                                65cm </t>
  </si>
  <si>
    <t xml:space="preserve">Bar stool 26" x 65cm </t>
  </si>
  <si>
    <t>C-3503/26</t>
  </si>
  <si>
    <t>كرسي بار مقعد خشب</t>
  </si>
  <si>
    <t>Wooden bar stool</t>
  </si>
  <si>
    <t>C-301DPP</t>
  </si>
  <si>
    <t xml:space="preserve">كرسي حديد بار برغي </t>
  </si>
  <si>
    <t xml:space="preserve">Screw iron bar chair </t>
  </si>
  <si>
    <t>C-3522</t>
  </si>
  <si>
    <t>C-302</t>
  </si>
  <si>
    <t>كرسي بار بلاستيك اوفال</t>
  </si>
  <si>
    <t>Oval plastic bar stool</t>
  </si>
  <si>
    <t>C-999</t>
  </si>
  <si>
    <t>كرسي بار بلاستيك قنطرة</t>
  </si>
  <si>
    <t>Plastic arch bar chair</t>
  </si>
  <si>
    <t>C-1000</t>
  </si>
  <si>
    <t>كرسي بار بلاستيك X</t>
  </si>
  <si>
    <t>Plastic bar stool</t>
  </si>
  <si>
    <t>C-1001</t>
  </si>
  <si>
    <t>كرسي بار بلاستيك شبك</t>
  </si>
  <si>
    <t>Plastic mesh bar chair</t>
  </si>
  <si>
    <t>C-1002</t>
  </si>
  <si>
    <t xml:space="preserve">كرسي بار بلاستيك و حديد  </t>
  </si>
  <si>
    <t xml:space="preserve">Plastic and iron bar stool  </t>
  </si>
  <si>
    <t>C-927</t>
  </si>
  <si>
    <t>كرسي بار بلاستيك قالب</t>
  </si>
  <si>
    <t>Plastic bar stool mold</t>
  </si>
  <si>
    <t>C-696F</t>
  </si>
  <si>
    <t xml:space="preserve">كرسي بار بلاستيك </t>
  </si>
  <si>
    <t xml:space="preserve">Plastic bar stool </t>
  </si>
  <si>
    <t>C-623G</t>
  </si>
  <si>
    <t>كرسي بار حديد سادة</t>
  </si>
  <si>
    <t>Plain iron bar chair</t>
  </si>
  <si>
    <t>RF-9009</t>
  </si>
  <si>
    <t>كرسي بار حديد ملون     V</t>
  </si>
  <si>
    <t>V colored iron bar chair</t>
  </si>
  <si>
    <t>كرسي بار حديد ثابت</t>
  </si>
  <si>
    <t>Fixed iron bar stool</t>
  </si>
  <si>
    <t>RF-9023</t>
  </si>
  <si>
    <t>كرسي بار حديد مع ضهر</t>
  </si>
  <si>
    <t>Iron bar stool with back</t>
  </si>
  <si>
    <t>RF-9027</t>
  </si>
  <si>
    <t>كرسي بار جديد برم</t>
  </si>
  <si>
    <t>New twirl bar chair</t>
  </si>
  <si>
    <t>RF-9041</t>
  </si>
  <si>
    <t>كرسي بار حديد عريض سادة</t>
  </si>
  <si>
    <t>Wide plain iron bar stool</t>
  </si>
  <si>
    <t>ZRF 3600/30</t>
  </si>
  <si>
    <t>كرسي بار حديد عريض ملون</t>
  </si>
  <si>
    <t>Colorful wide iron bar chair</t>
  </si>
  <si>
    <t>كرسي بار حديد عريض مع ظهر سادة</t>
  </si>
  <si>
    <t>Wide iron bar stool with plain back</t>
  </si>
  <si>
    <t>ZRF 3701/30</t>
  </si>
  <si>
    <t>كرسي بار حديد عريض مع ظهر ملون</t>
  </si>
  <si>
    <t>Wide iron bar stool with colorful back</t>
  </si>
  <si>
    <t>ZZ PP 905</t>
  </si>
  <si>
    <t>ZZ PP 799</t>
  </si>
  <si>
    <t xml:space="preserve">طاولة بار </t>
  </si>
  <si>
    <t xml:space="preserve">Bar table </t>
  </si>
  <si>
    <t>T-524/BW</t>
  </si>
  <si>
    <t>Bar Table</t>
  </si>
  <si>
    <t>JY-1060</t>
  </si>
  <si>
    <t>JY-2208</t>
  </si>
  <si>
    <t>JY-2209</t>
  </si>
  <si>
    <t>JY-2211</t>
  </si>
  <si>
    <t>طاولة بار 60*60 حديد</t>
  </si>
  <si>
    <t>Bar table 60*60 iron</t>
  </si>
  <si>
    <t>T-002/60</t>
  </si>
  <si>
    <t xml:space="preserve">طاولة بار 60*60 حديد وجه خشب </t>
  </si>
  <si>
    <t xml:space="preserve">Bar table 60*60 iron and wood face </t>
  </si>
  <si>
    <t>ZRF YK-60*60</t>
  </si>
  <si>
    <t>قاعدة طاولة بار حديد  W/O/ TOP</t>
  </si>
  <si>
    <t>Iron Bar Table Base W/O/ TOP</t>
  </si>
  <si>
    <t>RF-6060</t>
  </si>
  <si>
    <t>طقم حديد  &amp;  كراسي</t>
  </si>
  <si>
    <t>طقم حديد 1 + 4 كراسي</t>
  </si>
  <si>
    <t>Iron set 1 + 4 chairs</t>
  </si>
  <si>
    <t>SD-1002</t>
  </si>
  <si>
    <t>Iron set &amp; Chairs</t>
  </si>
  <si>
    <t>SD-1148</t>
  </si>
  <si>
    <t>T-KRISTINA</t>
  </si>
  <si>
    <t xml:space="preserve">طقم حديد 1+1+3 </t>
  </si>
  <si>
    <t xml:space="preserve">Iron set 1+1+3 </t>
  </si>
  <si>
    <t>طاولة حديد</t>
  </si>
  <si>
    <t>Iron table</t>
  </si>
  <si>
    <t>T-KRISTINA/T</t>
  </si>
  <si>
    <t xml:space="preserve">طاولة حديد 60 سم مدور </t>
  </si>
  <si>
    <t>T-202A</t>
  </si>
  <si>
    <t>Iron table with wood face 60*60</t>
  </si>
  <si>
    <t>YK 6060</t>
  </si>
  <si>
    <t>Iron table with wood face 70*70</t>
  </si>
  <si>
    <t>YK 7070</t>
  </si>
  <si>
    <t>Iron table with wood face 80*80</t>
  </si>
  <si>
    <t>YK 8080</t>
  </si>
  <si>
    <t xml:space="preserve">طاولة حديد 80*80 </t>
  </si>
  <si>
    <t xml:space="preserve">Iron table 80*80 </t>
  </si>
  <si>
    <t>ZRF 002/80</t>
  </si>
  <si>
    <t>Iron chair with handle</t>
  </si>
  <si>
    <t>ZRF 18309 / 19307</t>
  </si>
  <si>
    <t>ZRF 20035 / 20042</t>
  </si>
  <si>
    <t>Iron chair without handle</t>
  </si>
  <si>
    <t>ZRF 18322</t>
  </si>
  <si>
    <t>ZRF 21313</t>
  </si>
  <si>
    <t>كرسي حديد وخشب تركي X</t>
  </si>
  <si>
    <t>Turkish iron and wood chair</t>
  </si>
  <si>
    <t>C-X CHAIR</t>
  </si>
  <si>
    <t xml:space="preserve">كرسي حديد مع قماش </t>
  </si>
  <si>
    <t xml:space="preserve">Iron chair with fabric </t>
  </si>
  <si>
    <t>C-802/18</t>
  </si>
  <si>
    <t>C-3018</t>
  </si>
  <si>
    <t>كرسي حديد وخشب بدون يد</t>
  </si>
  <si>
    <t>Iron and wood chair without handle</t>
  </si>
  <si>
    <t>C-2000</t>
  </si>
  <si>
    <t>C-3533</t>
  </si>
  <si>
    <t xml:space="preserve">كرسي حديد </t>
  </si>
  <si>
    <t xml:space="preserve">Iron chair </t>
  </si>
  <si>
    <t>C-LITA / LORA</t>
  </si>
  <si>
    <t>Iron and cloth chair</t>
  </si>
  <si>
    <t>ZR METAL CHAIR</t>
  </si>
  <si>
    <t xml:space="preserve">كرسي حديد مع يد سادة </t>
  </si>
  <si>
    <t xml:space="preserve">Iron chair with plain handle </t>
  </si>
  <si>
    <t>RF-9005</t>
  </si>
  <si>
    <t xml:space="preserve">كرسي حديد مع يد ملون </t>
  </si>
  <si>
    <t xml:space="preserve">Iron chair with colorful handle </t>
  </si>
  <si>
    <t xml:space="preserve">كرسي حديد مع يد مقعد خشب </t>
  </si>
  <si>
    <t xml:space="preserve">Iron chair with wooden seat handle </t>
  </si>
  <si>
    <t>RF-9005/18</t>
  </si>
  <si>
    <t xml:space="preserve">كرسي حديد بدون يد  سادة </t>
  </si>
  <si>
    <t xml:space="preserve">Iron chair without plain handle </t>
  </si>
  <si>
    <t>RF-9008</t>
  </si>
  <si>
    <t>كرسي حديد بدون يد  ملون</t>
  </si>
  <si>
    <t>Colorful iron chair without handle</t>
  </si>
  <si>
    <t xml:space="preserve">بنك حديد </t>
  </si>
  <si>
    <t>SD- 04</t>
  </si>
  <si>
    <t>ST- 07/08/10/11</t>
  </si>
  <si>
    <t>مكتبيات : كراسي &amp; مكاتب</t>
  </si>
  <si>
    <t>طاولة كومبيوتر زجاج</t>
  </si>
  <si>
    <t>Glass computer table</t>
  </si>
  <si>
    <t>CT-203</t>
  </si>
  <si>
    <t>Office desks: Chairs &amp; Desks</t>
  </si>
  <si>
    <t>CT-604Z</t>
  </si>
  <si>
    <t>طاولة كومبيوتر80 سم</t>
  </si>
  <si>
    <t>Computer table 80 cm</t>
  </si>
  <si>
    <t>ZCD Y055</t>
  </si>
  <si>
    <t>Computer table</t>
  </si>
  <si>
    <t>CT-8211</t>
  </si>
  <si>
    <t>CT-999Z</t>
  </si>
  <si>
    <t>CT-10T</t>
  </si>
  <si>
    <t xml:space="preserve">مكتب 120 سم </t>
  </si>
  <si>
    <t xml:space="preserve">Desk 120 cm </t>
  </si>
  <si>
    <t>C-033/120</t>
  </si>
  <si>
    <t>CT-1170</t>
  </si>
  <si>
    <t>مكتب 160 سم</t>
  </si>
  <si>
    <t>Desk 160 cm</t>
  </si>
  <si>
    <t>CT-3216</t>
  </si>
  <si>
    <t>مكتبة صغيرة BC</t>
  </si>
  <si>
    <t>Little Library BC</t>
  </si>
  <si>
    <t>BC-900ZO</t>
  </si>
  <si>
    <t>مكتبة صغيرة زاوية  CC</t>
  </si>
  <si>
    <t>Small library corner CC</t>
  </si>
  <si>
    <t>BC-900ZB/CC</t>
  </si>
  <si>
    <t>library</t>
  </si>
  <si>
    <t>B-1700</t>
  </si>
  <si>
    <t>ZBC 1800 / 1810</t>
  </si>
  <si>
    <t>بنك انتظار حديد مقعدين</t>
  </si>
  <si>
    <t>Two seater iron waiting bank</t>
  </si>
  <si>
    <t>YA-19A/2</t>
  </si>
  <si>
    <t>بنك انتظار حديد 3 مقاعد</t>
  </si>
  <si>
    <t>YA-19A/3</t>
  </si>
  <si>
    <t>بنك انتظار جلد  3 مقاعد</t>
  </si>
  <si>
    <t>3 seater leather waiting bank</t>
  </si>
  <si>
    <t>YA-25/3</t>
  </si>
  <si>
    <t>بنك انتظار حديد مقعدين + طاولة</t>
  </si>
  <si>
    <t>Iron waiting bank, two seats + table</t>
  </si>
  <si>
    <t>YA-26/2</t>
  </si>
  <si>
    <t>بنك انتظار ستانلس 3 مقاعد ثقيل</t>
  </si>
  <si>
    <t>Heavy duty 3 seater stainless steel waiting bank</t>
  </si>
  <si>
    <t>YA-52/3</t>
  </si>
  <si>
    <t xml:space="preserve">طقم المنيوم &amp; كرسي </t>
  </si>
  <si>
    <t>Aluminum set 1+1+3</t>
  </si>
  <si>
    <t xml:space="preserve">ZAL ALANYA </t>
  </si>
  <si>
    <t>Aluminum Set &amp; Chair</t>
  </si>
  <si>
    <t>طقم المنيوم مقعدين</t>
  </si>
  <si>
    <t>Two-seater aluminum set</t>
  </si>
  <si>
    <t>AL-1000/2</t>
  </si>
  <si>
    <t xml:space="preserve">طقم المنيوم 3 مقاعد كوع رفيع </t>
  </si>
  <si>
    <t xml:space="preserve">Aluminum set of 3 high elbow seats </t>
  </si>
  <si>
    <t>ZT-RIO</t>
  </si>
  <si>
    <t>طقم المنيوم 3 مقاعد كوع عريض</t>
  </si>
  <si>
    <t>Aluminum set of 3 seats with wide elbow</t>
  </si>
  <si>
    <t>ZT-ASENTO</t>
  </si>
  <si>
    <t>Aluminum set of 3 seats</t>
  </si>
  <si>
    <t>AL-4039</t>
  </si>
  <si>
    <t>AL-1377</t>
  </si>
  <si>
    <t>AL-1660</t>
  </si>
  <si>
    <t xml:space="preserve">طقم المنيوم 1+2+3 </t>
  </si>
  <si>
    <t xml:space="preserve">Aluminum set 1+2+3 </t>
  </si>
  <si>
    <t>AL-1788</t>
  </si>
  <si>
    <t>AL-5069</t>
  </si>
  <si>
    <t>AL-5173</t>
  </si>
  <si>
    <t>AL-5185</t>
  </si>
  <si>
    <t>AL-5185/W CSHN</t>
  </si>
  <si>
    <t>AL-5199</t>
  </si>
  <si>
    <t>طقم المنيوم 1+6 كراسي</t>
  </si>
  <si>
    <t>Aluminum set 1+6 chairs</t>
  </si>
  <si>
    <t>AL-4043</t>
  </si>
  <si>
    <t>طقم المنيوم طاولة 80 سم مدور+4 كراسي</t>
  </si>
  <si>
    <t>Aluminum set of 80 cm round table + 4 chairs</t>
  </si>
  <si>
    <t>AL-80 R</t>
  </si>
  <si>
    <t>طقم المنيوم طاولة 150 مستطيل +6 كراسي</t>
  </si>
  <si>
    <t>Aluminum set of 150 rectangular tables + 6 chairs</t>
  </si>
  <si>
    <t>AL-150</t>
  </si>
  <si>
    <t>طاولة المنيوم 70*70 مربع</t>
  </si>
  <si>
    <t>Aluminum table 70*70 square</t>
  </si>
  <si>
    <t>AL 5035</t>
  </si>
  <si>
    <t xml:space="preserve">طاولة المنيوم 70 مدور </t>
  </si>
  <si>
    <t xml:space="preserve">Aluminum table 70 round </t>
  </si>
  <si>
    <t>AL 5045/612</t>
  </si>
  <si>
    <t xml:space="preserve">كرسي المنيوم </t>
  </si>
  <si>
    <t xml:space="preserve">Aluminum chair </t>
  </si>
  <si>
    <t>كرسي المنيوم مع رزين</t>
  </si>
  <si>
    <t>Aluminum chair with resin</t>
  </si>
  <si>
    <t>ZZ 1002/010</t>
  </si>
  <si>
    <t>كرسي ستاربكس المنيوم مع رزين بدون يد</t>
  </si>
  <si>
    <t>Aluminum Starbucks chair with no handles</t>
  </si>
  <si>
    <t>ZZ 1010</t>
  </si>
  <si>
    <t>كرسي المنيوم و قماش مع يد</t>
  </si>
  <si>
    <t>Aluminum and fabric chair with handle</t>
  </si>
  <si>
    <t>ZZ 1029</t>
  </si>
  <si>
    <t>Starbucks chair with handle</t>
  </si>
  <si>
    <t>ZZ 1038</t>
  </si>
  <si>
    <t>ZZ 1052</t>
  </si>
  <si>
    <t>ZZ 8029</t>
  </si>
  <si>
    <t>كرسي رزين MIX مع يد</t>
  </si>
  <si>
    <t>MIX sober chair with handle</t>
  </si>
  <si>
    <t>ZZ 1057</t>
  </si>
  <si>
    <t>كرسي المنيوم X بدون يد</t>
  </si>
  <si>
    <t>X aluminum chair without handle</t>
  </si>
  <si>
    <t>كرسي المنيوم X مع يد</t>
  </si>
  <si>
    <t>X aluminum chair with handle</t>
  </si>
  <si>
    <t>C-1081</t>
  </si>
  <si>
    <t>كرسي المنيوم مع رزين كوع خشب</t>
  </si>
  <si>
    <t>Aluminum chair with wooden elbow straps</t>
  </si>
  <si>
    <t>ZZ 1254</t>
  </si>
  <si>
    <t>ZZ 1222</t>
  </si>
  <si>
    <t>Starbucks chair without handle</t>
  </si>
  <si>
    <t>ZZ 1017</t>
  </si>
  <si>
    <t>ZZ 1077</t>
  </si>
  <si>
    <t>C-1126</t>
  </si>
  <si>
    <t>ZZ 6034</t>
  </si>
  <si>
    <t>Aluminum chair</t>
  </si>
  <si>
    <t>ZZ 6604</t>
  </si>
  <si>
    <t>كرسي ستانلس وخشب</t>
  </si>
  <si>
    <t>Stainless and wood chair</t>
  </si>
  <si>
    <t>C-2010</t>
  </si>
  <si>
    <t xml:space="preserve">طقم بلاستيك </t>
  </si>
  <si>
    <t>طقم بلاستيك 3 مقاعد</t>
  </si>
  <si>
    <t>Plastic set of 3 chairs</t>
  </si>
  <si>
    <t>ZT-138/3</t>
  </si>
  <si>
    <t>Plastic set</t>
  </si>
  <si>
    <t>طقم بلاستيك شبك مقعدين ثقيل</t>
  </si>
  <si>
    <t>Heavy duty two seater mesh plastic set</t>
  </si>
  <si>
    <t>ZT-139/2</t>
  </si>
  <si>
    <t>طقم بلاستيك شبك 3 مقاعد ثقيل</t>
  </si>
  <si>
    <t>Heavy duty 3 seater mesh plastic set</t>
  </si>
  <si>
    <t>طقم بلاستيك مقعدين خفيف</t>
  </si>
  <si>
    <t>Light plastic two-seater set</t>
  </si>
  <si>
    <t>ZT-868/2</t>
  </si>
  <si>
    <t>طقم بلاستيك 3 مقاعد خفيف</t>
  </si>
  <si>
    <t>Light plastic 3-seater set</t>
  </si>
  <si>
    <t>ZT-867/3</t>
  </si>
  <si>
    <t xml:space="preserve">طقم بلاستيك مقعدين </t>
  </si>
  <si>
    <t xml:space="preserve">Two seater plastic set </t>
  </si>
  <si>
    <t>SF-2</t>
  </si>
  <si>
    <t>FINICIA/3</t>
  </si>
  <si>
    <t>Two plastic chairs set with upholstery</t>
  </si>
  <si>
    <t>P-940/SF1</t>
  </si>
  <si>
    <t xml:space="preserve">كوان بلاستيك وحديد طاولة + 4 كراسي </t>
  </si>
  <si>
    <t xml:space="preserve">Plastic and iron table + 4 chairs </t>
  </si>
  <si>
    <t>P-202A</t>
  </si>
  <si>
    <t xml:space="preserve">طقم بلاستيك مع حديد مقعدين </t>
  </si>
  <si>
    <t xml:space="preserve">Plastic and iron set of two chairs </t>
  </si>
  <si>
    <t>SF-4001</t>
  </si>
  <si>
    <t xml:space="preserve">طقم بلاستيك مع حديد مقعدين ثقيل </t>
  </si>
  <si>
    <t xml:space="preserve">Plastic and iron set of two heavy chairs </t>
  </si>
  <si>
    <t>SF-4005</t>
  </si>
  <si>
    <t>بلاستيك</t>
  </si>
  <si>
    <t>طاولة بلاستيك</t>
  </si>
  <si>
    <t>Plastic table</t>
  </si>
  <si>
    <t>ZC SMART</t>
  </si>
  <si>
    <t>Plastic</t>
  </si>
  <si>
    <t>كرسي SOMO</t>
  </si>
  <si>
    <t>SOMO chair</t>
  </si>
  <si>
    <t xml:space="preserve">CROWN </t>
  </si>
  <si>
    <t>Plastic table 80*80 cm</t>
  </si>
  <si>
    <t xml:space="preserve">CROWN/DELUXE </t>
  </si>
  <si>
    <t>طاولة بلاستيك 90*150 سم</t>
  </si>
  <si>
    <t>Plastic table 90*150 cm</t>
  </si>
  <si>
    <t>CROWN/BRAZILIA</t>
  </si>
  <si>
    <t>طاولة بلاستيك وزجاج 60 سم مدور</t>
  </si>
  <si>
    <t>Plastic and glass table, 60 cm round</t>
  </si>
  <si>
    <t>ZD 202/T</t>
  </si>
  <si>
    <t>كرسي بلاستيك و حديد / فدار</t>
  </si>
  <si>
    <t>Plastic and iron chair/fadar</t>
  </si>
  <si>
    <t>C-202A</t>
  </si>
  <si>
    <t>كرسي بلاستيك برتغالي</t>
  </si>
  <si>
    <t>Plastic chair</t>
  </si>
  <si>
    <t>YCD-53Y</t>
  </si>
  <si>
    <t>طاولة بلاستيك مدور 60 سم</t>
  </si>
  <si>
    <t>Round plastic table 60 cm</t>
  </si>
  <si>
    <t>YCZ-60</t>
  </si>
  <si>
    <t>طاولة بلاستيك مدور 80 سم</t>
  </si>
  <si>
    <t>YCZ-80</t>
  </si>
  <si>
    <t>طاولة بلاستيك مدور 115 سم</t>
  </si>
  <si>
    <t>Round plastic table 115 cm</t>
  </si>
  <si>
    <t>طاولة بلاستيك مدور 154 سم</t>
  </si>
  <si>
    <t>Round plastic table 154 cm</t>
  </si>
  <si>
    <t>YCZ-154 / 154Z</t>
  </si>
  <si>
    <t>طاولة بلاستيك مدور 180 سم</t>
  </si>
  <si>
    <t>Round plastic table 180 cm</t>
  </si>
  <si>
    <t>YCZ-183R</t>
  </si>
  <si>
    <t>طاولة بلاستيك 86*86 سم</t>
  </si>
  <si>
    <t>Plastic table 86*86 cm</t>
  </si>
  <si>
    <t>طاولة بلاستيك 76*152 سم</t>
  </si>
  <si>
    <t>Plastic table 76*152 cm</t>
  </si>
  <si>
    <t>YCZ-152 / 152Z</t>
  </si>
  <si>
    <t>طاولة بلاستيك 82*172 سم</t>
  </si>
  <si>
    <t>Plastic table 82*172 cm</t>
  </si>
  <si>
    <t>طاولة بلاستيك 76*183 سم</t>
  </si>
  <si>
    <t>Plastic table 76*183 cm</t>
  </si>
  <si>
    <t>YCZ-183 / 183Z</t>
  </si>
  <si>
    <t>طاولة بلاستيك 90*200 سم</t>
  </si>
  <si>
    <t>Plastic table 90*200 cm</t>
  </si>
  <si>
    <t>طاولة بلاستيك 76*244 سم</t>
  </si>
  <si>
    <t>Plastic table 76*244 cm</t>
  </si>
  <si>
    <t>كرسي بلاستيك مع يد ثقيل تركي</t>
  </si>
  <si>
    <t>Plastic chair with Turkish heavy handle</t>
  </si>
  <si>
    <t>ZT SEGNUS CHAIR</t>
  </si>
  <si>
    <t>طاولة بلاستيك 150 سم ثقيل تركي</t>
  </si>
  <si>
    <t>ZT SEGNUS TABLE</t>
  </si>
  <si>
    <t>YZ-183C</t>
  </si>
  <si>
    <t>YZ-152C</t>
  </si>
  <si>
    <t>طاولة بلاستيك 152*71 سم - كسر</t>
  </si>
  <si>
    <t>Plastic table 152*71 cm - broken</t>
  </si>
  <si>
    <t>YZ-152Z</t>
  </si>
  <si>
    <t>طاولة بلاستيك 122*60 سم - كسر</t>
  </si>
  <si>
    <t>Plastic table 122*60 cm - broken</t>
  </si>
  <si>
    <t>YZ-122Z</t>
  </si>
  <si>
    <t>طاولة بلاستيك 180*74 سم - كسر</t>
  </si>
  <si>
    <t>Plastic table 180*74 cm - broken</t>
  </si>
  <si>
    <t>YZ-180Z</t>
  </si>
  <si>
    <t xml:space="preserve">طاولة بلاستيك 180*74 سم - كسر/ بني - رمادي </t>
  </si>
  <si>
    <t xml:space="preserve">Plastic table 180*74 cm - broken/brown-gray </t>
  </si>
  <si>
    <t>ZK 180B</t>
  </si>
  <si>
    <t>طاولة بلاستيك 240 سم - كسر</t>
  </si>
  <si>
    <t>Plastic table 240 cm - broken</t>
  </si>
  <si>
    <t>ZK 240</t>
  </si>
  <si>
    <t xml:space="preserve">بنك بلاستيك 180 سم - كسر </t>
  </si>
  <si>
    <t xml:space="preserve">Plastic bank 180 cm - broken </t>
  </si>
  <si>
    <t>ZBK 180</t>
  </si>
  <si>
    <t>ACACIA &amp; RALPH</t>
  </si>
  <si>
    <t>طاولة سفرة اكاسيا 160 سم</t>
  </si>
  <si>
    <t>Acacia dining table 160 cm</t>
  </si>
  <si>
    <t>AC-10213/160</t>
  </si>
  <si>
    <t>طاولة سفرة اكاسيا 180 سم</t>
  </si>
  <si>
    <t>Acacia dining table 180 cm</t>
  </si>
  <si>
    <t>AC-10212/160</t>
  </si>
  <si>
    <t>شوفينيير 3 جوارير                             ACACIA</t>
  </si>
  <si>
    <t>Chauviniere 3 Drawers ACACIA</t>
  </si>
  <si>
    <t>AC-10271</t>
  </si>
  <si>
    <t>ACACIA                                               مراية</t>
  </si>
  <si>
    <t>ACACIA Mirror</t>
  </si>
  <si>
    <t>AC-10276</t>
  </si>
  <si>
    <t xml:space="preserve"> كومود                                             ACACIA</t>
  </si>
  <si>
    <t xml:space="preserve"> ACACIA bedside table</t>
  </si>
  <si>
    <t>AC-10286</t>
  </si>
  <si>
    <t>درسوار 3 درف                                 ACACIA</t>
  </si>
  <si>
    <t>ACACIA 3-shelf dresser</t>
  </si>
  <si>
    <t>AC-10232</t>
  </si>
  <si>
    <t xml:space="preserve">تخت 110 سم                                     RALPH  </t>
  </si>
  <si>
    <t xml:space="preserve">Yacht 110 cm RALPH  </t>
  </si>
  <si>
    <t>AC-80364</t>
  </si>
  <si>
    <t>تخت 160 سم                                     RALPH</t>
  </si>
  <si>
    <t>Yacht 160 cm RALPH</t>
  </si>
  <si>
    <t>AC-80361</t>
  </si>
  <si>
    <t xml:space="preserve">تخت 180 سم                                     RALPH </t>
  </si>
  <si>
    <t xml:space="preserve">Yacht 180 cm RALPH </t>
  </si>
  <si>
    <t>AC-80362</t>
  </si>
  <si>
    <t>كومود                                               RALPH</t>
  </si>
  <si>
    <t>RALPH commode</t>
  </si>
  <si>
    <t>AC-80386</t>
  </si>
  <si>
    <t>درسوار                                             RALPH</t>
  </si>
  <si>
    <t>RALPH dresser</t>
  </si>
  <si>
    <t>AC-80332</t>
  </si>
  <si>
    <t>RALPH                                                مراية</t>
  </si>
  <si>
    <t>RALPH mirror</t>
  </si>
  <si>
    <t>AC-80376</t>
  </si>
  <si>
    <t>طاولة زاوية                                        RALPH</t>
  </si>
  <si>
    <t>RALPH corner table</t>
  </si>
  <si>
    <t>AC-80328</t>
  </si>
  <si>
    <t xml:space="preserve">RALPH                                       T.V.  طاولة </t>
  </si>
  <si>
    <t xml:space="preserve">RALPH T.V.  table </t>
  </si>
  <si>
    <t>AC-80351</t>
  </si>
  <si>
    <t xml:space="preserve"> شماسي &amp; مرجوحة</t>
  </si>
  <si>
    <t>Two seater wooden swing</t>
  </si>
  <si>
    <t>Umbrellas &amp; Swing</t>
  </si>
  <si>
    <t>مرجوحة خشب 3 مقاعد</t>
  </si>
  <si>
    <t>Wooden swing 3 seats</t>
  </si>
  <si>
    <t>مرجوحة حديد وجلد</t>
  </si>
  <si>
    <t>Iron and leather swing</t>
  </si>
  <si>
    <t>S-106/172</t>
  </si>
  <si>
    <t>مرجوحة 3 مقاعد تركي خفيف</t>
  </si>
  <si>
    <t>Light Turkish 3-seater swing</t>
  </si>
  <si>
    <t>ZT-OLIA</t>
  </si>
  <si>
    <t>Two-seat iron swing</t>
  </si>
  <si>
    <t>مرجوحة حديد 3 مقاعد</t>
  </si>
  <si>
    <t>3 seater iron swing</t>
  </si>
  <si>
    <t>S-GONDOL</t>
  </si>
  <si>
    <t>شمسية 2 م مدور المنيوم</t>
  </si>
  <si>
    <t>Umbrella, 2 m, round, aluminum</t>
  </si>
  <si>
    <t>شمسية 2 م مدور حديد</t>
  </si>
  <si>
    <t>UM-1200</t>
  </si>
  <si>
    <t>شمسية 4*4 م مربع</t>
  </si>
  <si>
    <t>Umbrella 4*4 square metres</t>
  </si>
  <si>
    <t>شمسية 4*4 م مربع ثقيل</t>
  </si>
  <si>
    <t>Umbrella 4*4 square metres, heavy</t>
  </si>
  <si>
    <t xml:space="preserve">شمسية 5 م مدور ثقيل </t>
  </si>
  <si>
    <t xml:space="preserve">Umbrella 5m heavy round </t>
  </si>
  <si>
    <t>UM-5/10</t>
  </si>
  <si>
    <t>شمسية 2.5*2.5  كوع ثقيل</t>
  </si>
  <si>
    <t>Umbrella 2.5*2.5 heavy elbow</t>
  </si>
  <si>
    <t>Umbrella 270 cm, wooden</t>
  </si>
  <si>
    <t>UM-2777</t>
  </si>
  <si>
    <t>شمسية 270 سم كوع حديد بدون بلاطة</t>
  </si>
  <si>
    <t>Umbrella 270 cm, iron elbow without tiles</t>
  </si>
  <si>
    <t>UM-2021</t>
  </si>
  <si>
    <t>شمسية 270 سم كوع حديد مع بلاطة</t>
  </si>
  <si>
    <t>Umbrella 270 cm, iron elbow with slab</t>
  </si>
  <si>
    <t>شمسية 3*3 كوع المنيوم ثقيل         ROMAN</t>
  </si>
  <si>
    <t>Umbrella 3*3 heavy aluminum elbow ROMAN</t>
  </si>
  <si>
    <t>ZXL 002/202202</t>
  </si>
  <si>
    <t>شمسية 3*3 كوع بدون كشكش       ROMAN</t>
  </si>
  <si>
    <t>3*3 elbow umbrella without ruffles ROMAN</t>
  </si>
  <si>
    <t>شمسية 3 م مدور كوع حديد          BANANA</t>
  </si>
  <si>
    <t>Umbrella 3 m round iron elbow BANANA</t>
  </si>
  <si>
    <t>شمسية 3*3 م كوع كشكش            ROMAN</t>
  </si>
  <si>
    <t>Umbrella 3*3 m elbow ruffle ROMAN</t>
  </si>
  <si>
    <t>شمسية 3*3 م كوع/كشكش+ قاعدة  ROMAN</t>
  </si>
  <si>
    <t>Umbrella 3*3 m elbow/ruffle + ROMAN base</t>
  </si>
  <si>
    <t>شمسية 270 م كوع حديد              BANANA</t>
  </si>
  <si>
    <t>Umbrella 270 m iron elbow BANANA</t>
  </si>
  <si>
    <t xml:space="preserve">شمسية 270 حديد مانيفيل </t>
  </si>
  <si>
    <t xml:space="preserve">Umbrella 270 iron manifold </t>
  </si>
  <si>
    <t>ZXL 2021/270-9001</t>
  </si>
  <si>
    <t>شمسية 270 عامود مانيفيل اكسترا</t>
  </si>
  <si>
    <t>Umbrella 270 pole manifold extra</t>
  </si>
  <si>
    <t>ZYP-893</t>
  </si>
  <si>
    <t xml:space="preserve">شمسية 250 كوع بدون قاعدة </t>
  </si>
  <si>
    <t xml:space="preserve">Umbrella 250 elbow without base </t>
  </si>
  <si>
    <t>ZYP-9101</t>
  </si>
  <si>
    <t>شمسية 250 كوع مع قاعدة مستطيل</t>
  </si>
  <si>
    <t>250 elbow umbrella with rectangular base</t>
  </si>
  <si>
    <t xml:space="preserve">شمسية 2.5*2.5 م عامود مانيفيل </t>
  </si>
  <si>
    <t xml:space="preserve">Umbrella 2.5*2.5 m, mannequin pole </t>
  </si>
  <si>
    <t>ZYP-9111</t>
  </si>
  <si>
    <t xml:space="preserve">شمسية 2*2 المنيوم ثقيل رمادي </t>
  </si>
  <si>
    <t xml:space="preserve">Umbrella 2*2, heavy aluminum, gray </t>
  </si>
  <si>
    <t>ZYP-9112</t>
  </si>
  <si>
    <t xml:space="preserve">شمسية 3 م مدور المنيوم ثقيل رمادي </t>
  </si>
  <si>
    <t xml:space="preserve">Umbrella, 3 m, round, heavy aluminum, gray </t>
  </si>
  <si>
    <t>ZYP-9113</t>
  </si>
  <si>
    <t xml:space="preserve">HEAD DOUBLE                  شمسية 3 م مدور   </t>
  </si>
  <si>
    <t xml:space="preserve">HEAD DOUBLE Umbrella 3 m round   </t>
  </si>
  <si>
    <t>ZYP-9333</t>
  </si>
  <si>
    <t xml:space="preserve">SOLAR UM                                        شمسية </t>
  </si>
  <si>
    <t xml:space="preserve">SOLAR UM </t>
  </si>
  <si>
    <t>ZYP-618</t>
  </si>
  <si>
    <t>شمسية 270 سم عامود</t>
  </si>
  <si>
    <t>Umbrella 270 cm pole</t>
  </si>
  <si>
    <t>ZYP-9012HY</t>
  </si>
  <si>
    <t xml:space="preserve">شمسية 3*4 م كوع مع قاعدة </t>
  </si>
  <si>
    <t xml:space="preserve">Umbrella 3*4 m elbow with base </t>
  </si>
  <si>
    <t>ZYP-9034HY</t>
  </si>
  <si>
    <t xml:space="preserve">شمسية 3*3 م كوع ثقيل مع قاعدة </t>
  </si>
  <si>
    <t xml:space="preserve">Umbrella 3*3 m heavy elbow with base </t>
  </si>
  <si>
    <t>ZYP-001 HY</t>
  </si>
  <si>
    <t>طقم خشب TEAK + وجه TEAK</t>
  </si>
  <si>
    <t>طقم خشب تك مقعدين ثقيل 2+1+1+1</t>
  </si>
  <si>
    <t>A set of two heavy teak wood chairs 2+1+1+1</t>
  </si>
  <si>
    <t>NJ-6301</t>
  </si>
  <si>
    <t>TEAK wood set + TEAK face</t>
  </si>
  <si>
    <t>طقم خشب تك طاولة 90 سم + 4 كراسي</t>
  </si>
  <si>
    <t>Set of teak wood table 90 cm + 4 chairs</t>
  </si>
  <si>
    <t>NJ-9292</t>
  </si>
  <si>
    <t>صوفا تك</t>
  </si>
  <si>
    <t>Sofa Tech</t>
  </si>
  <si>
    <t>NJ-619</t>
  </si>
  <si>
    <t>كرسي تك</t>
  </si>
  <si>
    <t>chair tack</t>
  </si>
  <si>
    <t>NJ-0103</t>
  </si>
  <si>
    <t>وجه طاولة تك 60*60 مربع + مدور</t>
  </si>
  <si>
    <t>NJ-001/60</t>
  </si>
  <si>
    <t>وجه طاولة تك 70*70 مربع + مدور</t>
  </si>
  <si>
    <t>The face of the tack table is 70*70 square + round</t>
  </si>
  <si>
    <t>NJ-001/70</t>
  </si>
  <si>
    <t>وجه طاولة تك 80*80 مربع + مدور</t>
  </si>
  <si>
    <t>The face of the tack table is 80*80 square + round</t>
  </si>
  <si>
    <t>NJ-001/80</t>
  </si>
  <si>
    <t>وجه طاولة تك 110*70 سم</t>
  </si>
  <si>
    <t>Tech table face 110*70 cm</t>
  </si>
  <si>
    <t>NJ-257A</t>
  </si>
  <si>
    <t>وجه طاولة تك 120*70 سم</t>
  </si>
  <si>
    <t>Tack table top 120*70 cm</t>
  </si>
  <si>
    <t>NJ-001</t>
  </si>
  <si>
    <t>وجه طاولة تك 130*80 سم</t>
  </si>
  <si>
    <t>Tack table top 130*80 cm</t>
  </si>
  <si>
    <t>طقم خيزران</t>
  </si>
  <si>
    <t xml:space="preserve">طقم خيزران مقعدين كناري </t>
  </si>
  <si>
    <t xml:space="preserve">Canary wicker two-seater set </t>
  </si>
  <si>
    <t>R-UT-KENARI</t>
  </si>
  <si>
    <t>Bamboo set</t>
  </si>
  <si>
    <t>طقم خيزران مقعدين لونا</t>
  </si>
  <si>
    <t>Luna 2-seater rattan set</t>
  </si>
  <si>
    <t>R-UT-LUNA/2</t>
  </si>
  <si>
    <t>طقم خيزران 3 مقاعد لونا</t>
  </si>
  <si>
    <t>Luna 3-seater rattan set</t>
  </si>
  <si>
    <t>R-UT-LUNA/3</t>
  </si>
  <si>
    <t xml:space="preserve">طقم خيزران 3 مقاعد </t>
  </si>
  <si>
    <t xml:space="preserve">3 seater rattan set </t>
  </si>
  <si>
    <t>R-UT-TROYA/3</t>
  </si>
  <si>
    <t>طقم خيزران زاوية</t>
  </si>
  <si>
    <t>Corner bamboo set</t>
  </si>
  <si>
    <t>R-UT-TROYA CORNER</t>
  </si>
  <si>
    <t xml:space="preserve">طقم خيزران مقعدين </t>
  </si>
  <si>
    <t xml:space="preserve">Two-seater rattan set </t>
  </si>
  <si>
    <t>R-CHRISTMONT/2</t>
  </si>
  <si>
    <t>R-PORCHE/2</t>
  </si>
  <si>
    <t>طقم خيزران 1 + 4 كراسي</t>
  </si>
  <si>
    <t>R-AYLA</t>
  </si>
  <si>
    <t>R-BARUNA</t>
  </si>
  <si>
    <t>كرسي خيزران</t>
  </si>
  <si>
    <t>Bamboo chair</t>
  </si>
  <si>
    <t>R-LUCIA</t>
  </si>
  <si>
    <t>R-ASTOR</t>
  </si>
  <si>
    <t>كرسي خيزران هزاز ناغو</t>
  </si>
  <si>
    <t>Nago rattan rocking chair</t>
  </si>
  <si>
    <t>R-NUGO</t>
  </si>
  <si>
    <t>كرسي خيزران هزاز كورسيكا</t>
  </si>
  <si>
    <t>Corsica rattan rocking chair</t>
  </si>
  <si>
    <t>R-CORSICA</t>
  </si>
  <si>
    <t>طاولة خيزران 40 سم بالي</t>
  </si>
  <si>
    <t>Bamboo table 40 cm Bali</t>
  </si>
  <si>
    <t>R-BALI</t>
  </si>
  <si>
    <t>طاولة خيزران 100 سم</t>
  </si>
  <si>
    <t>R-MILANO</t>
  </si>
  <si>
    <t>طقم جيكون خيزران</t>
  </si>
  <si>
    <t>Bamboo jikon set</t>
  </si>
  <si>
    <t>R-GRANADA</t>
  </si>
  <si>
    <t xml:space="preserve">طاولة خيزران  T.V </t>
  </si>
  <si>
    <t>R-6440</t>
  </si>
  <si>
    <t xml:space="preserve">فرش خيزران كناري </t>
  </si>
  <si>
    <t xml:space="preserve">Canary bamboo brushes </t>
  </si>
  <si>
    <t>فرش خيزران لونا مقعدين</t>
  </si>
  <si>
    <t>Luna bamboo upholstery for two chairs</t>
  </si>
  <si>
    <t xml:space="preserve">طقم رزين </t>
  </si>
  <si>
    <t>طقم رزين مقعدين مربع</t>
  </si>
  <si>
    <t>Sober set of two square chairs</t>
  </si>
  <si>
    <t>R-1641/2</t>
  </si>
  <si>
    <t>Resin Set</t>
  </si>
  <si>
    <t>طقم رزين مقعدين ثقيل</t>
  </si>
  <si>
    <t>Heavy duty two seater set</t>
  </si>
  <si>
    <t>R-BERGAMO</t>
  </si>
  <si>
    <t>Two-seater sofa set</t>
  </si>
  <si>
    <t>R-1997/2</t>
  </si>
  <si>
    <t>R-1997/2 +++</t>
  </si>
  <si>
    <t xml:space="preserve">طقم رزين 3 مقاعد </t>
  </si>
  <si>
    <t xml:space="preserve">Sober 3 seater set </t>
  </si>
  <si>
    <t>R-1552/3</t>
  </si>
  <si>
    <t>طقم رزين 1+2+3</t>
  </si>
  <si>
    <t>Razin set 1+2+3</t>
  </si>
  <si>
    <t>R-1776/A</t>
  </si>
  <si>
    <t xml:space="preserve">طقم رزين زاوية </t>
  </si>
  <si>
    <t xml:space="preserve">Corner sober set </t>
  </si>
  <si>
    <t>R-1776/C +++</t>
  </si>
  <si>
    <t>R-1552R</t>
  </si>
  <si>
    <t>طقم رزين 3 مقاعد تركي</t>
  </si>
  <si>
    <t>Turkish set of 3 chairs</t>
  </si>
  <si>
    <t>R-CASA</t>
  </si>
  <si>
    <t>طقم رزين طاولة + كراسي</t>
  </si>
  <si>
    <t xml:space="preserve">طقم رزين طاولة 150سم + 6 كراسي </t>
  </si>
  <si>
    <t xml:space="preserve">Rasin table set 150 cm + 6 chairs </t>
  </si>
  <si>
    <t>R-1122/1922</t>
  </si>
  <si>
    <t>Resin set table + Chairs</t>
  </si>
  <si>
    <t xml:space="preserve">طقم رزين طاولة 90*90 + 4 كراسي ابيض </t>
  </si>
  <si>
    <t xml:space="preserve">Rasin table set 90*90 + 4 white chairs </t>
  </si>
  <si>
    <t>R-1970</t>
  </si>
  <si>
    <t xml:space="preserve">طقم رزين طاولة 100*200 + 8 كراسي  </t>
  </si>
  <si>
    <t xml:space="preserve">Rasin table set 100*200 + 8 chairs  </t>
  </si>
  <si>
    <t>R-1541/1922</t>
  </si>
  <si>
    <t xml:space="preserve">طقم رزين طاولة 80*80 + 4 كراسي </t>
  </si>
  <si>
    <t xml:space="preserve">Rasin table set 80*80 + 4 chairs </t>
  </si>
  <si>
    <t>R-1307/1506</t>
  </si>
  <si>
    <t>طقم رزين طاولة 90*90 + 4 كراسي كرزي</t>
  </si>
  <si>
    <t>Rasin table set 90*90 + 4 cherry chairs</t>
  </si>
  <si>
    <t>R-1509</t>
  </si>
  <si>
    <t>R-1506/1506- 80</t>
  </si>
  <si>
    <t xml:space="preserve">طقم رزين 1+6 كراسي </t>
  </si>
  <si>
    <t xml:space="preserve">Razin set 1+6 chairs </t>
  </si>
  <si>
    <t>R-1506/1506</t>
  </si>
  <si>
    <t>طقم رزين طاولة 120سم + 6 كراسي مدور</t>
  </si>
  <si>
    <t>Rasin table set 120 cm + 6 round chairs</t>
  </si>
  <si>
    <t>R-2759/1922</t>
  </si>
  <si>
    <t xml:space="preserve">طقم رزين طاولة 90*90 + 4 كراسي </t>
  </si>
  <si>
    <t xml:space="preserve">Rasin table set 90*90 + 4 chairs </t>
  </si>
  <si>
    <t>R-1307/1922</t>
  </si>
  <si>
    <t>طقم رزين طاولة + 4 كراسي</t>
  </si>
  <si>
    <t>Rasin set of table + 4 chairs</t>
  </si>
  <si>
    <t>R-3196/1513</t>
  </si>
  <si>
    <t>R-2125/2125</t>
  </si>
  <si>
    <t>R-307/965</t>
  </si>
  <si>
    <t>R-608/648</t>
  </si>
  <si>
    <t>R-608/608</t>
  </si>
  <si>
    <t>R-4125/3143</t>
  </si>
  <si>
    <t>طقم رزين 1+6 كراسي شبك ابيض</t>
  </si>
  <si>
    <t>A sober set of 1+6 white mesh chairs</t>
  </si>
  <si>
    <t>R-1967</t>
  </si>
  <si>
    <t>A sober bar set of 1+6 chairs, gray</t>
  </si>
  <si>
    <t>R-1972/B</t>
  </si>
  <si>
    <t xml:space="preserve">كرسي رزين   </t>
  </si>
  <si>
    <t xml:space="preserve">Sober chair   </t>
  </si>
  <si>
    <t>R-3143/1395</t>
  </si>
  <si>
    <t>R-608/3196</t>
  </si>
  <si>
    <t>R-397A</t>
  </si>
  <si>
    <t>كرسي رزين وكر مفرد</t>
  </si>
  <si>
    <t>Rasin chair and single den</t>
  </si>
  <si>
    <t>R-3872</t>
  </si>
  <si>
    <t>R-1776</t>
  </si>
  <si>
    <t>R-1363</t>
  </si>
  <si>
    <t>Solid chair with comforter</t>
  </si>
  <si>
    <t>R-1506</t>
  </si>
  <si>
    <t>R-02LMA</t>
  </si>
  <si>
    <t>Rasin twirl chair</t>
  </si>
  <si>
    <t>R-1517</t>
  </si>
  <si>
    <t>Sober chair</t>
  </si>
  <si>
    <t>R-2070</t>
  </si>
  <si>
    <t>R-2529</t>
  </si>
  <si>
    <t>R-3872/R</t>
  </si>
  <si>
    <t>R-3180</t>
  </si>
  <si>
    <t>رزين مشكل</t>
  </si>
  <si>
    <t>طقم جيكون رزين</t>
  </si>
  <si>
    <t>Decent jikon set</t>
  </si>
  <si>
    <t>R-1657</t>
  </si>
  <si>
    <t>Resin Varieties</t>
  </si>
  <si>
    <t>طقم ستاند زريعة رزين 3 قطع</t>
  </si>
  <si>
    <t>Resin frying stand set, 3 pieces</t>
  </si>
  <si>
    <t>R-1193A</t>
  </si>
  <si>
    <t>A sober chazlong</t>
  </si>
  <si>
    <t>R-2019</t>
  </si>
  <si>
    <t>R-4361</t>
  </si>
  <si>
    <t>طقم كوان رزين</t>
  </si>
  <si>
    <t>Sober koan set</t>
  </si>
  <si>
    <t>R-249/182</t>
  </si>
  <si>
    <t>R-15-2/79</t>
  </si>
  <si>
    <t>Sober basket</t>
  </si>
  <si>
    <t>R-4307</t>
  </si>
  <si>
    <t>سلة رزين BANANA</t>
  </si>
  <si>
    <t>R-8007</t>
  </si>
  <si>
    <t>سلة رزين اوفال</t>
  </si>
  <si>
    <t>Razin Oval Basket</t>
  </si>
  <si>
    <t>R-8029</t>
  </si>
  <si>
    <t>R-8104</t>
  </si>
  <si>
    <t>سلة رزين موزة</t>
  </si>
  <si>
    <t>Razeen Moza Basket</t>
  </si>
  <si>
    <t>R-088</t>
  </si>
  <si>
    <t>R-999</t>
  </si>
  <si>
    <t>سلة رزين قماش شزلونغ</t>
  </si>
  <si>
    <t>Rasin basket of chaise longue fabric</t>
  </si>
  <si>
    <t>R-045</t>
  </si>
  <si>
    <t>سلة رزين شزلونغ</t>
  </si>
  <si>
    <t>Rasin Shazlong Basket</t>
  </si>
  <si>
    <t>R-045/R</t>
  </si>
  <si>
    <t>طقم سلة قماش 3 قطع          140+150+160</t>
  </si>
  <si>
    <t>Fabric basket set 3 pieces 140+150+160</t>
  </si>
  <si>
    <t>R-004 / 052</t>
  </si>
  <si>
    <t>Single riser basket</t>
  </si>
  <si>
    <t>R-J2271A/S</t>
  </si>
  <si>
    <t>سلة رزين مقعدين / دوبل</t>
  </si>
  <si>
    <t>Two seater basket/double</t>
  </si>
  <si>
    <t>R-J2271A/D</t>
  </si>
  <si>
    <t>A demure rocking chair</t>
  </si>
  <si>
    <t>ZBF D05A</t>
  </si>
  <si>
    <t>كرسي هزاز رزين مع خشب</t>
  </si>
  <si>
    <t>Solid rocking chair with wood</t>
  </si>
  <si>
    <t>ZBF SD17</t>
  </si>
  <si>
    <t xml:space="preserve">طاولات رزين &amp; وجه طاولات </t>
  </si>
  <si>
    <t>Razen table 80*80 cm</t>
  </si>
  <si>
    <t>R-1307/80</t>
  </si>
  <si>
    <t>Resin Tables &amp; Table tops</t>
  </si>
  <si>
    <t>طاولة رزين 90*90 سم</t>
  </si>
  <si>
    <t>Razen table 90*90 cm</t>
  </si>
  <si>
    <t>R-1307/90</t>
  </si>
  <si>
    <t>طاولة رزين 100*200 سم</t>
  </si>
  <si>
    <t>Razen table 100*200 cm</t>
  </si>
  <si>
    <t>R-1541/T</t>
  </si>
  <si>
    <t>Razen table 75*110 cm</t>
  </si>
  <si>
    <t>R-1776/110</t>
  </si>
  <si>
    <t>Razen table 80*130 cm</t>
  </si>
  <si>
    <t>R-1776/130</t>
  </si>
  <si>
    <t>طاولة رزين 120 سم</t>
  </si>
  <si>
    <t>Razen table 120 cm</t>
  </si>
  <si>
    <t xml:space="preserve">R-2759 </t>
  </si>
  <si>
    <t>R-3000 - 348</t>
  </si>
  <si>
    <t>Razen table 90*150 cm</t>
  </si>
  <si>
    <t>R-1122/T</t>
  </si>
  <si>
    <t>R-648</t>
  </si>
  <si>
    <t>R-608</t>
  </si>
  <si>
    <t>R-348</t>
  </si>
  <si>
    <t>طاولة رزين 45 سم مربع</t>
  </si>
  <si>
    <t>Razen table 45 cm square</t>
  </si>
  <si>
    <t>R-1590/90</t>
  </si>
  <si>
    <t>R-1509/80</t>
  </si>
  <si>
    <t>R-4165</t>
  </si>
  <si>
    <t>وجه طاولة رزين 60*60 سم</t>
  </si>
  <si>
    <t>Solid table top 60*60 cm</t>
  </si>
  <si>
    <t>R-953/60</t>
  </si>
  <si>
    <t>وجه طاولة رزين 70*70 سم</t>
  </si>
  <si>
    <t>R-953/70</t>
  </si>
  <si>
    <t>وجه طاولة رزين 80*80 سم</t>
  </si>
  <si>
    <t>Solid table top 80*80 cm</t>
  </si>
  <si>
    <t>R-953/80</t>
  </si>
  <si>
    <t>وجه طاولة رزين 90*90 سم</t>
  </si>
  <si>
    <t>Solid table top 90*90 cm</t>
  </si>
  <si>
    <t>R-953/90</t>
  </si>
  <si>
    <t xml:space="preserve">وجه طاولة رزين 80*130 سم </t>
  </si>
  <si>
    <t xml:space="preserve">Solid table top 80*130 cm </t>
  </si>
  <si>
    <t>R-953/130</t>
  </si>
  <si>
    <t xml:space="preserve">R-9060/60 </t>
  </si>
  <si>
    <t>Solid table top 70*70 cm</t>
  </si>
  <si>
    <t xml:space="preserve">R-9070/70 </t>
  </si>
  <si>
    <t>R-9080/80</t>
  </si>
  <si>
    <t>وجه طاولة رزين 70*120 سم - كرزي</t>
  </si>
  <si>
    <t>Resin table face 70*120 cm - cherry</t>
  </si>
  <si>
    <t>R-9120/120</t>
  </si>
  <si>
    <t>وجه طاولة رزين 80*130 سم - كرزي</t>
  </si>
  <si>
    <t>Resin table face 80*130 cm - cherry</t>
  </si>
  <si>
    <t>R-9130/130</t>
  </si>
  <si>
    <t>طاولة المنيوم &amp; وجه طاولة</t>
  </si>
  <si>
    <t xml:space="preserve">طاولة المنيوم 60 مدور </t>
  </si>
  <si>
    <t xml:space="preserve">Aluminum table 60 round </t>
  </si>
  <si>
    <t>Aluminum Table &amp; Table top</t>
  </si>
  <si>
    <t>طاولة المنيوم 80*80 سم</t>
  </si>
  <si>
    <t>Aluminum table 80*80 cm</t>
  </si>
  <si>
    <t>ZAL 888/503</t>
  </si>
  <si>
    <t>طاولة المنيوم 80*80 سم بني كرزي</t>
  </si>
  <si>
    <t>Aluminum table, 80*80 cm, cherry brown</t>
  </si>
  <si>
    <t>513 / 80</t>
  </si>
  <si>
    <t>وجه طاولة المنيوم اصلي 60 مدور + مربع</t>
  </si>
  <si>
    <t>Original aluminum table top, 60 round + square</t>
  </si>
  <si>
    <t>ZZQ 051/ ZZS 3036</t>
  </si>
  <si>
    <t>وجه طاولة المنيوم اصلي 70 مدور + مربع</t>
  </si>
  <si>
    <t xml:space="preserve">         051/70 + 3036</t>
  </si>
  <si>
    <t>وجه طاولة المنيوم اصلي 80 مدور + مربع</t>
  </si>
  <si>
    <t>Original aluminum table top, 80 round + square</t>
  </si>
  <si>
    <t xml:space="preserve">         051/80</t>
  </si>
  <si>
    <t>وجه طاولة المنيوم اصلي 80*120 سم</t>
  </si>
  <si>
    <t>Original aluminum table top, 80*120 cm</t>
  </si>
  <si>
    <t xml:space="preserve">         051 + 3036 /120</t>
  </si>
  <si>
    <t>وجه طاولة المنيوم 60*60 سم</t>
  </si>
  <si>
    <t>Aluminum table top 60*60 cm</t>
  </si>
  <si>
    <t>ZTA 60*60 SP</t>
  </si>
  <si>
    <t>وجه طاولة المنيوم 70*70 سم</t>
  </si>
  <si>
    <t>ZTA 70*70 SP</t>
  </si>
  <si>
    <t>وجه طاولة المنيوم 80*80 سم</t>
  </si>
  <si>
    <t>Aluminum table top 80*80 cm</t>
  </si>
  <si>
    <t>ZTA 80*80 SP</t>
  </si>
  <si>
    <t>وجه طاولة المنيوم 70*120 سم</t>
  </si>
  <si>
    <t>Aluminum table top 70*120 cm</t>
  </si>
  <si>
    <t>ZTA 70*120 SP</t>
  </si>
  <si>
    <t>وجه طاولة ستانلس &amp; غرانيت</t>
  </si>
  <si>
    <t>وجه طاولة ستانلس 60*60 مربع + مدور</t>
  </si>
  <si>
    <t>Stainless steel table top 60*60 square + round</t>
  </si>
  <si>
    <t>Y-503 / 504</t>
  </si>
  <si>
    <t>Stainless Table Top &amp; Granite</t>
  </si>
  <si>
    <t>وجه طاولة ستانلس 70*70 مربع + مدور</t>
  </si>
  <si>
    <t>Stainless table top 70*70 square + round</t>
  </si>
  <si>
    <t>Y-515/70</t>
  </si>
  <si>
    <t>وجه طاولة ستانلس 80*80 مربع + مدور</t>
  </si>
  <si>
    <t>Stainless steel table top 80*80 square + round</t>
  </si>
  <si>
    <t>Y-513/80 &amp; 515</t>
  </si>
  <si>
    <t>وجه طاولة غرانيت 80*80 سم</t>
  </si>
  <si>
    <t>Granite table top 80*80 cm</t>
  </si>
  <si>
    <t>80*80</t>
  </si>
  <si>
    <t>وجه طاولة غرانيت 80*120 سم</t>
  </si>
  <si>
    <t>80*120</t>
  </si>
  <si>
    <t xml:space="preserve">وجه طاولة HBL </t>
  </si>
  <si>
    <t xml:space="preserve">وجه طاولة 60*100 سم </t>
  </si>
  <si>
    <t xml:space="preserve">Table top 60*100 cm </t>
  </si>
  <si>
    <t>HBL 1</t>
  </si>
  <si>
    <t>HBL Table Top</t>
  </si>
  <si>
    <t xml:space="preserve">وجه طاولة 70*110 سم </t>
  </si>
  <si>
    <t xml:space="preserve">Table top 70*110 cm </t>
  </si>
  <si>
    <t>HBL 2</t>
  </si>
  <si>
    <t xml:space="preserve">وجه طاولة 80*120 سم </t>
  </si>
  <si>
    <t xml:space="preserve">Table top 80*120 cm </t>
  </si>
  <si>
    <t>HBL 3/4/5</t>
  </si>
  <si>
    <t>وجه طاولة 60*60 سم مربع + مدور</t>
  </si>
  <si>
    <t>Table face 60*60 cm square + round</t>
  </si>
  <si>
    <t>HBL 6/7</t>
  </si>
  <si>
    <t>وجه طاولة 70*70 سم مربع + مدور</t>
  </si>
  <si>
    <t>Table face 70*70 cm square + round</t>
  </si>
  <si>
    <t>HBL 8/9/10/14</t>
  </si>
  <si>
    <t>وجه طاولة 80*80 سم مربع + مدور</t>
  </si>
  <si>
    <t>Table face 80*80 cm square + round</t>
  </si>
  <si>
    <t>HBL 11/12/13/15</t>
  </si>
  <si>
    <t xml:space="preserve">وجه طاولة فرزاليت تركي </t>
  </si>
  <si>
    <t xml:space="preserve">وجه فرزاليت تركي 60*60 </t>
  </si>
  <si>
    <t>Turkish Versalite face Square</t>
  </si>
  <si>
    <t>TU-60*60-white</t>
  </si>
  <si>
    <t>Table top</t>
  </si>
  <si>
    <t>size:60*60,color:white</t>
  </si>
  <si>
    <t>Turkish Versalite Square Face Mask: A perfect blend of style and comfort with a contemporary square design.</t>
  </si>
  <si>
    <t>Experience the perfect blend of style and comfort with the Turkish Versalite Square Face Mask. Designed with a modern square shape, this mask offers a unique look while providing excellent coverage and protection. Made from high-quality materials, it ensures a snug fit and breathability for all-day wear. Ideal for both casual and formal settings, the Versalite Square Face Mask is your go-to accessory for a fashionable and safe outing</t>
  </si>
  <si>
    <t>TU-60*60-blue</t>
  </si>
  <si>
    <t>size:60*60,color:blue</t>
  </si>
  <si>
    <t>TU-60*60-black</t>
  </si>
  <si>
    <t>size:60*60,color:black</t>
  </si>
  <si>
    <t>TU-60*60-brown</t>
  </si>
  <si>
    <t>size:60*60,color:brown</t>
  </si>
  <si>
    <t xml:space="preserve">وجه فرزاليت تركي 70*70 </t>
  </si>
  <si>
    <t>TU-70*70-white</t>
  </si>
  <si>
    <t>size:70*70,color:white</t>
  </si>
  <si>
    <t>TU-70*70-blue</t>
  </si>
  <si>
    <t>size:70*70,color:blue</t>
  </si>
  <si>
    <t>TU-70*70-black</t>
  </si>
  <si>
    <t>size:70*70,color:black</t>
  </si>
  <si>
    <t>TU-70*70-brown</t>
  </si>
  <si>
    <t>size:70*70,color:brown</t>
  </si>
  <si>
    <t xml:space="preserve">وجه فرزاليت تركي 80*80 </t>
  </si>
  <si>
    <t>TU-80*80-white</t>
  </si>
  <si>
    <t>size:80*80,color:white</t>
  </si>
  <si>
    <t>TU-80*80-blue</t>
  </si>
  <si>
    <t>size:80*80,color:blue</t>
  </si>
  <si>
    <t>TU-80*80-black</t>
  </si>
  <si>
    <t>size:80*80,color:black</t>
  </si>
  <si>
    <t>TU-80*80-brown</t>
  </si>
  <si>
    <t>size:80*80,color:brown</t>
  </si>
  <si>
    <t xml:space="preserve">وجه فرزاليت تركي 70*120 </t>
  </si>
  <si>
    <t>TU-70*120-white</t>
  </si>
  <si>
    <t>size:70*120,color:white</t>
  </si>
  <si>
    <t>TU-70*120-blue</t>
  </si>
  <si>
    <t>size:70*120,color:blue</t>
  </si>
  <si>
    <t>TU-70*120-black</t>
  </si>
  <si>
    <t>size:70*120,color:black</t>
  </si>
  <si>
    <t>TU-70*120-brown</t>
  </si>
  <si>
    <t>size:70*120,color:brown</t>
  </si>
  <si>
    <t xml:space="preserve">وجه فرزاليت تركي 80*120 </t>
  </si>
  <si>
    <t>TU-80*120-white</t>
  </si>
  <si>
    <t>size:80*120,color:white</t>
  </si>
  <si>
    <t>TU-80*120-blue</t>
  </si>
  <si>
    <t>size:80*120,color:blue</t>
  </si>
  <si>
    <t>TU-80*120-black</t>
  </si>
  <si>
    <t>size:80*120,color:black</t>
  </si>
  <si>
    <t>TU-80*120-brown</t>
  </si>
  <si>
    <t>size:80*120,color:brown</t>
  </si>
  <si>
    <t xml:space="preserve">وجه فرزاليت تركي 80*140 </t>
  </si>
  <si>
    <t>TU-80*140-white</t>
  </si>
  <si>
    <t>size:80*140,color:white</t>
  </si>
  <si>
    <t>TU-80*140-blue</t>
  </si>
  <si>
    <t>size:80*140,color:blue</t>
  </si>
  <si>
    <t>TU-80*140-black</t>
  </si>
  <si>
    <t>size:80*140,color:black</t>
  </si>
  <si>
    <t>TU-80*140-brown</t>
  </si>
  <si>
    <t>size:80*140,color:brown</t>
  </si>
  <si>
    <t>وجه فرزاليت تركي 60 سم مدور</t>
  </si>
  <si>
    <t>Turkish Versalite round</t>
  </si>
  <si>
    <t>TU-60-white</t>
  </si>
  <si>
    <t>size:60,color:white</t>
  </si>
  <si>
    <t>Turkish Versalite Round Face Mask: Classic round design for a stylish and comfortable fit</t>
  </si>
  <si>
    <t>Elevate your mask game with the Turkish Versalite Round Face Mask. Featuring a timeless round design, this mask combines elegance and practicality. Crafted from premium materials, it offers superior comfort and breathability, making it perfect for prolonged use. Whether you're heading to a social event or running errands, the Versalite Round Face Mask ensures you stay protected in style. Embrace the perfect balance of fashion and function with this versatile face mask</t>
  </si>
  <si>
    <t>TU-60-blue</t>
  </si>
  <si>
    <t>size:60,color:blue</t>
  </si>
  <si>
    <t>TU-60-black</t>
  </si>
  <si>
    <t>size:60,color:black</t>
  </si>
  <si>
    <t>TU-60-brown</t>
  </si>
  <si>
    <t>size:60,color:brown</t>
  </si>
  <si>
    <t>وجه فرزاليت تركي 70 سم مدور</t>
  </si>
  <si>
    <t>TU-70-white</t>
  </si>
  <si>
    <t>size:70,color:white</t>
  </si>
  <si>
    <t>TU-70-black</t>
  </si>
  <si>
    <t>size:70,color:black</t>
  </si>
  <si>
    <t>TU-70-grey</t>
  </si>
  <si>
    <t>size:70,color:grey</t>
  </si>
  <si>
    <t>وجه فرزاليت تركي 80 سم مدور</t>
  </si>
  <si>
    <t>TU-80-Black</t>
  </si>
  <si>
    <t>size:80,color:black</t>
  </si>
  <si>
    <t>TU-80-Purple</t>
  </si>
  <si>
    <t>size:80,color:purple</t>
  </si>
  <si>
    <t>وجه طاولة خشب طبيعي</t>
  </si>
  <si>
    <t>وجه طاولة خشب طبيعي 60 سم مدور + مربع</t>
  </si>
  <si>
    <t>Natural wood table top 60 cm round + square</t>
  </si>
  <si>
    <t>Z WOOD 35</t>
  </si>
  <si>
    <t>Wood Table top</t>
  </si>
  <si>
    <t>وجه طاولة خشب طبيعي 80 سم مدور + مربع</t>
  </si>
  <si>
    <t>Natural wood table top 80 cm round + square</t>
  </si>
  <si>
    <t>Z WOOD 55</t>
  </si>
  <si>
    <t>وجه طاولة خشب طبيعي 90 سم مدور + مربع</t>
  </si>
  <si>
    <t>Natural wood table top 90 cm round + square</t>
  </si>
  <si>
    <t>Z WOOD 65</t>
  </si>
  <si>
    <t>وجه طاولة خشب طبيعي 70*110 سم</t>
  </si>
  <si>
    <t>Natural wood table top 70*110 cm</t>
  </si>
  <si>
    <t>Z WOOD 70</t>
  </si>
  <si>
    <t>وجه طاولة خشب طبيعي 80*130 سم</t>
  </si>
  <si>
    <t>Natural wood table top 80*130 cm</t>
  </si>
  <si>
    <t>Z WOOD 85</t>
  </si>
  <si>
    <t>وجه طاولة خشب طبيعي 120 سم مدور</t>
  </si>
  <si>
    <t>Natural wood table top, 120 cm round</t>
  </si>
  <si>
    <t>Y-120</t>
  </si>
  <si>
    <t>(zzt-zis-y-t)</t>
  </si>
  <si>
    <t>وجه طاولة خشب (مدهون)</t>
  </si>
  <si>
    <t>وجه طاولة خشب 60*60 سم</t>
  </si>
  <si>
    <t>Wooden table top 60*60 cm</t>
  </si>
  <si>
    <t>Painted wooden table top</t>
  </si>
  <si>
    <t>Wooden table top 70*70 cm</t>
  </si>
  <si>
    <t>6702/70</t>
  </si>
  <si>
    <t>Wooden table top 80*80 cm</t>
  </si>
  <si>
    <t>6702/80</t>
  </si>
  <si>
    <t>وجه طاولة خشب 90*90 سم</t>
  </si>
  <si>
    <t>Wooden table top 90*90 cm</t>
  </si>
  <si>
    <t>6702/90</t>
  </si>
  <si>
    <t>وجه طاولة خشب ثقيل 110*70 سم</t>
  </si>
  <si>
    <t>Heavy wood table top 110*70 cm</t>
  </si>
  <si>
    <t>6703/127</t>
  </si>
  <si>
    <t>وجه طاولة خشب ثقيل 120*80 سم</t>
  </si>
  <si>
    <t>Heavy wood table top 120*80 cm</t>
  </si>
  <si>
    <t>6703/120</t>
  </si>
  <si>
    <t xml:space="preserve">وجه طاولة فرزاليت </t>
  </si>
  <si>
    <t>وجه طاولة فرزاليت 60*60 سم مربع+مدور صيني</t>
  </si>
  <si>
    <t>Versalite table top, 60*60 cm square + round, Chinese</t>
  </si>
  <si>
    <t>zzt 60*60 / 600BJ</t>
  </si>
  <si>
    <t>Versalite table top</t>
  </si>
  <si>
    <t>وجه طاولة فرزاليت 70*70 سم مربع + مدور</t>
  </si>
  <si>
    <t>Versalite table face 70*70 cm square + round</t>
  </si>
  <si>
    <t>zzt 70*70 / 700BJ</t>
  </si>
  <si>
    <t>وجه طاولة فرزاليت 80*80 سم مربع + مدور</t>
  </si>
  <si>
    <t>Versalite table face 80*80 cm square + round</t>
  </si>
  <si>
    <t>zzt 80*80 / 800 BJ</t>
  </si>
  <si>
    <t>وجه طاولة فرزاليت 80*120 سم</t>
  </si>
  <si>
    <t>Versalite table top 80*120 cm</t>
  </si>
  <si>
    <t>zzt 80*120</t>
  </si>
  <si>
    <t>وجه طاولة فرزاليت 70*70 سم مربع + مدور  ماليزي</t>
  </si>
  <si>
    <t xml:space="preserve">ISO TOP </t>
  </si>
  <si>
    <t>وجه طاولة فرزاليت 70*110 سم</t>
  </si>
  <si>
    <t>Versalite table top 70*110 cm</t>
  </si>
  <si>
    <t>وجه طاولة لامايكا صيني</t>
  </si>
  <si>
    <t>وجه طاولة لامايكا 60*60 سم</t>
  </si>
  <si>
    <t>Lamica table top 60*60 cm</t>
  </si>
  <si>
    <t>251/197/232</t>
  </si>
  <si>
    <t>Chinese Lamica Table top</t>
  </si>
  <si>
    <t>وجه طاولة لامايكا 70*70 سم</t>
  </si>
  <si>
    <t>Lamica table top 70*70 cm</t>
  </si>
  <si>
    <t>251/197/369</t>
  </si>
  <si>
    <t>وجه طاولة لامايكا 80*80 سم</t>
  </si>
  <si>
    <t>Lamica table top 80*80 cm</t>
  </si>
  <si>
    <t>232/197/251</t>
  </si>
  <si>
    <t>وجه طاولة لامايكا 70*110 سم</t>
  </si>
  <si>
    <t>Lamica table top 70*110 cm</t>
  </si>
  <si>
    <t>وجه طاولة لامايكا 80*120 سم</t>
  </si>
  <si>
    <t>Lamica table top 80*120 cm</t>
  </si>
  <si>
    <t>232/197/369</t>
  </si>
  <si>
    <t>كادر طاولة بلاستيك 60*60 سم</t>
  </si>
  <si>
    <t>كادر طاولة بلاستيك 80*80 سم</t>
  </si>
  <si>
    <t>قاعدة ستانلس</t>
  </si>
  <si>
    <t>Square stainless base</t>
  </si>
  <si>
    <t>ZZ 05/45</t>
  </si>
  <si>
    <t>قاعدة ستانلس X صغير</t>
  </si>
  <si>
    <t>Small x stainless steel base</t>
  </si>
  <si>
    <t>ZZ 07/6</t>
  </si>
  <si>
    <t>قاعدة ستانلس X كبير</t>
  </si>
  <si>
    <t>Large x stainless steel base</t>
  </si>
  <si>
    <t>ZZ 07/B</t>
  </si>
  <si>
    <t xml:space="preserve">قاعدة ستانلس مجوز  </t>
  </si>
  <si>
    <t xml:space="preserve">Stainless steel base  </t>
  </si>
  <si>
    <t>ZZ 07/H</t>
  </si>
  <si>
    <t>قاعدة ستانلس قلاب مفرد</t>
  </si>
  <si>
    <t>Single flip stainless base</t>
  </si>
  <si>
    <t>ZZ 08</t>
  </si>
  <si>
    <t>قاعدة ستانلس مجوز قلاب كبير</t>
  </si>
  <si>
    <t>Large stainless steel base</t>
  </si>
  <si>
    <t>ZZ 13H</t>
  </si>
  <si>
    <t>قاعدة ستانلس مدور  50cm</t>
  </si>
  <si>
    <t>Round stainless base 50cm</t>
  </si>
  <si>
    <t>ZZ 18H</t>
  </si>
  <si>
    <t>Smooth black round stainless base</t>
  </si>
  <si>
    <t>ZTB E18B/45</t>
  </si>
  <si>
    <t xml:space="preserve">قاعدة ستانلس بار </t>
  </si>
  <si>
    <t xml:space="preserve">Stainless bar base </t>
  </si>
  <si>
    <t>ZZ 018B/304 zzs</t>
  </si>
  <si>
    <t>Y-E19B</t>
  </si>
  <si>
    <t xml:space="preserve">قاعدة ستانلس مدور   </t>
  </si>
  <si>
    <t xml:space="preserve">Round stainless base   </t>
  </si>
  <si>
    <t>Y-E19</t>
  </si>
  <si>
    <t>قاعدة ستانلس اسود  38cm</t>
  </si>
  <si>
    <t>Black stainless base 38cm</t>
  </si>
  <si>
    <t>TB-19B</t>
  </si>
  <si>
    <t>قاعدة ستانلس  38cm</t>
  </si>
  <si>
    <t>Stainless base 38cm</t>
  </si>
  <si>
    <t>TB-19C</t>
  </si>
  <si>
    <t>قاعدة ستانلس مدور كبير  70cm</t>
  </si>
  <si>
    <t>Large round stainless base 70cm</t>
  </si>
  <si>
    <t>Y-E20 ztbs</t>
  </si>
  <si>
    <t>قاعدة ستانلس مستطيل</t>
  </si>
  <si>
    <t>Rectangular stainless base</t>
  </si>
  <si>
    <t>Y-E30S / E30S</t>
  </si>
  <si>
    <t>قاعدة ستانلس مدور  60cm</t>
  </si>
  <si>
    <t>60cm round stainless base</t>
  </si>
  <si>
    <t>Y-E70</t>
  </si>
  <si>
    <t>قاعدة ستانلس X عريض</t>
  </si>
  <si>
    <t>Stainless steel base</t>
  </si>
  <si>
    <t>Y-E71</t>
  </si>
  <si>
    <t xml:space="preserve">قاعدة ستانلس </t>
  </si>
  <si>
    <t xml:space="preserve">Stainless base </t>
  </si>
  <si>
    <t>Y-347/21SS</t>
  </si>
  <si>
    <t>Y-369/SS</t>
  </si>
  <si>
    <t xml:space="preserve">قاعدة ستانلس X قلاب </t>
  </si>
  <si>
    <t xml:space="preserve">Stainless steel base </t>
  </si>
  <si>
    <t>ZZ 373/SS</t>
  </si>
  <si>
    <t>TB-374SS</t>
  </si>
  <si>
    <t>قاعدة ستانلس كبس مدور</t>
  </si>
  <si>
    <t>Round stainless steel base</t>
  </si>
  <si>
    <t>TB-450B</t>
  </si>
  <si>
    <t>قاعدة ستانلس كبس مربع</t>
  </si>
  <si>
    <t>Square stainless steel base</t>
  </si>
  <si>
    <t>TB-451B</t>
  </si>
  <si>
    <t>قاعدة ستانلس كبس مستطيل مجوز</t>
  </si>
  <si>
    <t>Stainless steel base with rectangular press</t>
  </si>
  <si>
    <t>TB-4070B/4071B</t>
  </si>
  <si>
    <t xml:space="preserve">قاعدة ستانلس كبس مدور 40 سم       </t>
  </si>
  <si>
    <t xml:space="preserve">40 cm round stainless steel base       </t>
  </si>
  <si>
    <t>SSBP 01/400</t>
  </si>
  <si>
    <t xml:space="preserve">قاعدة ستانلس كبس مدور 45 سم      </t>
  </si>
  <si>
    <t xml:space="preserve">45 cm round stainless steel base      </t>
  </si>
  <si>
    <t>SSBP 01/450</t>
  </si>
  <si>
    <t>قاعدة ستانلس كبس مربع 40 سم      MATT BLK</t>
  </si>
  <si>
    <t>Square stainless steel base, 40 cm, MATT BLK</t>
  </si>
  <si>
    <t>SSBP 03/400</t>
  </si>
  <si>
    <t xml:space="preserve">قاعدة ستانلس كبس مربع 45 سم      MATT BLK                    </t>
  </si>
  <si>
    <t xml:space="preserve">45 cm square stainless steel base MATT BLK                    </t>
  </si>
  <si>
    <t>SSBP 03/450</t>
  </si>
  <si>
    <t>PCTB 01/400</t>
  </si>
  <si>
    <t>PCTB 01/450</t>
  </si>
  <si>
    <t xml:space="preserve">قاعدة ستانلس كبس مربع 40 سم       </t>
  </si>
  <si>
    <t xml:space="preserve">40 cm square stainless steel base       </t>
  </si>
  <si>
    <t>PCTB 03/400</t>
  </si>
  <si>
    <t xml:space="preserve">قاعدة ستانلس كبس مربع 45 سم      </t>
  </si>
  <si>
    <t xml:space="preserve">45 cm square stainless steel base      </t>
  </si>
  <si>
    <t>PCTB 03/450</t>
  </si>
  <si>
    <t xml:space="preserve">قاعدة ستانلس كبس مدور 40 سم  -   ابيض   </t>
  </si>
  <si>
    <t xml:space="preserve">Stainless steel round base, 40 cm - white   </t>
  </si>
  <si>
    <t>PCTB 01/400- WHITE</t>
  </si>
  <si>
    <t xml:space="preserve">قاعدة ستانلس كبس مدور 45 سم  -   ابيض   </t>
  </si>
  <si>
    <t xml:space="preserve">Round stainless steel base, 45 cm - white   </t>
  </si>
  <si>
    <t>PCTB 01/450- WHITE</t>
  </si>
  <si>
    <t xml:space="preserve">قاعدة ستانلس كبس مربع 45 سم  -   ابيض   </t>
  </si>
  <si>
    <t xml:space="preserve">Square stainless steel base, 45 cm - white   </t>
  </si>
  <si>
    <t>PCTB 03/450- WHITE</t>
  </si>
  <si>
    <t xml:space="preserve">قاعدة المنيوم </t>
  </si>
  <si>
    <t>Aluminum base, 4 heavy, wide legs</t>
  </si>
  <si>
    <t>Z 001</t>
  </si>
  <si>
    <t>Aluminum Base</t>
  </si>
  <si>
    <t>قاعدة المنيوم 3 ارجل ثقيل عريض</t>
  </si>
  <si>
    <t>Aluminum base, 3 heavy, wide legs</t>
  </si>
  <si>
    <t>Z 002</t>
  </si>
  <si>
    <t>قاعدة المنيوم 4 ارجل نفخ</t>
  </si>
  <si>
    <t>Aluminum base, 4 inflatable legs</t>
  </si>
  <si>
    <t>ZZ 006/y</t>
  </si>
  <si>
    <t>قاعدة المنيوم 3 ارجل نفخ</t>
  </si>
  <si>
    <t>Aluminum base, 3 inflatable legs</t>
  </si>
  <si>
    <t>ZZ 007/Y - 5035 ztb</t>
  </si>
  <si>
    <t>Aluminum flip base</t>
  </si>
  <si>
    <t>ZZ 009/9034</t>
  </si>
  <si>
    <t>قاعدة المنيوم 3 ارجل خفيف</t>
  </si>
  <si>
    <t>Light aluminum base with 3 legs</t>
  </si>
  <si>
    <t>Y-550/3</t>
  </si>
  <si>
    <t>قاعدة المنيوم 4 ارجل خفيف</t>
  </si>
  <si>
    <t>Light aluminum base with 4 legs</t>
  </si>
  <si>
    <t>ZZ 042B</t>
  </si>
  <si>
    <t>Aluminum base is permissible</t>
  </si>
  <si>
    <t>قاعدة المنيوم مجوز خفيف</t>
  </si>
  <si>
    <t>Light aluminum base</t>
  </si>
  <si>
    <t>Y-5047</t>
  </si>
  <si>
    <t>قاعدة المنيوم 4 ارجل ثقيل تركيب</t>
  </si>
  <si>
    <t>Aluminum base, 4 legs, heavy installation</t>
  </si>
  <si>
    <t>Y-5053</t>
  </si>
  <si>
    <t>قاعدة المنيوم مجوز عريض</t>
  </si>
  <si>
    <t>Wide aluminum base</t>
  </si>
  <si>
    <t>قاعدة المنيوم 4 ارجل عريض</t>
  </si>
  <si>
    <t>Aluminum base with 4 wide legs</t>
  </si>
  <si>
    <t>Aluminum base can be installed</t>
  </si>
  <si>
    <t>9023/4claw</t>
  </si>
  <si>
    <t xml:space="preserve">قاعدة المنيوم مجوز </t>
  </si>
  <si>
    <t xml:space="preserve">Aluminum base is permissible </t>
  </si>
  <si>
    <t>قاعدة المنيوم كسر قلاب</t>
  </si>
  <si>
    <t>Aluminum base, broken flap</t>
  </si>
  <si>
    <t>TB-440/440B ذهبي</t>
  </si>
  <si>
    <t>قاعدة المنيوم مفرد اسود</t>
  </si>
  <si>
    <t>Single black aluminum base</t>
  </si>
  <si>
    <t>TB-442/442B ذهبي</t>
  </si>
  <si>
    <t xml:space="preserve">قاعدة المنيوم 4 ارجل </t>
  </si>
  <si>
    <t xml:space="preserve">Aluminum base with 4 legs </t>
  </si>
  <si>
    <t>TB-032</t>
  </si>
  <si>
    <t>قاعدة حديد</t>
  </si>
  <si>
    <t>قاعدة حديد 40 سم</t>
  </si>
  <si>
    <t>Iron base 40 cm</t>
  </si>
  <si>
    <t>TB-3003</t>
  </si>
  <si>
    <t>Iron Base</t>
  </si>
  <si>
    <t xml:space="preserve">قاعدة حديد نفخ مدور </t>
  </si>
  <si>
    <t xml:space="preserve">Round blown iron base </t>
  </si>
  <si>
    <t>TB-3006IR</t>
  </si>
  <si>
    <t>Round snail inflatable iron base</t>
  </si>
  <si>
    <t>TB-3009 IR</t>
  </si>
  <si>
    <t xml:space="preserve">قاعدة حديد مدور أسود </t>
  </si>
  <si>
    <t xml:space="preserve">Black round iron base </t>
  </si>
  <si>
    <t>TB-3010IR</t>
  </si>
  <si>
    <t>قاعدة حديد 50 سم</t>
  </si>
  <si>
    <t>Iron base 50 cm</t>
  </si>
  <si>
    <t>TB-3012AA</t>
  </si>
  <si>
    <t xml:space="preserve">TB-3012 </t>
  </si>
  <si>
    <t>قاعدة حديد مربع أسود / رمادي</t>
  </si>
  <si>
    <t>Black/gray square iron base</t>
  </si>
  <si>
    <t>TB-3013IR</t>
  </si>
  <si>
    <t xml:space="preserve">قاعدة حديد نفخ مربع ملس 72 </t>
  </si>
  <si>
    <t xml:space="preserve">Melas square inflatable iron base 72 </t>
  </si>
  <si>
    <t>3015IR-72</t>
  </si>
  <si>
    <t>قاعدة حديد 45 سم</t>
  </si>
  <si>
    <t>Iron base 45 cm</t>
  </si>
  <si>
    <t>3015AA</t>
  </si>
  <si>
    <t>قاعدة حديد نفخ مجوز عالي 65 سم</t>
  </si>
  <si>
    <t>Inflatable iron base, 65 cm high</t>
  </si>
  <si>
    <t>TB-3018/65IR</t>
  </si>
  <si>
    <t>قاعدة حديد نفخ مجوز عالي 72 سم</t>
  </si>
  <si>
    <t>Inflatable iron base, 72 cm high</t>
  </si>
  <si>
    <t>TB-3018/72 / AA</t>
  </si>
  <si>
    <t xml:space="preserve">قاعدة حديد نفخ مجوز عالي 110 </t>
  </si>
  <si>
    <t xml:space="preserve">High wrought iron base 110 </t>
  </si>
  <si>
    <t>3018/110 IR</t>
  </si>
  <si>
    <t xml:space="preserve">قاعدة حديد مسح مدور </t>
  </si>
  <si>
    <t xml:space="preserve">Round cast iron base </t>
  </si>
  <si>
    <t>Iron base</t>
  </si>
  <si>
    <t>Perforated iron base</t>
  </si>
  <si>
    <t>قاعدة حديد مدور كبس 40 سم اسود</t>
  </si>
  <si>
    <t>Round iron base, 40 cm, black</t>
  </si>
  <si>
    <t>TB-400A</t>
  </si>
  <si>
    <t>قاعدة حديد مدور كبس 45 سم اسود</t>
  </si>
  <si>
    <t>Round iron base, 45 cm, black</t>
  </si>
  <si>
    <t>TB-450A</t>
  </si>
  <si>
    <t>قاعدة حديد مدور كبس اسود</t>
  </si>
  <si>
    <t>Round iron base with black press</t>
  </si>
  <si>
    <t>قاعدة حديد مستطيل اسود</t>
  </si>
  <si>
    <t>Black rectangular iron base</t>
  </si>
  <si>
    <t>TB-4071B</t>
  </si>
  <si>
    <t>قاعدة حديد مربع كبس اسود</t>
  </si>
  <si>
    <t>Black square iron base</t>
  </si>
  <si>
    <t>TB-401-80/30</t>
  </si>
  <si>
    <t xml:space="preserve">قاعدة حديد مجوز </t>
  </si>
  <si>
    <t xml:space="preserve">Perforated iron base </t>
  </si>
  <si>
    <t>E30 B</t>
  </si>
  <si>
    <t>قاعدة حديد مسح مربع</t>
  </si>
  <si>
    <t>Square cast iron base</t>
  </si>
  <si>
    <t>E05 EK</t>
  </si>
  <si>
    <t>E3019</t>
  </si>
  <si>
    <t>E3019AA</t>
  </si>
  <si>
    <t>TB-369</t>
  </si>
  <si>
    <t>قاعدة حديد رمادي</t>
  </si>
  <si>
    <t>Gray iron base</t>
  </si>
  <si>
    <t>TB-339-8p7</t>
  </si>
  <si>
    <t>قاعدة حديد اسود</t>
  </si>
  <si>
    <t>Black iron base</t>
  </si>
  <si>
    <t>TB-339-40/B</t>
  </si>
  <si>
    <t xml:space="preserve">قاعدة حديد بار درج مدور </t>
  </si>
  <si>
    <t xml:space="preserve">Round drawer bar iron base </t>
  </si>
  <si>
    <t>TB-3099</t>
  </si>
  <si>
    <t>Square smooth bar iron base</t>
  </si>
  <si>
    <t>TB-3155</t>
  </si>
  <si>
    <t xml:space="preserve">قاعدة حديد مربع ذهبي </t>
  </si>
  <si>
    <t xml:space="preserve">Golden square iron base </t>
  </si>
  <si>
    <t>TB-1030 / GOLD</t>
  </si>
  <si>
    <t xml:space="preserve">قاعدة حديد مدور ملس </t>
  </si>
  <si>
    <t xml:space="preserve">Smooth round iron base </t>
  </si>
  <si>
    <t>ZZ 18B</t>
  </si>
  <si>
    <t>قاعدة حديد مدور اسود / ذهبي  45 سم</t>
  </si>
  <si>
    <t>Round iron base, black/gold, 45 cm</t>
  </si>
  <si>
    <t>PTB 02/450</t>
  </si>
  <si>
    <t>قاعدة حديد مربع اسود / ذهبي  40 سم</t>
  </si>
  <si>
    <t>Black/gold square iron base, 40 cm</t>
  </si>
  <si>
    <t>PTB 08/400</t>
  </si>
  <si>
    <t>قاعدة حديد مربع اسود / ذهبي  45 سم</t>
  </si>
  <si>
    <t>Black/gold square iron base, 45 cm</t>
  </si>
  <si>
    <t>PTB 08/450</t>
  </si>
  <si>
    <t xml:space="preserve">قاعدة مستطيل 40*70 سم اسود/ذهبي </t>
  </si>
  <si>
    <t xml:space="preserve">Rectangular base, 40*70 cm, black/gold </t>
  </si>
  <si>
    <t>PTB 10/4070</t>
  </si>
  <si>
    <t xml:space="preserve">قاعدة مستطيل 40*90 سم اسود/ذهبي </t>
  </si>
  <si>
    <t xml:space="preserve">Rectangular base, 40*90 cm, black/gold </t>
  </si>
  <si>
    <t>PTB 10/4090</t>
  </si>
  <si>
    <t>PTB 13/450</t>
  </si>
  <si>
    <t>PTB 15/4070</t>
  </si>
  <si>
    <t>PTB 15/4090</t>
  </si>
  <si>
    <t>PTB 16/450</t>
  </si>
  <si>
    <t xml:space="preserve">قاعدة فونت </t>
  </si>
  <si>
    <t xml:space="preserve">Wundt's rule </t>
  </si>
  <si>
    <t>قاعدة فونت بار 4 ارجل</t>
  </si>
  <si>
    <t>Font bar base 4 legs</t>
  </si>
  <si>
    <t>TB-111H</t>
  </si>
  <si>
    <t>Font Base</t>
  </si>
  <si>
    <t>Font rule is permitted</t>
  </si>
  <si>
    <t>TB-212/80</t>
  </si>
  <si>
    <t>قاعدة فونت 4 ارجل درج</t>
  </si>
  <si>
    <t>Font base with 4 drawer legs</t>
  </si>
  <si>
    <t>قاعدة فونت 4 ارجل X قلاب</t>
  </si>
  <si>
    <t>Font base 4 legs x flap</t>
  </si>
  <si>
    <t>Flip font base</t>
  </si>
  <si>
    <t xml:space="preserve">قاعدة فونت X رفيع </t>
  </si>
  <si>
    <t xml:space="preserve">Font X Slim base </t>
  </si>
  <si>
    <t>E 53</t>
  </si>
  <si>
    <t>Font square rule</t>
  </si>
  <si>
    <t>E 43</t>
  </si>
  <si>
    <t>قاعدة فونت X  عريض</t>
  </si>
  <si>
    <t>Font base X wide</t>
  </si>
  <si>
    <t>E 87</t>
  </si>
  <si>
    <t>E 75</t>
  </si>
  <si>
    <t>Rectangular font base</t>
  </si>
  <si>
    <t>قاعدة فونت مستطيل دوبل</t>
  </si>
  <si>
    <t>Double rectangle font base</t>
  </si>
  <si>
    <t>قاعدة فونت مربع درج</t>
  </si>
  <si>
    <t>Font box drawer base</t>
  </si>
  <si>
    <t>TB-302</t>
  </si>
  <si>
    <t xml:space="preserve">قاعدة فونت مدور </t>
  </si>
  <si>
    <t xml:space="preserve">Round font base </t>
  </si>
  <si>
    <t>TB-305</t>
  </si>
  <si>
    <t>قاعدة فونت X عريض / 4</t>
  </si>
  <si>
    <t>Font base X wide/4</t>
  </si>
  <si>
    <t xml:space="preserve">قاعدة فونت مدور كبير ملس </t>
  </si>
  <si>
    <t xml:space="preserve">Large smooth round font base </t>
  </si>
  <si>
    <t>TB-307</t>
  </si>
  <si>
    <t xml:space="preserve">قاعدة فونت بار  </t>
  </si>
  <si>
    <t xml:space="preserve">Font-Bar rule  </t>
  </si>
  <si>
    <t>TB-307HF</t>
  </si>
  <si>
    <t>قاعدة فونت مجوز عريض</t>
  </si>
  <si>
    <t>Wide juz font base</t>
  </si>
  <si>
    <t>قاعدة فونت 45 سم</t>
  </si>
  <si>
    <t>Font base 45 cm</t>
  </si>
  <si>
    <t>TB-311A/45</t>
  </si>
  <si>
    <t>قاعدة فونت X رفيع / صغير</t>
  </si>
  <si>
    <t>Font X Slim/Small base</t>
  </si>
  <si>
    <t xml:space="preserve">TB-311A </t>
  </si>
  <si>
    <t>قاعدة فونت مثمنة</t>
  </si>
  <si>
    <t>Octagonal font base</t>
  </si>
  <si>
    <t>TB-361-43</t>
  </si>
  <si>
    <t>قاعدة فونت نفخ مدور</t>
  </si>
  <si>
    <t>Round inflatable font base</t>
  </si>
  <si>
    <t>TB-313-56</t>
  </si>
  <si>
    <t>TB-335</t>
  </si>
  <si>
    <t>قاعدة فونت 4 ارجل حفر</t>
  </si>
  <si>
    <t>Font base, 4 drill legs</t>
  </si>
  <si>
    <t>TB-215</t>
  </si>
  <si>
    <t>قاعدة فونت 4 ارجل</t>
  </si>
  <si>
    <t>Font base 4 legs</t>
  </si>
  <si>
    <t xml:space="preserve">TB-442 </t>
  </si>
  <si>
    <t xml:space="preserve">قاعدة فونت 3 ارجل </t>
  </si>
  <si>
    <t xml:space="preserve">Font base 3 legs </t>
  </si>
  <si>
    <t>قاعدة فونت مستطيل ملس</t>
  </si>
  <si>
    <t>Smooth rectangle font base</t>
  </si>
  <si>
    <t>TB-319</t>
  </si>
  <si>
    <t>TB-04B</t>
  </si>
  <si>
    <t>TB-10B</t>
  </si>
  <si>
    <t>قاعدة فونت مدور درج</t>
  </si>
  <si>
    <t>Round drawer base</t>
  </si>
  <si>
    <t>TB-011A</t>
  </si>
  <si>
    <t>قاعدة فونت بار مربع ملس</t>
  </si>
  <si>
    <t>Smooth square font bar base</t>
  </si>
  <si>
    <t>TB-052</t>
  </si>
  <si>
    <t>قاعدة فونت بار مدور ملس</t>
  </si>
  <si>
    <t>Smooth rounded fountain bar base</t>
  </si>
  <si>
    <t>TB-001</t>
  </si>
  <si>
    <t>قاعدة فونت 4 ارجل قسطل رفيع                    311</t>
  </si>
  <si>
    <t>Font base, 4 legs, thin cast 311</t>
  </si>
  <si>
    <t>TB-070A</t>
  </si>
  <si>
    <t>قاعدة فونت 4 ارجل X عريض صغير           306</t>
  </si>
  <si>
    <t>Font base 4 legs x small wide 306</t>
  </si>
  <si>
    <t>TB-076A/540</t>
  </si>
  <si>
    <t xml:space="preserve">قاعدة فونت 4 ارجل X عريض كبير </t>
  </si>
  <si>
    <t xml:space="preserve">Font base, 4 legs, large </t>
  </si>
  <si>
    <t>TB-076A/620</t>
  </si>
  <si>
    <t>قاعدة فونت 3 ارجل قسطل رفيع</t>
  </si>
  <si>
    <t>Font base, 3 legs, thin cast</t>
  </si>
  <si>
    <t>TB-078A/3 or 079A/3</t>
  </si>
  <si>
    <t>قاعدة فونت 4 ارجل وردة قسطل حفر رفيع</t>
  </si>
  <si>
    <t>Fount base, 4 legs, fine engraved casserole rose</t>
  </si>
  <si>
    <t>TB-079A/4/720</t>
  </si>
  <si>
    <t>قاعدة فونت 4 ارجل حفر قسطل عريض</t>
  </si>
  <si>
    <t>Font base, 4 legs, wide pipe drilling</t>
  </si>
  <si>
    <t>TB-079/H</t>
  </si>
  <si>
    <t>قاعدة فونت 4 ارجل وردة قسطل ملس</t>
  </si>
  <si>
    <t>Font base with 4 legs, Kastal Meles rose</t>
  </si>
  <si>
    <t>TB-079/K</t>
  </si>
  <si>
    <t xml:space="preserve">قاعدة فونت 3 ارجل حفر صغير  </t>
  </si>
  <si>
    <t xml:space="preserve">Fount base, 3 legs, small drill  </t>
  </si>
  <si>
    <t>TB-080A</t>
  </si>
  <si>
    <t xml:space="preserve">قاعدة فونت 4 ارجل حفر صغير  </t>
  </si>
  <si>
    <t xml:space="preserve">Font base, 4 legs, small drill  </t>
  </si>
  <si>
    <t>TB-081A</t>
  </si>
  <si>
    <t>قاعدة فونت 4 ارجل  مكنة</t>
  </si>
  <si>
    <t>Font base, 4 legs, machine</t>
  </si>
  <si>
    <t>TB-9052</t>
  </si>
  <si>
    <t xml:space="preserve">قاعدة فونت بار 4 ارجل قسطل حفر </t>
  </si>
  <si>
    <t xml:space="preserve">Font bar base, 4 legs, drill pipe </t>
  </si>
  <si>
    <t>TB-079H/1080</t>
  </si>
  <si>
    <t xml:space="preserve">قاعدة فونت بار 4 ارجل قسطل ملس </t>
  </si>
  <si>
    <t xml:space="preserve">Font bar base with 4 legs, Castel smoothie </t>
  </si>
  <si>
    <t>TB-079KA/76</t>
  </si>
  <si>
    <t>قاعدة فونت ملس مدور</t>
  </si>
  <si>
    <t>Rounded font smooth base</t>
  </si>
  <si>
    <t>TB-001A/430</t>
  </si>
  <si>
    <t>قاعدة فونت ملس مربع</t>
  </si>
  <si>
    <t>Square font mals base</t>
  </si>
  <si>
    <t>TB-052A/500</t>
  </si>
  <si>
    <t>Square heel font base</t>
  </si>
  <si>
    <t>TB-097A/425</t>
  </si>
  <si>
    <t>Font Malaysia base</t>
  </si>
  <si>
    <t>TB-104A</t>
  </si>
  <si>
    <t>قاعدة فونت مجوز                                      335</t>
  </si>
  <si>
    <t>Font Majuz base 335</t>
  </si>
  <si>
    <t>TB-072A</t>
  </si>
  <si>
    <t>قاعدة فونت مجوز                                      309</t>
  </si>
  <si>
    <t>Font Majoz rule 309</t>
  </si>
  <si>
    <t>TB-074G/76</t>
  </si>
  <si>
    <t xml:space="preserve">كراسي مكتب </t>
  </si>
  <si>
    <t xml:space="preserve">كرسي مكتب </t>
  </si>
  <si>
    <t xml:space="preserve">Office chair </t>
  </si>
  <si>
    <t>ZOC 707 ZM</t>
  </si>
  <si>
    <t>Office chairs</t>
  </si>
  <si>
    <t>ZOC 707A ZM</t>
  </si>
  <si>
    <t>ZOC 707B ZM</t>
  </si>
  <si>
    <t>ZOC 9010</t>
  </si>
  <si>
    <t>ZOC 903B</t>
  </si>
  <si>
    <t xml:space="preserve">كرسي مكتب متحرك دولاب </t>
  </si>
  <si>
    <t xml:space="preserve">Wheelchair office chair </t>
  </si>
  <si>
    <t>ZOC 515B/ZM</t>
  </si>
  <si>
    <t>Fixed office chair</t>
  </si>
  <si>
    <t>ZOC 515B/ZV</t>
  </si>
  <si>
    <t>ZOC 8001</t>
  </si>
  <si>
    <t>ZOC 8002</t>
  </si>
  <si>
    <t>Office chair with support</t>
  </si>
  <si>
    <t>ZOC 2020A</t>
  </si>
  <si>
    <t xml:space="preserve">كرسي مكتب بدون سندة </t>
  </si>
  <si>
    <t xml:space="preserve">Office chair without support </t>
  </si>
  <si>
    <t>ZOC 2020B</t>
  </si>
  <si>
    <t>ZOC 6903</t>
  </si>
  <si>
    <t>ZOC 202A</t>
  </si>
  <si>
    <t>ZOC 303</t>
  </si>
  <si>
    <t xml:space="preserve">GAMING CHAIR                      كرسي مكتب </t>
  </si>
  <si>
    <t xml:space="preserve">GAMING CHAIR Office chair </t>
  </si>
  <si>
    <t>ZOC F-041A</t>
  </si>
  <si>
    <t>ZOC 911S</t>
  </si>
  <si>
    <t>ZOC FS 188</t>
  </si>
  <si>
    <t>ZOC FS 188W/O</t>
  </si>
  <si>
    <t>ZOC 535</t>
  </si>
  <si>
    <t>كرسي مكتب  / دولاب</t>
  </si>
  <si>
    <t>Office chair/cupboard</t>
  </si>
  <si>
    <t>ZOC 321A</t>
  </si>
  <si>
    <t>ZOC 886A</t>
  </si>
  <si>
    <t>كرسي سكرتيرة / دولاب</t>
  </si>
  <si>
    <t>Secretary chair/cupboard</t>
  </si>
  <si>
    <t>ZOC 4005</t>
  </si>
  <si>
    <t>كرسي سكرتيرة ثابت</t>
  </si>
  <si>
    <t>Fixed secretary chair</t>
  </si>
  <si>
    <t>ZOC 4006</t>
  </si>
  <si>
    <t>ZOC 905</t>
  </si>
  <si>
    <t>ZOC 727</t>
  </si>
  <si>
    <t>كرسي مكتب جلد ثقيل</t>
  </si>
  <si>
    <t>Heavy leather office chair</t>
  </si>
  <si>
    <t>ZOC 033/048</t>
  </si>
  <si>
    <t>ZOC 3029</t>
  </si>
  <si>
    <t>ZOC FS 808D</t>
  </si>
  <si>
    <t xml:space="preserve">خيم </t>
  </si>
  <si>
    <t>خيمة خشب 3*3 م</t>
  </si>
  <si>
    <t>Wooden tent 3*3 m</t>
  </si>
  <si>
    <t>ZG 303/GAZIBO</t>
  </si>
  <si>
    <t>Tents</t>
  </si>
  <si>
    <t>خيمة قماش 3*3 م ثقيل</t>
  </si>
  <si>
    <t>Heavy duty 3*3m canvas tent</t>
  </si>
  <si>
    <t>ZG 042/GAZIBO</t>
  </si>
  <si>
    <t>Iron tent 3*3 m</t>
  </si>
  <si>
    <t>ZG 067</t>
  </si>
  <si>
    <t>Tent 3*3 m</t>
  </si>
  <si>
    <t>ZG 301/GAZIBO</t>
  </si>
  <si>
    <t>خيمة 2*3 م رسور حديد</t>
  </si>
  <si>
    <t>Tent 2*3 m iron fence</t>
  </si>
  <si>
    <t>ZG S23</t>
  </si>
  <si>
    <t>خيمة 3*3 م رسور</t>
  </si>
  <si>
    <t>Tent 3*3 m Rasour</t>
  </si>
  <si>
    <t>ZG S15/0115</t>
  </si>
  <si>
    <t>خيمة 2*3 م ثقيل المنيوم</t>
  </si>
  <si>
    <t>Tent 2*3 m, heavy aluminum</t>
  </si>
  <si>
    <t>ZG S203</t>
  </si>
  <si>
    <t>خيمة 3*4.5 م</t>
  </si>
  <si>
    <t>Tent 3*4.5 m</t>
  </si>
  <si>
    <t>ZG S18</t>
  </si>
  <si>
    <t>وجه خيمة / حبل</t>
  </si>
  <si>
    <t>Tent face/rope</t>
  </si>
  <si>
    <t>10M / 12M</t>
  </si>
  <si>
    <t>تلزيق</t>
  </si>
  <si>
    <t>Gluing</t>
  </si>
  <si>
    <t>12 VELCRO</t>
  </si>
  <si>
    <t>15 VELCRO</t>
  </si>
  <si>
    <t>اكياس رمل 10 ك</t>
  </si>
  <si>
    <t>Sand bags 10 kg</t>
  </si>
  <si>
    <t>SAND BAG</t>
  </si>
  <si>
    <t xml:space="preserve"> كراسي ألمنيوم </t>
  </si>
  <si>
    <t>كرسي المنيوم مع طراحة</t>
  </si>
  <si>
    <t>Aluminum chair with cushion</t>
  </si>
  <si>
    <t>ZAL 350300</t>
  </si>
  <si>
    <t>Aluminum Chairs</t>
  </si>
  <si>
    <t>كرسي ستاربكس بدون  يد</t>
  </si>
  <si>
    <t>ZAL 01</t>
  </si>
  <si>
    <t>كرسي ستاربكس مع يد خفيف</t>
  </si>
  <si>
    <t>Starbucks chair with light handle</t>
  </si>
  <si>
    <t>ZZC 305</t>
  </si>
  <si>
    <t xml:space="preserve">كرسي ستاربكس مع يد           DOUBLE TUBE </t>
  </si>
  <si>
    <t xml:space="preserve">STARBUCKS CHAIR WITH DOUBLE TUBE HANDLE </t>
  </si>
  <si>
    <t>ZZC 12</t>
  </si>
  <si>
    <t xml:space="preserve">كرسي مطعم   </t>
  </si>
  <si>
    <t xml:space="preserve">Restaurant chair   </t>
  </si>
  <si>
    <t>ZRC 0023CY</t>
  </si>
  <si>
    <t>اصناف مختلفة</t>
  </si>
  <si>
    <t>Wooden tea cart</t>
  </si>
  <si>
    <t>Different Varieties</t>
  </si>
  <si>
    <t xml:space="preserve">برفان خشب </t>
  </si>
  <si>
    <t xml:space="preserve">Wood perfume </t>
  </si>
  <si>
    <t>P-022/024/025</t>
  </si>
  <si>
    <t>برفان خشب عريض</t>
  </si>
  <si>
    <t>Wide wood perfume</t>
  </si>
  <si>
    <t>P-022/B - ZZ 19-10$</t>
  </si>
  <si>
    <t>Straw perfume</t>
  </si>
  <si>
    <t>ZZ 1000</t>
  </si>
  <si>
    <t>Jacket holder</t>
  </si>
  <si>
    <t>عامود ثياب حديد بلحة</t>
  </si>
  <si>
    <t>Balha iron clothes pole</t>
  </si>
  <si>
    <t>CH-2086</t>
  </si>
  <si>
    <t>Iron clothes pole</t>
  </si>
  <si>
    <t>CH-506</t>
  </si>
  <si>
    <t xml:space="preserve">عامود ثياب ستانلس </t>
  </si>
  <si>
    <t xml:space="preserve">Stainless clothes pole </t>
  </si>
  <si>
    <t>ZHC 10081</t>
  </si>
  <si>
    <t>مراية صغير تعليق</t>
  </si>
  <si>
    <t>Small hanging mirror</t>
  </si>
  <si>
    <t>Z Q31/H31</t>
  </si>
  <si>
    <t xml:space="preserve">مراية مستطيل </t>
  </si>
  <si>
    <t xml:space="preserve">Rectangle mirror </t>
  </si>
  <si>
    <t>Z 8137</t>
  </si>
  <si>
    <t xml:space="preserve">مراية مستطيل   LED </t>
  </si>
  <si>
    <t xml:space="preserve">LED rectangular mirror </t>
  </si>
  <si>
    <t>مراية اوفال دولاب</t>
  </si>
  <si>
    <t>Oval cupboard mirror</t>
  </si>
  <si>
    <t>Z 320</t>
  </si>
  <si>
    <t>مراية اوفال</t>
  </si>
  <si>
    <t>Oval mirror</t>
  </si>
  <si>
    <t>بوف نص دائرة</t>
  </si>
  <si>
    <t>Buff text circle</t>
  </si>
  <si>
    <t>Z 6113 / 5100</t>
  </si>
  <si>
    <t>بوف فوتاي بحر قماش</t>
  </si>
  <si>
    <t>Buff futay beach fabric</t>
  </si>
  <si>
    <t>Z 6123</t>
  </si>
  <si>
    <t>بوف شزلونغ بحر</t>
  </si>
  <si>
    <t>Bahr chaise longue buffet</t>
  </si>
  <si>
    <t>Z 6123/WTR PROOF</t>
  </si>
  <si>
    <t>Z 6145</t>
  </si>
  <si>
    <t>بوف مثلث</t>
  </si>
  <si>
    <t>Triangle buff</t>
  </si>
  <si>
    <t>Z 6165</t>
  </si>
  <si>
    <t>بوف نص دائرة بالون مع مسكة</t>
  </si>
  <si>
    <t>Puff half circle balloon with handle</t>
  </si>
  <si>
    <t>Z 7100</t>
  </si>
  <si>
    <t xml:space="preserve">LADY BAG                        بوف عريض كبير </t>
  </si>
  <si>
    <t xml:space="preserve">LADY BAG Large wide pouf </t>
  </si>
  <si>
    <t>Z 8100</t>
  </si>
  <si>
    <t xml:space="preserve">CORNER BOUF                          بوف زاوية </t>
  </si>
  <si>
    <t xml:space="preserve">CORNER BOUF </t>
  </si>
  <si>
    <t>ZHL 2022</t>
  </si>
  <si>
    <t xml:space="preserve">STOOL                                   بوف مقعد مربع </t>
  </si>
  <si>
    <t xml:space="preserve">STOOL pouf square seat </t>
  </si>
  <si>
    <t>L - SHAPE                                            بوف</t>
  </si>
  <si>
    <t>L - SHAPE POV</t>
  </si>
  <si>
    <t xml:space="preserve">عربية بلاستيك صغير </t>
  </si>
  <si>
    <t xml:space="preserve">Small plastic stroller </t>
  </si>
  <si>
    <t>ZZ 8675</t>
  </si>
  <si>
    <t xml:space="preserve">عربية بلاستيك كبير </t>
  </si>
  <si>
    <t>ZZ 8674</t>
  </si>
  <si>
    <t>اكسسوار مطعم</t>
  </si>
  <si>
    <t>Restaurant accessory</t>
  </si>
  <si>
    <t>ZZ 8690</t>
  </si>
  <si>
    <t>طقم كوان 1+ 2 كرسي</t>
  </si>
  <si>
    <t>Cowan set 1 + 2 chairs</t>
  </si>
  <si>
    <t>CT- 329/331/332/336</t>
  </si>
  <si>
    <t>CT-042-8047</t>
  </si>
  <si>
    <t>طقم فونت + بنك BENCH</t>
  </si>
  <si>
    <t xml:space="preserve">طقم فونت 1+4 كراسي </t>
  </si>
  <si>
    <t xml:space="preserve">Font set 1+4 chairs </t>
  </si>
  <si>
    <t>ZFB- 1017/1003</t>
  </si>
  <si>
    <t>Font set + BENCH bank</t>
  </si>
  <si>
    <t xml:space="preserve">طقم فونت 1+6 كراسي </t>
  </si>
  <si>
    <t xml:space="preserve">Font set 1+6 chairs </t>
  </si>
  <si>
    <t>ZFB- 1024/1005</t>
  </si>
  <si>
    <t>ZFB- 1024/1024</t>
  </si>
  <si>
    <t xml:space="preserve">بنك فونت 122 سم </t>
  </si>
  <si>
    <t xml:space="preserve">Font bank 122 cm </t>
  </si>
  <si>
    <t>ZFB-PA025/122</t>
  </si>
  <si>
    <t>بنك فونت 150 سم</t>
  </si>
  <si>
    <t>ZFB-PA025/150</t>
  </si>
  <si>
    <t xml:space="preserve">بنك فونت 180 سم </t>
  </si>
  <si>
    <t xml:space="preserve">Bank Font 180 cm </t>
  </si>
  <si>
    <t>ZFB-PA025/180</t>
  </si>
  <si>
    <t>Bank Font Two Seats Without Handles</t>
  </si>
  <si>
    <t>ZFB-078</t>
  </si>
  <si>
    <t>بنك فونت مقعدين مع  يد</t>
  </si>
  <si>
    <t>Bank Fount Two Seats With Handle</t>
  </si>
  <si>
    <t>ZFB- 303</t>
  </si>
  <si>
    <t>بنك فونت مقعدين مع  يد 120 سم</t>
  </si>
  <si>
    <t>Two-seater bank fountain with handle 120 cm</t>
  </si>
  <si>
    <t>ZFB- 307</t>
  </si>
  <si>
    <t>Bank Font two chairs without back</t>
  </si>
  <si>
    <t>ZFB- 309</t>
  </si>
  <si>
    <t>بنك فونت 120 سم</t>
  </si>
  <si>
    <t>Font bank 120 cm</t>
  </si>
  <si>
    <t>ZFB- 315</t>
  </si>
  <si>
    <t xml:space="preserve">بنك فونت مقعدين </t>
  </si>
  <si>
    <t xml:space="preserve">Font bank two seats </t>
  </si>
  <si>
    <t>ZFB- 110</t>
  </si>
  <si>
    <t>بنك فونت 3 مقاعد مع يد 150 سم</t>
  </si>
  <si>
    <t>3-seater Font Bank with handle 150 cm</t>
  </si>
  <si>
    <t>ZFB- 130</t>
  </si>
  <si>
    <t>بنك فونت 3 مقاعد بدون يد 150 سم</t>
  </si>
  <si>
    <t>Bank Fount 3 seats without handle, 150 cm</t>
  </si>
  <si>
    <t>ZFB- 102</t>
  </si>
  <si>
    <t>Font Bank</t>
  </si>
  <si>
    <t>ZFB- 359/362/364</t>
  </si>
  <si>
    <t>ZFB- 9061</t>
  </si>
  <si>
    <t>ZFB- 9062/9063</t>
  </si>
  <si>
    <t>ZFB- F3</t>
  </si>
  <si>
    <t>جنب بنك فونت</t>
  </si>
  <si>
    <t>Next to Font Bank</t>
  </si>
  <si>
    <t>ZFB- 003/011/013</t>
  </si>
  <si>
    <t>كرسي بلاستيك رمادي</t>
  </si>
  <si>
    <t>Gray plastic chair</t>
  </si>
  <si>
    <t>P-210</t>
  </si>
  <si>
    <t>Plastic Chairs</t>
  </si>
  <si>
    <t>Plastic chair with stainless steel</t>
  </si>
  <si>
    <t>كرسي بلاستيك مع يد اسود</t>
  </si>
  <si>
    <t>Black plastic chair with handle</t>
  </si>
  <si>
    <t>C-656K</t>
  </si>
  <si>
    <t>C-700A</t>
  </si>
  <si>
    <t>C-710</t>
  </si>
  <si>
    <t>C-713/P</t>
  </si>
  <si>
    <t>C-717/P</t>
  </si>
  <si>
    <t>Plastic chair with wood without handle</t>
  </si>
  <si>
    <t>C-623/P</t>
  </si>
  <si>
    <t xml:space="preserve">كرسي بلاستيك شبك مع خشب </t>
  </si>
  <si>
    <t xml:space="preserve">Plastic mesh chair with wood </t>
  </si>
  <si>
    <t>C-WB-1</t>
  </si>
  <si>
    <t xml:space="preserve">كرسي بلاستيك مع حديد مخرّم </t>
  </si>
  <si>
    <t xml:space="preserve">Plastic chair with perforated iron </t>
  </si>
  <si>
    <t>C-832</t>
  </si>
  <si>
    <t>كرسي بلاستيك وردة بدون يد</t>
  </si>
  <si>
    <t>Rose plastic chair without handle</t>
  </si>
  <si>
    <t>C-803</t>
  </si>
  <si>
    <t xml:space="preserve">كرسي بلاستيك مقلم LILI </t>
  </si>
  <si>
    <t xml:space="preserve">LILI striped plastic chair </t>
  </si>
  <si>
    <t>C-140F</t>
  </si>
  <si>
    <t xml:space="preserve">كرسي بلاستيك شبك عريض LILI </t>
  </si>
  <si>
    <t xml:space="preserve">LILI wide mesh plastic chair </t>
  </si>
  <si>
    <t>C-222</t>
  </si>
  <si>
    <t xml:space="preserve">كرسي بلاستيك مقعد جلد </t>
  </si>
  <si>
    <t xml:space="preserve">Plastic chair with leather seat </t>
  </si>
  <si>
    <t>C-635</t>
  </si>
  <si>
    <t>C-130DP</t>
  </si>
  <si>
    <t>كرسي بلاستيك مع خشب مع يد برم</t>
  </si>
  <si>
    <t>Plastic chair with wood with hand twirl</t>
  </si>
  <si>
    <t>C-132DPP</t>
  </si>
  <si>
    <t>H001/LINA</t>
  </si>
  <si>
    <t>كرسي بلاستيك ابيض</t>
  </si>
  <si>
    <t>White plastic chair</t>
  </si>
  <si>
    <t>H001C/LINA-WHITE</t>
  </si>
  <si>
    <t>كرسي بلاستيك ذهبي</t>
  </si>
  <si>
    <t>Gold plastic chair</t>
  </si>
  <si>
    <t>H001B/LINA-GOLD</t>
  </si>
  <si>
    <t>H001B/LOTUS-WHITE</t>
  </si>
  <si>
    <t xml:space="preserve">كرسي بلاستيك </t>
  </si>
  <si>
    <t xml:space="preserve">Plastic chair </t>
  </si>
  <si>
    <t>H002/NAPOLEAN</t>
  </si>
  <si>
    <t>H004/LOTUS</t>
  </si>
  <si>
    <t>كرسي بلاستيك  X</t>
  </si>
  <si>
    <t>H011</t>
  </si>
  <si>
    <t>FINICIA/ CHAIR</t>
  </si>
  <si>
    <t>كرسي بلاستيك وكروم شبك</t>
  </si>
  <si>
    <t>Plastic and chrome mesh chair</t>
  </si>
  <si>
    <t>كرسي مطعم بلاستيك ولادي</t>
  </si>
  <si>
    <t>Boys plastic restaurant chair</t>
  </si>
  <si>
    <t>C-8715</t>
  </si>
  <si>
    <t>C-Y07/09</t>
  </si>
  <si>
    <t xml:space="preserve">كرسي بلاستيك مع يد </t>
  </si>
  <si>
    <t xml:space="preserve">Plastic chair with handle </t>
  </si>
  <si>
    <t>C-780</t>
  </si>
  <si>
    <t>كرسي بلاستيك X</t>
  </si>
  <si>
    <t>C-721</t>
  </si>
  <si>
    <t>Striped plastic chair without handle</t>
  </si>
  <si>
    <t>C-722</t>
  </si>
  <si>
    <t xml:space="preserve">كرسي بلاستيك مقلم عريض بدون يد </t>
  </si>
  <si>
    <t xml:space="preserve">Wide striped plastic chair without handle </t>
  </si>
  <si>
    <t>C-723</t>
  </si>
  <si>
    <t>كرسي بلاستيك عريض مقعد جلد</t>
  </si>
  <si>
    <t>Wide plastic chair with leather seat</t>
  </si>
  <si>
    <t>C-086</t>
  </si>
  <si>
    <t>Plastic chair with thin handle</t>
  </si>
  <si>
    <t>C-1790</t>
  </si>
  <si>
    <t>كرسي بلاستيك عريض بدون يد</t>
  </si>
  <si>
    <t>Wide plastic chair without handle</t>
  </si>
  <si>
    <t>ZZ PP 902</t>
  </si>
  <si>
    <t>كرسي بلاستيك عريض مع يد</t>
  </si>
  <si>
    <t>Wide plastic chair with handle</t>
  </si>
  <si>
    <t>ZZ PP 903</t>
  </si>
  <si>
    <t>كرسي بلاستيك جدل حبل مع يد</t>
  </si>
  <si>
    <t>Plastic braided rope chair with handle</t>
  </si>
  <si>
    <t>ZZ PP 920</t>
  </si>
  <si>
    <t>ZZ PP 738</t>
  </si>
  <si>
    <t>ZZ PP 753</t>
  </si>
  <si>
    <t xml:space="preserve">كرسي بلاستيك شبك عريض  </t>
  </si>
  <si>
    <t xml:space="preserve">Wide mesh plastic chair  </t>
  </si>
  <si>
    <t>ZZ PP 778</t>
  </si>
  <si>
    <t>Plastic chair without handle</t>
  </si>
  <si>
    <t>ZZ PP 792</t>
  </si>
  <si>
    <t>CROSS</t>
  </si>
  <si>
    <t>9001 IR</t>
  </si>
  <si>
    <t>Picture/صورة</t>
  </si>
  <si>
    <t>TABLE TOP 120*80</t>
  </si>
  <si>
    <t>120*80TB</t>
  </si>
  <si>
    <t>color black, size 120*80</t>
  </si>
  <si>
    <t>ALUMINUM BASE</t>
  </si>
  <si>
    <t>68*68AL</t>
  </si>
  <si>
    <t>ACACIA DRESSING TABLE</t>
  </si>
  <si>
    <t>ACACIA MIRROR</t>
  </si>
  <si>
    <t>كرسي المنيوم فدار من طقم</t>
  </si>
  <si>
    <t>AL-4039/CHAIR</t>
  </si>
  <si>
    <t>طاولة المنيوم فدار</t>
  </si>
  <si>
    <t>AL-4039/TABLE</t>
  </si>
  <si>
    <t>AL-SAAS-1000/T</t>
  </si>
  <si>
    <t>2 SEATER BANQUET</t>
  </si>
  <si>
    <t>B-11</t>
  </si>
  <si>
    <t>تخت طابقين</t>
  </si>
  <si>
    <t>B-4074</t>
  </si>
  <si>
    <t>فاترين سفرة 3 درف</t>
  </si>
  <si>
    <t>فاترين 4  درف</t>
  </si>
  <si>
    <t>BH-3413</t>
  </si>
  <si>
    <t>C-1105</t>
  </si>
  <si>
    <t>C-1159</t>
  </si>
  <si>
    <t>C-1206</t>
  </si>
  <si>
    <t>C-1207</t>
  </si>
  <si>
    <t>كرسي سفرة وردة</t>
  </si>
  <si>
    <t>C-269</t>
  </si>
  <si>
    <t>C-30HW BACK</t>
  </si>
  <si>
    <t>C-319</t>
  </si>
  <si>
    <t>كرسي بار برغي</t>
  </si>
  <si>
    <t>كرسي اصابع</t>
  </si>
  <si>
    <t>C-554/RH</t>
  </si>
  <si>
    <t>كرسي سفرة أصابع حفر</t>
  </si>
  <si>
    <t>C-559RH</t>
  </si>
  <si>
    <t>STL HOTEL CHAIR</t>
  </si>
  <si>
    <t>C-7098</t>
  </si>
  <si>
    <t>كرسي بار حديد</t>
  </si>
  <si>
    <t>C-801/30</t>
  </si>
  <si>
    <t>SILVER كرسي حديد مع يد</t>
  </si>
  <si>
    <t>C-802/18-METAL</t>
  </si>
  <si>
    <t>C-9636/SH</t>
  </si>
  <si>
    <t>كرسي أوتيل مع يد</t>
  </si>
  <si>
    <t>C-FY525A</t>
  </si>
  <si>
    <t>LOTUS PLEXI CHAIR</t>
  </si>
  <si>
    <t>C-H004</t>
  </si>
  <si>
    <t>C-M94115</t>
  </si>
  <si>
    <t>C-SPARE PARTS</t>
  </si>
  <si>
    <t>C-WOOD CHAIR/A</t>
  </si>
  <si>
    <t>C-WOOD CHAIR/WA</t>
  </si>
  <si>
    <t>CROSS METAL CHAIR</t>
  </si>
  <si>
    <t>RATTAN WOODEN CHAIR</t>
  </si>
  <si>
    <t>C-XMS-004</t>
  </si>
  <si>
    <t>C-XMS-2150</t>
  </si>
  <si>
    <t>C179</t>
  </si>
  <si>
    <t>CH-026</t>
  </si>
  <si>
    <t>CH-50A</t>
  </si>
  <si>
    <t>CH-61SG</t>
  </si>
  <si>
    <t>عامود ثياب كروم</t>
  </si>
  <si>
    <t>CH-878</t>
  </si>
  <si>
    <t>كرسي سفرة جلد مع يد</t>
  </si>
  <si>
    <t>CR-9057</t>
  </si>
  <si>
    <t>كرسي هزاز قش</t>
  </si>
  <si>
    <t>CRF-276</t>
  </si>
  <si>
    <t>مكتب</t>
  </si>
  <si>
    <t>CT-010</t>
  </si>
  <si>
    <t>CT-0999</t>
  </si>
  <si>
    <t>CT-1140-1/SH</t>
  </si>
  <si>
    <t>CT-1153-1</t>
  </si>
  <si>
    <t>CT-1170-1/Q</t>
  </si>
  <si>
    <t>طاولة تص</t>
  </si>
  <si>
    <t>CT-430A</t>
  </si>
  <si>
    <t>CT-432A</t>
  </si>
  <si>
    <t>ستانلس  كرسي</t>
  </si>
  <si>
    <t>D-CHAIR-B2010</t>
  </si>
  <si>
    <t>SOFA BED 1.5M</t>
  </si>
  <si>
    <t>DA-01/1.5</t>
  </si>
  <si>
    <t>طقم طاولة زجاج + 4 كراسي جلد</t>
  </si>
  <si>
    <t>DS-3807</t>
  </si>
  <si>
    <t>DIGITAL TENT SET</t>
  </si>
  <si>
    <t>G-1 DGTL TENT</t>
  </si>
  <si>
    <t>طقم طاولات 4 قطع</t>
  </si>
  <si>
    <t>GU 520</t>
  </si>
  <si>
    <t>H-TMH 2011/T</t>
  </si>
  <si>
    <t>H-TMH 2025/T</t>
  </si>
  <si>
    <t>طاولة سفرة 95*160 سم</t>
  </si>
  <si>
    <t>H-TMH 2032/T</t>
  </si>
  <si>
    <t>H-TMH 230</t>
  </si>
  <si>
    <t>H-TMH 286</t>
  </si>
  <si>
    <t>H-TMH 287</t>
  </si>
  <si>
    <t>H-TMH 289</t>
  </si>
  <si>
    <t>H-TMH 75A</t>
  </si>
  <si>
    <t>H-TMH-321</t>
  </si>
  <si>
    <t>JY 1928-2</t>
  </si>
  <si>
    <t>JY 1932</t>
  </si>
  <si>
    <t>JY092-1</t>
  </si>
  <si>
    <t>JY095</t>
  </si>
  <si>
    <t>JY1029</t>
  </si>
  <si>
    <t>JY1060</t>
  </si>
  <si>
    <t>JY1606</t>
  </si>
  <si>
    <t>JY1927-2</t>
  </si>
  <si>
    <t>JY907-3</t>
  </si>
  <si>
    <t>JY953</t>
  </si>
  <si>
    <t>M-1158/SF</t>
  </si>
  <si>
    <t>مراية كبيرة مستطيل</t>
  </si>
  <si>
    <t>M-124Y</t>
  </si>
  <si>
    <t>UMBRELLA BANANA 2.5*2.5</t>
  </si>
  <si>
    <t>MOTRAN BANANA2.5*2.5</t>
  </si>
  <si>
    <t>ADJUSTABLE CHAIR</t>
  </si>
  <si>
    <t>NJ-1030</t>
  </si>
  <si>
    <t>NJ-103A</t>
  </si>
  <si>
    <t>NJ-9293</t>
  </si>
  <si>
    <t>طقم جيكون</t>
  </si>
  <si>
    <t>NT-123/61660</t>
  </si>
  <si>
    <t>NT-304</t>
  </si>
  <si>
    <t>طقم جيكون تركي ثقيل</t>
  </si>
  <si>
    <t>NT-NESTED TABLE</t>
  </si>
  <si>
    <t>OFFICE DESK 160 cm</t>
  </si>
  <si>
    <t>OD-3216</t>
  </si>
  <si>
    <t>OFFICE DESK</t>
  </si>
  <si>
    <t>OD-8292</t>
  </si>
  <si>
    <t>P-08036S/JH</t>
  </si>
  <si>
    <t>P-301-DPP</t>
  </si>
  <si>
    <t>P-623/WH</t>
  </si>
  <si>
    <t>P-731/B</t>
  </si>
  <si>
    <t>مقعد</t>
  </si>
  <si>
    <t>P-FINICIA CUSHION</t>
  </si>
  <si>
    <t>R-010/2</t>
  </si>
  <si>
    <t>كرسي</t>
  </si>
  <si>
    <t>R-1108</t>
  </si>
  <si>
    <t>كرسي مع يد</t>
  </si>
  <si>
    <t>R-1108/ARM</t>
  </si>
  <si>
    <t>طاولة رزين</t>
  </si>
  <si>
    <t>R-182T</t>
  </si>
  <si>
    <t>R-2043/2060</t>
  </si>
  <si>
    <t>BASE OF COFFEE TABLE</t>
  </si>
  <si>
    <t>R-2070/BASE</t>
  </si>
  <si>
    <t>طاولة رزين 90*90  سم</t>
  </si>
  <si>
    <t>R-2125/90</t>
  </si>
  <si>
    <t>كرسي رزين مع يد</t>
  </si>
  <si>
    <t>R-249C</t>
  </si>
  <si>
    <t>COFFEE TABLE 1+2 PER</t>
  </si>
  <si>
    <t>R-3156/S</t>
  </si>
  <si>
    <t>طقم خيزران ريزين</t>
  </si>
  <si>
    <t>R-3382-CW</t>
  </si>
  <si>
    <t>طاولة ريزين 90*90</t>
  </si>
  <si>
    <t>R-348/90</t>
  </si>
  <si>
    <t>R-3872/3</t>
  </si>
  <si>
    <t>R-648/90</t>
  </si>
  <si>
    <t>R-79-3D</t>
  </si>
  <si>
    <t>طقم ريزين مقعدين</t>
  </si>
  <si>
    <t>R-87022</t>
  </si>
  <si>
    <t>كرسي ريزين مع يد</t>
  </si>
  <si>
    <t>R-951A</t>
  </si>
  <si>
    <t>طاولة خيزران 90</t>
  </si>
  <si>
    <t>R-BARUNA/T</t>
  </si>
  <si>
    <t>R-CHRISMONT/2</t>
  </si>
  <si>
    <t>R-CRETA-KRM-019-2</t>
  </si>
  <si>
    <t>R-OVAL TRAY-1030</t>
  </si>
  <si>
    <t>R-TROYA CORNER</t>
  </si>
  <si>
    <t>طقم خيزران 3 مقاعد</t>
  </si>
  <si>
    <t>R-TROYA-KRM-018-3</t>
  </si>
  <si>
    <t>طاولة خيزران 40 سم</t>
  </si>
  <si>
    <t>R-UT-BALI-1046</t>
  </si>
  <si>
    <t>R-UT-GRANADA-150135</t>
  </si>
  <si>
    <t>طقم خيزران مقعدين كناري</t>
  </si>
  <si>
    <t>R-UT-KENARI-111070</t>
  </si>
  <si>
    <t>كرسي خيزران بتايا</t>
  </si>
  <si>
    <t>R-UT-PATTAYA-CHAIR</t>
  </si>
  <si>
    <t>R-UT-PATTAYA/3</t>
  </si>
  <si>
    <t>طقم خيزران طاولة + 4 كراسي</t>
  </si>
  <si>
    <t>R-UT-PROBO-75CM/8860</t>
  </si>
  <si>
    <t>R-UT-PROBO/886070</t>
  </si>
  <si>
    <t>كرسي خيزران بوكيت</t>
  </si>
  <si>
    <t>R-UT-PUKET/CHAIR</t>
  </si>
  <si>
    <t>طاولة خيزران  بوكيت</t>
  </si>
  <si>
    <t>R-UT-PUKET/TABLE</t>
  </si>
  <si>
    <t>عربية مشروب خيزران</t>
  </si>
  <si>
    <t>R-UT-TROLLEY-1427</t>
  </si>
  <si>
    <t>R-UT-TROYA/2</t>
  </si>
  <si>
    <t>RUF-TIFFANY-120120</t>
  </si>
  <si>
    <t>SOFA SET 1+2+3 / B</t>
  </si>
  <si>
    <t>S-211</t>
  </si>
  <si>
    <t>SOFA SET 1+3</t>
  </si>
  <si>
    <t>S-211/1</t>
  </si>
  <si>
    <t>CORNER SOFA</t>
  </si>
  <si>
    <t>S-311</t>
  </si>
  <si>
    <t>صالون 3+2+2+2</t>
  </si>
  <si>
    <t>S-YG-313-WOOD</t>
  </si>
  <si>
    <t>SOFA</t>
  </si>
  <si>
    <t>SB-02</t>
  </si>
  <si>
    <t>SD-0115</t>
  </si>
  <si>
    <t>بنك حديد</t>
  </si>
  <si>
    <t>SD-04/ST</t>
  </si>
  <si>
    <t>طاولة فونت مستطيل</t>
  </si>
  <si>
    <t>SD-1024/T</t>
  </si>
  <si>
    <t>طقم حديد مقعدين</t>
  </si>
  <si>
    <t>SD-27001/S</t>
  </si>
  <si>
    <t>LARGE CURVE BENCH</t>
  </si>
  <si>
    <t>SD-359/2</t>
  </si>
  <si>
    <t>COCKTAIL BENCH</t>
  </si>
  <si>
    <t>SD-364-2</t>
  </si>
  <si>
    <t>كرسي حديد فدار من طقم</t>
  </si>
  <si>
    <t>SD-41404/CHAIR</t>
  </si>
  <si>
    <t>MESH CHAIR</t>
  </si>
  <si>
    <t>SD-5416/1</t>
  </si>
  <si>
    <t>خزانة بلاستيك 4 درف طويلة عريض</t>
  </si>
  <si>
    <t>SPC-12</t>
  </si>
  <si>
    <t>خزانة بلاستيك درفتين طويلة</t>
  </si>
  <si>
    <t>SPC-21</t>
  </si>
  <si>
    <t>خزانة أحذية 5 درف</t>
  </si>
  <si>
    <t>SR 2501</t>
  </si>
  <si>
    <t>ARM REST</t>
  </si>
  <si>
    <t>ST-ARMREST</t>
  </si>
  <si>
    <t>SPONGE CUT MACHINE</t>
  </si>
  <si>
    <t>ST-SPONGE MACHINE</t>
  </si>
  <si>
    <t>T-2544/T</t>
  </si>
  <si>
    <t>طاولة 150 سم ثابت بطيختين</t>
  </si>
  <si>
    <t>طاولة 195 سم</t>
  </si>
  <si>
    <t>T-380</t>
  </si>
  <si>
    <t>طاولة 150 سم خراطة</t>
  </si>
  <si>
    <t>T-442-3660</t>
  </si>
  <si>
    <t>طاولة 150 سم</t>
  </si>
  <si>
    <t>T-554-3660</t>
  </si>
  <si>
    <t>T-556-3248</t>
  </si>
  <si>
    <t>طاولة سفرة 150*90 سم شطب</t>
  </si>
  <si>
    <t>T-7099RH</t>
  </si>
  <si>
    <t>طاولة حديد 110*70 سم</t>
  </si>
  <si>
    <t>T-KRISTINA TABLE</t>
  </si>
  <si>
    <t>T-ROMANIA/150</t>
  </si>
  <si>
    <t>TABLE CROSS</t>
  </si>
  <si>
    <t>T-TABLE CROSS</t>
  </si>
  <si>
    <t>طبيعي LCD طاولة</t>
  </si>
  <si>
    <t>T.V.1168/TS</t>
  </si>
  <si>
    <t>T.V.1219/H</t>
  </si>
  <si>
    <t>LCD طاولة تلفزيون</t>
  </si>
  <si>
    <t>T.V.1600</t>
  </si>
  <si>
    <t>T.V.323-HS</t>
  </si>
  <si>
    <t>طبيعي مع ستاند LCD طاولة</t>
  </si>
  <si>
    <t>T.V.325/TS</t>
  </si>
  <si>
    <t>T.V.328-1/TS</t>
  </si>
  <si>
    <t>T.V.334/TS</t>
  </si>
  <si>
    <t>T.V.561</t>
  </si>
  <si>
    <t>T.V.569</t>
  </si>
  <si>
    <t>T.V.925-1</t>
  </si>
  <si>
    <t>طاولة 120*75 سم خراطة</t>
  </si>
  <si>
    <t>T107</t>
  </si>
  <si>
    <t>طاولة 150*90 سم</t>
  </si>
  <si>
    <t>T108</t>
  </si>
  <si>
    <t>طاولة 98*180 سم فانغي</t>
  </si>
  <si>
    <t>T115</t>
  </si>
  <si>
    <t>طاولة 150 سم أوفال</t>
  </si>
  <si>
    <t>T3458</t>
  </si>
  <si>
    <t>T4278-20</t>
  </si>
  <si>
    <t>CAST IRON BASE/SQUARE</t>
  </si>
  <si>
    <t>TUBE</t>
  </si>
  <si>
    <t>TB-302-45</t>
  </si>
  <si>
    <t>TB-302-50</t>
  </si>
  <si>
    <t>TB-302-55</t>
  </si>
  <si>
    <t>TB-302-85</t>
  </si>
  <si>
    <t>TB-303H</t>
  </si>
  <si>
    <t>TB-304H</t>
  </si>
  <si>
    <t>TB-311A-45H</t>
  </si>
  <si>
    <t>TB-518-100/T</t>
  </si>
  <si>
    <t>TB-519-45H</t>
  </si>
  <si>
    <t>TB-519-62.7H</t>
  </si>
  <si>
    <t>TB-CROSS</t>
  </si>
  <si>
    <t>TBN-311A-AP24</t>
  </si>
  <si>
    <t>TBN-317-SVP23</t>
  </si>
  <si>
    <t>TBN-320-SVP14</t>
  </si>
  <si>
    <t>TBN-325-SVP26</t>
  </si>
  <si>
    <t>TABLE BASE TUBES</t>
  </si>
  <si>
    <t>TBN-658/76</t>
  </si>
  <si>
    <t>TBN-BC-307</t>
  </si>
  <si>
    <t>TEXTYLENE PARTS</t>
  </si>
  <si>
    <t>ROUND UMBRELLA 200 cm</t>
  </si>
  <si>
    <t>TG-039A</t>
  </si>
  <si>
    <t>كرسي سفرة فانكي</t>
  </si>
  <si>
    <t>TMH 103B</t>
  </si>
  <si>
    <t>TMH 116</t>
  </si>
  <si>
    <t>TMH 132</t>
  </si>
  <si>
    <t>TMH 136</t>
  </si>
  <si>
    <t>TMH 159-C</t>
  </si>
  <si>
    <t>TMH 216-C</t>
  </si>
  <si>
    <t>TMH 99-C</t>
  </si>
  <si>
    <t>درسوار فانغي + زجاج</t>
  </si>
  <si>
    <t>TMH BH-11</t>
  </si>
  <si>
    <t>درسوار 3 درف زجاج</t>
  </si>
  <si>
    <t>TMH BH-15</t>
  </si>
  <si>
    <t>طقم طاولة 180 سم + 6 كراسي</t>
  </si>
  <si>
    <t>TMH-156T-6C</t>
  </si>
  <si>
    <t>WOODEN GAZEBO 3*3</t>
  </si>
  <si>
    <t>UWG-303</t>
  </si>
  <si>
    <t>WR-609CD</t>
  </si>
  <si>
    <t>خزانة 4 درف مراية</t>
  </si>
  <si>
    <t>WR-718</t>
  </si>
  <si>
    <t>خزانة ثياب 3 درف</t>
  </si>
  <si>
    <t>WR-858</t>
  </si>
  <si>
    <t>كرسي ألمنيوم</t>
  </si>
  <si>
    <t>Y-11037/BT</t>
  </si>
  <si>
    <t>طاولة ألمنيوم 80*80 سم</t>
  </si>
  <si>
    <t>Y-81008T/80</t>
  </si>
  <si>
    <t>قاعدة ألمنيوم 4 أرجل</t>
  </si>
  <si>
    <t>Y-9016-FT</t>
  </si>
  <si>
    <t>قاعدة ألمنيوم مجوز</t>
  </si>
  <si>
    <t>Y5047</t>
  </si>
  <si>
    <t>011 ريموت TV  ستاند</t>
  </si>
  <si>
    <t>Z STAND RMOT</t>
  </si>
  <si>
    <t>بنك زاوية مطبخ فدار</t>
  </si>
  <si>
    <t>Z TURKEY/BENCH</t>
  </si>
  <si>
    <t>طاولة زاوية مطبخ فدار</t>
  </si>
  <si>
    <t>Z TURKEY/TABLE</t>
  </si>
  <si>
    <t>تابلوهات صور 45*55</t>
  </si>
  <si>
    <t>Z WALL FRAME</t>
  </si>
  <si>
    <t>SOFA 2 SEATER</t>
  </si>
  <si>
    <t>ZAL 1003/SOFA-2</t>
  </si>
  <si>
    <t>كرسي المنيوم طبق / فدار</t>
  </si>
  <si>
    <t>ZAL FOLDNG CHAIR/ALU</t>
  </si>
  <si>
    <t>مرجوحة 3 مقاعد تركي</t>
  </si>
  <si>
    <t>ZAL GONDOL</t>
  </si>
  <si>
    <t>غرفة نوم</t>
  </si>
  <si>
    <t>ZB 1477</t>
  </si>
  <si>
    <t>VS كومود</t>
  </si>
  <si>
    <t>ZB 1703/S3-NIGHT TAB</t>
  </si>
  <si>
    <t>تواليت كبير 6 جوارير مع مراية</t>
  </si>
  <si>
    <t>ZB 1704/6</t>
  </si>
  <si>
    <t>VS مراية</t>
  </si>
  <si>
    <t>ZB 1704/S3-MIRROR</t>
  </si>
  <si>
    <t>VS شوفينيير 3 جوارير</t>
  </si>
  <si>
    <t>ZB 1705/S3-CHST DRWR</t>
  </si>
  <si>
    <t>غرفة نوم ولادي ملون سيارة</t>
  </si>
  <si>
    <t>ZB 219</t>
  </si>
  <si>
    <t>مكتبة غرفة نوم</t>
  </si>
  <si>
    <t>ZB 219/BSHLF</t>
  </si>
  <si>
    <t>ZB 219/CHST DRWR</t>
  </si>
  <si>
    <t>ZB 639</t>
  </si>
  <si>
    <t>ZB GLORIA</t>
  </si>
  <si>
    <t>غرفة نوم تركي ولادي</t>
  </si>
  <si>
    <t>ZB MELISSA</t>
  </si>
  <si>
    <t>ZB NORMAN</t>
  </si>
  <si>
    <t>ZBF 1196</t>
  </si>
  <si>
    <t>طقم رزين مقعدين شبك</t>
  </si>
  <si>
    <t>ZBF 1199-2</t>
  </si>
  <si>
    <t>CLASSIC طقم رزين مقعدين</t>
  </si>
  <si>
    <t>ZBF 1199/2</t>
  </si>
  <si>
    <t>CLASSIC طقم رزين 3 مقاعد</t>
  </si>
  <si>
    <t>ZBF 1199/3</t>
  </si>
  <si>
    <t>ZBF 1307/T</t>
  </si>
  <si>
    <t>ZBF 1363C</t>
  </si>
  <si>
    <t>ZBF 1385-3</t>
  </si>
  <si>
    <t>طقم رزين طاولة 80 سم مربع + 4 كراسي</t>
  </si>
  <si>
    <t>ZBF 1506/4</t>
  </si>
  <si>
    <t>طقم زين طاولة 90*90 + 4 كراسي /مشكل</t>
  </si>
  <si>
    <t>ZBF 1509</t>
  </si>
  <si>
    <t>ZBF 1509/80</t>
  </si>
  <si>
    <t>ZBF 1513/C</t>
  </si>
  <si>
    <t>ZBF 1541/T</t>
  </si>
  <si>
    <t>ZBF 1552/2</t>
  </si>
  <si>
    <t>طقم رزين 1+1+2+3</t>
  </si>
  <si>
    <t>ZBF 1552/7</t>
  </si>
  <si>
    <t>ZBF 1590/90</t>
  </si>
  <si>
    <t>طقم رزين مقعدين- مع كرسي 1395</t>
  </si>
  <si>
    <t>ZBF 1697</t>
  </si>
  <si>
    <t>طم رزين 3 مقاعد</t>
  </si>
  <si>
    <t>ZBF 1776-3</t>
  </si>
  <si>
    <t>XTRA  طقم رزين زاوية</t>
  </si>
  <si>
    <t>ZBF 1776/+++</t>
  </si>
  <si>
    <t>ZBF 1967</t>
  </si>
  <si>
    <t>كرسي رزين بار ابيض فدار</t>
  </si>
  <si>
    <t>ZBF 1972C/CHAIR</t>
  </si>
  <si>
    <t>طاولة رزين بار 160 سم / فدار من طقم</t>
  </si>
  <si>
    <t>ZBF 1972C/TABLE</t>
  </si>
  <si>
    <t>زاوية رزين مع خشب</t>
  </si>
  <si>
    <t>ZBF 1976</t>
  </si>
  <si>
    <t>ZBF 1992/3+++</t>
  </si>
  <si>
    <t>ZBF 2529/C</t>
  </si>
  <si>
    <t>ZBF 2759</t>
  </si>
  <si>
    <t>ZBF 3180</t>
  </si>
  <si>
    <t>سلة رزين أوفال</t>
  </si>
  <si>
    <t>ZBF 8029</t>
  </si>
  <si>
    <t>ZBF 8104</t>
  </si>
  <si>
    <t>BANANA سلة رزين</t>
  </si>
  <si>
    <t>ZBF C8007</t>
  </si>
  <si>
    <t>ZC AMAZONA</t>
  </si>
  <si>
    <t>ZC BELLA</t>
  </si>
  <si>
    <t>ZC CROWN/WHITE</t>
  </si>
  <si>
    <t>وصلة فوتيه</t>
  </si>
  <si>
    <t>ZC FOTEY - WASLE</t>
  </si>
  <si>
    <t>فوتيه بلاستيك</t>
  </si>
  <si>
    <t>ZC PLASTIC FOTEY</t>
  </si>
  <si>
    <t>كرسي يلاستيك</t>
  </si>
  <si>
    <t>ZC PRESTIGE</t>
  </si>
  <si>
    <t>SOMO شزلونغ بحر أبيض</t>
  </si>
  <si>
    <t>ZC SHEZLNG</t>
  </si>
  <si>
    <t>طاولة طقم بلاستيك</t>
  </si>
  <si>
    <t>ZC VERONA</t>
  </si>
  <si>
    <t>ZCD 10T</t>
  </si>
  <si>
    <t>شوفنيير</t>
  </si>
  <si>
    <t>ZCD 609</t>
  </si>
  <si>
    <t>CLOTHES DRYER BIG</t>
  </si>
  <si>
    <t>ZCD 8231</t>
  </si>
  <si>
    <t>طاولة كمبيوتر</t>
  </si>
  <si>
    <t>ZCT 8211</t>
  </si>
  <si>
    <t>طاولة نص زجاج 80 سم</t>
  </si>
  <si>
    <t>ZCT E111</t>
  </si>
  <si>
    <t>تخت طابقين +جارور+درج</t>
  </si>
  <si>
    <t>ZDD 2012</t>
  </si>
  <si>
    <t>ZDD 2019</t>
  </si>
  <si>
    <t>تخت 3 طوابق+درج</t>
  </si>
  <si>
    <t>ZDD 3006</t>
  </si>
  <si>
    <t>تخت 3 طوابق</t>
  </si>
  <si>
    <t>ZDD 805</t>
  </si>
  <si>
    <t>طقم طاولة + 4 كراسي ملون</t>
  </si>
  <si>
    <t>ZDS 818</t>
  </si>
  <si>
    <t>ZFB 003</t>
  </si>
  <si>
    <t>ZFB 011</t>
  </si>
  <si>
    <t>ZFB 013</t>
  </si>
  <si>
    <t>ZH 042B</t>
  </si>
  <si>
    <t>وجه المنيوم 60*60</t>
  </si>
  <si>
    <t>ZH 503</t>
  </si>
  <si>
    <t>طاولة 60 سم مدور</t>
  </si>
  <si>
    <t>ZH 504</t>
  </si>
  <si>
    <t>كرسي اوتيل المنيوم</t>
  </si>
  <si>
    <t>ZHC 13B</t>
  </si>
  <si>
    <t>ZHC 15/1</t>
  </si>
  <si>
    <t>TECKNO خزانة 3 درف 120سم</t>
  </si>
  <si>
    <t>ZI 012LSC</t>
  </si>
  <si>
    <t>صوفا</t>
  </si>
  <si>
    <t>ZI 101</t>
  </si>
  <si>
    <t>تخت ولادي</t>
  </si>
  <si>
    <t>ZI 13007</t>
  </si>
  <si>
    <t>ZI 180</t>
  </si>
  <si>
    <t>ZI 2070</t>
  </si>
  <si>
    <t>ZI 350</t>
  </si>
  <si>
    <t>ZI 3648</t>
  </si>
  <si>
    <t>طاولة 150 فراشة</t>
  </si>
  <si>
    <t>ZI 388</t>
  </si>
  <si>
    <t>ZI 4200-16</t>
  </si>
  <si>
    <t>طقم رزين 1+4 كراسي</t>
  </si>
  <si>
    <t>ZI 608/608</t>
  </si>
  <si>
    <t>مكتبة 3 درف</t>
  </si>
  <si>
    <t>ZI 6093</t>
  </si>
  <si>
    <t>ZI 633</t>
  </si>
  <si>
    <t>ZI 9688</t>
  </si>
  <si>
    <t>طقم صوفا</t>
  </si>
  <si>
    <t>ZI 996</t>
  </si>
  <si>
    <t>تخت 90*190</t>
  </si>
  <si>
    <t>ZI ARIS SINGLE</t>
  </si>
  <si>
    <t>تخت 110*190</t>
  </si>
  <si>
    <t>ZI ARIS SUPER</t>
  </si>
  <si>
    <t>كرسي مطبخ واطي</t>
  </si>
  <si>
    <t>ZI CAMEL</t>
  </si>
  <si>
    <t>ZI DA208</t>
  </si>
  <si>
    <t>ZI LIBRA QWEEN</t>
  </si>
  <si>
    <t>ZI LIBRA SUPER</t>
  </si>
  <si>
    <t>ZI ZENITH SINGLE</t>
  </si>
  <si>
    <t>ZI ZENITH SUPER</t>
  </si>
  <si>
    <t>طقم طاولة + 6 كراسي</t>
  </si>
  <si>
    <t>ZKT-100</t>
  </si>
  <si>
    <t>طقم طاولات مدور 3 قطع زجاج</t>
  </si>
  <si>
    <t>ZKT-11</t>
  </si>
  <si>
    <t>طقم طاولات خشب 3 قطع مدور</t>
  </si>
  <si>
    <t>ZKT-45/R</t>
  </si>
  <si>
    <t>طقم طاولات خشب 3 قطع مربع</t>
  </si>
  <si>
    <t>ZKT-45/S</t>
  </si>
  <si>
    <t>ZL 101A</t>
  </si>
  <si>
    <t>ZL 102</t>
  </si>
  <si>
    <t>كرسي كروم</t>
  </si>
  <si>
    <t>ZL 323</t>
  </si>
  <si>
    <t>ZL 41</t>
  </si>
  <si>
    <t>طاولة نص صغيرة</t>
  </si>
  <si>
    <t>ZL 707/S</t>
  </si>
  <si>
    <t>ZL 763</t>
  </si>
  <si>
    <t>ZL LOVE SEAT/2</t>
  </si>
  <si>
    <t>كرسي تك فدار من طقم</t>
  </si>
  <si>
    <t>ZNJ 1030/CHAIR</t>
  </si>
  <si>
    <t>TEAK كرسي هزاز</t>
  </si>
  <si>
    <t>ZNJ 1235</t>
  </si>
  <si>
    <t>طقم تك 1+4</t>
  </si>
  <si>
    <t>ZNJ 9292</t>
  </si>
  <si>
    <t>SOMO - طراحة كرسي</t>
  </si>
  <si>
    <t>ZOOL PILLOWS-CROWN</t>
  </si>
  <si>
    <t>مكتب 140 سم</t>
  </si>
  <si>
    <t>ZOT C033-140</t>
  </si>
  <si>
    <t>طقم خيزران تركيب مقعدين</t>
  </si>
  <si>
    <t>ZR TROYA-2</t>
  </si>
  <si>
    <t>ZRI 1199/3</t>
  </si>
  <si>
    <t>طاول خيزران بالي 40 سم</t>
  </si>
  <si>
    <t>ZRI BALI</t>
  </si>
  <si>
    <t>طقم بروبو مقعدين صغير</t>
  </si>
  <si>
    <t>ZRI PROBO-57</t>
  </si>
  <si>
    <t>كنباية مقعدين فدار</t>
  </si>
  <si>
    <t>ZRZ 1199/2 SOFA</t>
  </si>
  <si>
    <t>VS خزانة احذية 6 درف مع جارور</t>
  </si>
  <si>
    <t>ZS 40084</t>
  </si>
  <si>
    <t>VS خزانة احذية 4 درف</t>
  </si>
  <si>
    <t>ZS 40134-S3</t>
  </si>
  <si>
    <t>خزانة احذية درفتين طويلة باج</t>
  </si>
  <si>
    <t>ZSR 3950 AN</t>
  </si>
  <si>
    <t>ZSR 4200/CAS</t>
  </si>
  <si>
    <t>احذية درفة واحدة اباجور</t>
  </si>
  <si>
    <t>ZSR 6200 AN</t>
  </si>
  <si>
    <t>AN خزانة احذية 6 درف</t>
  </si>
  <si>
    <t>ZSR 8320</t>
  </si>
  <si>
    <t>TURKEY RELAX CHAIR</t>
  </si>
  <si>
    <t>ZT RELAX CHAIR</t>
  </si>
  <si>
    <t>كنباية 3 مقاعد فدار من طقم</t>
  </si>
  <si>
    <t>ZT SIRE/3 SEATER</t>
  </si>
  <si>
    <t>كرسي  فدار من طقم</t>
  </si>
  <si>
    <t>ZT SIRE/CHAIR</t>
  </si>
  <si>
    <t>طقم 1+6 كراسي تركي</t>
  </si>
  <si>
    <t>ZT TURKEY 1+6</t>
  </si>
  <si>
    <t>ZTB 002</t>
  </si>
  <si>
    <t>قاعدة نفخ 4 ارجل المنيوم</t>
  </si>
  <si>
    <t>ZTB 006</t>
  </si>
  <si>
    <t>قاعدة نفخ 3 ارجل المنيوم</t>
  </si>
  <si>
    <t>ZTB 007</t>
  </si>
  <si>
    <t>ZTB 207</t>
  </si>
  <si>
    <t>ZTB 305T</t>
  </si>
  <si>
    <t>ZTB 309</t>
  </si>
  <si>
    <t>ZTB 315H</t>
  </si>
  <si>
    <t>لوح لامايكا تركي</t>
  </si>
  <si>
    <t>ZTO LAMAYKA TU</t>
  </si>
  <si>
    <t>كرسي بدون يد</t>
  </si>
  <si>
    <t>ZY 2716</t>
  </si>
  <si>
    <t>ZY 2716-C</t>
  </si>
  <si>
    <t>كرسي قماش</t>
  </si>
  <si>
    <t>ZZ N39</t>
  </si>
  <si>
    <t>تكاية ملون</t>
  </si>
  <si>
    <t>ZZ PL19.03.03</t>
  </si>
  <si>
    <t>ZZ PL19.03.04</t>
  </si>
  <si>
    <t>ZZ PL19.05.04</t>
  </si>
  <si>
    <t>فاز خشب</t>
  </si>
  <si>
    <t>ZZ V19.06.01</t>
  </si>
  <si>
    <t>ZZ V19.06.02</t>
  </si>
  <si>
    <t>ZZ V19.06.03</t>
  </si>
  <si>
    <t>ZZ V19.06.04</t>
  </si>
  <si>
    <t>ZZ V19.06.05</t>
  </si>
  <si>
    <t>ZZ V19.06.06</t>
  </si>
  <si>
    <t>ZZ V19.06.07</t>
  </si>
  <si>
    <t>ZZ V19.06.08</t>
  </si>
  <si>
    <t>ZZ V19.06.10</t>
  </si>
  <si>
    <t>ZZ V19.06.11</t>
  </si>
  <si>
    <t>ZZ V19.06.12</t>
  </si>
  <si>
    <t>ZZ V19.06.13</t>
  </si>
  <si>
    <t>ZZ V19.06.14</t>
  </si>
  <si>
    <t>ZZ V19.06.15</t>
  </si>
  <si>
    <t>كرسي بار قنطرة بلاستيك</t>
  </si>
  <si>
    <t>ZZC 1000/B</t>
  </si>
  <si>
    <t>ZZC 1002</t>
  </si>
  <si>
    <t>ZZC 1222</t>
  </si>
  <si>
    <t>ZZC 170</t>
  </si>
  <si>
    <t>LEATHER FABRIC جلد</t>
  </si>
  <si>
    <t>ZZC 35FC PU LEATHER</t>
  </si>
  <si>
    <t>ZZC 5014BX</t>
  </si>
  <si>
    <t>كرسي بار قالب بلاستيك</t>
  </si>
  <si>
    <t>ZZC 696F/GREY</t>
  </si>
  <si>
    <t>ZZM 4036</t>
  </si>
  <si>
    <t xml:space="preserve">  صغير X قاعدة مفرد</t>
  </si>
  <si>
    <t>ZZQ 07-6</t>
  </si>
  <si>
    <t>ZZR 2012</t>
  </si>
  <si>
    <t>طقم رزين رفيع مقعدين</t>
  </si>
  <si>
    <t>ZZR 2043</t>
  </si>
  <si>
    <t>ZZR 3477</t>
  </si>
  <si>
    <t>ZZR 397</t>
  </si>
  <si>
    <t>طقم رزين 3 مقاعد ثقيل</t>
  </si>
  <si>
    <t>ZZR 4273-3</t>
  </si>
  <si>
    <t>ZZR 4307</t>
  </si>
  <si>
    <t>ZZR 4361</t>
  </si>
  <si>
    <t>برفان خشب كبير</t>
  </si>
  <si>
    <t>ZZY 022/B</t>
  </si>
  <si>
    <t>ZZY 19.01.06</t>
  </si>
  <si>
    <t>كوان رزين</t>
  </si>
  <si>
    <t>ZZY 2018</t>
  </si>
  <si>
    <t>ZZY 819</t>
  </si>
  <si>
    <t>ZZY 931T</t>
  </si>
  <si>
    <t>ZZY BABY CHAIR</t>
  </si>
  <si>
    <t>][</t>
  </si>
  <si>
    <t>A high-quality Concrete solar base suitable for various environments.</t>
  </si>
  <si>
    <t>A high-quality +++ /Razeen set 1+2+3 suitable for various environments.</t>
  </si>
  <si>
    <t>A high-quality STARBUCKS CHAIR / SAMPLE suitable for various environments.</t>
  </si>
  <si>
    <t>A high-quality Aluminum with handle X Starbucks chair suitable for various environments.</t>
  </si>
  <si>
    <t>A high-quality Dining chair/piece of set suitable for various environments.</t>
  </si>
  <si>
    <t>A high-quality Stair chair suitable for various environments.</t>
  </si>
  <si>
    <t>A high-quality CHAIR SPARE PARTS suitable for various environments.</t>
  </si>
  <si>
    <t>A high-quality Wide dining chair suitable for various environments.</t>
  </si>
  <si>
    <t>A high-quality Ghost dining chair suitable for various environments.</t>
  </si>
  <si>
    <t>A high-quality Dining chair - Siniora suitable for various environments.</t>
  </si>
  <si>
    <t>A high-quality TABLE suitable for various environments.</t>
  </si>
  <si>
    <t>A high-quality RECLYNER leather rocking chair suitable for various environments.</t>
  </si>
  <si>
    <t>A high-quality Quan set 1+2 suitable for various environments.</t>
  </si>
  <si>
    <t>A high-quality Natural text table suitable for various environments.</t>
  </si>
  <si>
    <t>A high-quality Computer table suitable for various environments.</t>
  </si>
  <si>
    <t>A high-quality Column table suitable for various environments.</t>
  </si>
  <si>
    <t>A high-quality Dining set 1+4 chairs suitable for various environments.</t>
  </si>
  <si>
    <t>A high-quality Dining set: 1 table + 6 chairs suitable for various environments.</t>
  </si>
  <si>
    <t>A high-quality DIGITAL Kazan 10 liters with casserole suitable for various environments.</t>
  </si>
  <si>
    <t>A high-quality SIDE AND BAG FOR TENT 10M suitable for various environments.</t>
  </si>
  <si>
    <t>A high-quality SIDE AND BAG FOR TENT 12M suitable for various environments.</t>
  </si>
  <si>
    <t>A high-quality SIDE AND BAG FOR TENT 15M suitable for various environments.</t>
  </si>
  <si>
    <t>A high-quality Tent 3*2 m aluminum frame suitable for various environments.</t>
  </si>
  <si>
    <t>A high-quality glass suitable for various environments.</t>
  </si>
  <si>
    <t>A high-quality Iron tent 3*3 m suitable for various environments.</t>
  </si>
  <si>
    <t>A high-quality Tent 3*3 m suitable for various environments.</t>
  </si>
  <si>
    <t>A high-quality COVER suitable for various environments.</t>
  </si>
  <si>
    <t>A high-quality Dressoir suitable for various environments.</t>
  </si>
  <si>
    <t>A high-quality Luna upholstery for two seats suitable for various environments.</t>
  </si>
  <si>
    <t>A high-quality Luna 3 seater furniture suitable for various environments.</t>
  </si>
  <si>
    <t>A high-quality Mattress 70 cm suitable for various environments.</t>
  </si>
  <si>
    <t>A high-quality Straw perfume suitable for various environments.</t>
  </si>
  <si>
    <t>A high-quality White perfume suitable for various environments.</t>
  </si>
  <si>
    <t>A high-quality Two seater plastic set suitable for various environments.</t>
  </si>
  <si>
    <t>A high-quality 2-SEAT CHAIR suitable for various environments.</t>
  </si>
  <si>
    <t>A high-quality RECT TABLE suitable for various environments.</t>
  </si>
  <si>
    <t>A high-quality SMALL - Plastic two-seat set suitable for various environments.</t>
  </si>
  <si>
    <t>A high-quality RATTAN TABLE 80*80 cm suitable for various environments.</t>
  </si>
  <si>
    <t>A high-quality Sober chair set suitable for various environments.</t>
  </si>
  <si>
    <t>A high-quality RATTAN CHAIR suitable for various environments.</t>
  </si>
  <si>
    <t>A high-quality DINNING TABLE 80*130 suitable for various environments.</t>
  </si>
  <si>
    <t>A high-quality DINNING TABLE 80*80 suitable for various environments.</t>
  </si>
  <si>
    <t>A high-quality Solid table face 130*80 suitable for various environments.</t>
  </si>
  <si>
    <t>A high-quality Bamboo table 85 suitable for various environments.</t>
  </si>
  <si>
    <t>A high-quality Astor wicker chair suitable for various environments.</t>
  </si>
  <si>
    <t>A high-quality Nago rattan rocking chair suitable for various environments.</t>
  </si>
  <si>
    <t>A high-quality 3 seater swing suitable for various environments.</t>
  </si>
  <si>
    <t>A high-quality Wooden swing 3 seats suitable for various environments.</t>
  </si>
  <si>
    <t>A high-quality SAMPLE demure hanging basket suitable for various environments.</t>
  </si>
  <si>
    <t>A high-quality Iron set 1+4 chairs suitable for various environments.</t>
  </si>
  <si>
    <t>A high-quality SPARE PARTS suitable for various environments.</t>
  </si>
  <si>
    <t>A high-quality Dining table 90*150 cm suitable for various environments.</t>
  </si>
  <si>
    <t>A high-quality Table 100*200 cm rectangle suitable for various environments.</t>
  </si>
  <si>
    <t>A high-quality Table 240 cm suitable for various environments.</t>
  </si>
  <si>
    <t>A high-quality Table 120*160 cm suitable for various environments.</t>
  </si>
  <si>
    <t>A high-quality Table 120*75 cm conic suitable for various environments.</t>
  </si>
  <si>
    <t>A high-quality Dining table 120 cm / broken from a set suitable for various environments.</t>
  </si>
  <si>
    <t>A high-quality Dining table 150*90 cm fixed with two watermelons suitable for various environments.</t>
  </si>
  <si>
    <t>A high-quality Dining table 160*100 cm with two watermelons suitable for various environments.</t>
  </si>
  <si>
    <t>A high-quality Table 165 cm with two watermelons suitable for various environments.</t>
  </si>
  <si>
    <t>A high-quality Table 120 cm suitable for various environments.</t>
  </si>
  <si>
    <t>A high-quality Brown LCD table suitable for various environments.</t>
  </si>
  <si>
    <t>A high-quality Brown without stand LCD table suitable for various environments.</t>
  </si>
  <si>
    <t>A high-quality Built with LCD table stand suitable for various environments.</t>
  </si>
  <si>
    <t>A high-quality Table 90*195 cm watermelon suitable for various environments.</t>
  </si>
  <si>
    <t>A high-quality Colist table 105*150 suitable for various environments.</t>
  </si>
  <si>
    <t>A high-quality Font base, 3 drill legs suitable for various environments.</t>
  </si>
  <si>
    <t>A high-quality CAST IRON BASE-SQUARE suitable for various environments.</t>
  </si>
  <si>
    <t>A high-quality CAST IRON BASE/X suitable for various environments.</t>
  </si>
  <si>
    <t>A high-quality TABLE BASE TUBE suitable for various environments.</t>
  </si>
  <si>
    <t>A high-quality CAST IRON BASE/X BIG suitable for various environments.</t>
  </si>
  <si>
    <t>A high-quality CAST IRON BASE/SLM X suitable for various environments.</t>
  </si>
  <si>
    <t>A high-quality TABLE BASE suitable for various environments.</t>
  </si>
  <si>
    <t>A high-quality Square black iron base suitable for various environments.</t>
  </si>
  <si>
    <t>A high-quality TABLE BASE / WHITE suitable for various environments.</t>
  </si>
  <si>
    <t>A high-quality Smooth rounded font base suitable for various environments.</t>
  </si>
  <si>
    <t>A high-quality PLASTIC TRAY suitable for various environments.</t>
  </si>
  <si>
    <t>A high-quality Wooden table 100 cm suitable for various environments.</t>
  </si>
  <si>
    <t>A high-quality Iron elbow umbrella 250 cm suitable for various environments.</t>
  </si>
  <si>
    <t>A high-quality KG 50 solar base suitable for various environments.</t>
  </si>
  <si>
    <t>A high-quality Umbrella 200 cm iron suitable for various environments.</t>
  </si>
  <si>
    <t>A high-quality WOODEN UMBRELLA 4*4 suitable for various environments.</t>
  </si>
  <si>
    <t>A high-quality Elbow umbrella 2.5*2.5 m suitable for various environments.</t>
  </si>
  <si>
    <t>A high-quality Umbrella, 200 cm, round aluminum suitable for various environments.</t>
  </si>
  <si>
    <t>A high-quality Umbrella 200 cm, round iron suitable for various environments.</t>
  </si>
  <si>
    <t>A high-quality Wooden umbrella 3*3 m suitable for various environments.</t>
  </si>
  <si>
    <t>A high-quality Elbow umbrella 4*3 m suitable for various environments.</t>
  </si>
  <si>
    <t>A high-quality Umbrella 4*4 m suitable for various environments.</t>
  </si>
  <si>
    <t>A high-quality Heavy elbow umbrella, 5 m round suitable for various environments.</t>
  </si>
  <si>
    <t>A high-quality KG granite solar base 25 suitable for various environments.</t>
  </si>
  <si>
    <t>A high-quality KG Concrete Solar Base 35 suitable for various environments.</t>
  </si>
  <si>
    <t>A high-quality TABLE TOP ORIGINAL 60*60CM suitable for various environments.</t>
  </si>
  <si>
    <t>A high-quality COFFEE TABLE TOP 70*70 suitable for various environments.</t>
  </si>
  <si>
    <t>size 60*60,size 80*80</t>
  </si>
  <si>
    <t>A high-quality Heavy wood table top 60*60 suitable for various environments.</t>
  </si>
  <si>
    <t>A high-quality Heavy wood table top 80*80 suitable for various environments.</t>
  </si>
  <si>
    <t>A high-quality Wooden table top 80*80 suitable for various environments.</t>
  </si>
  <si>
    <t>A high-quality GEZON suitable for various environments.</t>
  </si>
  <si>
    <t>A high-quality PILLOWS - Colorful pillow suitable for various environments.</t>
  </si>
  <si>
    <t>A high-quality Heavy Turkish kitchen corner suitable for various environments.</t>
  </si>
  <si>
    <t>A high-quality Aluminum table 150 cm/acre suitable for various environments.</t>
  </si>
  <si>
    <t>A high-quality Aluminum set of 8 seats suitable for various environments.</t>
  </si>
  <si>
    <t>A high-quality ANTRA iron set 1+1+3 bag suitable for various environments.</t>
  </si>
  <si>
    <t>A high-quality Text table suitable for various environments.</t>
  </si>
  <si>
    <t>A high-quality library suitable for various environments.</t>
  </si>
  <si>
    <t>A high-quality CC small corner library suitable for various environments.</t>
  </si>
  <si>
    <t>A high-quality He's sober suitable for various environments.</t>
  </si>
  <si>
    <t>A high-quality A sober bar set of 1+6 chairs, gray suitable for various environments.</t>
  </si>
  <si>
    <t>A high-quality XTRA 3-seater sober set suitable for various environments.</t>
  </si>
  <si>
    <t>A high-quality Chinese banana basket suitable for various environments.</t>
  </si>
  <si>
    <t>A high-quality Corsica rattan rocking chair suitable for various environments.</t>
  </si>
  <si>
    <t>A high-quality Canary Rattan Two-Seater Set suitable for various environments.</t>
  </si>
  <si>
    <t>A high-quality Rattan 3 seater set suitable for various environments.</t>
  </si>
  <si>
    <t>A high-quality 40 cm / smooth round inflatable iron base suitable for various environments.</t>
  </si>
  <si>
    <t>A high-quality Gray square iron base suitable for various environments.</t>
  </si>
  <si>
    <t>A high-quality Inflatable iron base, 65 cm high suitable for various environments.</t>
  </si>
  <si>
    <t>A high-quality High walnut inflatable iron base 72*40 suitable for various environments.</t>
  </si>
  <si>
    <t>A high-quality Black square press iron base, 40 cm suitable for various environments.</t>
  </si>
  <si>
    <t>A high-quality CROSS - X base suitable for various environments.</t>
  </si>
  <si>
    <t>A high-quality Stainless steel base with a walnut press suitable for various environments.</t>
  </si>
  <si>
    <t>A high-quality Dark beige RECLYNER CHAIR Twist chair suitable for various environments.</t>
  </si>
  <si>
    <t>A high-quality Kwan Fadar Chair suitable for various environments.</t>
  </si>
  <si>
    <t>A high-quality Glass table 60 cm suitable for various environments.</t>
  </si>
  <si>
    <t>A high-quality Cowan set 1+4 chairs suitable for various environments.</t>
  </si>
  <si>
    <t>A high-quality Bank Font two chairs without back suitable for various environments.</t>
  </si>
  <si>
    <t>A high-quality TECKNO double-door cabinet suitable for various environments.</t>
  </si>
  <si>
    <t>A high-quality TECKNO cabinet with two doors, 90 cm suitable for various environments.</t>
  </si>
  <si>
    <t>A high-quality PANTRY CLOSET 60cm double door wardrobe suitable for various environments.</t>
  </si>
  <si>
    <t>A high-quality Dark gray flip flop sofa suitable for various environments.</t>
  </si>
  <si>
    <t>A high-quality Sofa flip bag suitable for various environments.</t>
  </si>
  <si>
    <t>A high-quality Light gray flip flop sofa suitable for various environments.</t>
  </si>
  <si>
    <t>A high-quality Turkish table set 1+2 suitable for various environments.</t>
  </si>
  <si>
    <t>A high-quality Table 100*200 cm suitable for various environments.</t>
  </si>
  <si>
    <t>A high-quality Table 100 cm suitable for various environments.</t>
  </si>
  <si>
    <t>A high-quality treasury suitable for various environments.</t>
  </si>
  <si>
    <t>A high-quality Single tent 90 cm suitable for various environments.</t>
  </si>
  <si>
    <t>A high-quality safe suitable for various environments.</t>
  </si>
  <si>
    <t>A high-quality Plastic table, 240 cm, bag suitable for various environments.</t>
  </si>
  <si>
    <t>A high-quality TEAK sofa suitable for various environments.</t>
  </si>
  <si>
    <t>A high-quality Long mesh office chair suitable for various environments.</t>
  </si>
  <si>
    <t>A high-quality BC small library suitable for various environments.</t>
  </si>
  <si>
    <t>A high-quality Colorful plastic chair suitable for various environments.</t>
  </si>
  <si>
    <t>A high-quality Bamboo tray set suitable for various environments.</t>
  </si>
  <si>
    <t>A high-quality V iron chair with handle suitable for various environments.</t>
  </si>
  <si>
    <t>A high-quality Razin set 1+4 suitable for various environments.</t>
  </si>
  <si>
    <t>A high-quality A sober chair in Dar suitable for various environments.</t>
  </si>
  <si>
    <t>A high-quality Razin Fadar table suitable for various environments.</t>
  </si>
  <si>
    <t>A high-quality VS two-door shoe cabinet with drawer suitable for various environments.</t>
  </si>
  <si>
    <t>A high-quality Long two-door leather shoe cabinet suitable for various environments.</t>
  </si>
  <si>
    <t>A high-quality Double leather shoes suitable for various environments.</t>
  </si>
  <si>
    <t>A high-quality Double-sided square shoes suitable for various environments.</t>
  </si>
  <si>
    <t>A high-quality Shoe cabinet with 4 drawers, leather suitable for various environments.</t>
  </si>
  <si>
    <t>A high-quality Long square shoes suitable for various environments.</t>
  </si>
  <si>
    <t>A high-quality Long leather shoes suitable for various environments.</t>
  </si>
  <si>
    <t>A high-quality Long ribbed two-door shoes suitable for various environments.</t>
  </si>
  <si>
    <t>A high-quality 6 drawer leather shoes suitable for various environments.</t>
  </si>
  <si>
    <t>A high-quality 6-drawer shoe cabinet suitable for various environments.</t>
  </si>
  <si>
    <t>A high-quality Two-door leather shoe cabinet suitable for various environments.</t>
  </si>
  <si>
    <t>A high-quality BIG Round fabric basket suitable for various environments.</t>
  </si>
  <si>
    <t>A high-quality MED Round fabric basket suitable for various environments.</t>
  </si>
  <si>
    <t>A high-quality SMALL Round fabric basket suitable for various environments.</t>
  </si>
  <si>
    <t>A high-quality BIG Open Oval Fabric Basket suitable for various environments.</t>
  </si>
  <si>
    <t>A high-quality MED Open Oval Fabric Basket suitable for various environments.</t>
  </si>
  <si>
    <t>A high-quality SML open oval fabric basket suitable for various environments.</t>
  </si>
  <si>
    <t>A high-quality BIG rounded staid basket suitable for various environments.</t>
  </si>
  <si>
    <t>A high-quality MED rounded sturdy basket suitable for various environments.</t>
  </si>
  <si>
    <t>A high-quality SMALL rounded sturdy basket suitable for various environments.</t>
  </si>
  <si>
    <t>A high-quality Sober set of 3 decorative chairs suitable for various environments.</t>
  </si>
  <si>
    <t>A high-quality Turkish corner fabric suitable for various environments.</t>
  </si>
  <si>
    <t>A high-quality Plastic shoe cabinet suitable for various environments.</t>
  </si>
  <si>
    <t>A high-quality Heavy plastic 3-seater set suitable for various environments.</t>
  </si>
  <si>
    <t>A high-quality Wundt's rule suitable for various environments.</t>
  </si>
  <si>
    <t>A high-quality Wide x font base suitable for various environments.</t>
  </si>
  <si>
    <t>A high-quality Black stainless steel base, 38 cm suitable for various environments.</t>
  </si>
  <si>
    <t>A high-quality TV table suitable for various environments.</t>
  </si>
  <si>
    <t>A high-quality Glass table, 60 cm, rounded, broken suitable for various environments.</t>
  </si>
  <si>
    <t>A high-quality BLK Plastic Drink Cart Box suitable for various environments.</t>
  </si>
  <si>
    <t>A high-quality WHITE plastic drink cart box suitable for various environments.</t>
  </si>
  <si>
    <t>A high-quality BLK round plastic drink cart suitable for various environments.</t>
  </si>
  <si>
    <t>A high-quality WHITE round plastic drink cart suitable for various environments.</t>
  </si>
  <si>
    <t>A high-quality Umbrella 2*2 suitable for various environments.</t>
  </si>
  <si>
    <t>A high-quality Umbrella 3*2 suitable for various environments.</t>
  </si>
  <si>
    <t>A high-quality Umbrella 3*3 m suitable for various environments.</t>
  </si>
  <si>
    <t>A high-quality Umbrella 3*3 elbow suitable for various environments.</t>
  </si>
  <si>
    <t>A high-quality Solar base - 2001 suitable for various environments.</t>
  </si>
  <si>
    <t>A high-quality 270 elbow umbrella with iron plate suitable for various environments.</t>
  </si>
  <si>
    <t>A high-quality 270 elbow umbrella with aluminum plate suitable for various environments.</t>
  </si>
  <si>
    <t>A high-quality Umbrella 3*3 heavy / broken suitable for various environments.</t>
  </si>
  <si>
    <t>A high-quality Elbow umbrella 270 cm + tile suitable for various environments.</t>
  </si>
  <si>
    <t>A high-quality ACCACIA dining table 180 cm suitable for various environments.</t>
  </si>
  <si>
    <t>A high-quality ACCACIA dining table 160 cm suitable for various environments.</t>
  </si>
  <si>
    <t>A high-quality ACCACIA Bedside table suitable for various environments.</t>
  </si>
  <si>
    <t>A high-quality RALPH corner table suitable for various environments.</t>
  </si>
  <si>
    <t>A high-quality RALPH T.V. suitable for various environments.</t>
  </si>
  <si>
    <t>A high-quality RALPH tent 160 cm suitable for various environments.</t>
  </si>
  <si>
    <t>A high-quality RALPH tent 180 cm suitable for various environments.</t>
  </si>
  <si>
    <t>A high-quality RALPH tent 110 cm suitable for various environments.</t>
  </si>
  <si>
    <t>A high-quality RALPH CHOUVENIERE suitable for various environments.</t>
  </si>
  <si>
    <t>A high-quality RALPH mirror suitable for various environments.</t>
  </si>
  <si>
    <t>A high-quality RALPH Commode suitable for various environments.</t>
  </si>
  <si>
    <t>A high-quality Set 1+4 suitable for various environments.</t>
  </si>
  <si>
    <t>A high-quality ROMAN heavy aluminum elbow umbrella 3*3 suitable for various environments.</t>
  </si>
  <si>
    <t>A high-quality BANANA Iron elbow umbrella, 3 m round suitable for various environments.</t>
  </si>
  <si>
    <t>A high-quality BANANA Iron elbow umbrella 270 cm suitable for various environments.</t>
  </si>
  <si>
    <t>A high-quality Umbrella, 270 cm, iron, manifold suitable for various environments.</t>
  </si>
  <si>
    <t>A high-quality Elbow umbrella 2.5 * 2.5 without base suitable for various environments.</t>
  </si>
  <si>
    <t>A high-quality WATER TANK Water solar base suitable for various environments.</t>
  </si>
  <si>
    <t>A high-quality SILVER stainless steel waiting bank suitable for various environments.</t>
  </si>
  <si>
    <t>A high-quality Solid chair with comforter suitable for various environments.</t>
  </si>
  <si>
    <t>A high-quality Summer fabric suitable for various environments.</t>
  </si>
  <si>
    <t>A high-quality GREY armoire office chair suitable for various environments.</t>
  </si>
  <si>
    <t>color white,red,green</t>
  </si>
  <si>
    <t>A high-quality Leather and wood chair with plastic suitable for various environments.</t>
  </si>
  <si>
    <t>A high-quality Iron bar stool with plastic suitable for various environments.</t>
  </si>
  <si>
    <t>A high-quality Leather wood bar chair suitable for various environments.</t>
  </si>
  <si>
    <t>A high-quality Office chair with support suitable for various environments.</t>
  </si>
  <si>
    <t>A high-quality WHITE bar table 60 cm round suitable for various environments.</t>
  </si>
  <si>
    <t>A high-quality Wooden fabric chair with handle suitable for various environments.</t>
  </si>
  <si>
    <t>A high-quality Square hanging mirror suitable for various environments.</t>
  </si>
  <si>
    <t>A high-quality Round hanging mirror suitable for various environments.</t>
  </si>
  <si>
    <t>A high-quality BLK mirror with round stand suitable for various environments.</t>
  </si>
  <si>
    <t>A high-quality Round stand mirror suitable for various environments.</t>
  </si>
  <si>
    <t>A high-quality Rectangular mirror 50*160 cm suitable for various environments.</t>
  </si>
  <si>
    <t>A high-quality LED rectangle mirror suitable for various environments.</t>
  </si>
  <si>
    <t>A high-quality Large X single base suitable for various environments.</t>
  </si>
  <si>
    <t>A high-quality Bar base suitable for various environments.</t>
  </si>
  <si>
    <t>Chinese lamayka,size 60*60,size 70*70,size 70*110,size80*120</t>
  </si>
  <si>
    <t>A high-quality Table face 110*70 suitable for various environments.</t>
  </si>
  <si>
    <t>A high-quality Aluminum sturdy chair suitable for various environments.</t>
  </si>
  <si>
    <t>A high-quality Walker chair suitable for various environments.</t>
  </si>
  <si>
    <t>A high-quality Double-sided shoes suitable for various environments.</t>
  </si>
  <si>
    <t>A high-quality Clear round iron base/40 cm suitable for various environments.</t>
  </si>
  <si>
    <t>A high-quality Shoes 3 glass drawer suitable for various environments.</t>
  </si>
  <si>
    <t>A high-quality 6 drawer shoes suitable for various environments.</t>
  </si>
  <si>
    <t>A high-quality Aluminum base suitable for various environments.</t>
  </si>
  <si>
    <t>A high-quality Heavy wood face 70*70 suitable for various environments.</t>
  </si>
  <si>
    <t>A high-quality Heavy wood face 80*80 suitable for various environments.</t>
  </si>
  <si>
    <t>A high-quality Heavy wood face 120*70 suitable for various environments.</t>
  </si>
  <si>
    <t>A high-quality Heavy wood face 130*80 suitable for various environments.</t>
  </si>
  <si>
    <t>A high-quality Granite table top 80*80 suitable for various environments.</t>
  </si>
  <si>
    <t>A high-quality Versalite table face 80 round suitable for various environments.</t>
  </si>
  <si>
    <t>A high-quality Accessora Restaurant suitable for various environments.</t>
  </si>
  <si>
    <t>//</t>
  </si>
  <si>
    <t>A high-quality Sober 3 seater set suitable for various environments.</t>
  </si>
  <si>
    <t>لون واحد فقط</t>
  </si>
  <si>
    <t>3 drawer leather shoes</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</si>
</sst>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000"/>
  </numFmts>
  <fonts count="34">
    <font>
      <sz val="10.0"/>
      <color rgb="FF000000"/>
      <name val="Arial"/>
      <scheme val="minor"/>
    </font>
    <font>
      <color theme="1"/>
      <name val="Arial"/>
    </font>
    <font>
      <color theme="1"/>
      <name val="Arial"/>
      <scheme val="minor"/>
    </font>
    <font>
      <sz val="9.0"/>
      <color theme="1"/>
      <name val="&quot;Times New Roman&quot;"/>
    </font>
    <font>
      <sz val="11.0"/>
      <color rgb="FF000000"/>
      <name val="Calibri"/>
    </font>
    <font>
      <sz val="9.0"/>
      <color rgb="FF1F1F1F"/>
      <name val="Arial"/>
    </font>
    <font>
      <sz val="8.0"/>
      <color theme="1"/>
      <name val="&quot;Times New Roman&quot;"/>
    </font>
    <font>
      <sz val="7.0"/>
      <color theme="1"/>
      <name val="&quot;Times New Roman&quot;"/>
    </font>
    <font>
      <sz val="10.0"/>
      <color theme="1"/>
      <name val="Arial"/>
      <scheme val="minor"/>
    </font>
    <font>
      <sz val="10.0"/>
      <color theme="1"/>
      <name val="Arial"/>
    </font>
    <font>
      <sz val="11.0"/>
      <color rgb="FF000000"/>
      <name val="&quot;Times New Roman&quot;"/>
    </font>
    <font>
      <sz val="11.0"/>
      <color theme="1"/>
      <name val="Arial"/>
    </font>
    <font>
      <u/>
      <color rgb="FF0000FF"/>
      <name val="Arial"/>
    </font>
    <font>
      <u/>
      <color rgb="FF0000FF"/>
      <name val="Arial"/>
    </font>
    <font>
      <sz val="9.0"/>
      <color rgb="FF000000"/>
      <name val="&quot;Times New Roman&quot;"/>
    </font>
    <font>
      <sz val="28.0"/>
      <color theme="1"/>
      <name val="Arial"/>
    </font>
    <font>
      <sz val="16.0"/>
      <color theme="1"/>
      <name val="Arial"/>
      <scheme val="minor"/>
    </font>
    <font>
      <sz val="28.0"/>
      <color theme="1"/>
      <name val="&quot;Times New Roman&quot;"/>
    </font>
    <font>
      <sz val="28.0"/>
      <color theme="1"/>
      <name val="Arial"/>
      <scheme val="minor"/>
    </font>
    <font>
      <sz val="28.0"/>
      <color rgb="FF000000"/>
      <name val="&quot;Times New Roman&quot;"/>
    </font>
    <font>
      <sz val="9.0"/>
      <color theme="1"/>
      <name val="Times New Roman"/>
    </font>
    <font>
      <sz val="11.0"/>
      <color theme="1"/>
      <name val="Calibri"/>
    </font>
    <font>
      <sz val="6.0"/>
      <color theme="1"/>
      <name val="&quot;Times New Roman&quot;"/>
    </font>
    <font>
      <color rgb="FF000000"/>
      <name val="Arial"/>
      <scheme val="minor"/>
    </font>
    <font>
      <color rgb="FF000000"/>
      <name val="Arial"/>
    </font>
    <font>
      <sz val="13.0"/>
      <color theme="1"/>
      <name val="Times New Roman"/>
    </font>
    <font>
      <sz val="14.0"/>
      <color theme="1"/>
      <name val="Times New Roman"/>
    </font>
    <font>
      <sz val="12.0"/>
      <color theme="1"/>
      <name val="Times New Roman"/>
    </font>
    <font>
      <sz val="14.0"/>
      <color theme="1"/>
      <name val="Calibri"/>
    </font>
    <font>
      <sz val="9.0"/>
      <color rgb="FF000000"/>
      <name val="&quot;\&quot;Times New Roman\&quot;&quot;"/>
    </font>
    <font>
      <sz val="11.0"/>
      <color rgb="FF000000"/>
      <name val="Arial"/>
    </font>
    <font>
      <sz val="11.0"/>
      <color rgb="FF000000"/>
      <name val="&quot;\&quot;Times New Roman\&quot;&quot;"/>
    </font>
    <font>
      <sz val="8.0"/>
      <color rgb="FF000000"/>
      <name val="&quot;\&quot;Times New Roman\&quot;&quot;"/>
    </font>
    <font>
      <sz val="7.0"/>
      <color rgb="FF000000"/>
      <name val="&quot;\&quot;Times New Roman\&quot;&quot;"/>
    </font>
  </fonts>
  <fills count="9">
    <fill>
      <patternFill patternType="none"/>
    </fill>
    <fill>
      <patternFill patternType="lightGray"/>
    </fill>
    <fill>
      <patternFill patternType="solid">
        <fgColor rgb="FF00FF00"/>
        <bgColor rgb="FF00FF00"/>
      </patternFill>
    </fill>
    <fill>
      <patternFill patternType="solid">
        <fgColor rgb="FFFFFAF0"/>
        <bgColor rgb="FFFFFAF0"/>
      </patternFill>
    </fill>
    <fill>
      <patternFill patternType="solid">
        <fgColor rgb="FFFF0000"/>
        <bgColor rgb="FFFF0000"/>
      </patternFill>
    </fill>
    <fill>
      <patternFill patternType="solid">
        <fgColor rgb="FFFFFFFF"/>
        <bgColor rgb="FFFFFFFF"/>
      </patternFill>
    </fill>
    <fill>
      <patternFill patternType="solid">
        <fgColor rgb="FFFFFF00"/>
        <bgColor rgb="FFFFFF00"/>
      </patternFill>
    </fill>
    <fill>
      <patternFill patternType="solid">
        <fgColor rgb="FFFF9900"/>
        <bgColor rgb="FFFF9900"/>
      </patternFill>
    </fill>
    <fill>
      <patternFill patternType="solid">
        <fgColor rgb="FFB7E1CD"/>
        <bgColor rgb="FFB7E1CD"/>
      </patternFill>
    </fill>
  </fills>
  <borders count="18">
    <border/>
    <border>
      <left style="thin">
        <color rgb="FF000000"/>
      </left>
      <right style="thin">
        <color rgb="FF000000"/>
      </right>
      <top style="thin">
        <color rgb="FF000000"/>
      </top>
      <bottom style="thin">
        <color rgb="FF000000"/>
      </bottom>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medium">
        <color rgb="FF000000"/>
      </left>
      <right style="medium">
        <color rgb="FF000000"/>
      </right>
      <top style="medium">
        <color rgb="FF000000"/>
      </top>
      <bottom style="medium">
        <color rgb="FF000000"/>
      </bottom>
    </border>
    <border>
      <left style="medium">
        <color rgb="FF000000"/>
      </left>
      <top style="medium">
        <color rgb="FF000000"/>
      </top>
      <bottom style="medium">
        <color rgb="FF000000"/>
      </bottom>
    </border>
    <border>
      <left style="medium">
        <color rgb="FF000000"/>
      </left>
      <top style="medium">
        <color rgb="FF000000"/>
      </top>
    </border>
    <border>
      <left style="thin">
        <color rgb="FF000000"/>
      </left>
      <right style="thin">
        <color rgb="FF000000"/>
      </right>
    </border>
    <border>
      <left style="thin">
        <color rgb="FF000000"/>
      </left>
      <top style="thin">
        <color rgb="FF000000"/>
      </top>
      <bottom style="thin">
        <color rgb="FF000000"/>
      </bottom>
    </border>
    <border>
      <right style="thin">
        <color rgb="FF000000"/>
      </right>
      <bottom style="thin">
        <color rgb="FF000000"/>
      </bottom>
    </border>
    <border>
      <bottom style="thin">
        <color rgb="FFD3D3D3"/>
      </bottom>
    </border>
    <border>
      <right style="thin">
        <color rgb="FF000000"/>
      </right>
      <top style="thin">
        <color rgb="FF000000"/>
      </top>
      <bottom style="thin">
        <color rgb="FF000000"/>
      </bottom>
    </border>
    <border>
      <right style="thin">
        <color rgb="FF000000"/>
      </right>
    </border>
    <border>
      <left style="thin">
        <color rgb="FFD3D3D3"/>
      </left>
      <right style="thin">
        <color rgb="FFD3D3D3"/>
      </right>
      <bottom style="thin">
        <color rgb="FFD3D3D3"/>
      </bottom>
    </border>
    <border>
      <right style="thin">
        <color rgb="FFD3D3D3"/>
      </right>
    </border>
    <border>
      <right style="thin">
        <color rgb="FFD3D3D3"/>
      </right>
      <bottom style="thin">
        <color rgb="FFD3D3D3"/>
      </bottom>
    </border>
    <border>
      <left style="thin">
        <color rgb="FFD3D3D3"/>
      </left>
      <bottom style="thin">
        <color rgb="FFD3D3D3"/>
      </bottom>
    </border>
    <border>
      <right style="thin">
        <color rgb="FF000000"/>
      </right>
      <top style="thin">
        <color rgb="FF000000"/>
      </top>
    </border>
  </borders>
  <cellStyleXfs count="1">
    <xf borderId="0" fillId="0" fontId="0" numFmtId="0" applyAlignment="1" applyFont="1"/>
  </cellStyleXfs>
  <cellXfs count="257">
    <xf borderId="0" fillId="0" fontId="0" numFmtId="0" xfId="0" applyAlignment="1" applyFont="1">
      <alignment readingOrder="0" shrinkToFit="0" vertical="bottom" wrapText="0"/>
    </xf>
    <xf borderId="1" fillId="2" fontId="1" numFmtId="0" xfId="0" applyAlignment="1" applyBorder="1" applyFill="1" applyFont="1">
      <alignment horizontal="left" vertical="bottom"/>
    </xf>
    <xf borderId="1" fillId="2" fontId="1" numFmtId="0" xfId="0" applyAlignment="1" applyBorder="1" applyFont="1">
      <alignment horizontal="left" readingOrder="0" vertical="bottom"/>
    </xf>
    <xf borderId="0" fillId="0" fontId="2" numFmtId="0" xfId="0" applyAlignment="1" applyFont="1">
      <alignment horizontal="left" readingOrder="0"/>
    </xf>
    <xf borderId="0" fillId="0" fontId="2" numFmtId="0" xfId="0" applyAlignment="1" applyFont="1">
      <alignment horizontal="left"/>
    </xf>
    <xf borderId="1" fillId="0" fontId="3" numFmtId="0" xfId="0" applyAlignment="1" applyBorder="1" applyFont="1">
      <alignment horizontal="left" shrinkToFit="0" vertical="bottom" wrapText="1"/>
    </xf>
    <xf borderId="1" fillId="0" fontId="2" numFmtId="0" xfId="0" applyAlignment="1" applyBorder="1" applyFont="1">
      <alignment horizontal="left"/>
    </xf>
    <xf borderId="1" fillId="0" fontId="2" numFmtId="0" xfId="0" applyAlignment="1" applyBorder="1" applyFont="1">
      <alignment horizontal="left" readingOrder="0"/>
    </xf>
    <xf borderId="1" fillId="0" fontId="1" numFmtId="0" xfId="0" applyAlignment="1" applyBorder="1" applyFont="1">
      <alignment horizontal="left" vertical="bottom"/>
    </xf>
    <xf borderId="0" fillId="0" fontId="2" numFmtId="0" xfId="0" applyAlignment="1" applyFont="1">
      <alignment readingOrder="0"/>
    </xf>
    <xf borderId="1" fillId="0" fontId="3" numFmtId="164" xfId="0" applyAlignment="1" applyBorder="1" applyFont="1" applyNumberFormat="1">
      <alignment horizontal="left" shrinkToFit="0" vertical="bottom" wrapText="1"/>
    </xf>
    <xf borderId="1" fillId="0" fontId="4" numFmtId="0" xfId="0" applyAlignment="1" applyBorder="1" applyFont="1">
      <alignment readingOrder="0" shrinkToFit="0" vertical="bottom" wrapText="0"/>
    </xf>
    <xf borderId="1" fillId="0" fontId="3" numFmtId="39" xfId="0" applyAlignment="1" applyBorder="1" applyFont="1" applyNumberFormat="1">
      <alignment horizontal="left" shrinkToFit="0" vertical="bottom" wrapText="1"/>
    </xf>
    <xf borderId="1" fillId="3" fontId="3" numFmtId="0" xfId="0" applyAlignment="1" applyBorder="1" applyFill="1" applyFont="1">
      <alignment horizontal="left" shrinkToFit="0" vertical="bottom" wrapText="1"/>
    </xf>
    <xf borderId="1" fillId="3" fontId="3" numFmtId="164" xfId="0" applyAlignment="1" applyBorder="1" applyFont="1" applyNumberFormat="1">
      <alignment horizontal="left" shrinkToFit="0" vertical="bottom" wrapText="1"/>
    </xf>
    <xf borderId="1" fillId="3" fontId="3" numFmtId="39" xfId="0" applyAlignment="1" applyBorder="1" applyFont="1" applyNumberFormat="1">
      <alignment horizontal="left" shrinkToFit="0" vertical="bottom" wrapText="1"/>
    </xf>
    <xf borderId="1" fillId="0" fontId="1" numFmtId="0" xfId="0" applyAlignment="1" applyBorder="1" applyFont="1">
      <alignment horizontal="left" readingOrder="0" vertical="bottom"/>
    </xf>
    <xf borderId="1" fillId="4" fontId="3" numFmtId="0" xfId="0" applyAlignment="1" applyBorder="1" applyFill="1" applyFont="1">
      <alignment horizontal="left" shrinkToFit="0" vertical="bottom" wrapText="1"/>
    </xf>
    <xf borderId="1" fillId="4" fontId="2" numFmtId="0" xfId="0" applyAlignment="1" applyBorder="1" applyFont="1">
      <alignment horizontal="left"/>
    </xf>
    <xf borderId="1" fillId="4" fontId="2" numFmtId="0" xfId="0" applyAlignment="1" applyBorder="1" applyFont="1">
      <alignment horizontal="left" readingOrder="0"/>
    </xf>
    <xf borderId="1" fillId="4" fontId="1" numFmtId="0" xfId="0" applyAlignment="1" applyBorder="1" applyFont="1">
      <alignment horizontal="left" vertical="bottom"/>
    </xf>
    <xf borderId="0" fillId="5" fontId="2" numFmtId="0" xfId="0" applyAlignment="1" applyFill="1" applyFont="1">
      <alignment readingOrder="0"/>
    </xf>
    <xf borderId="1" fillId="5" fontId="1" numFmtId="0" xfId="0" applyAlignment="1" applyBorder="1" applyFont="1">
      <alignment horizontal="left" readingOrder="0" vertical="bottom"/>
    </xf>
    <xf borderId="1" fillId="5" fontId="1" numFmtId="0" xfId="0" applyAlignment="1" applyBorder="1" applyFont="1">
      <alignment horizontal="left" vertical="bottom"/>
    </xf>
    <xf borderId="1" fillId="5" fontId="3" numFmtId="164" xfId="0" applyAlignment="1" applyBorder="1" applyFont="1" applyNumberFormat="1">
      <alignment horizontal="left" shrinkToFit="0" vertical="bottom" wrapText="1"/>
    </xf>
    <xf borderId="1" fillId="5" fontId="4" numFmtId="0" xfId="0" applyAlignment="1" applyBorder="1" applyFont="1">
      <alignment readingOrder="0" shrinkToFit="0" vertical="bottom" wrapText="0"/>
    </xf>
    <xf borderId="1" fillId="5" fontId="3" numFmtId="39" xfId="0" applyAlignment="1" applyBorder="1" applyFont="1" applyNumberFormat="1">
      <alignment horizontal="left" shrinkToFit="0" vertical="bottom" wrapText="1"/>
    </xf>
    <xf borderId="1" fillId="5" fontId="5" numFmtId="0" xfId="0" applyAlignment="1" applyBorder="1" applyFont="1">
      <alignment horizontal="left" readingOrder="0"/>
    </xf>
    <xf borderId="1" fillId="4" fontId="6" numFmtId="0" xfId="0" applyAlignment="1" applyBorder="1" applyFont="1">
      <alignment horizontal="left" shrinkToFit="0" vertical="bottom" wrapText="1"/>
    </xf>
    <xf borderId="1" fillId="0" fontId="1" numFmtId="164" xfId="0" applyAlignment="1" applyBorder="1" applyFont="1" applyNumberFormat="1">
      <alignment horizontal="left" vertical="bottom"/>
    </xf>
    <xf borderId="0" fillId="0" fontId="2" numFmtId="0" xfId="0" applyFont="1"/>
    <xf borderId="1" fillId="3" fontId="1" numFmtId="164" xfId="0" applyAlignment="1" applyBorder="1" applyFont="1" applyNumberFormat="1">
      <alignment horizontal="left" vertical="bottom"/>
    </xf>
    <xf borderId="1" fillId="3" fontId="6" numFmtId="0" xfId="0" applyAlignment="1" applyBorder="1" applyFont="1">
      <alignment horizontal="left" shrinkToFit="0" vertical="bottom" wrapText="1"/>
    </xf>
    <xf borderId="1" fillId="0" fontId="6" numFmtId="0" xfId="0" applyAlignment="1" applyBorder="1" applyFont="1">
      <alignment horizontal="left" shrinkToFit="0" vertical="bottom" wrapText="1"/>
    </xf>
    <xf borderId="1" fillId="0" fontId="7" numFmtId="0" xfId="0" applyAlignment="1" applyBorder="1" applyFont="1">
      <alignment horizontal="left" shrinkToFit="0" vertical="bottom" wrapText="1"/>
    </xf>
    <xf borderId="1" fillId="3" fontId="7" numFmtId="0" xfId="0" applyAlignment="1" applyBorder="1" applyFont="1">
      <alignment horizontal="left" shrinkToFit="0" vertical="bottom" wrapText="1"/>
    </xf>
    <xf borderId="1" fillId="6" fontId="3" numFmtId="0" xfId="0" applyAlignment="1" applyBorder="1" applyFill="1" applyFont="1">
      <alignment horizontal="left" shrinkToFit="0" vertical="bottom" wrapText="1"/>
    </xf>
    <xf borderId="1" fillId="6" fontId="2" numFmtId="0" xfId="0" applyAlignment="1" applyBorder="1" applyFont="1">
      <alignment horizontal="left"/>
    </xf>
    <xf borderId="1" fillId="6" fontId="2" numFmtId="0" xfId="0" applyAlignment="1" applyBorder="1" applyFont="1">
      <alignment horizontal="left" readingOrder="0"/>
    </xf>
    <xf borderId="1" fillId="6" fontId="1" numFmtId="0" xfId="0" applyAlignment="1" applyBorder="1" applyFont="1">
      <alignment horizontal="left" vertical="bottom"/>
    </xf>
    <xf borderId="1" fillId="6" fontId="7" numFmtId="0" xfId="0" applyAlignment="1" applyBorder="1" applyFont="1">
      <alignment horizontal="left" shrinkToFit="0" vertical="bottom" wrapText="1"/>
    </xf>
    <xf borderId="0" fillId="6" fontId="2" numFmtId="0" xfId="0" applyAlignment="1" applyFont="1">
      <alignment readingOrder="0"/>
    </xf>
    <xf borderId="1" fillId="6" fontId="5" numFmtId="0" xfId="0" applyAlignment="1" applyBorder="1" applyFont="1">
      <alignment horizontal="left" readingOrder="0"/>
    </xf>
    <xf borderId="1" fillId="6" fontId="3" numFmtId="164" xfId="0" applyAlignment="1" applyBorder="1" applyFont="1" applyNumberFormat="1">
      <alignment horizontal="left" shrinkToFit="0" vertical="bottom" wrapText="1"/>
    </xf>
    <xf borderId="1" fillId="6" fontId="4" numFmtId="0" xfId="0" applyAlignment="1" applyBorder="1" applyFont="1">
      <alignment readingOrder="0" shrinkToFit="0" vertical="bottom" wrapText="0"/>
    </xf>
    <xf borderId="1" fillId="6" fontId="3" numFmtId="39" xfId="0" applyAlignment="1" applyBorder="1" applyFont="1" applyNumberFormat="1">
      <alignment horizontal="left" shrinkToFit="0" vertical="bottom" wrapText="1"/>
    </xf>
    <xf borderId="1" fillId="6" fontId="1" numFmtId="0" xfId="0" applyAlignment="1" applyBorder="1" applyFont="1">
      <alignment horizontal="left" readingOrder="0" vertical="bottom"/>
    </xf>
    <xf borderId="1" fillId="7" fontId="2" numFmtId="0" xfId="0" applyAlignment="1" applyBorder="1" applyFill="1" applyFont="1">
      <alignment horizontal="left"/>
    </xf>
    <xf borderId="1" fillId="6" fontId="6" numFmtId="0" xfId="0" applyAlignment="1" applyBorder="1" applyFont="1">
      <alignment horizontal="left" shrinkToFit="0" vertical="bottom" wrapText="1"/>
    </xf>
    <xf borderId="1" fillId="0" fontId="1" numFmtId="0" xfId="0" applyAlignment="1" applyBorder="1" applyFont="1">
      <alignment horizontal="left" readingOrder="0" vertical="bottom"/>
    </xf>
    <xf borderId="1" fillId="6" fontId="1" numFmtId="164" xfId="0" applyAlignment="1" applyBorder="1" applyFont="1" applyNumberFormat="1">
      <alignment horizontal="left" vertical="bottom"/>
    </xf>
    <xf borderId="1" fillId="3" fontId="1" numFmtId="164" xfId="0" applyAlignment="1" applyBorder="1" applyFont="1" applyNumberFormat="1">
      <alignment horizontal="left" readingOrder="0" vertical="bottom"/>
    </xf>
    <xf borderId="1" fillId="0" fontId="4" numFmtId="0" xfId="0" applyAlignment="1" applyBorder="1" applyFont="1">
      <alignment readingOrder="0" vertical="bottom"/>
    </xf>
    <xf borderId="1" fillId="0" fontId="8" numFmtId="0" xfId="0" applyAlignment="1" applyBorder="1" applyFont="1">
      <alignment horizontal="left" readingOrder="0"/>
    </xf>
    <xf borderId="1" fillId="0" fontId="9" numFmtId="0" xfId="0" applyAlignment="1" applyBorder="1" applyFont="1">
      <alignment horizontal="left" vertical="bottom"/>
    </xf>
    <xf borderId="1" fillId="6" fontId="9" numFmtId="0" xfId="0" applyAlignment="1" applyBorder="1" applyFont="1">
      <alignment horizontal="left" vertical="bottom"/>
    </xf>
    <xf borderId="1" fillId="6" fontId="8" numFmtId="0" xfId="0" applyAlignment="1" applyBorder="1" applyFont="1">
      <alignment horizontal="left" readingOrder="0"/>
    </xf>
    <xf borderId="1" fillId="6" fontId="4" numFmtId="0" xfId="0" applyAlignment="1" applyBorder="1" applyFont="1">
      <alignment readingOrder="0" vertical="bottom"/>
    </xf>
    <xf borderId="1" fillId="0" fontId="3" numFmtId="39" xfId="0" applyAlignment="1" applyBorder="1" applyFont="1" applyNumberFormat="1">
      <alignment horizontal="left" readingOrder="0" shrinkToFit="0" vertical="bottom" wrapText="1"/>
    </xf>
    <xf borderId="1" fillId="0" fontId="10" numFmtId="0" xfId="0" applyAlignment="1" applyBorder="1" applyFont="1">
      <alignment horizontal="center" readingOrder="0" shrinkToFit="0" vertical="top" wrapText="0"/>
    </xf>
    <xf borderId="1" fillId="0" fontId="11" numFmtId="0" xfId="0" applyAlignment="1" applyBorder="1" applyFont="1">
      <alignment horizontal="left" vertical="bottom"/>
    </xf>
    <xf borderId="1" fillId="0" fontId="10" numFmtId="39" xfId="0" applyAlignment="1" applyBorder="1" applyFont="1" applyNumberFormat="1">
      <alignment horizontal="center" readingOrder="0" shrinkToFit="0" vertical="top" wrapText="0"/>
    </xf>
    <xf borderId="1" fillId="0" fontId="2" numFmtId="0" xfId="0" applyBorder="1" applyFont="1"/>
    <xf borderId="1" fillId="0" fontId="10" numFmtId="0" xfId="0" applyAlignment="1" applyBorder="1" applyFont="1">
      <alignment horizontal="center" readingOrder="0" shrinkToFit="0" vertical="top" wrapText="0"/>
    </xf>
    <xf borderId="0" fillId="6" fontId="2" numFmtId="0" xfId="0" applyFont="1"/>
    <xf borderId="1" fillId="6" fontId="12" numFmtId="0" xfId="0" applyAlignment="1" applyBorder="1" applyFont="1">
      <alignment horizontal="left" readingOrder="0" vertical="bottom"/>
    </xf>
    <xf borderId="1" fillId="6" fontId="13" numFmtId="0" xfId="0" applyAlignment="1" applyBorder="1" applyFont="1">
      <alignment horizontal="left" vertical="bottom"/>
    </xf>
    <xf borderId="1" fillId="6" fontId="2" numFmtId="0" xfId="0" applyBorder="1" applyFont="1"/>
    <xf borderId="1" fillId="0" fontId="10" numFmtId="0" xfId="0" applyAlignment="1" applyBorder="1" applyFont="1">
      <alignment horizontal="center" readingOrder="0"/>
    </xf>
    <xf borderId="1" fillId="0" fontId="10" numFmtId="0" xfId="0" applyAlignment="1" applyBorder="1" applyFont="1">
      <alignment horizontal="center" readingOrder="0"/>
    </xf>
    <xf borderId="1" fillId="0" fontId="14" numFmtId="39" xfId="0" applyAlignment="1" applyBorder="1" applyFont="1" applyNumberFormat="1">
      <alignment horizontal="center" readingOrder="0"/>
    </xf>
    <xf borderId="0" fillId="5" fontId="2" numFmtId="0" xfId="0" applyAlignment="1" applyFont="1">
      <alignment horizontal="left"/>
    </xf>
    <xf borderId="0" fillId="5" fontId="2" numFmtId="0" xfId="0" applyFont="1"/>
    <xf borderId="1" fillId="2" fontId="15" numFmtId="0" xfId="0" applyAlignment="1" applyBorder="1" applyFont="1">
      <alignment horizontal="left" vertical="bottom"/>
    </xf>
    <xf borderId="1" fillId="2" fontId="15" numFmtId="0" xfId="0" applyAlignment="1" applyBorder="1" applyFont="1">
      <alignment horizontal="left" readingOrder="0" vertical="bottom"/>
    </xf>
    <xf borderId="0" fillId="0" fontId="16" numFmtId="0" xfId="0" applyFont="1"/>
    <xf borderId="1" fillId="0" fontId="17" numFmtId="0" xfId="0" applyAlignment="1" applyBorder="1" applyFont="1">
      <alignment horizontal="left" shrinkToFit="0" vertical="bottom" wrapText="1"/>
    </xf>
    <xf borderId="1" fillId="0" fontId="18" numFmtId="0" xfId="0" applyAlignment="1" applyBorder="1" applyFont="1">
      <alignment horizontal="left"/>
    </xf>
    <xf borderId="1" fillId="0" fontId="18" numFmtId="0" xfId="0" applyAlignment="1" applyBorder="1" applyFont="1">
      <alignment horizontal="left" readingOrder="0"/>
    </xf>
    <xf borderId="1" fillId="0" fontId="15" numFmtId="0" xfId="0" applyAlignment="1" applyBorder="1" applyFont="1">
      <alignment horizontal="left" vertical="bottom"/>
    </xf>
    <xf borderId="1" fillId="3" fontId="17" numFmtId="0" xfId="0" applyAlignment="1" applyBorder="1" applyFont="1">
      <alignment horizontal="left" shrinkToFit="0" vertical="bottom" wrapText="1"/>
    </xf>
    <xf borderId="1" fillId="0" fontId="15" numFmtId="0" xfId="0" applyAlignment="1" applyBorder="1" applyFont="1">
      <alignment horizontal="left" readingOrder="0" vertical="bottom"/>
    </xf>
    <xf borderId="1" fillId="0" fontId="15" numFmtId="0" xfId="0" applyAlignment="1" applyBorder="1" applyFont="1">
      <alignment horizontal="left" readingOrder="0" vertical="bottom"/>
    </xf>
    <xf borderId="1" fillId="0" fontId="19" numFmtId="0" xfId="0" applyAlignment="1" applyBorder="1" applyFont="1">
      <alignment horizontal="center" readingOrder="0" shrinkToFit="0" vertical="top" wrapText="0"/>
    </xf>
    <xf borderId="1" fillId="0" fontId="19" numFmtId="0" xfId="0" applyAlignment="1" applyBorder="1" applyFont="1">
      <alignment horizontal="center" readingOrder="0" shrinkToFit="0" vertical="top" wrapText="0"/>
    </xf>
    <xf borderId="1" fillId="0" fontId="19" numFmtId="0" xfId="0" applyAlignment="1" applyBorder="1" applyFont="1">
      <alignment horizontal="center" readingOrder="0"/>
    </xf>
    <xf borderId="1" fillId="0" fontId="19" numFmtId="0" xfId="0" applyAlignment="1" applyBorder="1" applyFont="1">
      <alignment horizontal="center" readingOrder="0"/>
    </xf>
    <xf borderId="1" fillId="2" fontId="1" numFmtId="0" xfId="0" applyAlignment="1" applyBorder="1" applyFont="1">
      <alignment horizontal="center" vertical="bottom"/>
    </xf>
    <xf borderId="1" fillId="3" fontId="20" numFmtId="0" xfId="0" applyAlignment="1" applyBorder="1" applyFont="1">
      <alignment shrinkToFit="0" vertical="bottom" wrapText="1"/>
    </xf>
    <xf borderId="1" fillId="0" fontId="1" numFmtId="0" xfId="0" applyAlignment="1" applyBorder="1" applyFont="1">
      <alignment vertical="bottom"/>
    </xf>
    <xf borderId="1" fillId="0" fontId="1" numFmtId="0" xfId="0" applyBorder="1" applyFont="1"/>
    <xf borderId="0" fillId="0" fontId="1" numFmtId="0" xfId="0" applyAlignment="1" applyFont="1">
      <alignment vertical="bottom"/>
    </xf>
    <xf borderId="1" fillId="0" fontId="1" numFmtId="0" xfId="0" applyAlignment="1" applyBorder="1" applyFont="1">
      <alignment horizontal="center" vertical="bottom"/>
    </xf>
    <xf borderId="1" fillId="3" fontId="20" numFmtId="164" xfId="0" applyAlignment="1" applyBorder="1" applyFont="1" applyNumberFormat="1">
      <alignment shrinkToFit="0" vertical="bottom" wrapText="1"/>
    </xf>
    <xf borderId="1" fillId="0" fontId="21" numFmtId="0" xfId="0" applyAlignment="1" applyBorder="1" applyFont="1">
      <alignment vertical="bottom"/>
    </xf>
    <xf borderId="1" fillId="3" fontId="20" numFmtId="39" xfId="0" applyAlignment="1" applyBorder="1" applyFont="1" applyNumberFormat="1">
      <alignment shrinkToFit="0" vertical="bottom" wrapText="1"/>
    </xf>
    <xf borderId="1" fillId="0" fontId="20" numFmtId="0" xfId="0" applyAlignment="1" applyBorder="1" applyFont="1">
      <alignment shrinkToFit="0" vertical="bottom" wrapText="1"/>
    </xf>
    <xf borderId="1" fillId="0" fontId="4" numFmtId="0" xfId="0" applyAlignment="1" applyBorder="1" applyFont="1">
      <alignment horizontal="center" readingOrder="0"/>
    </xf>
    <xf borderId="1" fillId="0" fontId="20" numFmtId="164" xfId="0" applyAlignment="1" applyBorder="1" applyFont="1" applyNumberFormat="1">
      <alignment shrinkToFit="0" vertical="bottom" wrapText="1"/>
    </xf>
    <xf borderId="1" fillId="8" fontId="20" numFmtId="39" xfId="0" applyAlignment="1" applyBorder="1" applyFill="1" applyFont="1" applyNumberFormat="1">
      <alignment shrinkToFit="0" vertical="bottom" wrapText="1"/>
    </xf>
    <xf borderId="1" fillId="3" fontId="3" numFmtId="0" xfId="0" applyAlignment="1" applyBorder="1" applyFont="1">
      <alignment horizontal="left" readingOrder="0" shrinkToFit="0" vertical="bottom" wrapText="1"/>
    </xf>
    <xf borderId="1" fillId="0" fontId="1" numFmtId="0" xfId="0" applyAlignment="1" applyBorder="1" applyFont="1">
      <alignment horizontal="center" readingOrder="0" vertical="bottom"/>
    </xf>
    <xf borderId="1" fillId="0" fontId="3" numFmtId="0" xfId="0" applyAlignment="1" applyBorder="1" applyFont="1">
      <alignment horizontal="left" readingOrder="0" shrinkToFit="0" vertical="bottom" wrapText="1"/>
    </xf>
    <xf borderId="1" fillId="3" fontId="3" numFmtId="0" xfId="0" applyAlignment="1" applyBorder="1" applyFont="1">
      <alignment horizontal="left" readingOrder="0" shrinkToFit="0" vertical="bottom" wrapText="1"/>
    </xf>
    <xf borderId="2" fillId="0" fontId="4" numFmtId="0" xfId="0" applyAlignment="1" applyBorder="1" applyFont="1">
      <alignment horizontal="center" readingOrder="0"/>
    </xf>
    <xf borderId="1" fillId="0" fontId="3" numFmtId="0" xfId="0" applyAlignment="1" applyBorder="1" applyFont="1">
      <alignment horizontal="left" readingOrder="0" shrinkToFit="0" vertical="bottom" wrapText="1"/>
    </xf>
    <xf borderId="1" fillId="0" fontId="11" numFmtId="0" xfId="0" applyAlignment="1" applyBorder="1" applyFont="1">
      <alignment horizontal="left" readingOrder="0" vertical="bottom"/>
    </xf>
    <xf borderId="1" fillId="0" fontId="2" numFmtId="0" xfId="0" applyAlignment="1" applyBorder="1" applyFont="1">
      <alignment readingOrder="0"/>
    </xf>
    <xf borderId="1" fillId="0" fontId="2" numFmtId="0" xfId="0" applyAlignment="1" applyBorder="1" applyFont="1">
      <alignment readingOrder="0"/>
    </xf>
    <xf borderId="1" fillId="0" fontId="2" numFmtId="0" xfId="0" applyAlignment="1" applyBorder="1" applyFont="1">
      <alignment horizontal="center" readingOrder="0"/>
    </xf>
    <xf borderId="1" fillId="0" fontId="2" numFmtId="0" xfId="0" applyAlignment="1" applyBorder="1" applyFont="1">
      <alignment horizontal="center"/>
    </xf>
    <xf borderId="0" fillId="0" fontId="2" numFmtId="0" xfId="0" applyAlignment="1" applyFont="1">
      <alignment horizontal="center"/>
    </xf>
    <xf borderId="1" fillId="0" fontId="22" numFmtId="0" xfId="0" applyAlignment="1" applyBorder="1" applyFont="1">
      <alignment horizontal="left" shrinkToFit="0" vertical="bottom" wrapText="1"/>
    </xf>
    <xf borderId="1" fillId="2" fontId="23" numFmtId="0" xfId="0" applyAlignment="1" applyBorder="1" applyFont="1">
      <alignment readingOrder="0"/>
    </xf>
    <xf borderId="0" fillId="2" fontId="24" numFmtId="0" xfId="0" applyAlignment="1" applyFont="1">
      <alignment horizontal="left" readingOrder="0"/>
    </xf>
    <xf borderId="0" fillId="2" fontId="23" numFmtId="0" xfId="0" applyAlignment="1" applyFont="1">
      <alignment readingOrder="0"/>
    </xf>
    <xf borderId="0" fillId="2" fontId="2" numFmtId="0" xfId="0" applyAlignment="1" applyFont="1">
      <alignment readingOrder="0"/>
    </xf>
    <xf borderId="1" fillId="0" fontId="25" numFmtId="0" xfId="0" applyAlignment="1" applyBorder="1" applyFont="1">
      <alignment horizontal="right"/>
    </xf>
    <xf borderId="0" fillId="0" fontId="21" numFmtId="0" xfId="0" applyAlignment="1" applyFont="1">
      <alignment vertical="bottom"/>
    </xf>
    <xf borderId="1" fillId="0" fontId="25" numFmtId="0" xfId="0" applyBorder="1" applyFont="1"/>
    <xf borderId="0" fillId="5" fontId="24" numFmtId="0" xfId="0" applyAlignment="1" applyFont="1">
      <alignment horizontal="left" readingOrder="0"/>
    </xf>
    <xf borderId="3" fillId="0" fontId="25" numFmtId="0" xfId="0" applyAlignment="1" applyBorder="1" applyFont="1">
      <alignment horizontal="right"/>
    </xf>
    <xf borderId="3" fillId="0" fontId="25" numFmtId="0" xfId="0" applyBorder="1" applyFont="1"/>
    <xf borderId="0" fillId="0" fontId="21" numFmtId="0" xfId="0" applyFont="1"/>
    <xf borderId="0" fillId="0" fontId="26" numFmtId="0" xfId="0" applyAlignment="1" applyFont="1">
      <alignment horizontal="center"/>
    </xf>
    <xf borderId="4" fillId="0" fontId="25" numFmtId="0" xfId="0" applyAlignment="1" applyBorder="1" applyFont="1">
      <alignment horizontal="center"/>
    </xf>
    <xf borderId="5" fillId="0" fontId="25" numFmtId="0" xfId="0" applyAlignment="1" applyBorder="1" applyFont="1">
      <alignment horizontal="center"/>
    </xf>
    <xf borderId="0" fillId="0" fontId="21" numFmtId="0" xfId="0" applyAlignment="1" applyFont="1">
      <alignment readingOrder="0" vertical="bottom"/>
    </xf>
    <xf borderId="1" fillId="0" fontId="21" numFmtId="0" xfId="0" applyBorder="1" applyFont="1"/>
    <xf borderId="1" fillId="0" fontId="25" numFmtId="2" xfId="0" applyBorder="1" applyFont="1" applyNumberFormat="1"/>
    <xf borderId="1" fillId="0" fontId="27" numFmtId="0" xfId="0" applyBorder="1" applyFont="1"/>
    <xf borderId="1" fillId="0" fontId="25" numFmtId="0" xfId="0" applyAlignment="1" applyBorder="1" applyFont="1">
      <alignment vertical="bottom"/>
    </xf>
    <xf borderId="0" fillId="0" fontId="28" numFmtId="0" xfId="0" applyAlignment="1" applyFont="1">
      <alignment horizontal="center"/>
    </xf>
    <xf borderId="4" fillId="0" fontId="25" numFmtId="0" xfId="0" applyAlignment="1" applyBorder="1" applyFont="1">
      <alignment horizontal="right"/>
    </xf>
    <xf borderId="3" fillId="0" fontId="21" numFmtId="0" xfId="0" applyBorder="1" applyFont="1"/>
    <xf borderId="6" fillId="0" fontId="25" numFmtId="0" xfId="0" applyAlignment="1" applyBorder="1" applyFont="1">
      <alignment horizontal="center"/>
    </xf>
    <xf borderId="1" fillId="0" fontId="21" numFmtId="0" xfId="0" applyAlignment="1" applyBorder="1" applyFont="1">
      <alignment readingOrder="0" vertical="bottom"/>
    </xf>
    <xf borderId="1" fillId="0" fontId="25" numFmtId="0" xfId="0" applyAlignment="1" applyBorder="1" applyFont="1">
      <alignment readingOrder="0"/>
    </xf>
    <xf borderId="1" fillId="0" fontId="4" numFmtId="0" xfId="0" applyAlignment="1" applyBorder="1" applyFont="1">
      <alignment horizontal="right" readingOrder="0" shrinkToFit="0" vertical="bottom" wrapText="0"/>
    </xf>
    <xf borderId="3" fillId="0" fontId="27" numFmtId="0" xfId="0" applyAlignment="1" applyBorder="1" applyFont="1">
      <alignment horizontal="right"/>
    </xf>
    <xf borderId="2" fillId="0" fontId="21" numFmtId="0" xfId="0" applyBorder="1" applyFont="1"/>
    <xf borderId="7" fillId="0" fontId="25" numFmtId="0" xfId="0" applyAlignment="1" applyBorder="1" applyFont="1">
      <alignment horizontal="right"/>
    </xf>
    <xf borderId="8" fillId="0" fontId="25" numFmtId="0" xfId="0" applyBorder="1" applyFont="1"/>
    <xf borderId="1" fillId="0" fontId="25" numFmtId="0" xfId="0" applyAlignment="1" applyBorder="1" applyFont="1">
      <alignment horizontal="right" vertical="bottom"/>
    </xf>
    <xf borderId="1" fillId="0" fontId="25" numFmtId="0" xfId="0" applyAlignment="1" applyBorder="1" applyFont="1">
      <alignment horizontal="center"/>
    </xf>
    <xf borderId="0" fillId="0" fontId="25" numFmtId="0" xfId="0" applyAlignment="1" applyFont="1">
      <alignment horizontal="center"/>
    </xf>
    <xf borderId="0" fillId="2" fontId="1" numFmtId="0" xfId="0" applyAlignment="1" applyFont="1">
      <alignment horizontal="center" vertical="bottom"/>
    </xf>
    <xf borderId="0" fillId="2" fontId="1" numFmtId="0" xfId="0" applyAlignment="1" applyFont="1">
      <alignment horizontal="center" readingOrder="0" vertical="bottom"/>
    </xf>
    <xf borderId="9" fillId="2" fontId="1" numFmtId="0" xfId="0" applyAlignment="1" applyBorder="1" applyFont="1">
      <alignment horizontal="center" readingOrder="0" vertical="bottom"/>
    </xf>
    <xf borderId="10" fillId="2" fontId="1" numFmtId="0" xfId="0" applyAlignment="1" applyBorder="1" applyFont="1">
      <alignment horizontal="center" readingOrder="0" vertical="bottom"/>
    </xf>
    <xf borderId="10" fillId="2" fontId="1" numFmtId="0" xfId="0" applyAlignment="1" applyBorder="1" applyFont="1">
      <alignment horizontal="center" vertical="bottom"/>
    </xf>
    <xf borderId="11" fillId="2" fontId="1" numFmtId="0" xfId="0" applyAlignment="1" applyBorder="1" applyFont="1">
      <alignment horizontal="center" vertical="bottom"/>
    </xf>
    <xf borderId="12" fillId="2" fontId="1" numFmtId="0" xfId="0" applyAlignment="1" applyBorder="1" applyFont="1">
      <alignment horizontal="center" vertical="bottom"/>
    </xf>
    <xf borderId="13" fillId="0" fontId="3" numFmtId="0" xfId="0" applyAlignment="1" applyBorder="1" applyFont="1">
      <alignment horizontal="center" shrinkToFit="0" vertical="bottom" wrapText="1"/>
    </xf>
    <xf borderId="0" fillId="0" fontId="1" numFmtId="0" xfId="0" applyAlignment="1" applyFont="1">
      <alignment horizontal="center" readingOrder="0" vertical="bottom"/>
    </xf>
    <xf borderId="14" fillId="0" fontId="1" numFmtId="0" xfId="0" applyAlignment="1" applyBorder="1" applyFont="1">
      <alignment horizontal="center" vertical="bottom"/>
    </xf>
    <xf borderId="14" fillId="0" fontId="3" numFmtId="0" xfId="0" applyAlignment="1" applyBorder="1" applyFont="1">
      <alignment horizontal="center" shrinkToFit="0" vertical="bottom" wrapText="1"/>
    </xf>
    <xf borderId="15" fillId="0" fontId="3" numFmtId="0" xfId="0" applyAlignment="1" applyBorder="1" applyFont="1">
      <alignment horizontal="center" shrinkToFit="0" vertical="bottom" wrapText="1"/>
    </xf>
    <xf borderId="15" fillId="0" fontId="3" numFmtId="39" xfId="0" applyAlignment="1" applyBorder="1" applyFont="1" applyNumberFormat="1">
      <alignment horizontal="center" shrinkToFit="0" vertical="bottom" wrapText="1"/>
    </xf>
    <xf borderId="15" fillId="0" fontId="3" numFmtId="164" xfId="0" applyAlignment="1" applyBorder="1" applyFont="1" applyNumberFormat="1">
      <alignment horizontal="center" shrinkToFit="0" vertical="bottom" wrapText="1"/>
    </xf>
    <xf borderId="10" fillId="0" fontId="3" numFmtId="164" xfId="0" applyAlignment="1" applyBorder="1" applyFont="1" applyNumberFormat="1">
      <alignment horizontal="center" shrinkToFit="0" vertical="bottom" wrapText="1"/>
    </xf>
    <xf borderId="0" fillId="5" fontId="5" numFmtId="0" xfId="0" applyAlignment="1" applyFont="1">
      <alignment horizontal="center" readingOrder="0"/>
    </xf>
    <xf borderId="0" fillId="0" fontId="1" numFmtId="0" xfId="0" applyAlignment="1" applyFont="1">
      <alignment horizontal="center" vertical="bottom"/>
    </xf>
    <xf borderId="13" fillId="3" fontId="3" numFmtId="0" xfId="0" applyAlignment="1" applyBorder="1" applyFont="1">
      <alignment horizontal="center" shrinkToFit="0" vertical="bottom" wrapText="1"/>
    </xf>
    <xf borderId="14" fillId="3" fontId="3" numFmtId="0" xfId="0" applyAlignment="1" applyBorder="1" applyFont="1">
      <alignment horizontal="center" shrinkToFit="0" vertical="center" wrapText="1"/>
    </xf>
    <xf borderId="15" fillId="3" fontId="3" numFmtId="0" xfId="0" applyAlignment="1" applyBorder="1" applyFont="1">
      <alignment horizontal="center" shrinkToFit="0" vertical="center" wrapText="1"/>
    </xf>
    <xf borderId="15" fillId="3" fontId="3" numFmtId="39" xfId="0" applyAlignment="1" applyBorder="1" applyFont="1" applyNumberFormat="1">
      <alignment horizontal="center" shrinkToFit="0" vertical="center" wrapText="1"/>
    </xf>
    <xf borderId="15" fillId="3" fontId="3" numFmtId="164" xfId="0" applyAlignment="1" applyBorder="1" applyFont="1" applyNumberFormat="1">
      <alignment horizontal="center" shrinkToFit="0" vertical="center" wrapText="1"/>
    </xf>
    <xf borderId="10" fillId="3" fontId="3" numFmtId="164" xfId="0" applyAlignment="1" applyBorder="1" applyFont="1" applyNumberFormat="1">
      <alignment horizontal="center" shrinkToFit="0" vertical="center" wrapText="1"/>
    </xf>
    <xf borderId="14" fillId="3" fontId="3" numFmtId="0" xfId="0" applyAlignment="1" applyBorder="1" applyFont="1">
      <alignment horizontal="center" shrinkToFit="0" vertical="bottom" wrapText="1"/>
    </xf>
    <xf borderId="15" fillId="3" fontId="3" numFmtId="0" xfId="0" applyAlignment="1" applyBorder="1" applyFont="1">
      <alignment horizontal="center" shrinkToFit="0" vertical="bottom" wrapText="1"/>
    </xf>
    <xf borderId="15" fillId="3" fontId="3" numFmtId="39" xfId="0" applyAlignment="1" applyBorder="1" applyFont="1" applyNumberFormat="1">
      <alignment horizontal="center" shrinkToFit="0" vertical="bottom" wrapText="1"/>
    </xf>
    <xf borderId="15" fillId="3" fontId="1" numFmtId="164" xfId="0" applyAlignment="1" applyBorder="1" applyFont="1" applyNumberFormat="1">
      <alignment horizontal="center" vertical="bottom"/>
    </xf>
    <xf borderId="10" fillId="3" fontId="1" numFmtId="164" xfId="0" applyAlignment="1" applyBorder="1" applyFont="1" applyNumberFormat="1">
      <alignment horizontal="center" vertical="bottom"/>
    </xf>
    <xf borderId="15" fillId="0" fontId="1" numFmtId="164" xfId="0" applyAlignment="1" applyBorder="1" applyFont="1" applyNumberFormat="1">
      <alignment horizontal="center" vertical="bottom"/>
    </xf>
    <xf borderId="10" fillId="0" fontId="1" numFmtId="164" xfId="0" applyAlignment="1" applyBorder="1" applyFont="1" applyNumberFormat="1">
      <alignment horizontal="center" vertical="bottom"/>
    </xf>
    <xf borderId="15" fillId="3" fontId="3" numFmtId="164" xfId="0" applyAlignment="1" applyBorder="1" applyFont="1" applyNumberFormat="1">
      <alignment horizontal="center" shrinkToFit="0" vertical="bottom" wrapText="1"/>
    </xf>
    <xf borderId="10" fillId="3" fontId="3" numFmtId="164" xfId="0" applyAlignment="1" applyBorder="1" applyFont="1" applyNumberFormat="1">
      <alignment horizontal="center" shrinkToFit="0" vertical="bottom" wrapText="1"/>
    </xf>
    <xf borderId="16" fillId="3" fontId="3" numFmtId="0" xfId="0" applyAlignment="1" applyBorder="1" applyFont="1">
      <alignment horizontal="center" shrinkToFit="0" vertical="bottom" wrapText="1"/>
    </xf>
    <xf borderId="16" fillId="0" fontId="3" numFmtId="0" xfId="0" applyAlignment="1" applyBorder="1" applyFont="1">
      <alignment horizontal="center" shrinkToFit="0" vertical="bottom" wrapText="1"/>
    </xf>
    <xf borderId="14" fillId="3" fontId="6" numFmtId="0" xfId="0" applyAlignment="1" applyBorder="1" applyFont="1">
      <alignment horizontal="center" shrinkToFit="0" vertical="bottom" wrapText="1"/>
    </xf>
    <xf borderId="15" fillId="3" fontId="6" numFmtId="0" xfId="0" applyAlignment="1" applyBorder="1" applyFont="1">
      <alignment horizontal="center" shrinkToFit="0" vertical="bottom" wrapText="1"/>
    </xf>
    <xf borderId="14" fillId="3" fontId="22" numFmtId="0" xfId="0" applyAlignment="1" applyBorder="1" applyFont="1">
      <alignment horizontal="center" shrinkToFit="0" vertical="bottom" wrapText="1"/>
    </xf>
    <xf borderId="15" fillId="3" fontId="22" numFmtId="0" xfId="0" applyAlignment="1" applyBorder="1" applyFont="1">
      <alignment horizontal="center" shrinkToFit="0" vertical="bottom" wrapText="1"/>
    </xf>
    <xf borderId="14" fillId="0" fontId="6" numFmtId="0" xfId="0" applyAlignment="1" applyBorder="1" applyFont="1">
      <alignment horizontal="center" shrinkToFit="0" vertical="bottom" wrapText="1"/>
    </xf>
    <xf borderId="15" fillId="0" fontId="6" numFmtId="0" xfId="0" applyAlignment="1" applyBorder="1" applyFont="1">
      <alignment horizontal="center" shrinkToFit="0" vertical="bottom" wrapText="1"/>
    </xf>
    <xf borderId="14" fillId="3" fontId="7" numFmtId="0" xfId="0" applyAlignment="1" applyBorder="1" applyFont="1">
      <alignment horizontal="center" shrinkToFit="0" vertical="bottom" wrapText="1"/>
    </xf>
    <xf borderId="15" fillId="3" fontId="7" numFmtId="0" xfId="0" applyAlignment="1" applyBorder="1" applyFont="1">
      <alignment horizontal="center" shrinkToFit="0" vertical="bottom" wrapText="1"/>
    </xf>
    <xf borderId="14" fillId="0" fontId="7" numFmtId="0" xfId="0" applyAlignment="1" applyBorder="1" applyFont="1">
      <alignment horizontal="center" shrinkToFit="0" vertical="bottom" wrapText="1"/>
    </xf>
    <xf borderId="15" fillId="0" fontId="7" numFmtId="0" xfId="0" applyAlignment="1" applyBorder="1" applyFont="1">
      <alignment horizontal="center" shrinkToFit="0" vertical="bottom" wrapText="1"/>
    </xf>
    <xf borderId="14" fillId="0" fontId="22" numFmtId="0" xfId="0" applyAlignment="1" applyBorder="1" applyFont="1">
      <alignment horizontal="center" shrinkToFit="0" vertical="bottom" wrapText="1"/>
    </xf>
    <xf borderId="15" fillId="0" fontId="22" numFmtId="0" xfId="0" applyAlignment="1" applyBorder="1" applyFont="1">
      <alignment horizontal="center" shrinkToFit="0" vertical="bottom" wrapText="1"/>
    </xf>
    <xf borderId="0" fillId="5" fontId="24" numFmtId="0" xfId="0" applyAlignment="1" applyFont="1">
      <alignment horizontal="center" readingOrder="0"/>
    </xf>
    <xf borderId="1" fillId="2" fontId="24" numFmtId="0" xfId="0" applyAlignment="1" applyBorder="1" applyFont="1">
      <alignment horizontal="center" readingOrder="0" shrinkToFit="0" wrapText="0"/>
    </xf>
    <xf borderId="11" fillId="2" fontId="24" numFmtId="0" xfId="0" applyAlignment="1" applyBorder="1" applyFont="1">
      <alignment horizontal="left" readingOrder="0" shrinkToFit="0" vertical="bottom" wrapText="0"/>
    </xf>
    <xf borderId="11" fillId="2" fontId="24" numFmtId="0" xfId="0" applyAlignment="1" applyBorder="1" applyFont="1">
      <alignment horizontal="center" readingOrder="0" shrinkToFit="0" vertical="bottom" wrapText="0"/>
    </xf>
    <xf borderId="0" fillId="0" fontId="24" numFmtId="0" xfId="0" applyAlignment="1" applyFont="1">
      <alignment horizontal="left" shrinkToFit="0" vertical="bottom" wrapText="0"/>
    </xf>
    <xf borderId="3" fillId="0" fontId="24" numFmtId="0" xfId="0" applyAlignment="1" applyBorder="1" applyFont="1">
      <alignment horizontal="center" shrinkToFit="0" wrapText="0"/>
    </xf>
    <xf borderId="9" fillId="0" fontId="24" numFmtId="0" xfId="0" applyAlignment="1" applyBorder="1" applyFont="1">
      <alignment horizontal="left" shrinkToFit="0" vertical="bottom" wrapText="0"/>
    </xf>
    <xf borderId="9" fillId="3" fontId="29" numFmtId="0" xfId="0" applyAlignment="1" applyBorder="1" applyFont="1">
      <alignment horizontal="left" vertical="bottom"/>
    </xf>
    <xf borderId="0" fillId="0" fontId="24" numFmtId="0" xfId="0" applyAlignment="1" applyFont="1">
      <alignment shrinkToFit="0" vertical="bottom" wrapText="0"/>
    </xf>
    <xf borderId="3" fillId="0" fontId="24" numFmtId="0" xfId="0" applyAlignment="1" applyBorder="1" applyFont="1">
      <alignment horizontal="left" shrinkToFit="0" vertical="bottom" wrapText="0"/>
    </xf>
    <xf borderId="9" fillId="0" fontId="24" numFmtId="0" xfId="0" applyAlignment="1" applyBorder="1" applyFont="1">
      <alignment horizontal="center" shrinkToFit="0" vertical="bottom" wrapText="0"/>
    </xf>
    <xf borderId="9" fillId="0" fontId="4" numFmtId="0" xfId="0" applyAlignment="1" applyBorder="1" applyFont="1">
      <alignment shrinkToFit="0" vertical="bottom" wrapText="0"/>
    </xf>
    <xf borderId="9" fillId="0" fontId="29" numFmtId="0" xfId="0" applyAlignment="1" applyBorder="1" applyFont="1">
      <alignment horizontal="left" vertical="bottom"/>
    </xf>
    <xf borderId="9" fillId="0" fontId="4" numFmtId="0" xfId="0" applyAlignment="1" applyBorder="1" applyFont="1">
      <alignment horizontal="center" shrinkToFit="0" vertical="bottom" wrapText="0"/>
    </xf>
    <xf borderId="3" fillId="0" fontId="30" numFmtId="0" xfId="0" applyAlignment="1" applyBorder="1" applyFont="1">
      <alignment horizontal="center" readingOrder="0" shrinkToFit="0" wrapText="0"/>
    </xf>
    <xf borderId="9" fillId="0" fontId="30" numFmtId="0" xfId="0" applyAlignment="1" applyBorder="1" applyFont="1">
      <alignment horizontal="left" readingOrder="0" shrinkToFit="0" vertical="bottom" wrapText="0"/>
    </xf>
    <xf borderId="9" fillId="0" fontId="31" numFmtId="0" xfId="0" applyAlignment="1" applyBorder="1" applyFont="1">
      <alignment horizontal="center" readingOrder="0" shrinkToFit="0" vertical="top" wrapText="0"/>
    </xf>
    <xf borderId="0" fillId="0" fontId="24" numFmtId="0" xfId="0" applyAlignment="1" applyFont="1">
      <alignment readingOrder="0" shrinkToFit="0" vertical="bottom" wrapText="0"/>
    </xf>
    <xf borderId="3" fillId="0" fontId="24" numFmtId="0" xfId="0" applyAlignment="1" applyBorder="1" applyFont="1">
      <alignment horizontal="left" readingOrder="0" shrinkToFit="0" vertical="bottom" wrapText="0"/>
    </xf>
    <xf borderId="9" fillId="0" fontId="4" numFmtId="0" xfId="0" applyAlignment="1" applyBorder="1" applyFont="1">
      <alignment horizontal="center" readingOrder="0" shrinkToFit="0" vertical="bottom" wrapText="0"/>
    </xf>
    <xf borderId="9" fillId="0" fontId="24" numFmtId="0" xfId="0" applyAlignment="1" applyBorder="1" applyFont="1">
      <alignment readingOrder="0" shrinkToFit="0" vertical="bottom" wrapText="0"/>
    </xf>
    <xf borderId="3" fillId="0" fontId="24" numFmtId="0" xfId="0" applyAlignment="1" applyBorder="1" applyFont="1">
      <alignment horizontal="center" readingOrder="0" shrinkToFit="0" wrapText="0"/>
    </xf>
    <xf borderId="9" fillId="0" fontId="24" numFmtId="0" xfId="0" applyAlignment="1" applyBorder="1" applyFont="1">
      <alignment horizontal="left" readingOrder="0" shrinkToFit="0" vertical="bottom" wrapText="0"/>
    </xf>
    <xf borderId="9" fillId="0" fontId="29" numFmtId="0" xfId="0" applyAlignment="1" applyBorder="1" applyFont="1">
      <alignment horizontal="left" readingOrder="0" vertical="bottom"/>
    </xf>
    <xf borderId="9" fillId="0" fontId="24" numFmtId="0" xfId="0" applyAlignment="1" applyBorder="1" applyFont="1">
      <alignment horizontal="center" readingOrder="0" shrinkToFit="0" vertical="bottom" wrapText="0"/>
    </xf>
    <xf borderId="9" fillId="0" fontId="4" numFmtId="0" xfId="0" applyAlignment="1" applyBorder="1" applyFont="1">
      <alignment readingOrder="0" shrinkToFit="0" vertical="bottom" wrapText="0"/>
    </xf>
    <xf borderId="9" fillId="3" fontId="29" numFmtId="0" xfId="0" applyAlignment="1" applyBorder="1" applyFont="1">
      <alignment horizontal="left" readingOrder="0" vertical="bottom"/>
    </xf>
    <xf borderId="3" fillId="5" fontId="24" numFmtId="0" xfId="0" applyAlignment="1" applyBorder="1" applyFont="1">
      <alignment horizontal="center" readingOrder="0" shrinkToFit="0" wrapText="0"/>
    </xf>
    <xf borderId="9" fillId="5" fontId="24" numFmtId="0" xfId="0" applyAlignment="1" applyBorder="1" applyFont="1">
      <alignment horizontal="left" readingOrder="0" shrinkToFit="0" vertical="bottom" wrapText="0"/>
    </xf>
    <xf borderId="9" fillId="5" fontId="29" numFmtId="0" xfId="0" applyAlignment="1" applyBorder="1" applyFont="1">
      <alignment horizontal="left" readingOrder="0" vertical="bottom"/>
    </xf>
    <xf borderId="0" fillId="5" fontId="24" numFmtId="0" xfId="0" applyAlignment="1" applyFont="1">
      <alignment readingOrder="0" shrinkToFit="0" vertical="bottom" wrapText="0"/>
    </xf>
    <xf borderId="3" fillId="5" fontId="24" numFmtId="0" xfId="0" applyAlignment="1" applyBorder="1" applyFont="1">
      <alignment horizontal="left" readingOrder="0" shrinkToFit="0" vertical="bottom" wrapText="0"/>
    </xf>
    <xf borderId="9" fillId="5" fontId="24" numFmtId="0" xfId="0" applyAlignment="1" applyBorder="1" applyFont="1">
      <alignment horizontal="center" readingOrder="0" shrinkToFit="0" vertical="bottom" wrapText="0"/>
    </xf>
    <xf borderId="9" fillId="5" fontId="4" numFmtId="0" xfId="0" applyAlignment="1" applyBorder="1" applyFont="1">
      <alignment readingOrder="0" shrinkToFit="0" vertical="bottom" wrapText="0"/>
    </xf>
    <xf borderId="9" fillId="5" fontId="4" numFmtId="0" xfId="0" applyAlignment="1" applyBorder="1" applyFont="1">
      <alignment horizontal="center" readingOrder="0" shrinkToFit="0" vertical="bottom" wrapText="0"/>
    </xf>
    <xf borderId="9" fillId="5" fontId="30" numFmtId="0" xfId="0" applyAlignment="1" applyBorder="1" applyFont="1">
      <alignment horizontal="left" readingOrder="0" shrinkToFit="0" vertical="bottom" wrapText="0"/>
    </xf>
    <xf borderId="9" fillId="5" fontId="24" numFmtId="0" xfId="0" applyAlignment="1" applyBorder="1" applyFont="1">
      <alignment readingOrder="0" shrinkToFit="0" vertical="bottom" wrapText="0"/>
    </xf>
    <xf borderId="0" fillId="0" fontId="24" numFmtId="0" xfId="0" applyAlignment="1" applyFont="1">
      <alignment horizontal="left" readingOrder="0" shrinkToFit="0" vertical="bottom" wrapText="0"/>
    </xf>
    <xf borderId="9" fillId="0" fontId="31" numFmtId="0" xfId="0" applyAlignment="1" applyBorder="1" applyFont="1">
      <alignment horizontal="center" readingOrder="0" shrinkToFit="0" vertical="bottom" wrapText="0"/>
    </xf>
    <xf borderId="9" fillId="3" fontId="14" numFmtId="0" xfId="0" applyAlignment="1" applyBorder="1" applyFont="1">
      <alignment readingOrder="0" vertical="bottom"/>
    </xf>
    <xf borderId="3" fillId="0" fontId="24" numFmtId="0" xfId="0" applyAlignment="1" applyBorder="1" applyFont="1">
      <alignment readingOrder="0" shrinkToFit="0" vertical="bottom" wrapText="0"/>
    </xf>
    <xf borderId="0" fillId="4" fontId="24" numFmtId="0" xfId="0" applyAlignment="1" applyFont="1">
      <alignment horizontal="left" readingOrder="0" shrinkToFit="0" vertical="bottom" wrapText="0"/>
    </xf>
    <xf borderId="9" fillId="0" fontId="32" numFmtId="0" xfId="0" applyAlignment="1" applyBorder="1" applyFont="1">
      <alignment horizontal="left" readingOrder="0" vertical="bottom"/>
    </xf>
    <xf borderId="9" fillId="0" fontId="14" numFmtId="0" xfId="0" applyAlignment="1" applyBorder="1" applyFont="1">
      <alignment readingOrder="0" vertical="bottom"/>
    </xf>
    <xf borderId="9" fillId="3" fontId="32" numFmtId="0" xfId="0" applyAlignment="1" applyBorder="1" applyFont="1">
      <alignment horizontal="left" readingOrder="0" vertical="bottom"/>
    </xf>
    <xf borderId="9" fillId="0" fontId="24" numFmtId="0" xfId="0" applyAlignment="1" applyBorder="1" applyFont="1">
      <alignment shrinkToFit="0" vertical="bottom" wrapText="0"/>
    </xf>
    <xf borderId="9" fillId="3" fontId="14" numFmtId="0" xfId="0" applyAlignment="1" applyBorder="1" applyFont="1">
      <alignment vertical="bottom"/>
    </xf>
    <xf borderId="3" fillId="0" fontId="24" numFmtId="0" xfId="0" applyAlignment="1" applyBorder="1" applyFont="1">
      <alignment shrinkToFit="0" vertical="bottom" wrapText="0"/>
    </xf>
    <xf borderId="9" fillId="5" fontId="24" numFmtId="0" xfId="0" applyAlignment="1" applyBorder="1" applyFont="1">
      <alignment horizontal="center" shrinkToFit="0" vertical="bottom" wrapText="0"/>
    </xf>
    <xf borderId="3" fillId="5" fontId="24" numFmtId="0" xfId="0" applyAlignment="1" applyBorder="1" applyFont="1">
      <alignment horizontal="left" shrinkToFit="0" vertical="bottom" wrapText="0"/>
    </xf>
    <xf borderId="9" fillId="3" fontId="33" numFmtId="0" xfId="0" applyAlignment="1" applyBorder="1" applyFont="1">
      <alignment horizontal="left" readingOrder="0" vertical="bottom"/>
    </xf>
    <xf borderId="3" fillId="4" fontId="24" numFmtId="0" xfId="0" applyAlignment="1" applyBorder="1" applyFont="1">
      <alignment horizontal="center" readingOrder="0" shrinkToFit="0" wrapText="0"/>
    </xf>
    <xf borderId="9" fillId="4" fontId="24" numFmtId="0" xfId="0" applyAlignment="1" applyBorder="1" applyFont="1">
      <alignment horizontal="left" readingOrder="0" shrinkToFit="0" vertical="bottom" wrapText="0"/>
    </xf>
    <xf borderId="9" fillId="4" fontId="29" numFmtId="0" xfId="0" applyAlignment="1" applyBorder="1" applyFont="1">
      <alignment horizontal="left" readingOrder="0" vertical="bottom"/>
    </xf>
    <xf borderId="0" fillId="4" fontId="24" numFmtId="0" xfId="0" applyAlignment="1" applyFont="1">
      <alignment readingOrder="0" shrinkToFit="0" vertical="bottom" wrapText="0"/>
    </xf>
    <xf borderId="3" fillId="4" fontId="24" numFmtId="0" xfId="0" applyAlignment="1" applyBorder="1" applyFont="1">
      <alignment horizontal="left" readingOrder="0" shrinkToFit="0" vertical="bottom" wrapText="0"/>
    </xf>
    <xf borderId="9" fillId="4" fontId="24" numFmtId="0" xfId="0" applyAlignment="1" applyBorder="1" applyFont="1">
      <alignment horizontal="center" shrinkToFit="0" vertical="bottom" wrapText="0"/>
    </xf>
    <xf borderId="9" fillId="4" fontId="4" numFmtId="0" xfId="0" applyAlignment="1" applyBorder="1" applyFont="1">
      <alignment readingOrder="0" shrinkToFit="0" vertical="bottom" wrapText="0"/>
    </xf>
    <xf borderId="12" fillId="0" fontId="24" numFmtId="0" xfId="0" applyAlignment="1" applyBorder="1" applyFont="1">
      <alignment horizontal="center" shrinkToFit="0" vertical="bottom" wrapText="0"/>
    </xf>
    <xf borderId="17" fillId="0" fontId="24" numFmtId="0" xfId="0" applyAlignment="1" applyBorder="1" applyFont="1">
      <alignment horizontal="center" shrinkToFit="0" vertical="bottom" wrapText="0"/>
    </xf>
    <xf borderId="11" fillId="0" fontId="24" numFmtId="0" xfId="0" applyAlignment="1" applyBorder="1" applyFont="1">
      <alignment horizontal="center" shrinkToFit="0" vertical="bottom" wrapText="0"/>
    </xf>
    <xf borderId="0" fillId="0" fontId="4" numFmtId="0" xfId="0" applyAlignment="1" applyFont="1">
      <alignment readingOrder="0" shrinkToFit="0" vertical="bottom" wrapText="0"/>
    </xf>
    <xf borderId="11" fillId="0" fontId="24" numFmtId="0" xfId="0" applyAlignment="1" applyBorder="1" applyFont="1">
      <alignment readingOrder="0" shrinkToFit="0" vertical="bottom" wrapText="0"/>
    </xf>
    <xf borderId="0" fillId="0" fontId="24" numFmtId="0" xfId="0" applyAlignment="1" applyFont="1">
      <alignment horizontal="center" shrinkToFit="0" wrapText="0"/>
    </xf>
    <xf borderId="0" fillId="0" fontId="24" numFmtId="0" xfId="0" applyAlignment="1" applyFont="1">
      <alignment horizontal="center" shrinkToFit="0" vertical="bottom" wrapText="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mawrbled.com/products/armani-grey-marble" TargetMode="External"/><Relationship Id="rId2" Type="http://schemas.openxmlformats.org/officeDocument/2006/relationships/hyperlink" Target="https://dwella.in/products/william-dining-table" TargetMode="External"/><Relationship Id="rId3" Type="http://schemas.openxmlformats.org/officeDocument/2006/relationships/hyperlink" Target="https://dmnewmaterials.ca/products/laurent-black-gold-sintered-stone-panel-4-8ft-9mm-luxury-marble-look?srsltid=AfmBOooO7DwsPttCF7svSRddWQukYCYrPs2rxLyePIlu0CrGrg3g9Zl0" TargetMode="External"/><Relationship Id="rId4" Type="http://schemas.openxmlformats.org/officeDocument/2006/relationships/hyperlink" Target="https://www.bedbathandbeyond.com/Home-Garden/Extendable-Rectangular-Sintered-Stone-Dining-Table-94.48/42396410/product.html" TargetMode="External"/><Relationship Id="rId5" Type="http://schemas.openxmlformats.org/officeDocument/2006/relationships/hyperlink" Target="https://www.darthindustries.com.au/pyrmontsandstone" TargetMode="External"/><Relationship Id="rId6" Type="http://schemas.openxmlformats.org/officeDocument/2006/relationships/hyperlink" Target="https://dmnewmaterials.ca/products/laurent-black-gold-sintered-stone-panel-4-8ft-9mm-luxury-marble-look?srsltid=AfmBOooO7DwsPttCF7svSRddWQukYCYrPs2rxLyePIlu0CrGrg3g9Zl0" TargetMode="External"/><Relationship Id="rId7"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42.38"/>
    <col customWidth="1" min="2" max="3" width="9.88"/>
    <col customWidth="1" min="4" max="4" width="41.0"/>
    <col customWidth="1" min="5" max="5" width="26.25"/>
    <col customWidth="1" min="6" max="7" width="23.38"/>
    <col customWidth="1" min="8" max="8" width="36.75"/>
    <col customWidth="1" min="9" max="9" width="42.75"/>
    <col customWidth="1" min="10" max="10" width="19.63"/>
    <col customWidth="1" min="11" max="11" width="91.38"/>
    <col customWidth="1" min="12" max="12" width="11.88"/>
    <col customWidth="1" min="13" max="13" width="19.13"/>
    <col customWidth="1" min="14" max="14" width="8.13"/>
    <col customWidth="1" min="15" max="15" width="8.5"/>
    <col customWidth="1" min="16" max="16" width="29.5"/>
    <col customWidth="1" min="17" max="17" width="93.38"/>
    <col customWidth="1" min="18" max="25" width="135.88"/>
  </cols>
  <sheetData>
    <row r="1">
      <c r="A1" s="1" t="s">
        <v>0</v>
      </c>
      <c r="B1" s="2" t="s">
        <v>1</v>
      </c>
      <c r="C1" s="2" t="s">
        <v>2</v>
      </c>
      <c r="D1" s="1" t="s">
        <v>3</v>
      </c>
      <c r="E1" s="2" t="s">
        <v>4</v>
      </c>
      <c r="F1" s="2" t="s">
        <v>5</v>
      </c>
      <c r="G1" s="2" t="s">
        <v>6</v>
      </c>
      <c r="H1" s="1" t="s">
        <v>7</v>
      </c>
      <c r="I1" s="1" t="s">
        <v>8</v>
      </c>
      <c r="J1" s="1" t="s">
        <v>9</v>
      </c>
      <c r="K1" s="1" t="s">
        <v>10</v>
      </c>
      <c r="L1" s="1" t="s">
        <v>11</v>
      </c>
      <c r="M1" s="2" t="s">
        <v>12</v>
      </c>
      <c r="N1" s="1" t="s">
        <v>13</v>
      </c>
      <c r="O1" s="1" t="s">
        <v>14</v>
      </c>
      <c r="P1" s="1" t="s">
        <v>15</v>
      </c>
      <c r="Q1" s="3"/>
      <c r="R1" s="4"/>
      <c r="S1" s="4"/>
      <c r="T1" s="4"/>
      <c r="U1" s="4"/>
      <c r="V1" s="4"/>
      <c r="W1" s="4"/>
      <c r="X1" s="4"/>
      <c r="Y1" s="4"/>
    </row>
    <row r="2">
      <c r="A2" s="5" t="s">
        <v>16</v>
      </c>
      <c r="B2" s="6">
        <v>1001.0</v>
      </c>
      <c r="C2" s="7" t="b">
        <v>0</v>
      </c>
      <c r="D2" s="8" t="str">
        <f>IFERROR(__xludf.DUMMYFUNCTION("GOOGLETRANSLATE(A2,""ar"", ""en"")"),"Bed B.B")</f>
        <v>Bed B.B</v>
      </c>
      <c r="E2" s="5" t="s">
        <v>17</v>
      </c>
      <c r="F2" s="9" t="s">
        <v>18</v>
      </c>
      <c r="G2" s="9"/>
      <c r="H2" s="8"/>
      <c r="I2" s="8"/>
      <c r="J2" s="10">
        <v>2903.0</v>
      </c>
      <c r="K2" s="11" t="s">
        <v>19</v>
      </c>
      <c r="L2" s="8"/>
      <c r="M2" s="12">
        <v>72.0</v>
      </c>
      <c r="N2" s="8"/>
      <c r="O2" s="8"/>
      <c r="P2" s="10">
        <v>40.32</v>
      </c>
      <c r="Q2" s="4"/>
      <c r="R2" s="4"/>
      <c r="S2" s="4"/>
      <c r="T2" s="4"/>
      <c r="U2" s="4"/>
      <c r="V2" s="4"/>
      <c r="W2" s="4"/>
      <c r="X2" s="4"/>
      <c r="Y2" s="4"/>
    </row>
    <row r="3">
      <c r="A3" s="13" t="s">
        <v>20</v>
      </c>
      <c r="B3" s="6">
        <v>1002.0</v>
      </c>
      <c r="C3" s="6" t="b">
        <v>0</v>
      </c>
      <c r="D3" s="8" t="str">
        <f>IFERROR(__xludf.DUMMYFUNCTION("GOOGLETRANSLATE(A3,""ar"", ""en"")"),"Storage Bed B.B. Natural")</f>
        <v>Storage Bed B.B. Natural</v>
      </c>
      <c r="E3" s="13" t="s">
        <v>21</v>
      </c>
      <c r="F3" s="9" t="s">
        <v>18</v>
      </c>
      <c r="G3" s="9"/>
      <c r="H3" s="8"/>
      <c r="I3" s="8"/>
      <c r="J3" s="14">
        <v>638.1</v>
      </c>
      <c r="K3" s="11" t="s">
        <v>22</v>
      </c>
      <c r="L3" s="8"/>
      <c r="M3" s="15">
        <v>13.0</v>
      </c>
      <c r="N3" s="8"/>
      <c r="O3" s="8"/>
      <c r="P3" s="14">
        <v>49.08</v>
      </c>
      <c r="Q3" s="4"/>
      <c r="R3" s="4"/>
      <c r="S3" s="4"/>
      <c r="T3" s="4"/>
      <c r="U3" s="4"/>
      <c r="V3" s="4"/>
      <c r="W3" s="4"/>
      <c r="X3" s="4"/>
      <c r="Y3" s="4"/>
    </row>
    <row r="4">
      <c r="A4" s="5" t="s">
        <v>16</v>
      </c>
      <c r="B4" s="6">
        <v>1003.0</v>
      </c>
      <c r="C4" s="6" t="b">
        <v>0</v>
      </c>
      <c r="D4" s="8" t="str">
        <f>IFERROR(__xludf.DUMMYFUNCTION("GOOGLETRANSLATE(A4,""ar"", ""en"")"),"Bed B.B")</f>
        <v>Bed B.B</v>
      </c>
      <c r="E4" s="5" t="s">
        <v>23</v>
      </c>
      <c r="F4" s="9" t="s">
        <v>18</v>
      </c>
      <c r="G4" s="9"/>
      <c r="H4" s="8"/>
      <c r="I4" s="8"/>
      <c r="J4" s="10">
        <v>1220.1</v>
      </c>
      <c r="K4" s="11" t="s">
        <v>19</v>
      </c>
      <c r="L4" s="8"/>
      <c r="M4" s="12">
        <v>29.0</v>
      </c>
      <c r="N4" s="8"/>
      <c r="O4" s="8"/>
      <c r="P4" s="10">
        <v>42.07</v>
      </c>
      <c r="Q4" s="4"/>
      <c r="R4" s="4"/>
      <c r="S4" s="4"/>
      <c r="T4" s="4"/>
      <c r="U4" s="4"/>
      <c r="V4" s="4"/>
      <c r="W4" s="4"/>
      <c r="X4" s="4"/>
      <c r="Y4" s="4"/>
    </row>
    <row r="5">
      <c r="A5" s="13" t="s">
        <v>16</v>
      </c>
      <c r="B5" s="6">
        <v>1004.0</v>
      </c>
      <c r="C5" s="6" t="b">
        <v>0</v>
      </c>
      <c r="D5" s="8" t="str">
        <f>IFERROR(__xludf.DUMMYFUNCTION("GOOGLETRANSLATE(A5,""ar"", ""en"")"),"Bed B.B")</f>
        <v>Bed B.B</v>
      </c>
      <c r="E5" s="13" t="s">
        <v>24</v>
      </c>
      <c r="F5" s="9" t="s">
        <v>18</v>
      </c>
      <c r="G5" s="9"/>
      <c r="H5" s="8"/>
      <c r="I5" s="8"/>
      <c r="J5" s="14">
        <v>1402.42</v>
      </c>
      <c r="K5" s="11" t="s">
        <v>19</v>
      </c>
      <c r="L5" s="8"/>
      <c r="M5" s="15">
        <v>40.0</v>
      </c>
      <c r="N5" s="8"/>
      <c r="O5" s="8"/>
      <c r="P5" s="14">
        <v>35.06</v>
      </c>
      <c r="Q5" s="4"/>
      <c r="R5" s="4"/>
      <c r="S5" s="4"/>
      <c r="T5" s="4"/>
      <c r="U5" s="4"/>
      <c r="V5" s="4"/>
      <c r="W5" s="4"/>
      <c r="X5" s="4"/>
      <c r="Y5" s="4"/>
    </row>
    <row r="6">
      <c r="A6" s="5" t="s">
        <v>25</v>
      </c>
      <c r="B6" s="6">
        <v>1007.0</v>
      </c>
      <c r="C6" s="6" t="b">
        <v>0</v>
      </c>
      <c r="D6" s="8" t="str">
        <f>IFERROR(__xludf.DUMMYFUNCTION("GOOGLETRANSLATE(A6,""ar"", ""en"")"),"Starbucks chair without handles")</f>
        <v>Starbucks chair without handles</v>
      </c>
      <c r="E6" s="5" t="s">
        <v>26</v>
      </c>
      <c r="F6" s="9" t="s">
        <v>27</v>
      </c>
      <c r="G6" s="9" t="s">
        <v>28</v>
      </c>
      <c r="H6" s="16" t="s">
        <v>29</v>
      </c>
      <c r="I6" s="8"/>
      <c r="J6" s="10">
        <v>177.62</v>
      </c>
      <c r="K6" s="11" t="s">
        <v>30</v>
      </c>
      <c r="L6" s="8"/>
      <c r="M6" s="12">
        <v>8.0</v>
      </c>
      <c r="N6" s="8"/>
      <c r="O6" s="8"/>
      <c r="P6" s="10">
        <v>22.2</v>
      </c>
      <c r="Q6" s="4"/>
      <c r="R6" s="4"/>
      <c r="S6" s="4"/>
      <c r="T6" s="4"/>
      <c r="U6" s="4"/>
      <c r="V6" s="4"/>
      <c r="W6" s="4"/>
      <c r="X6" s="4"/>
      <c r="Y6" s="4"/>
    </row>
    <row r="7">
      <c r="A7" s="5" t="s">
        <v>31</v>
      </c>
      <c r="B7" s="6">
        <v>1013.0</v>
      </c>
      <c r="C7" s="6" t="b">
        <v>0</v>
      </c>
      <c r="D7" s="8" t="str">
        <f>IFERROR(__xludf.DUMMYFUNCTION("GOOGLETRANSLATE(A7,""ar"", ""en"")"),"STARBAX CHAIR")</f>
        <v>STARBAX CHAIR</v>
      </c>
      <c r="E7" s="5" t="s">
        <v>32</v>
      </c>
      <c r="F7" s="9" t="s">
        <v>27</v>
      </c>
      <c r="G7" s="9" t="s">
        <v>28</v>
      </c>
      <c r="H7" s="16" t="s">
        <v>29</v>
      </c>
      <c r="I7" s="8"/>
      <c r="J7" s="10">
        <v>68.96</v>
      </c>
      <c r="K7" s="11" t="s">
        <v>33</v>
      </c>
      <c r="L7" s="8"/>
      <c r="M7" s="12">
        <v>6.0</v>
      </c>
      <c r="N7" s="8"/>
      <c r="O7" s="8"/>
      <c r="P7" s="10">
        <v>11.49</v>
      </c>
      <c r="Q7" s="4"/>
      <c r="R7" s="4"/>
      <c r="S7" s="4"/>
      <c r="T7" s="4"/>
      <c r="U7" s="4"/>
      <c r="V7" s="4"/>
      <c r="W7" s="4"/>
      <c r="X7" s="4"/>
      <c r="Y7" s="4"/>
    </row>
    <row r="8">
      <c r="A8" s="5" t="s">
        <v>34</v>
      </c>
      <c r="B8" s="6">
        <v>1015.0</v>
      </c>
      <c r="C8" s="6" t="b">
        <v>0</v>
      </c>
      <c r="D8" s="8" t="str">
        <f>IFERROR(__xludf.DUMMYFUNCTION("GOOGLETRANSLATE(A8,""ar"", ""en"")"),"Aluminum X Starbucks Chair")</f>
        <v>Aluminum X Starbucks Chair</v>
      </c>
      <c r="E8" s="5" t="s">
        <v>35</v>
      </c>
      <c r="F8" s="9" t="s">
        <v>27</v>
      </c>
      <c r="G8" s="9" t="s">
        <v>28</v>
      </c>
      <c r="H8" s="16" t="s">
        <v>29</v>
      </c>
      <c r="I8" s="8"/>
      <c r="J8" s="10">
        <v>27.23</v>
      </c>
      <c r="K8" s="11" t="s">
        <v>36</v>
      </c>
      <c r="L8" s="8"/>
      <c r="M8" s="12">
        <v>1.0</v>
      </c>
      <c r="N8" s="8"/>
      <c r="O8" s="8"/>
      <c r="P8" s="10">
        <v>27.23</v>
      </c>
      <c r="Q8" s="4"/>
      <c r="R8" s="4"/>
      <c r="S8" s="4"/>
      <c r="T8" s="4"/>
      <c r="U8" s="4"/>
      <c r="V8" s="4"/>
      <c r="W8" s="4"/>
      <c r="X8" s="4"/>
      <c r="Y8" s="4"/>
    </row>
    <row r="9">
      <c r="A9" s="5" t="s">
        <v>37</v>
      </c>
      <c r="B9" s="6">
        <v>1018.0</v>
      </c>
      <c r="C9" s="6" t="b">
        <v>0</v>
      </c>
      <c r="D9" s="8" t="str">
        <f>IFERROR(__xludf.DUMMYFUNCTION("GOOGLETRANSLATE(A9,""ar"", ""en"")"),"dining chair")</f>
        <v>dining chair</v>
      </c>
      <c r="E9" s="5" t="s">
        <v>38</v>
      </c>
      <c r="F9" s="9" t="s">
        <v>18</v>
      </c>
      <c r="G9" s="9"/>
      <c r="H9" s="16" t="s">
        <v>39</v>
      </c>
      <c r="I9" s="8"/>
      <c r="J9" s="10">
        <v>-16.95</v>
      </c>
      <c r="K9" s="11" t="s">
        <v>40</v>
      </c>
      <c r="L9" s="8"/>
      <c r="M9" s="12">
        <v>-1.0</v>
      </c>
      <c r="N9" s="8"/>
      <c r="O9" s="8"/>
      <c r="P9" s="10">
        <v>16.95</v>
      </c>
      <c r="Q9" s="4"/>
      <c r="R9" s="4"/>
      <c r="S9" s="4"/>
      <c r="T9" s="4"/>
      <c r="U9" s="4"/>
      <c r="V9" s="4"/>
      <c r="W9" s="4"/>
      <c r="X9" s="4"/>
      <c r="Y9" s="4"/>
    </row>
    <row r="10">
      <c r="A10" s="13" t="s">
        <v>41</v>
      </c>
      <c r="B10" s="6">
        <v>1019.0</v>
      </c>
      <c r="C10" s="6" t="b">
        <v>0</v>
      </c>
      <c r="D10" s="8" t="str">
        <f>IFERROR(__xludf.DUMMYFUNCTION("GOOGLETRANSLATE(A10,""ar"", ""en"")"),"Portuguese colored plastic chair")</f>
        <v>Portuguese colored plastic chair</v>
      </c>
      <c r="E10" s="13" t="s">
        <v>42</v>
      </c>
      <c r="F10" s="9" t="s">
        <v>28</v>
      </c>
      <c r="G10" s="9"/>
      <c r="H10" s="16" t="s">
        <v>43</v>
      </c>
      <c r="I10" s="8"/>
      <c r="J10" s="14">
        <v>546.49</v>
      </c>
      <c r="K10" s="11" t="s">
        <v>44</v>
      </c>
      <c r="L10" s="8"/>
      <c r="M10" s="15">
        <v>28.0</v>
      </c>
      <c r="N10" s="8"/>
      <c r="O10" s="8"/>
      <c r="P10" s="14">
        <v>19.52</v>
      </c>
      <c r="Q10" s="4"/>
      <c r="R10" s="4"/>
      <c r="S10" s="4"/>
      <c r="T10" s="4"/>
      <c r="U10" s="4"/>
      <c r="V10" s="4"/>
      <c r="W10" s="4"/>
      <c r="X10" s="4"/>
      <c r="Y10" s="4"/>
    </row>
    <row r="11">
      <c r="A11" s="5" t="s">
        <v>45</v>
      </c>
      <c r="B11" s="6">
        <v>1021.0</v>
      </c>
      <c r="C11" s="6" t="b">
        <v>0</v>
      </c>
      <c r="D11" s="8" t="str">
        <f>IFERROR(__xludf.DUMMYFUNCTION("GOOGLETRANSLATE(A11,""ar"", ""en"")"),"COUNTER HIGH CHAIR")</f>
        <v>COUNTER HIGH CHAIR</v>
      </c>
      <c r="E11" s="5" t="s">
        <v>46</v>
      </c>
      <c r="F11" s="9" t="s">
        <v>18</v>
      </c>
      <c r="G11" s="9"/>
      <c r="H11" s="16" t="s">
        <v>47</v>
      </c>
      <c r="I11" s="8"/>
      <c r="J11" s="10">
        <v>291.35</v>
      </c>
      <c r="K11" s="11" t="s">
        <v>48</v>
      </c>
      <c r="L11" s="8"/>
      <c r="M11" s="12">
        <v>16.0</v>
      </c>
      <c r="N11" s="8"/>
      <c r="O11" s="8"/>
      <c r="P11" s="10">
        <v>18.21</v>
      </c>
      <c r="Q11" s="4"/>
      <c r="R11" s="4"/>
      <c r="S11" s="4"/>
      <c r="T11" s="4"/>
      <c r="U11" s="4"/>
      <c r="V11" s="4"/>
      <c r="W11" s="4"/>
      <c r="X11" s="4"/>
      <c r="Y11" s="4"/>
    </row>
    <row r="12">
      <c r="A12" s="13" t="s">
        <v>49</v>
      </c>
      <c r="B12" s="6">
        <v>1022.0</v>
      </c>
      <c r="C12" s="6" t="b">
        <v>0</v>
      </c>
      <c r="D12" s="8" t="str">
        <f>IFERROR(__xludf.DUMMYFUNCTION("GOOGLETRANSLATE(A12,""ar"", ""en"")"),"bar chair")</f>
        <v>bar chair</v>
      </c>
      <c r="E12" s="13" t="s">
        <v>50</v>
      </c>
      <c r="F12" s="9" t="s">
        <v>18</v>
      </c>
      <c r="G12" s="9"/>
      <c r="H12" s="16" t="s">
        <v>47</v>
      </c>
      <c r="I12" s="8"/>
      <c r="J12" s="14">
        <v>399.02</v>
      </c>
      <c r="K12" s="11" t="s">
        <v>51</v>
      </c>
      <c r="L12" s="16"/>
      <c r="M12" s="15">
        <v>14.0</v>
      </c>
      <c r="N12" s="8"/>
      <c r="O12" s="8"/>
      <c r="P12" s="14">
        <v>28.5</v>
      </c>
      <c r="Q12" s="4"/>
      <c r="R12" s="4"/>
      <c r="S12" s="4"/>
      <c r="T12" s="4"/>
      <c r="U12" s="4"/>
      <c r="V12" s="4"/>
      <c r="W12" s="4"/>
      <c r="X12" s="4"/>
      <c r="Y12" s="4"/>
    </row>
    <row r="13">
      <c r="A13" s="13" t="s">
        <v>52</v>
      </c>
      <c r="B13" s="6">
        <v>1024.0</v>
      </c>
      <c r="C13" s="6" t="b">
        <v>0</v>
      </c>
      <c r="D13" s="8" t="str">
        <f>IFERROR(__xludf.DUMMYFUNCTION("GOOGLETRANSLATE(A13,""ar"", ""en"")"),"heavy plastic chair")</f>
        <v>heavy plastic chair</v>
      </c>
      <c r="E13" s="13" t="s">
        <v>53</v>
      </c>
      <c r="F13" s="9" t="s">
        <v>28</v>
      </c>
      <c r="G13" s="9"/>
      <c r="H13" s="16" t="s">
        <v>43</v>
      </c>
      <c r="I13" s="8"/>
      <c r="J13" s="14">
        <v>238.76</v>
      </c>
      <c r="K13" s="11" t="s">
        <v>54</v>
      </c>
      <c r="L13" s="8"/>
      <c r="M13" s="15">
        <v>10.0</v>
      </c>
      <c r="N13" s="8"/>
      <c r="O13" s="8"/>
      <c r="P13" s="14">
        <v>23.88</v>
      </c>
      <c r="Q13" s="4"/>
      <c r="R13" s="4"/>
      <c r="S13" s="4"/>
      <c r="T13" s="4"/>
      <c r="U13" s="4"/>
      <c r="V13" s="4"/>
      <c r="W13" s="4"/>
      <c r="X13" s="4"/>
      <c r="Y13" s="4"/>
    </row>
    <row r="14">
      <c r="A14" s="13" t="s">
        <v>49</v>
      </c>
      <c r="B14" s="6">
        <v>1026.0</v>
      </c>
      <c r="C14" s="6" t="b">
        <v>0</v>
      </c>
      <c r="D14" s="8" t="str">
        <f>IFERROR(__xludf.DUMMYFUNCTION("GOOGLETRANSLATE(A14,""ar"", ""en"")"),"bar chair")</f>
        <v>bar chair</v>
      </c>
      <c r="E14" s="13" t="s">
        <v>55</v>
      </c>
      <c r="F14" s="9" t="s">
        <v>18</v>
      </c>
      <c r="G14" s="9"/>
      <c r="H14" s="16" t="s">
        <v>47</v>
      </c>
      <c r="I14" s="8"/>
      <c r="J14" s="14">
        <v>1544.14</v>
      </c>
      <c r="K14" s="11" t="s">
        <v>51</v>
      </c>
      <c r="L14" s="8"/>
      <c r="M14" s="15">
        <v>81.0</v>
      </c>
      <c r="N14" s="8"/>
      <c r="O14" s="8"/>
      <c r="P14" s="14">
        <v>19.06</v>
      </c>
      <c r="Q14" s="4"/>
      <c r="R14" s="4"/>
      <c r="S14" s="4"/>
      <c r="T14" s="4"/>
      <c r="U14" s="4"/>
      <c r="V14" s="4"/>
      <c r="W14" s="4"/>
      <c r="X14" s="4"/>
      <c r="Y14" s="4"/>
    </row>
    <row r="15">
      <c r="A15" s="13" t="s">
        <v>56</v>
      </c>
      <c r="B15" s="6">
        <v>1028.0</v>
      </c>
      <c r="C15" s="6" t="b">
        <v>0</v>
      </c>
      <c r="D15" s="8" t="str">
        <f>IFERROR(__xludf.DUMMYFUNCTION("GOOGLETRANSLATE(A15,""ar"", ""en"")"),"SWIVEL BAR STOOL")</f>
        <v>SWIVEL BAR STOOL</v>
      </c>
      <c r="E15" s="13" t="s">
        <v>57</v>
      </c>
      <c r="F15" s="9" t="s">
        <v>18</v>
      </c>
      <c r="G15" s="9"/>
      <c r="H15" s="16" t="s">
        <v>47</v>
      </c>
      <c r="I15" s="8"/>
      <c r="J15" s="14">
        <v>134.22</v>
      </c>
      <c r="K15" s="11" t="s">
        <v>58</v>
      </c>
      <c r="L15" s="8"/>
      <c r="M15" s="15">
        <v>4.0</v>
      </c>
      <c r="N15" s="8"/>
      <c r="O15" s="8"/>
      <c r="P15" s="14">
        <v>33.55</v>
      </c>
      <c r="Q15" s="4"/>
      <c r="R15" s="4"/>
      <c r="S15" s="4"/>
      <c r="T15" s="4"/>
      <c r="U15" s="4"/>
      <c r="V15" s="4"/>
      <c r="W15" s="4"/>
      <c r="X15" s="4"/>
      <c r="Y15" s="4"/>
    </row>
    <row r="16">
      <c r="A16" s="17" t="s">
        <v>37</v>
      </c>
      <c r="B16" s="18">
        <v>1031.0</v>
      </c>
      <c r="C16" s="19" t="b">
        <v>1</v>
      </c>
      <c r="D16" s="20" t="str">
        <f>IFERROR(__xludf.DUMMYFUNCTION("GOOGLETRANSLATE(A16,""ar"", ""en"")"),"dining chair")</f>
        <v>dining chair</v>
      </c>
      <c r="E16" s="17" t="s">
        <v>59</v>
      </c>
      <c r="F16" s="21" t="s">
        <v>18</v>
      </c>
      <c r="G16" s="21"/>
      <c r="H16" s="22" t="s">
        <v>39</v>
      </c>
      <c r="I16" s="23"/>
      <c r="J16" s="24">
        <v>149.03</v>
      </c>
      <c r="K16" s="25" t="s">
        <v>40</v>
      </c>
      <c r="L16" s="23"/>
      <c r="M16" s="26">
        <v>9.0</v>
      </c>
      <c r="N16" s="8"/>
      <c r="O16" s="8"/>
      <c r="P16" s="10">
        <v>16.56</v>
      </c>
      <c r="Q16" s="4"/>
      <c r="R16" s="4"/>
      <c r="S16" s="4"/>
      <c r="T16" s="4"/>
      <c r="U16" s="4"/>
      <c r="V16" s="4"/>
      <c r="W16" s="4"/>
      <c r="X16" s="4"/>
      <c r="Y16" s="4"/>
    </row>
    <row r="17">
      <c r="A17" s="5" t="s">
        <v>60</v>
      </c>
      <c r="B17" s="6">
        <v>1035.0</v>
      </c>
      <c r="C17" s="6" t="b">
        <v>0</v>
      </c>
      <c r="D17" s="8" t="str">
        <f>IFERROR(__xludf.DUMMYFUNCTION("GOOGLETRANSLATE(A17,""ar"", ""en"")"),"BAR TABLE")</f>
        <v>BAR TABLE</v>
      </c>
      <c r="E17" s="5" t="s">
        <v>61</v>
      </c>
      <c r="F17" s="9" t="s">
        <v>18</v>
      </c>
      <c r="G17" s="9"/>
      <c r="H17" s="16" t="s">
        <v>62</v>
      </c>
      <c r="I17" s="8"/>
      <c r="J17" s="10">
        <v>206.75</v>
      </c>
      <c r="K17" s="11" t="s">
        <v>63</v>
      </c>
      <c r="L17" s="8"/>
      <c r="M17" s="12">
        <v>5.0</v>
      </c>
      <c r="N17" s="8"/>
      <c r="O17" s="8"/>
      <c r="P17" s="10">
        <v>41.35</v>
      </c>
      <c r="Q17" s="4"/>
      <c r="R17" s="4"/>
      <c r="S17" s="4"/>
      <c r="T17" s="4"/>
      <c r="U17" s="4"/>
      <c r="V17" s="4"/>
      <c r="W17" s="4"/>
      <c r="X17" s="4"/>
      <c r="Y17" s="4"/>
    </row>
    <row r="18">
      <c r="A18" s="13" t="s">
        <v>64</v>
      </c>
      <c r="B18" s="6">
        <v>1036.0</v>
      </c>
      <c r="C18" s="6" t="b">
        <v>0</v>
      </c>
      <c r="D18" s="8" t="str">
        <f>IFERROR(__xludf.DUMMYFUNCTION("GOOGLETRANSLATE(A18,""ar"", ""en"")"),"STORAGE TABLE")</f>
        <v>STORAGE TABLE</v>
      </c>
      <c r="E18" s="13" t="s">
        <v>65</v>
      </c>
      <c r="F18" s="9" t="s">
        <v>18</v>
      </c>
      <c r="G18" s="9"/>
      <c r="H18" s="8"/>
      <c r="I18" s="8"/>
      <c r="J18" s="14">
        <v>617.6</v>
      </c>
      <c r="K18" s="11" t="s">
        <v>66</v>
      </c>
      <c r="L18" s="8"/>
      <c r="M18" s="15">
        <v>11.0</v>
      </c>
      <c r="N18" s="8"/>
      <c r="O18" s="8"/>
      <c r="P18" s="14">
        <v>56.14</v>
      </c>
      <c r="Q18" s="4"/>
      <c r="R18" s="4"/>
      <c r="S18" s="4"/>
      <c r="T18" s="4"/>
      <c r="U18" s="4"/>
      <c r="V18" s="4"/>
      <c r="W18" s="4"/>
      <c r="X18" s="4"/>
      <c r="Y18" s="4"/>
    </row>
    <row r="19">
      <c r="A19" s="5" t="s">
        <v>67</v>
      </c>
      <c r="B19" s="6">
        <v>1037.0</v>
      </c>
      <c r="C19" s="6" t="b">
        <v>0</v>
      </c>
      <c r="D19" s="8" t="str">
        <f>IFERROR(__xludf.DUMMYFUNCTION("GOOGLETRANSLATE(A19,""ar"", ""en"")"),"PUB TABLE ROUND")</f>
        <v>PUB TABLE ROUND</v>
      </c>
      <c r="E19" s="5" t="s">
        <v>68</v>
      </c>
      <c r="F19" s="9" t="s">
        <v>27</v>
      </c>
      <c r="G19" s="9"/>
      <c r="H19" s="16" t="s">
        <v>62</v>
      </c>
      <c r="I19" s="8"/>
      <c r="J19" s="10">
        <v>1044.75</v>
      </c>
      <c r="K19" s="11" t="s">
        <v>69</v>
      </c>
      <c r="L19" s="8"/>
      <c r="M19" s="12">
        <v>27.0</v>
      </c>
      <c r="N19" s="8"/>
      <c r="O19" s="8"/>
      <c r="P19" s="10">
        <v>38.69</v>
      </c>
      <c r="Q19" s="4"/>
      <c r="R19" s="4"/>
      <c r="S19" s="4"/>
      <c r="T19" s="4"/>
      <c r="U19" s="4"/>
      <c r="V19" s="4"/>
      <c r="W19" s="4"/>
      <c r="X19" s="4"/>
      <c r="Y19" s="4"/>
    </row>
    <row r="20">
      <c r="A20" s="13" t="s">
        <v>70</v>
      </c>
      <c r="B20" s="6">
        <v>1048.0</v>
      </c>
      <c r="C20" s="6" t="b">
        <v>0</v>
      </c>
      <c r="D20" s="8" t="str">
        <f>IFERROR(__xludf.DUMMYFUNCTION("GOOGLETRANSLATE(A20,""ar"", ""en"")"),"iron chair with handle")</f>
        <v>iron chair with handle</v>
      </c>
      <c r="E20" s="13" t="s">
        <v>71</v>
      </c>
      <c r="F20" s="9" t="s">
        <v>18</v>
      </c>
      <c r="G20" s="9"/>
      <c r="H20" s="16" t="s">
        <v>72</v>
      </c>
      <c r="I20" s="8"/>
      <c r="J20" s="14">
        <v>221.16</v>
      </c>
      <c r="K20" s="11" t="s">
        <v>73</v>
      </c>
      <c r="L20" s="8"/>
      <c r="M20" s="15">
        <v>12.0</v>
      </c>
      <c r="N20" s="8"/>
      <c r="O20" s="8"/>
      <c r="P20" s="14">
        <v>18.43</v>
      </c>
      <c r="Q20" s="4"/>
      <c r="R20" s="4"/>
      <c r="S20" s="4"/>
      <c r="T20" s="4"/>
      <c r="U20" s="4"/>
      <c r="V20" s="4"/>
      <c r="W20" s="4"/>
      <c r="X20" s="4"/>
      <c r="Y20" s="4"/>
    </row>
    <row r="21">
      <c r="A21" s="5" t="s">
        <v>74</v>
      </c>
      <c r="B21" s="6">
        <v>1052.0</v>
      </c>
      <c r="C21" s="6" t="b">
        <v>0</v>
      </c>
      <c r="D21" s="8" t="str">
        <f>IFERROR(__xludf.DUMMYFUNCTION("GOOGLETRANSLATE(A21,""ar"", ""en"")"),"iron chair without handles")</f>
        <v>iron chair without handles</v>
      </c>
      <c r="E21" s="5" t="s">
        <v>75</v>
      </c>
      <c r="F21" s="9" t="s">
        <v>27</v>
      </c>
      <c r="G21" s="9" t="s">
        <v>18</v>
      </c>
      <c r="H21" s="16" t="s">
        <v>72</v>
      </c>
      <c r="I21" s="8"/>
      <c r="J21" s="10">
        <v>118.42</v>
      </c>
      <c r="K21" s="11" t="s">
        <v>76</v>
      </c>
      <c r="L21" s="8"/>
      <c r="M21" s="12">
        <v>9.0</v>
      </c>
      <c r="N21" s="8"/>
      <c r="O21" s="8"/>
      <c r="P21" s="10">
        <v>13.16</v>
      </c>
      <c r="Q21" s="4"/>
      <c r="R21" s="4"/>
      <c r="S21" s="4"/>
      <c r="T21" s="4"/>
      <c r="U21" s="4"/>
      <c r="V21" s="4"/>
      <c r="W21" s="4"/>
      <c r="X21" s="4"/>
      <c r="Y21" s="4"/>
    </row>
    <row r="22">
      <c r="A22" s="13" t="s">
        <v>77</v>
      </c>
      <c r="B22" s="6">
        <v>1053.0</v>
      </c>
      <c r="C22" s="6" t="b">
        <v>0</v>
      </c>
      <c r="D22" s="8" t="str">
        <f>IFERROR(__xludf.DUMMYFUNCTION("GOOGLETRANSLATE(A22,""ar"", ""en"")"),"Chrome chair with leather")</f>
        <v>Chrome chair with leather</v>
      </c>
      <c r="E22" s="13" t="s">
        <v>78</v>
      </c>
      <c r="F22" s="9" t="s">
        <v>18</v>
      </c>
      <c r="G22" s="9"/>
      <c r="H22" s="16" t="s">
        <v>72</v>
      </c>
      <c r="I22" s="8"/>
      <c r="J22" s="14">
        <v>227.22</v>
      </c>
      <c r="K22" s="11" t="s">
        <v>79</v>
      </c>
      <c r="L22" s="8"/>
      <c r="M22" s="15">
        <v>16.0</v>
      </c>
      <c r="N22" s="8"/>
      <c r="O22" s="8"/>
      <c r="P22" s="14">
        <v>14.2</v>
      </c>
      <c r="Q22" s="4"/>
      <c r="R22" s="4"/>
      <c r="S22" s="4"/>
      <c r="T22" s="4"/>
      <c r="U22" s="4"/>
      <c r="V22" s="4"/>
      <c r="W22" s="4"/>
      <c r="X22" s="4"/>
      <c r="Y22" s="4"/>
    </row>
    <row r="23">
      <c r="A23" s="5" t="s">
        <v>80</v>
      </c>
      <c r="B23" s="6">
        <v>1061.0</v>
      </c>
      <c r="C23" s="6" t="b">
        <v>0</v>
      </c>
      <c r="D23" s="8" t="str">
        <f>IFERROR(__xludf.DUMMYFUNCTION("GOOGLETRANSLATE(A23,""ar"", ""en"")"),"Starbucks chair with aluminum handle")</f>
        <v>Starbucks chair with aluminum handle</v>
      </c>
      <c r="E23" s="5" t="s">
        <v>81</v>
      </c>
      <c r="F23" s="9" t="s">
        <v>27</v>
      </c>
      <c r="G23" s="9" t="s">
        <v>28</v>
      </c>
      <c r="H23" s="16" t="s">
        <v>29</v>
      </c>
      <c r="I23" s="8"/>
      <c r="J23" s="10">
        <v>3421.48</v>
      </c>
      <c r="K23" s="11" t="s">
        <v>82</v>
      </c>
      <c r="L23" s="8"/>
      <c r="M23" s="12">
        <v>164.0</v>
      </c>
      <c r="N23" s="8"/>
      <c r="O23" s="8"/>
      <c r="P23" s="10">
        <v>20.86</v>
      </c>
      <c r="Q23" s="4"/>
      <c r="R23" s="4"/>
      <c r="S23" s="4"/>
      <c r="T23" s="4"/>
      <c r="U23" s="4"/>
      <c r="V23" s="4"/>
      <c r="W23" s="4"/>
      <c r="X23" s="4"/>
      <c r="Y23" s="4"/>
    </row>
    <row r="24">
      <c r="A24" s="13" t="s">
        <v>83</v>
      </c>
      <c r="B24" s="6">
        <v>1062.0</v>
      </c>
      <c r="C24" s="6" t="b">
        <v>0</v>
      </c>
      <c r="D24" s="8" t="str">
        <f>IFERROR(__xludf.DUMMYFUNCTION("GOOGLETRANSLATE(A24,""ar"", ""en"")"),"MIX BROWN - Starbucks Chair")</f>
        <v>MIX BROWN - Starbucks Chair</v>
      </c>
      <c r="E24" s="13" t="s">
        <v>84</v>
      </c>
      <c r="F24" s="9" t="s">
        <v>27</v>
      </c>
      <c r="G24" s="9" t="s">
        <v>28</v>
      </c>
      <c r="H24" s="16" t="s">
        <v>29</v>
      </c>
      <c r="I24" s="8"/>
      <c r="J24" s="14">
        <v>4025.87</v>
      </c>
      <c r="K24" s="11" t="s">
        <v>85</v>
      </c>
      <c r="L24" s="8"/>
      <c r="M24" s="15">
        <v>180.0</v>
      </c>
      <c r="N24" s="8"/>
      <c r="O24" s="8"/>
      <c r="P24" s="14">
        <v>22.37</v>
      </c>
      <c r="Q24" s="4"/>
      <c r="R24" s="4"/>
      <c r="S24" s="4"/>
      <c r="T24" s="4"/>
      <c r="U24" s="4"/>
      <c r="V24" s="4"/>
      <c r="W24" s="4"/>
      <c r="X24" s="4"/>
      <c r="Y24" s="4"/>
    </row>
    <row r="25">
      <c r="A25" s="13" t="s">
        <v>86</v>
      </c>
      <c r="B25" s="6">
        <v>1068.0</v>
      </c>
      <c r="C25" s="6" t="b">
        <v>0</v>
      </c>
      <c r="D25" s="8" t="str">
        <f>IFERROR(__xludf.DUMMYFUNCTION("GOOGLETRANSLATE(A25,""ar"", ""en"")"),"Plastic chair with chrome mesh")</f>
        <v>Plastic chair with chrome mesh</v>
      </c>
      <c r="E25" s="13" t="s">
        <v>87</v>
      </c>
      <c r="F25" s="9" t="s">
        <v>27</v>
      </c>
      <c r="G25" s="9" t="s">
        <v>28</v>
      </c>
      <c r="H25" s="16" t="s">
        <v>43</v>
      </c>
      <c r="I25" s="8"/>
      <c r="J25" s="14">
        <v>-70.52</v>
      </c>
      <c r="K25" s="11" t="s">
        <v>88</v>
      </c>
      <c r="L25" s="8"/>
      <c r="M25" s="15">
        <v>-4.0</v>
      </c>
      <c r="N25" s="8"/>
      <c r="O25" s="8"/>
      <c r="P25" s="14">
        <v>17.63</v>
      </c>
      <c r="Q25" s="4"/>
      <c r="R25" s="4"/>
      <c r="S25" s="4"/>
      <c r="T25" s="4"/>
      <c r="U25" s="4"/>
      <c r="V25" s="4"/>
      <c r="W25" s="4"/>
      <c r="X25" s="4"/>
      <c r="Y25" s="4"/>
    </row>
    <row r="26">
      <c r="A26" s="13" t="s">
        <v>89</v>
      </c>
      <c r="B26" s="6">
        <v>1075.0</v>
      </c>
      <c r="C26" s="6" t="b">
        <v>0</v>
      </c>
      <c r="D26" s="8" t="str">
        <f>IFERROR(__xludf.DUMMYFUNCTION("GOOGLETRANSLATE(A26,""ar"", ""en"")"),"PLASTIC CHAIR X")</f>
        <v>PLASTIC CHAIR X</v>
      </c>
      <c r="E26" s="13" t="s">
        <v>90</v>
      </c>
      <c r="F26" s="9" t="s">
        <v>27</v>
      </c>
      <c r="G26" s="9" t="s">
        <v>28</v>
      </c>
      <c r="H26" s="16" t="s">
        <v>43</v>
      </c>
      <c r="I26" s="8"/>
      <c r="J26" s="14">
        <v>29.71</v>
      </c>
      <c r="K26" s="11" t="s">
        <v>91</v>
      </c>
      <c r="L26" s="8"/>
      <c r="M26" s="15">
        <v>2.0</v>
      </c>
      <c r="N26" s="8"/>
      <c r="O26" s="8"/>
      <c r="P26" s="14">
        <v>14.86</v>
      </c>
      <c r="Q26" s="4"/>
      <c r="R26" s="4"/>
      <c r="S26" s="4"/>
      <c r="T26" s="4"/>
      <c r="U26" s="4"/>
      <c r="V26" s="4"/>
      <c r="W26" s="4"/>
      <c r="X26" s="4"/>
      <c r="Y26" s="4"/>
    </row>
    <row r="27" ht="16.5" customHeight="1">
      <c r="A27" s="5" t="s">
        <v>92</v>
      </c>
      <c r="B27" s="6">
        <v>1076.0</v>
      </c>
      <c r="C27" s="6" t="b">
        <v>0</v>
      </c>
      <c r="D27" s="8" t="str">
        <f>IFERROR(__xludf.DUMMYFUNCTION("GOOGLETRANSLATE(A27,""ar"", ""en"")"),"iron chair")</f>
        <v>iron chair</v>
      </c>
      <c r="E27" s="5" t="s">
        <v>93</v>
      </c>
      <c r="F27" s="9" t="s">
        <v>18</v>
      </c>
      <c r="G27" s="9"/>
      <c r="H27" s="16" t="s">
        <v>72</v>
      </c>
      <c r="I27" s="8"/>
      <c r="J27" s="10">
        <v>965.78</v>
      </c>
      <c r="K27" s="11" t="s">
        <v>94</v>
      </c>
      <c r="L27" s="8"/>
      <c r="M27" s="12">
        <v>59.0</v>
      </c>
      <c r="N27" s="8"/>
      <c r="O27" s="8"/>
      <c r="P27" s="10">
        <v>16.37</v>
      </c>
      <c r="Q27" s="4"/>
      <c r="R27" s="4"/>
      <c r="S27" s="4"/>
      <c r="T27" s="4"/>
      <c r="U27" s="4"/>
      <c r="V27" s="4"/>
      <c r="W27" s="4"/>
      <c r="X27" s="4"/>
      <c r="Y27" s="4"/>
    </row>
    <row r="28">
      <c r="A28" s="13" t="s">
        <v>92</v>
      </c>
      <c r="B28" s="6">
        <v>1077.0</v>
      </c>
      <c r="C28" s="6" t="b">
        <v>0</v>
      </c>
      <c r="D28" s="8" t="str">
        <f>IFERROR(__xludf.DUMMYFUNCTION("GOOGLETRANSLATE(A28,""ar"", ""en"")"),"iron chair")</f>
        <v>iron chair</v>
      </c>
      <c r="E28" s="13" t="s">
        <v>95</v>
      </c>
      <c r="F28" s="9" t="s">
        <v>18</v>
      </c>
      <c r="G28" s="9"/>
      <c r="H28" s="16" t="s">
        <v>72</v>
      </c>
      <c r="I28" s="8"/>
      <c r="J28" s="14">
        <v>540.18</v>
      </c>
      <c r="K28" s="11" t="s">
        <v>94</v>
      </c>
      <c r="L28" s="8"/>
      <c r="M28" s="15">
        <v>33.0</v>
      </c>
      <c r="N28" s="8"/>
      <c r="O28" s="8"/>
      <c r="P28" s="14">
        <v>16.37</v>
      </c>
      <c r="Q28" s="4"/>
      <c r="R28" s="4"/>
      <c r="S28" s="4"/>
      <c r="T28" s="4"/>
      <c r="U28" s="4"/>
      <c r="V28" s="4"/>
      <c r="W28" s="4"/>
      <c r="X28" s="4"/>
      <c r="Y28" s="4"/>
    </row>
    <row r="29">
      <c r="A29" s="5" t="s">
        <v>96</v>
      </c>
      <c r="B29" s="6">
        <v>1079.0</v>
      </c>
      <c r="C29" s="6" t="b">
        <v>0</v>
      </c>
      <c r="D29" s="8" t="str">
        <f>IFERROR(__xludf.DUMMYFUNCTION("GOOGLETRANSLATE(A29,""ar"", ""en"")"),"Table Top 70*70 CM")</f>
        <v>Table Top 70*70 CM</v>
      </c>
      <c r="E29" s="5" t="s">
        <v>97</v>
      </c>
      <c r="F29" s="9" t="s">
        <v>27</v>
      </c>
      <c r="G29" s="9" t="s">
        <v>28</v>
      </c>
      <c r="H29" s="27" t="s">
        <v>98</v>
      </c>
      <c r="I29" s="8"/>
      <c r="J29" s="10">
        <v>141.99</v>
      </c>
      <c r="K29" s="11" t="s">
        <v>99</v>
      </c>
      <c r="L29" s="8"/>
      <c r="M29" s="12">
        <v>5.0</v>
      </c>
      <c r="N29" s="8"/>
      <c r="O29" s="8"/>
      <c r="P29" s="10">
        <v>28.4</v>
      </c>
      <c r="Q29" s="4"/>
      <c r="R29" s="4"/>
      <c r="S29" s="4"/>
      <c r="T29" s="4"/>
      <c r="U29" s="4"/>
      <c r="V29" s="4"/>
      <c r="W29" s="4"/>
      <c r="X29" s="4"/>
      <c r="Y29" s="4"/>
    </row>
    <row r="30">
      <c r="A30" s="17" t="s">
        <v>100</v>
      </c>
      <c r="B30" s="18">
        <v>1082.0</v>
      </c>
      <c r="C30" s="19" t="b">
        <v>1</v>
      </c>
      <c r="D30" s="20" t="str">
        <f>IFERROR(__xludf.DUMMYFUNCTION("GOOGLETRANSLATE(A30,""ar"", ""en"")"),"WALNUT Leather Bar Chair")</f>
        <v>WALNUT Leather Bar Chair</v>
      </c>
      <c r="E30" s="28" t="s">
        <v>101</v>
      </c>
      <c r="F30" s="9" t="s">
        <v>18</v>
      </c>
      <c r="G30" s="9"/>
      <c r="H30" s="16" t="s">
        <v>47</v>
      </c>
      <c r="I30" s="8"/>
      <c r="J30" s="29"/>
      <c r="K30" s="11" t="s">
        <v>102</v>
      </c>
      <c r="L30" s="8"/>
      <c r="M30" s="12">
        <v>173.0</v>
      </c>
      <c r="N30" s="8"/>
      <c r="O30" s="8"/>
      <c r="P30" s="29"/>
      <c r="Q30" s="4"/>
      <c r="R30" s="4"/>
      <c r="S30" s="4"/>
      <c r="T30" s="4"/>
      <c r="U30" s="4"/>
      <c r="V30" s="4"/>
      <c r="W30" s="4"/>
      <c r="X30" s="4"/>
      <c r="Y30" s="4"/>
    </row>
    <row r="31">
      <c r="A31" s="13" t="s">
        <v>103</v>
      </c>
      <c r="B31" s="6">
        <v>1088.0</v>
      </c>
      <c r="C31" s="6" t="b">
        <v>0</v>
      </c>
      <c r="D31" s="8" t="str">
        <f>IFERROR(__xludf.DUMMYFUNCTION("GOOGLETRANSLATE(A31,""ar"", ""en"")"),"wooden chair with handle")</f>
        <v>wooden chair with handle</v>
      </c>
      <c r="E31" s="13" t="s">
        <v>104</v>
      </c>
      <c r="F31" s="9" t="s">
        <v>18</v>
      </c>
      <c r="G31" s="9" t="s">
        <v>27</v>
      </c>
      <c r="H31" s="16" t="s">
        <v>39</v>
      </c>
      <c r="I31" s="8"/>
      <c r="J31" s="14">
        <v>47.22</v>
      </c>
      <c r="K31" s="11" t="s">
        <v>105</v>
      </c>
      <c r="L31" s="8"/>
      <c r="M31" s="15">
        <v>2.0</v>
      </c>
      <c r="N31" s="8"/>
      <c r="O31" s="8"/>
      <c r="P31" s="14">
        <v>23.61</v>
      </c>
      <c r="Q31" s="4"/>
      <c r="R31" s="4"/>
      <c r="S31" s="4"/>
      <c r="T31" s="4"/>
      <c r="U31" s="4"/>
      <c r="V31" s="4"/>
      <c r="W31" s="4"/>
      <c r="X31" s="4"/>
      <c r="Y31" s="4"/>
    </row>
    <row r="32">
      <c r="A32" s="5" t="s">
        <v>103</v>
      </c>
      <c r="B32" s="6">
        <v>1089.0</v>
      </c>
      <c r="C32" s="6" t="b">
        <v>0</v>
      </c>
      <c r="D32" s="8" t="str">
        <f>IFERROR(__xludf.DUMMYFUNCTION("GOOGLETRANSLATE(A32,""ar"", ""en"")"),"wooden chair with handle")</f>
        <v>wooden chair with handle</v>
      </c>
      <c r="E32" s="5" t="s">
        <v>106</v>
      </c>
      <c r="F32" s="9" t="s">
        <v>18</v>
      </c>
      <c r="G32" s="9" t="s">
        <v>27</v>
      </c>
      <c r="H32" s="16" t="s">
        <v>39</v>
      </c>
      <c r="I32" s="8"/>
      <c r="J32" s="10">
        <v>236.12</v>
      </c>
      <c r="K32" s="11" t="s">
        <v>105</v>
      </c>
      <c r="L32" s="8"/>
      <c r="M32" s="12">
        <v>10.0</v>
      </c>
      <c r="N32" s="8"/>
      <c r="O32" s="8"/>
      <c r="P32" s="10">
        <v>23.61</v>
      </c>
      <c r="Q32" s="4"/>
      <c r="R32" s="4"/>
      <c r="S32" s="4"/>
      <c r="T32" s="4"/>
      <c r="U32" s="4"/>
      <c r="V32" s="4"/>
      <c r="W32" s="4"/>
      <c r="X32" s="4"/>
      <c r="Y32" s="4"/>
    </row>
    <row r="33">
      <c r="A33" s="13" t="s">
        <v>103</v>
      </c>
      <c r="B33" s="6">
        <v>1090.0</v>
      </c>
      <c r="C33" s="6" t="b">
        <v>0</v>
      </c>
      <c r="D33" s="8" t="str">
        <f>IFERROR(__xludf.DUMMYFUNCTION("GOOGLETRANSLATE(A33,""ar"", ""en"")"),"wooden chair with handle")</f>
        <v>wooden chair with handle</v>
      </c>
      <c r="E33" s="13" t="s">
        <v>107</v>
      </c>
      <c r="F33" s="9" t="s">
        <v>18</v>
      </c>
      <c r="G33" s="9" t="s">
        <v>27</v>
      </c>
      <c r="H33" s="16" t="s">
        <v>39</v>
      </c>
      <c r="I33" s="8"/>
      <c r="J33" s="14">
        <v>45.71</v>
      </c>
      <c r="K33" s="11" t="s">
        <v>105</v>
      </c>
      <c r="L33" s="8"/>
      <c r="M33" s="15">
        <v>2.0</v>
      </c>
      <c r="N33" s="8"/>
      <c r="O33" s="8"/>
      <c r="P33" s="14">
        <v>22.85</v>
      </c>
      <c r="Q33" s="4"/>
      <c r="R33" s="4"/>
      <c r="S33" s="4"/>
      <c r="T33" s="4"/>
      <c r="U33" s="4"/>
      <c r="V33" s="4"/>
      <c r="W33" s="4"/>
      <c r="X33" s="4"/>
      <c r="Y33" s="4"/>
    </row>
    <row r="34">
      <c r="A34" s="5" t="s">
        <v>103</v>
      </c>
      <c r="B34" s="6">
        <v>1091.0</v>
      </c>
      <c r="C34" s="6" t="b">
        <v>0</v>
      </c>
      <c r="D34" s="8" t="str">
        <f>IFERROR(__xludf.DUMMYFUNCTION("GOOGLETRANSLATE(A34,""ar"", ""en"")"),"wooden chair with handle")</f>
        <v>wooden chair with handle</v>
      </c>
      <c r="E34" s="5" t="s">
        <v>108</v>
      </c>
      <c r="F34" s="9" t="s">
        <v>18</v>
      </c>
      <c r="G34" s="9" t="s">
        <v>27</v>
      </c>
      <c r="H34" s="16" t="s">
        <v>39</v>
      </c>
      <c r="I34" s="8"/>
      <c r="J34" s="10">
        <v>1180.16</v>
      </c>
      <c r="K34" s="11" t="s">
        <v>105</v>
      </c>
      <c r="L34" s="8"/>
      <c r="M34" s="12">
        <v>50.0</v>
      </c>
      <c r="N34" s="8"/>
      <c r="O34" s="8"/>
      <c r="P34" s="10">
        <v>23.6</v>
      </c>
      <c r="Q34" s="4"/>
      <c r="R34" s="4"/>
      <c r="S34" s="4"/>
      <c r="T34" s="4"/>
      <c r="U34" s="4"/>
      <c r="V34" s="4"/>
      <c r="W34" s="4"/>
      <c r="X34" s="4"/>
      <c r="Y34" s="4"/>
    </row>
    <row r="35">
      <c r="A35" s="13" t="s">
        <v>103</v>
      </c>
      <c r="B35" s="6">
        <v>1092.0</v>
      </c>
      <c r="C35" s="6" t="b">
        <v>0</v>
      </c>
      <c r="D35" s="8" t="str">
        <f>IFERROR(__xludf.DUMMYFUNCTION("GOOGLETRANSLATE(A35,""ar"", ""en"")"),"wooden chair with handle")</f>
        <v>wooden chair with handle</v>
      </c>
      <c r="E35" s="13" t="s">
        <v>109</v>
      </c>
      <c r="F35" s="9" t="s">
        <v>18</v>
      </c>
      <c r="G35" s="9" t="s">
        <v>27</v>
      </c>
      <c r="H35" s="16" t="s">
        <v>39</v>
      </c>
      <c r="I35" s="8"/>
      <c r="J35" s="14">
        <v>353.33</v>
      </c>
      <c r="K35" s="11" t="s">
        <v>105</v>
      </c>
      <c r="L35" s="8"/>
      <c r="M35" s="15">
        <v>15.0</v>
      </c>
      <c r="N35" s="8"/>
      <c r="O35" s="8"/>
      <c r="P35" s="14">
        <v>23.56</v>
      </c>
      <c r="Q35" s="4"/>
      <c r="R35" s="4"/>
      <c r="S35" s="4"/>
      <c r="T35" s="4"/>
      <c r="U35" s="4"/>
      <c r="V35" s="4"/>
      <c r="W35" s="4"/>
      <c r="X35" s="4"/>
      <c r="Y35" s="4"/>
    </row>
    <row r="36">
      <c r="A36" s="17" t="s">
        <v>110</v>
      </c>
      <c r="B36" s="18">
        <v>1093.0</v>
      </c>
      <c r="C36" s="19" t="b">
        <v>1</v>
      </c>
      <c r="D36" s="20" t="str">
        <f>IFERROR(__xludf.DUMMYFUNCTION("GOOGLETRANSLATE(A36,""ar"", ""en"")"),"CUSHION")</f>
        <v>CUSHION</v>
      </c>
      <c r="E36" s="17" t="s">
        <v>111</v>
      </c>
      <c r="F36" s="30"/>
      <c r="G36" s="30"/>
      <c r="H36" s="8"/>
      <c r="I36" s="8"/>
      <c r="J36" s="14">
        <v>443.75</v>
      </c>
      <c r="K36" s="11" t="s">
        <v>112</v>
      </c>
      <c r="L36" s="8"/>
      <c r="M36" s="15">
        <v>248.0</v>
      </c>
      <c r="N36" s="8"/>
      <c r="O36" s="8"/>
      <c r="P36" s="14">
        <v>1.79</v>
      </c>
      <c r="Q36" s="4"/>
      <c r="R36" s="4"/>
      <c r="S36" s="4"/>
      <c r="T36" s="4"/>
      <c r="U36" s="4"/>
      <c r="V36" s="4"/>
      <c r="W36" s="4"/>
      <c r="X36" s="4"/>
      <c r="Y36" s="4"/>
    </row>
    <row r="37">
      <c r="A37" s="13" t="s">
        <v>113</v>
      </c>
      <c r="B37" s="6">
        <v>1100.0</v>
      </c>
      <c r="C37" s="6" t="b">
        <v>0</v>
      </c>
      <c r="D37" s="8" t="str">
        <f>IFERROR(__xludf.DUMMYFUNCTION("GOOGLETRANSLATE(A37,""ar"", ""en"")"),"leather dining chair")</f>
        <v>leather dining chair</v>
      </c>
      <c r="E37" s="13" t="s">
        <v>114</v>
      </c>
      <c r="F37" s="9" t="s">
        <v>18</v>
      </c>
      <c r="G37" s="9"/>
      <c r="H37" s="8"/>
      <c r="I37" s="8"/>
      <c r="J37" s="14">
        <v>281.77</v>
      </c>
      <c r="K37" s="11" t="s">
        <v>115</v>
      </c>
      <c r="L37" s="8"/>
      <c r="M37" s="15">
        <v>9.0</v>
      </c>
      <c r="N37" s="8"/>
      <c r="O37" s="8"/>
      <c r="P37" s="14">
        <v>31.31</v>
      </c>
      <c r="Q37" s="4"/>
      <c r="R37" s="4"/>
      <c r="S37" s="4"/>
      <c r="T37" s="4"/>
      <c r="U37" s="4"/>
      <c r="V37" s="4"/>
      <c r="W37" s="4"/>
      <c r="X37" s="4"/>
      <c r="Y37" s="4"/>
    </row>
    <row r="38">
      <c r="A38" s="13" t="s">
        <v>116</v>
      </c>
      <c r="B38" s="6">
        <v>1102.0</v>
      </c>
      <c r="C38" s="6" t="b">
        <v>0</v>
      </c>
      <c r="D38" s="8" t="str">
        <f>IFERROR(__xludf.DUMMYFUNCTION("GOOGLETRANSLATE(A38,""ar"", ""en"")"),"Half wood table")</f>
        <v>Half wood table</v>
      </c>
      <c r="E38" s="13" t="s">
        <v>117</v>
      </c>
      <c r="F38" s="9" t="s">
        <v>18</v>
      </c>
      <c r="G38" s="9"/>
      <c r="H38" s="8"/>
      <c r="I38" s="8"/>
      <c r="J38" s="14">
        <v>230.87</v>
      </c>
      <c r="K38" s="11" t="s">
        <v>118</v>
      </c>
      <c r="L38" s="8"/>
      <c r="M38" s="15">
        <v>7.0</v>
      </c>
      <c r="N38" s="8"/>
      <c r="O38" s="8"/>
      <c r="P38" s="14">
        <v>32.98</v>
      </c>
      <c r="Q38" s="4"/>
      <c r="R38" s="4"/>
      <c r="S38" s="4"/>
      <c r="T38" s="4"/>
      <c r="U38" s="4"/>
      <c r="V38" s="4"/>
      <c r="W38" s="4"/>
      <c r="X38" s="4"/>
      <c r="Y38" s="4"/>
    </row>
    <row r="39">
      <c r="A39" s="17" t="s">
        <v>119</v>
      </c>
      <c r="B39" s="18">
        <v>1119.0</v>
      </c>
      <c r="C39" s="19" t="b">
        <v>1</v>
      </c>
      <c r="D39" s="20" t="str">
        <f>IFERROR(__xludf.DUMMYFUNCTION("GOOGLETRANSLATE(A39,""ar"", ""en"")"),"SAND BAG 10KG")</f>
        <v>SAND BAG 10KG</v>
      </c>
      <c r="E39" s="17" t="s">
        <v>120</v>
      </c>
      <c r="F39" s="30"/>
      <c r="G39" s="30"/>
      <c r="H39" s="16" t="s">
        <v>121</v>
      </c>
      <c r="I39" s="8"/>
      <c r="J39" s="10">
        <v>764.5</v>
      </c>
      <c r="K39" s="11" t="s">
        <v>122</v>
      </c>
      <c r="L39" s="16" t="s">
        <v>123</v>
      </c>
      <c r="M39" s="12">
        <v>593.0</v>
      </c>
      <c r="N39" s="8"/>
      <c r="O39" s="8"/>
      <c r="P39" s="10">
        <v>1.29</v>
      </c>
      <c r="Q39" s="4"/>
      <c r="R39" s="4"/>
      <c r="S39" s="4"/>
      <c r="T39" s="4"/>
      <c r="U39" s="4"/>
      <c r="V39" s="4"/>
      <c r="W39" s="4"/>
      <c r="X39" s="4"/>
      <c r="Y39" s="4"/>
    </row>
    <row r="40">
      <c r="A40" s="13" t="s">
        <v>124</v>
      </c>
      <c r="B40" s="6">
        <v>1121.0</v>
      </c>
      <c r="C40" s="6" t="b">
        <v>0</v>
      </c>
      <c r="D40" s="8" t="str">
        <f>IFERROR(__xludf.DUMMYFUNCTION("GOOGLETRANSLATE(A40,""ar"", ""en"")"),"Rasour tent 3*3 m")</f>
        <v>Rasour tent 3*3 m</v>
      </c>
      <c r="E40" s="13" t="s">
        <v>125</v>
      </c>
      <c r="F40" s="9" t="s">
        <v>28</v>
      </c>
      <c r="G40" s="9"/>
      <c r="H40" s="16" t="s">
        <v>121</v>
      </c>
      <c r="I40" s="8"/>
      <c r="J40" s="31"/>
      <c r="K40" s="11" t="s">
        <v>126</v>
      </c>
      <c r="L40" s="8"/>
      <c r="M40" s="15">
        <v>2.0</v>
      </c>
      <c r="N40" s="8"/>
      <c r="O40" s="8"/>
      <c r="P40" s="31"/>
      <c r="Q40" s="4"/>
      <c r="R40" s="4"/>
      <c r="S40" s="4"/>
      <c r="T40" s="4"/>
      <c r="U40" s="4"/>
      <c r="V40" s="4"/>
      <c r="W40" s="4"/>
      <c r="X40" s="4"/>
      <c r="Y40" s="4"/>
    </row>
    <row r="41">
      <c r="A41" s="17" t="s">
        <v>127</v>
      </c>
      <c r="B41" s="18">
        <v>1122.0</v>
      </c>
      <c r="C41" s="19" t="b">
        <v>1</v>
      </c>
      <c r="D41" s="20" t="str">
        <f>IFERROR(__xludf.DUMMYFUNCTION("GOOGLETRANSLATE(A41,""ar"", ""en"")"),"Rasour tent 3*4.5 m")</f>
        <v>Rasour tent 3*4.5 m</v>
      </c>
      <c r="E41" s="28" t="s">
        <v>128</v>
      </c>
      <c r="F41" s="9" t="s">
        <v>28</v>
      </c>
      <c r="G41" s="9"/>
      <c r="H41" s="16" t="s">
        <v>121</v>
      </c>
      <c r="I41" s="8"/>
      <c r="J41" s="29"/>
      <c r="K41" s="11" t="s">
        <v>129</v>
      </c>
      <c r="L41" s="8"/>
      <c r="M41" s="12">
        <v>35.0</v>
      </c>
      <c r="N41" s="8"/>
      <c r="O41" s="8"/>
      <c r="P41" s="29"/>
      <c r="Q41" s="4"/>
      <c r="R41" s="4"/>
      <c r="S41" s="4"/>
      <c r="T41" s="4"/>
      <c r="U41" s="4"/>
      <c r="V41" s="4"/>
      <c r="W41" s="4"/>
      <c r="X41" s="4"/>
      <c r="Y41" s="4"/>
    </row>
    <row r="42">
      <c r="A42" s="17" t="s">
        <v>127</v>
      </c>
      <c r="B42" s="18">
        <v>1123.0</v>
      </c>
      <c r="C42" s="19" t="b">
        <v>1</v>
      </c>
      <c r="D42" s="20" t="str">
        <f>IFERROR(__xludf.DUMMYFUNCTION("GOOGLETRANSLATE(A42,""ar"", ""en"")"),"Rasour tent 3*4.5 m")</f>
        <v>Rasour tent 3*4.5 m</v>
      </c>
      <c r="E42" s="28" t="s">
        <v>130</v>
      </c>
      <c r="F42" s="9" t="s">
        <v>28</v>
      </c>
      <c r="G42" s="9"/>
      <c r="H42" s="16" t="s">
        <v>121</v>
      </c>
      <c r="I42" s="8"/>
      <c r="J42" s="31"/>
      <c r="K42" s="11" t="s">
        <v>129</v>
      </c>
      <c r="L42" s="8"/>
      <c r="M42" s="15">
        <v>64.0</v>
      </c>
      <c r="N42" s="8"/>
      <c r="O42" s="8"/>
      <c r="P42" s="31"/>
      <c r="Q42" s="4"/>
      <c r="R42" s="4"/>
      <c r="S42" s="4"/>
      <c r="T42" s="4"/>
      <c r="U42" s="4"/>
      <c r="V42" s="4"/>
      <c r="W42" s="4"/>
      <c r="X42" s="4"/>
      <c r="Y42" s="4"/>
    </row>
    <row r="43">
      <c r="A43" s="17" t="s">
        <v>127</v>
      </c>
      <c r="B43" s="18">
        <v>1124.0</v>
      </c>
      <c r="C43" s="19" t="b">
        <v>1</v>
      </c>
      <c r="D43" s="20" t="str">
        <f>IFERROR(__xludf.DUMMYFUNCTION("GOOGLETRANSLATE(A43,""ar"", ""en"")"),"Rasour tent 3*4.5 m")</f>
        <v>Rasour tent 3*4.5 m</v>
      </c>
      <c r="E43" s="28" t="s">
        <v>131</v>
      </c>
      <c r="F43" s="9" t="s">
        <v>28</v>
      </c>
      <c r="G43" s="9"/>
      <c r="H43" s="16" t="s">
        <v>121</v>
      </c>
      <c r="I43" s="8"/>
      <c r="J43" s="29"/>
      <c r="K43" s="11" t="s">
        <v>129</v>
      </c>
      <c r="L43" s="8"/>
      <c r="M43" s="12">
        <v>60.0</v>
      </c>
      <c r="N43" s="8"/>
      <c r="O43" s="8"/>
      <c r="P43" s="29"/>
      <c r="Q43" s="4"/>
      <c r="R43" s="4"/>
      <c r="S43" s="4"/>
      <c r="T43" s="4"/>
      <c r="U43" s="4"/>
      <c r="V43" s="4"/>
      <c r="W43" s="4"/>
      <c r="X43" s="4"/>
      <c r="Y43" s="4"/>
    </row>
    <row r="44">
      <c r="A44" s="17" t="s">
        <v>127</v>
      </c>
      <c r="B44" s="18">
        <v>1125.0</v>
      </c>
      <c r="C44" s="19" t="b">
        <v>1</v>
      </c>
      <c r="D44" s="20" t="str">
        <f>IFERROR(__xludf.DUMMYFUNCTION("GOOGLETRANSLATE(A44,""ar"", ""en"")"),"Rasour tent 3*4.5 m")</f>
        <v>Rasour tent 3*4.5 m</v>
      </c>
      <c r="E44" s="28" t="s">
        <v>132</v>
      </c>
      <c r="F44" s="9" t="s">
        <v>28</v>
      </c>
      <c r="G44" s="9"/>
      <c r="H44" s="16" t="s">
        <v>121</v>
      </c>
      <c r="I44" s="8"/>
      <c r="J44" s="31"/>
      <c r="K44" s="11" t="s">
        <v>129</v>
      </c>
      <c r="L44" s="8"/>
      <c r="M44" s="15">
        <v>56.0</v>
      </c>
      <c r="N44" s="8"/>
      <c r="O44" s="8"/>
      <c r="P44" s="31"/>
      <c r="Q44" s="4"/>
      <c r="R44" s="4"/>
      <c r="S44" s="4"/>
      <c r="T44" s="4"/>
      <c r="U44" s="4"/>
      <c r="V44" s="4"/>
      <c r="W44" s="4"/>
      <c r="X44" s="4"/>
      <c r="Y44" s="4"/>
    </row>
    <row r="45">
      <c r="A45" s="17" t="s">
        <v>127</v>
      </c>
      <c r="B45" s="18">
        <v>1126.0</v>
      </c>
      <c r="C45" s="19" t="b">
        <v>1</v>
      </c>
      <c r="D45" s="20" t="str">
        <f>IFERROR(__xludf.DUMMYFUNCTION("GOOGLETRANSLATE(A45,""ar"", ""en"")"),"Rasour tent 3*4.5 m")</f>
        <v>Rasour tent 3*4.5 m</v>
      </c>
      <c r="E45" s="28" t="s">
        <v>133</v>
      </c>
      <c r="F45" s="9" t="s">
        <v>28</v>
      </c>
      <c r="G45" s="9"/>
      <c r="H45" s="16" t="s">
        <v>121</v>
      </c>
      <c r="I45" s="8"/>
      <c r="J45" s="29"/>
      <c r="K45" s="11" t="s">
        <v>129</v>
      </c>
      <c r="L45" s="8"/>
      <c r="M45" s="12">
        <v>64.0</v>
      </c>
      <c r="N45" s="8"/>
      <c r="O45" s="8"/>
      <c r="P45" s="29"/>
      <c r="Q45" s="4"/>
      <c r="R45" s="4"/>
      <c r="S45" s="4"/>
      <c r="T45" s="4"/>
      <c r="U45" s="4"/>
      <c r="V45" s="4"/>
      <c r="W45" s="4"/>
      <c r="X45" s="4"/>
      <c r="Y45" s="4"/>
    </row>
    <row r="46">
      <c r="A46" s="13" t="s">
        <v>134</v>
      </c>
      <c r="B46" s="6">
        <v>1129.0</v>
      </c>
      <c r="C46" s="6" t="b">
        <v>0</v>
      </c>
      <c r="D46" s="8" t="str">
        <f>IFERROR(__xludf.DUMMYFUNCTION("GOOGLETRANSLATE(A46,""ar"", ""en"")"),"GAZIBO - 3*3 Heavy Duty Fabric Tent")</f>
        <v>GAZIBO - 3*3 Heavy Duty Fabric Tent</v>
      </c>
      <c r="E46" s="13" t="s">
        <v>135</v>
      </c>
      <c r="F46" s="9" t="s">
        <v>28</v>
      </c>
      <c r="G46" s="9"/>
      <c r="H46" s="16" t="s">
        <v>121</v>
      </c>
      <c r="I46" s="8"/>
      <c r="J46" s="14">
        <v>4709.42</v>
      </c>
      <c r="K46" s="11" t="s">
        <v>136</v>
      </c>
      <c r="L46" s="8"/>
      <c r="M46" s="15">
        <v>53.0</v>
      </c>
      <c r="N46" s="8"/>
      <c r="O46" s="8"/>
      <c r="P46" s="14">
        <v>88.86</v>
      </c>
      <c r="Q46" s="4"/>
      <c r="R46" s="4"/>
      <c r="S46" s="4"/>
      <c r="T46" s="4"/>
      <c r="U46" s="4"/>
      <c r="V46" s="4"/>
      <c r="W46" s="4"/>
      <c r="X46" s="4"/>
      <c r="Y46" s="4"/>
    </row>
    <row r="47">
      <c r="A47" s="17" t="s">
        <v>137</v>
      </c>
      <c r="B47" s="18">
        <v>1130.0</v>
      </c>
      <c r="C47" s="19" t="b">
        <v>1</v>
      </c>
      <c r="D47" s="20" t="str">
        <f>IFERROR(__xludf.DUMMYFUNCTION("GOOGLETRANSLATE(A47,""ar"", ""en"")"),"3*4.5 m tent")</f>
        <v>3*4.5 m tent</v>
      </c>
      <c r="E47" s="28" t="s">
        <v>138</v>
      </c>
      <c r="F47" s="9" t="s">
        <v>28</v>
      </c>
      <c r="G47" s="9"/>
      <c r="H47" s="16" t="s">
        <v>121</v>
      </c>
      <c r="I47" s="8"/>
      <c r="J47" s="10">
        <v>142.04</v>
      </c>
      <c r="K47" s="11" t="s">
        <v>139</v>
      </c>
      <c r="L47" s="8"/>
      <c r="M47" s="12">
        <v>5.0</v>
      </c>
      <c r="N47" s="8"/>
      <c r="O47" s="8"/>
      <c r="P47" s="10">
        <v>28.41</v>
      </c>
      <c r="Q47" s="4"/>
      <c r="R47" s="4"/>
      <c r="S47" s="4"/>
      <c r="T47" s="4"/>
      <c r="U47" s="4"/>
      <c r="V47" s="4"/>
      <c r="W47" s="4"/>
      <c r="X47" s="4"/>
      <c r="Y47" s="4"/>
    </row>
    <row r="48">
      <c r="B48" s="6">
        <v>1140.0</v>
      </c>
      <c r="C48" s="6" t="b">
        <v>0</v>
      </c>
      <c r="D48" s="8" t="str">
        <f>IFERROR(__xludf.DUMMYFUNCTION("GOOGLETRANSLATE(E47,""ar"", ""en"")"),"70*110 cm Malaysian Versalite table top")</f>
        <v>70*110 cm Malaysian Versalite table top</v>
      </c>
      <c r="E48" s="32" t="s">
        <v>140</v>
      </c>
      <c r="F48" s="9" t="s">
        <v>27</v>
      </c>
      <c r="G48" s="9" t="s">
        <v>28</v>
      </c>
      <c r="H48" s="27" t="s">
        <v>98</v>
      </c>
      <c r="I48" s="16" t="s">
        <v>141</v>
      </c>
      <c r="J48" s="14">
        <v>20.67</v>
      </c>
      <c r="K48" s="11" t="s">
        <v>142</v>
      </c>
      <c r="L48" s="8"/>
      <c r="M48" s="15">
        <v>1.0</v>
      </c>
      <c r="N48" s="8"/>
      <c r="O48" s="8"/>
      <c r="P48" s="14">
        <v>20.67</v>
      </c>
      <c r="Q48" s="4"/>
      <c r="R48" s="4"/>
      <c r="S48" s="4"/>
      <c r="T48" s="4"/>
      <c r="U48" s="4"/>
      <c r="V48" s="4"/>
      <c r="W48" s="4"/>
      <c r="X48" s="4"/>
      <c r="Y48" s="4"/>
    </row>
    <row r="49">
      <c r="A49" s="5" t="s">
        <v>138</v>
      </c>
      <c r="B49" s="6">
        <v>1141.0</v>
      </c>
      <c r="C49" s="7" t="b">
        <v>1</v>
      </c>
      <c r="D49" s="8" t="str">
        <f>IFERROR(__xludf.DUMMYFUNCTION("GOOGLETRANSLATE(A49,""ar"", ""en"")"),"70*110 cm Malaysian Versalite table top")</f>
        <v>70*110 cm Malaysian Versalite table top</v>
      </c>
      <c r="E49" s="33" t="s">
        <v>143</v>
      </c>
      <c r="F49" s="9" t="s">
        <v>27</v>
      </c>
      <c r="G49" s="9" t="s">
        <v>28</v>
      </c>
      <c r="H49" s="27" t="s">
        <v>98</v>
      </c>
      <c r="I49" s="16" t="s">
        <v>144</v>
      </c>
      <c r="J49" s="10">
        <v>480.53</v>
      </c>
      <c r="K49" s="11" t="s">
        <v>142</v>
      </c>
      <c r="L49" s="8"/>
      <c r="M49" s="12">
        <v>14.0</v>
      </c>
      <c r="N49" s="8"/>
      <c r="O49" s="8"/>
      <c r="P49" s="10">
        <v>34.32</v>
      </c>
      <c r="Q49" s="4"/>
      <c r="R49" s="4"/>
      <c r="S49" s="4"/>
      <c r="T49" s="4"/>
      <c r="U49" s="4"/>
      <c r="V49" s="4"/>
      <c r="W49" s="4"/>
      <c r="X49" s="4"/>
      <c r="Y49" s="4"/>
    </row>
    <row r="50">
      <c r="A50" s="17" t="s">
        <v>138</v>
      </c>
      <c r="B50" s="18">
        <v>1142.0</v>
      </c>
      <c r="C50" s="19" t="b">
        <v>1</v>
      </c>
      <c r="D50" s="20" t="str">
        <f>IFERROR(__xludf.DUMMYFUNCTION("GOOGLETRANSLATE(A50,""ar"", ""en"")"),"70*110 cm Malaysian Versalite table top")</f>
        <v>70*110 cm Malaysian Versalite table top</v>
      </c>
      <c r="E50" s="28" t="s">
        <v>145</v>
      </c>
      <c r="F50" s="9" t="s">
        <v>27</v>
      </c>
      <c r="G50" s="9" t="s">
        <v>28</v>
      </c>
      <c r="H50" s="27" t="s">
        <v>98</v>
      </c>
      <c r="I50" s="16" t="s">
        <v>146</v>
      </c>
      <c r="J50" s="14">
        <v>20.81</v>
      </c>
      <c r="K50" s="11" t="s">
        <v>142</v>
      </c>
      <c r="L50" s="8"/>
      <c r="M50" s="15">
        <v>1.0</v>
      </c>
      <c r="N50" s="8"/>
      <c r="O50" s="8"/>
      <c r="P50" s="14">
        <v>20.81</v>
      </c>
      <c r="Q50" s="4"/>
      <c r="R50" s="4"/>
      <c r="S50" s="4"/>
      <c r="T50" s="4"/>
      <c r="U50" s="4"/>
      <c r="V50" s="4"/>
      <c r="W50" s="4"/>
      <c r="X50" s="4"/>
      <c r="Y50" s="4"/>
    </row>
    <row r="51">
      <c r="A51" s="5" t="s">
        <v>138</v>
      </c>
      <c r="B51" s="6">
        <v>1143.0</v>
      </c>
      <c r="C51" s="6" t="b">
        <v>0</v>
      </c>
      <c r="D51" s="8" t="str">
        <f>IFERROR(__xludf.DUMMYFUNCTION("GOOGLETRANSLATE(A51,""ar"", ""en"")"),"70*110 cm Malaysian Versalite table top")</f>
        <v>70*110 cm Malaysian Versalite table top</v>
      </c>
      <c r="E51" s="33" t="s">
        <v>147</v>
      </c>
      <c r="F51" s="9" t="s">
        <v>27</v>
      </c>
      <c r="G51" s="9" t="s">
        <v>28</v>
      </c>
      <c r="H51" s="27" t="s">
        <v>98</v>
      </c>
      <c r="I51" s="16" t="s">
        <v>148</v>
      </c>
      <c r="J51" s="10">
        <v>1029.7</v>
      </c>
      <c r="K51" s="11" t="s">
        <v>142</v>
      </c>
      <c r="L51" s="8"/>
      <c r="M51" s="12">
        <v>30.0</v>
      </c>
      <c r="N51" s="8"/>
      <c r="O51" s="8"/>
      <c r="P51" s="10">
        <v>34.32</v>
      </c>
      <c r="Q51" s="4"/>
      <c r="R51" s="4"/>
      <c r="S51" s="4"/>
      <c r="T51" s="4"/>
      <c r="U51" s="4"/>
      <c r="V51" s="4"/>
      <c r="W51" s="4"/>
      <c r="X51" s="4"/>
      <c r="Y51" s="4"/>
    </row>
    <row r="52">
      <c r="A52" s="13" t="s">
        <v>149</v>
      </c>
      <c r="B52" s="6">
        <v>1144.0</v>
      </c>
      <c r="C52" s="7" t="b">
        <v>1</v>
      </c>
      <c r="D52" s="8" t="str">
        <f>IFERROR(__xludf.DUMMYFUNCTION("GOOGLETRANSLATE(A52,""ar"", ""en"")"),"70*70 cm Malaysian Versalite table top")</f>
        <v>70*70 cm Malaysian Versalite table top</v>
      </c>
      <c r="E52" s="32" t="s">
        <v>150</v>
      </c>
      <c r="F52" s="9" t="s">
        <v>27</v>
      </c>
      <c r="G52" s="9" t="s">
        <v>28</v>
      </c>
      <c r="H52" s="27" t="s">
        <v>98</v>
      </c>
      <c r="I52" s="16" t="s">
        <v>151</v>
      </c>
      <c r="J52" s="14">
        <v>1052.58</v>
      </c>
      <c r="K52" s="11" t="s">
        <v>142</v>
      </c>
      <c r="L52" s="8"/>
      <c r="M52" s="15">
        <v>47.0</v>
      </c>
      <c r="N52" s="8"/>
      <c r="O52" s="8"/>
      <c r="P52" s="14">
        <v>22.4</v>
      </c>
      <c r="Q52" s="4"/>
      <c r="R52" s="4"/>
      <c r="S52" s="4"/>
      <c r="T52" s="4"/>
      <c r="U52" s="4"/>
      <c r="V52" s="4"/>
      <c r="W52" s="4"/>
      <c r="X52" s="4"/>
      <c r="Y52" s="4"/>
    </row>
    <row r="53">
      <c r="A53" s="17" t="s">
        <v>149</v>
      </c>
      <c r="B53" s="18">
        <v>1145.0</v>
      </c>
      <c r="C53" s="19" t="b">
        <v>1</v>
      </c>
      <c r="D53" s="20" t="str">
        <f>IFERROR(__xludf.DUMMYFUNCTION("GOOGLETRANSLATE(A53,""ar"", ""en"")"),"70*70 cm Malaysian Versalite table top")</f>
        <v>70*70 cm Malaysian Versalite table top</v>
      </c>
      <c r="E53" s="28" t="s">
        <v>152</v>
      </c>
      <c r="F53" s="9" t="s">
        <v>27</v>
      </c>
      <c r="G53" s="9" t="s">
        <v>28</v>
      </c>
      <c r="H53" s="27" t="s">
        <v>98</v>
      </c>
      <c r="I53" s="16" t="s">
        <v>153</v>
      </c>
      <c r="J53" s="10">
        <v>156.77</v>
      </c>
      <c r="K53" s="11" t="s">
        <v>142</v>
      </c>
      <c r="L53" s="8"/>
      <c r="M53" s="12">
        <v>7.0</v>
      </c>
      <c r="N53" s="8"/>
      <c r="O53" s="8"/>
      <c r="P53" s="10">
        <v>22.4</v>
      </c>
      <c r="Q53" s="4"/>
      <c r="R53" s="4"/>
      <c r="S53" s="4"/>
      <c r="T53" s="4"/>
      <c r="U53" s="4"/>
      <c r="V53" s="4"/>
      <c r="W53" s="4"/>
      <c r="X53" s="4"/>
      <c r="Y53" s="4"/>
    </row>
    <row r="54">
      <c r="A54" s="13" t="s">
        <v>154</v>
      </c>
      <c r="B54" s="6">
        <v>1146.0</v>
      </c>
      <c r="C54" s="6" t="b">
        <v>0</v>
      </c>
      <c r="D54" s="8" t="str">
        <f>IFERROR(__xludf.DUMMYFUNCTION("GOOGLETRANSLATE(A54,""ar"", ""en"")"),"80*120 cm Malaysian Versalite table top")</f>
        <v>80*120 cm Malaysian Versalite table top</v>
      </c>
      <c r="E54" s="32" t="s">
        <v>155</v>
      </c>
      <c r="F54" s="9" t="s">
        <v>27</v>
      </c>
      <c r="G54" s="9" t="s">
        <v>28</v>
      </c>
      <c r="H54" s="27" t="s">
        <v>98</v>
      </c>
      <c r="I54" s="16" t="s">
        <v>156</v>
      </c>
      <c r="J54" s="14">
        <v>51.59</v>
      </c>
      <c r="K54" s="11" t="s">
        <v>142</v>
      </c>
      <c r="L54" s="8"/>
      <c r="M54" s="15">
        <v>2.0</v>
      </c>
      <c r="N54" s="8"/>
      <c r="O54" s="8"/>
      <c r="P54" s="14">
        <v>25.79</v>
      </c>
      <c r="Q54" s="4"/>
      <c r="R54" s="4"/>
      <c r="S54" s="4"/>
      <c r="T54" s="4"/>
      <c r="U54" s="4"/>
      <c r="V54" s="4"/>
      <c r="W54" s="4"/>
      <c r="X54" s="4"/>
      <c r="Y54" s="4"/>
    </row>
    <row r="55">
      <c r="A55" s="5" t="s">
        <v>154</v>
      </c>
      <c r="B55" s="6">
        <v>1147.0</v>
      </c>
      <c r="C55" s="6" t="b">
        <v>0</v>
      </c>
      <c r="D55" s="8" t="str">
        <f>IFERROR(__xludf.DUMMYFUNCTION("GOOGLETRANSLATE(A55,""ar"", ""en"")"),"80*120 cm Malaysian Versalite table top")</f>
        <v>80*120 cm Malaysian Versalite table top</v>
      </c>
      <c r="E55" s="33" t="s">
        <v>157</v>
      </c>
      <c r="F55" s="9" t="s">
        <v>27</v>
      </c>
      <c r="G55" s="9" t="s">
        <v>28</v>
      </c>
      <c r="H55" s="27" t="s">
        <v>98</v>
      </c>
      <c r="I55" s="16" t="s">
        <v>158</v>
      </c>
      <c r="J55" s="10">
        <v>25.79</v>
      </c>
      <c r="K55" s="11" t="s">
        <v>142</v>
      </c>
      <c r="L55" s="8"/>
      <c r="M55" s="12">
        <v>1.0</v>
      </c>
      <c r="N55" s="8"/>
      <c r="O55" s="8"/>
      <c r="P55" s="10">
        <v>25.79</v>
      </c>
      <c r="Q55" s="4"/>
      <c r="R55" s="4"/>
      <c r="S55" s="4"/>
      <c r="T55" s="4"/>
      <c r="U55" s="4"/>
      <c r="V55" s="4"/>
      <c r="W55" s="4"/>
      <c r="X55" s="4"/>
      <c r="Y55" s="4"/>
    </row>
    <row r="56">
      <c r="A56" s="17" t="s">
        <v>154</v>
      </c>
      <c r="B56" s="18">
        <v>1148.0</v>
      </c>
      <c r="C56" s="19" t="b">
        <v>1</v>
      </c>
      <c r="D56" s="20" t="str">
        <f>IFERROR(__xludf.DUMMYFUNCTION("GOOGLETRANSLATE(A56,""ar"", ""en"")"),"80*120 cm Malaysian Versalite table top")</f>
        <v>80*120 cm Malaysian Versalite table top</v>
      </c>
      <c r="E56" s="28" t="s">
        <v>159</v>
      </c>
      <c r="F56" s="9" t="s">
        <v>27</v>
      </c>
      <c r="G56" s="9" t="s">
        <v>28</v>
      </c>
      <c r="H56" s="27" t="s">
        <v>98</v>
      </c>
      <c r="I56" s="8"/>
      <c r="J56" s="14">
        <v>299.65</v>
      </c>
      <c r="K56" s="11" t="s">
        <v>142</v>
      </c>
      <c r="L56" s="8"/>
      <c r="M56" s="15">
        <v>7.0</v>
      </c>
      <c r="N56" s="8"/>
      <c r="O56" s="8"/>
      <c r="P56" s="14">
        <v>42.81</v>
      </c>
      <c r="Q56" s="4"/>
      <c r="R56" s="4"/>
      <c r="S56" s="4"/>
      <c r="T56" s="4"/>
      <c r="U56" s="4"/>
      <c r="V56" s="4"/>
      <c r="W56" s="4"/>
      <c r="X56" s="4"/>
      <c r="Y56" s="4"/>
    </row>
    <row r="57">
      <c r="A57" s="5" t="s">
        <v>154</v>
      </c>
      <c r="B57" s="6">
        <v>1149.0</v>
      </c>
      <c r="C57" s="7" t="b">
        <v>1</v>
      </c>
      <c r="D57" s="8" t="str">
        <f>IFERROR(__xludf.DUMMYFUNCTION("GOOGLETRANSLATE(A57,""ar"", ""en"")"),"80*120 cm Malaysian Versalite table top")</f>
        <v>80*120 cm Malaysian Versalite table top</v>
      </c>
      <c r="E57" s="34" t="s">
        <v>160</v>
      </c>
      <c r="F57" s="9" t="s">
        <v>27</v>
      </c>
      <c r="G57" s="9" t="s">
        <v>28</v>
      </c>
      <c r="H57" s="27" t="s">
        <v>98</v>
      </c>
      <c r="I57" s="8"/>
      <c r="J57" s="10">
        <v>1155.77</v>
      </c>
      <c r="K57" s="11" t="s">
        <v>142</v>
      </c>
      <c r="L57" s="8"/>
      <c r="M57" s="12">
        <v>27.0</v>
      </c>
      <c r="N57" s="8"/>
      <c r="O57" s="8"/>
      <c r="P57" s="10">
        <v>42.81</v>
      </c>
      <c r="Q57" s="4"/>
      <c r="R57" s="4"/>
      <c r="S57" s="4"/>
      <c r="T57" s="4"/>
      <c r="U57" s="4"/>
      <c r="V57" s="4"/>
      <c r="W57" s="4"/>
      <c r="X57" s="4"/>
      <c r="Y57" s="4"/>
    </row>
    <row r="58">
      <c r="A58" s="13" t="s">
        <v>161</v>
      </c>
      <c r="B58" s="6">
        <v>1150.0</v>
      </c>
      <c r="C58" s="7" t="b">
        <v>1</v>
      </c>
      <c r="D58" s="8" t="str">
        <f>IFERROR(__xludf.DUMMYFUNCTION("GOOGLETRANSLATE(A58,""ar"", ""en"")"),"80*80 cm Malaysian Versalite table top")</f>
        <v>80*80 cm Malaysian Versalite table top</v>
      </c>
      <c r="E58" s="35" t="s">
        <v>162</v>
      </c>
      <c r="F58" s="9" t="s">
        <v>27</v>
      </c>
      <c r="G58" s="9" t="s">
        <v>28</v>
      </c>
      <c r="H58" s="27" t="s">
        <v>98</v>
      </c>
      <c r="I58" s="8"/>
      <c r="J58" s="14">
        <v>114.17</v>
      </c>
      <c r="K58" s="11" t="s">
        <v>142</v>
      </c>
      <c r="L58" s="8"/>
      <c r="M58" s="15">
        <v>4.0</v>
      </c>
      <c r="N58" s="8"/>
      <c r="O58" s="8"/>
      <c r="P58" s="14">
        <v>28.54</v>
      </c>
      <c r="Q58" s="4"/>
      <c r="R58" s="4"/>
      <c r="S58" s="4"/>
      <c r="T58" s="4"/>
      <c r="U58" s="4"/>
      <c r="V58" s="4"/>
      <c r="W58" s="4"/>
      <c r="X58" s="4"/>
      <c r="Y58" s="4"/>
    </row>
    <row r="59">
      <c r="A59" s="17" t="s">
        <v>161</v>
      </c>
      <c r="B59" s="18">
        <v>1151.0</v>
      </c>
      <c r="C59" s="19" t="b">
        <v>1</v>
      </c>
      <c r="D59" s="20" t="str">
        <f>IFERROR(__xludf.DUMMYFUNCTION("GOOGLETRANSLATE(A59,""ar"", ""en"")"),"80*80 cm Malaysian Versalite table top")</f>
        <v>80*80 cm Malaysian Versalite table top</v>
      </c>
      <c r="E59" s="28" t="s">
        <v>163</v>
      </c>
      <c r="F59" s="9" t="s">
        <v>27</v>
      </c>
      <c r="G59" s="9" t="s">
        <v>28</v>
      </c>
      <c r="H59" s="27" t="s">
        <v>98</v>
      </c>
      <c r="I59" s="8"/>
      <c r="J59" s="10">
        <v>114.14</v>
      </c>
      <c r="K59" s="11" t="s">
        <v>142</v>
      </c>
      <c r="L59" s="8"/>
      <c r="M59" s="12">
        <v>4.0</v>
      </c>
      <c r="N59" s="8"/>
      <c r="O59" s="8"/>
      <c r="P59" s="10">
        <v>28.54</v>
      </c>
      <c r="Q59" s="4"/>
      <c r="R59" s="4"/>
      <c r="S59" s="4"/>
      <c r="T59" s="4"/>
      <c r="U59" s="4"/>
      <c r="V59" s="4"/>
      <c r="W59" s="4"/>
      <c r="X59" s="4"/>
      <c r="Y59" s="4"/>
    </row>
    <row r="60">
      <c r="A60" s="13" t="s">
        <v>161</v>
      </c>
      <c r="B60" s="6">
        <v>1152.0</v>
      </c>
      <c r="C60" s="7" t="b">
        <v>1</v>
      </c>
      <c r="D60" s="8" t="str">
        <f>IFERROR(__xludf.DUMMYFUNCTION("GOOGLETRANSLATE(A60,""ar"", ""en"")"),"80*80 cm Malaysian Versalite table top")</f>
        <v>80*80 cm Malaysian Versalite table top</v>
      </c>
      <c r="E60" s="35" t="s">
        <v>164</v>
      </c>
      <c r="F60" s="9" t="s">
        <v>27</v>
      </c>
      <c r="G60" s="9" t="s">
        <v>28</v>
      </c>
      <c r="H60" s="27" t="s">
        <v>98</v>
      </c>
      <c r="I60" s="8"/>
      <c r="J60" s="14">
        <v>1141.4</v>
      </c>
      <c r="K60" s="11" t="s">
        <v>142</v>
      </c>
      <c r="L60" s="8"/>
      <c r="M60" s="15">
        <v>40.0</v>
      </c>
      <c r="N60" s="8"/>
      <c r="O60" s="8"/>
      <c r="P60" s="14">
        <v>28.54</v>
      </c>
      <c r="Q60" s="4"/>
      <c r="R60" s="4"/>
      <c r="S60" s="4"/>
      <c r="T60" s="4"/>
      <c r="U60" s="4"/>
      <c r="V60" s="4"/>
      <c r="W60" s="4"/>
      <c r="X60" s="4"/>
      <c r="Y60" s="4"/>
    </row>
    <row r="61">
      <c r="A61" s="36" t="s">
        <v>161</v>
      </c>
      <c r="B61" s="37">
        <v>1153.0</v>
      </c>
      <c r="C61" s="38" t="b">
        <v>1</v>
      </c>
      <c r="D61" s="39" t="str">
        <f>IFERROR(__xludf.DUMMYFUNCTION("GOOGLETRANSLATE(A61,""ar"", ""en"")"),"80*80 cm Malaysian Versalite table top")</f>
        <v>80*80 cm Malaysian Versalite table top</v>
      </c>
      <c r="E61" s="40" t="s">
        <v>165</v>
      </c>
      <c r="F61" s="41" t="s">
        <v>27</v>
      </c>
      <c r="G61" s="41" t="s">
        <v>28</v>
      </c>
      <c r="H61" s="42" t="s">
        <v>98</v>
      </c>
      <c r="I61" s="39"/>
      <c r="J61" s="43">
        <v>998.73</v>
      </c>
      <c r="K61" s="44" t="s">
        <v>142</v>
      </c>
      <c r="L61" s="39"/>
      <c r="M61" s="45">
        <v>35.0</v>
      </c>
      <c r="N61" s="8"/>
      <c r="O61" s="8"/>
      <c r="P61" s="10">
        <v>28.54</v>
      </c>
      <c r="Q61" s="4"/>
      <c r="R61" s="4"/>
      <c r="S61" s="4"/>
      <c r="T61" s="4"/>
      <c r="U61" s="4"/>
      <c r="V61" s="4"/>
      <c r="W61" s="4"/>
      <c r="X61" s="4"/>
      <c r="Y61" s="4"/>
    </row>
    <row r="62">
      <c r="A62" s="13" t="s">
        <v>49</v>
      </c>
      <c r="B62" s="6">
        <v>1154.0</v>
      </c>
      <c r="C62" s="6" t="b">
        <v>0</v>
      </c>
      <c r="D62" s="8" t="str">
        <f>IFERROR(__xludf.DUMMYFUNCTION("GOOGLETRANSLATE(A62,""ar"", ""en"")"),"bar chair")</f>
        <v>bar chair</v>
      </c>
      <c r="E62" s="13" t="s">
        <v>166</v>
      </c>
      <c r="F62" s="9" t="s">
        <v>28</v>
      </c>
      <c r="G62" s="9"/>
      <c r="H62" s="16" t="s">
        <v>47</v>
      </c>
      <c r="I62" s="8"/>
      <c r="J62" s="14">
        <v>910.77</v>
      </c>
      <c r="K62" s="11" t="s">
        <v>51</v>
      </c>
      <c r="L62" s="8"/>
      <c r="M62" s="15">
        <v>37.0</v>
      </c>
      <c r="N62" s="8"/>
      <c r="O62" s="8"/>
      <c r="P62" s="14">
        <v>24.62</v>
      </c>
      <c r="Q62" s="4"/>
      <c r="R62" s="4"/>
      <c r="S62" s="4"/>
      <c r="T62" s="4"/>
      <c r="U62" s="4"/>
      <c r="V62" s="4"/>
      <c r="W62" s="4"/>
      <c r="X62" s="4"/>
      <c r="Y62" s="4"/>
    </row>
    <row r="63">
      <c r="A63" s="5" t="s">
        <v>167</v>
      </c>
      <c r="B63" s="6">
        <v>1166.0</v>
      </c>
      <c r="C63" s="6" t="b">
        <v>0</v>
      </c>
      <c r="D63" s="8" t="str">
        <f>IFERROR(__xludf.DUMMYFUNCTION("GOOGLETRANSLATE(A63,""ar"", ""en"")"),"Plastic table 80*80 cm")</f>
        <v>Plastic table 80*80 cm</v>
      </c>
      <c r="E63" s="5" t="s">
        <v>168</v>
      </c>
      <c r="F63" s="9" t="s">
        <v>28</v>
      </c>
      <c r="G63" s="9"/>
      <c r="H63" s="16" t="s">
        <v>43</v>
      </c>
      <c r="I63" s="8"/>
      <c r="J63" s="10">
        <v>39.68</v>
      </c>
      <c r="K63" s="11" t="s">
        <v>169</v>
      </c>
      <c r="L63" s="8"/>
      <c r="M63" s="12">
        <v>1.0</v>
      </c>
      <c r="N63" s="8"/>
      <c r="O63" s="8"/>
      <c r="P63" s="10">
        <v>39.68</v>
      </c>
      <c r="Q63" s="4"/>
      <c r="R63" s="4"/>
      <c r="S63" s="4"/>
      <c r="T63" s="4"/>
      <c r="U63" s="4"/>
      <c r="V63" s="4"/>
      <c r="W63" s="4"/>
      <c r="X63" s="4"/>
      <c r="Y63" s="4"/>
    </row>
    <row r="64">
      <c r="A64" s="36" t="s">
        <v>170</v>
      </c>
      <c r="B64" s="37">
        <v>1173.0</v>
      </c>
      <c r="C64" s="38" t="b">
        <v>1</v>
      </c>
      <c r="D64" s="39" t="str">
        <f>IFERROR(__xludf.DUMMYFUNCTION("GOOGLETRANSLATE(A64,""ar"", ""en"")"),"Plastic chair with wood without handle")</f>
        <v>Plastic chair with wood without handle</v>
      </c>
      <c r="E64" s="36" t="s">
        <v>171</v>
      </c>
      <c r="F64" s="41" t="s">
        <v>18</v>
      </c>
      <c r="G64" s="41"/>
      <c r="H64" s="46" t="s">
        <v>43</v>
      </c>
      <c r="I64" s="46" t="s">
        <v>172</v>
      </c>
      <c r="J64" s="43">
        <v>178.1</v>
      </c>
      <c r="K64" s="44" t="s">
        <v>173</v>
      </c>
      <c r="L64" s="39"/>
      <c r="M64" s="45">
        <v>16.0</v>
      </c>
      <c r="N64" s="8"/>
      <c r="O64" s="8"/>
      <c r="P64" s="14">
        <v>11.13</v>
      </c>
      <c r="Q64" s="4"/>
      <c r="R64" s="4"/>
      <c r="S64" s="4"/>
      <c r="T64" s="4"/>
      <c r="U64" s="4"/>
      <c r="V64" s="4"/>
      <c r="W64" s="4"/>
      <c r="X64" s="4"/>
      <c r="Y64" s="4"/>
    </row>
    <row r="65">
      <c r="A65" s="17" t="s">
        <v>174</v>
      </c>
      <c r="B65" s="18">
        <v>1182.0</v>
      </c>
      <c r="C65" s="19" t="b">
        <v>1</v>
      </c>
      <c r="D65" s="20" t="str">
        <f>IFERROR(__xludf.DUMMYFUNCTION("GOOGLETRANSLATE(A65,""ar"", ""en"")"),"plastic chair")</f>
        <v>plastic chair</v>
      </c>
      <c r="E65" s="28" t="s">
        <v>175</v>
      </c>
      <c r="F65" s="9" t="s">
        <v>27</v>
      </c>
      <c r="G65" s="9" t="s">
        <v>28</v>
      </c>
      <c r="H65" s="16" t="s">
        <v>43</v>
      </c>
      <c r="I65" s="8"/>
      <c r="J65" s="14">
        <v>648.54</v>
      </c>
      <c r="K65" s="11" t="s">
        <v>176</v>
      </c>
      <c r="L65" s="8"/>
      <c r="M65" s="15">
        <v>47.0</v>
      </c>
      <c r="N65" s="8"/>
      <c r="O65" s="8"/>
      <c r="P65" s="14">
        <v>13.8</v>
      </c>
      <c r="Q65" s="4"/>
      <c r="R65" s="4"/>
      <c r="S65" s="4"/>
      <c r="T65" s="4"/>
      <c r="U65" s="4"/>
      <c r="V65" s="4"/>
      <c r="W65" s="4"/>
      <c r="X65" s="4"/>
      <c r="Y65" s="4"/>
    </row>
    <row r="66">
      <c r="A66" s="5" t="s">
        <v>177</v>
      </c>
      <c r="B66" s="6">
        <v>1183.0</v>
      </c>
      <c r="C66" s="6" t="b">
        <v>0</v>
      </c>
      <c r="D66" s="8" t="str">
        <f>IFERROR(__xludf.DUMMYFUNCTION("GOOGLETRANSLATE(A66,""ar"", ""en"")"),"plastic chair drilled")</f>
        <v>plastic chair drilled</v>
      </c>
      <c r="E66" s="5" t="s">
        <v>178</v>
      </c>
      <c r="F66" s="9" t="s">
        <v>27</v>
      </c>
      <c r="G66" s="9" t="s">
        <v>28</v>
      </c>
      <c r="H66" s="16" t="s">
        <v>43</v>
      </c>
      <c r="I66" s="16" t="s">
        <v>179</v>
      </c>
      <c r="J66" s="10">
        <v>1101.97</v>
      </c>
      <c r="K66" s="11" t="s">
        <v>180</v>
      </c>
      <c r="L66" s="8"/>
      <c r="M66" s="12">
        <v>99.0</v>
      </c>
      <c r="N66" s="8"/>
      <c r="O66" s="8"/>
      <c r="P66" s="10">
        <v>11.13</v>
      </c>
      <c r="Q66" s="4"/>
      <c r="R66" s="4"/>
      <c r="S66" s="4"/>
      <c r="T66" s="4"/>
      <c r="U66" s="4"/>
      <c r="V66" s="4"/>
      <c r="W66" s="4"/>
      <c r="X66" s="4"/>
      <c r="Y66" s="4"/>
    </row>
    <row r="67">
      <c r="A67" s="17" t="s">
        <v>181</v>
      </c>
      <c r="B67" s="18">
        <v>1187.0</v>
      </c>
      <c r="C67" s="19" t="b">
        <v>1</v>
      </c>
      <c r="D67" s="20" t="str">
        <f>IFERROR(__xludf.DUMMYFUNCTION("GOOGLETRANSLATE(A67,""ar"", ""en"")"),"SINGLE CHAIR")</f>
        <v>SINGLE CHAIR</v>
      </c>
      <c r="E67" s="28" t="s">
        <v>182</v>
      </c>
      <c r="F67" s="9" t="s">
        <v>28</v>
      </c>
      <c r="G67" s="9" t="s">
        <v>28</v>
      </c>
      <c r="H67" s="8"/>
      <c r="I67" s="8"/>
      <c r="J67" s="10">
        <v>2130.13</v>
      </c>
      <c r="K67" s="11" t="s">
        <v>183</v>
      </c>
      <c r="L67" s="8"/>
      <c r="M67" s="12">
        <v>55.0</v>
      </c>
      <c r="N67" s="8"/>
      <c r="O67" s="8"/>
      <c r="P67" s="10">
        <v>38.73</v>
      </c>
      <c r="Q67" s="4"/>
      <c r="R67" s="4"/>
      <c r="S67" s="4"/>
      <c r="T67" s="4"/>
      <c r="U67" s="4"/>
      <c r="V67" s="4"/>
      <c r="W67" s="4"/>
      <c r="X67" s="4"/>
      <c r="Y67" s="4"/>
    </row>
    <row r="68">
      <c r="A68" s="13" t="s">
        <v>184</v>
      </c>
      <c r="B68" s="6">
        <v>1194.0</v>
      </c>
      <c r="C68" s="6" t="b">
        <v>0</v>
      </c>
      <c r="D68" s="8" t="str">
        <f>IFERROR(__xludf.DUMMYFUNCTION("GOOGLETRANSLATE(A68,""ar"", ""en"")"),"Black round capsule base 45 cm")</f>
        <v>Black round capsule base 45 cm</v>
      </c>
      <c r="E68" s="13" t="s">
        <v>185</v>
      </c>
      <c r="F68" s="9" t="s">
        <v>27</v>
      </c>
      <c r="G68" s="9" t="s">
        <v>18</v>
      </c>
      <c r="H68" s="16" t="s">
        <v>186</v>
      </c>
      <c r="I68" s="16" t="s">
        <v>187</v>
      </c>
      <c r="J68" s="31"/>
      <c r="K68" s="11" t="s">
        <v>188</v>
      </c>
      <c r="L68" s="8"/>
      <c r="M68" s="15">
        <v>20.0</v>
      </c>
      <c r="N68" s="8"/>
      <c r="O68" s="8"/>
      <c r="P68" s="31"/>
      <c r="Q68" s="4"/>
      <c r="R68" s="4"/>
      <c r="S68" s="4"/>
      <c r="T68" s="4"/>
      <c r="U68" s="4"/>
      <c r="V68" s="4"/>
      <c r="W68" s="4"/>
      <c r="X68" s="4"/>
      <c r="Y68" s="4"/>
    </row>
    <row r="69">
      <c r="A69" s="13" t="s">
        <v>189</v>
      </c>
      <c r="B69" s="6">
        <v>1196.0</v>
      </c>
      <c r="C69" s="6" t="b">
        <v>0</v>
      </c>
      <c r="D69" s="8" t="str">
        <f>IFERROR(__xludf.DUMMYFUNCTION("GOOGLETRANSLATE(A69,""ar"", ""en"")"),"45cm Black Square Capsule Base")</f>
        <v>45cm Black Square Capsule Base</v>
      </c>
      <c r="E69" s="13" t="s">
        <v>190</v>
      </c>
      <c r="F69" s="9" t="s">
        <v>27</v>
      </c>
      <c r="G69" s="9" t="s">
        <v>18</v>
      </c>
      <c r="H69" s="16" t="s">
        <v>186</v>
      </c>
      <c r="I69" s="8"/>
      <c r="J69" s="31"/>
      <c r="K69" s="11" t="s">
        <v>191</v>
      </c>
      <c r="L69" s="8"/>
      <c r="M69" s="15">
        <v>14.0</v>
      </c>
      <c r="N69" s="8"/>
      <c r="O69" s="8"/>
      <c r="P69" s="31"/>
      <c r="Q69" s="4"/>
      <c r="R69" s="4"/>
      <c r="S69" s="4"/>
      <c r="T69" s="4"/>
      <c r="U69" s="4"/>
      <c r="V69" s="4"/>
      <c r="W69" s="4"/>
      <c r="X69" s="4"/>
      <c r="Y69" s="4"/>
    </row>
    <row r="70">
      <c r="A70" s="13" t="s">
        <v>192</v>
      </c>
      <c r="B70" s="6">
        <v>1202.0</v>
      </c>
      <c r="C70" s="7" t="b">
        <v>1</v>
      </c>
      <c r="D70" s="8" t="str">
        <f>IFERROR(__xludf.DUMMYFUNCTION("GOOGLETRANSLATE(A70,""ar"", ""en"")"),"45cm Stainless Steel Square Pressing Base")</f>
        <v>45cm Stainless Steel Square Pressing Base</v>
      </c>
      <c r="E70" s="13" t="s">
        <v>193</v>
      </c>
      <c r="F70" s="9" t="s">
        <v>27</v>
      </c>
      <c r="G70" s="9" t="s">
        <v>18</v>
      </c>
      <c r="H70" s="16" t="s">
        <v>186</v>
      </c>
      <c r="I70" s="8"/>
      <c r="J70" s="31"/>
      <c r="K70" s="11" t="s">
        <v>194</v>
      </c>
      <c r="L70" s="8"/>
      <c r="M70" s="15">
        <v>58.0</v>
      </c>
      <c r="N70" s="8"/>
      <c r="O70" s="8"/>
      <c r="P70" s="31"/>
      <c r="Q70" s="4"/>
      <c r="R70" s="4"/>
      <c r="S70" s="4"/>
      <c r="T70" s="4"/>
      <c r="U70" s="4"/>
      <c r="V70" s="4"/>
      <c r="W70" s="4"/>
      <c r="X70" s="4"/>
      <c r="Y70" s="4"/>
    </row>
    <row r="71">
      <c r="A71" s="13" t="s">
        <v>195</v>
      </c>
      <c r="B71" s="6">
        <v>1206.0</v>
      </c>
      <c r="C71" s="7" t="b">
        <v>1</v>
      </c>
      <c r="D71" s="8" t="str">
        <f>IFERROR(__xludf.DUMMYFUNCTION("GOOGLETRANSLATE(A71,""ar"", ""en"")"),"Rectangle base 40*70")</f>
        <v>Rectangle base 40*70</v>
      </c>
      <c r="E71" s="13" t="s">
        <v>196</v>
      </c>
      <c r="F71" s="9" t="s">
        <v>27</v>
      </c>
      <c r="G71" s="9" t="s">
        <v>18</v>
      </c>
      <c r="H71" s="16" t="s">
        <v>186</v>
      </c>
      <c r="I71" s="8"/>
      <c r="J71" s="31"/>
      <c r="K71" s="11" t="s">
        <v>197</v>
      </c>
      <c r="L71" s="8"/>
      <c r="M71" s="15">
        <v>40.0</v>
      </c>
      <c r="N71" s="8"/>
      <c r="O71" s="8"/>
      <c r="P71" s="31"/>
      <c r="Q71" s="4"/>
      <c r="R71" s="4"/>
      <c r="S71" s="4"/>
      <c r="T71" s="4"/>
      <c r="U71" s="4"/>
      <c r="V71" s="4"/>
      <c r="W71" s="4"/>
      <c r="X71" s="4"/>
      <c r="Y71" s="4"/>
    </row>
    <row r="72">
      <c r="A72" s="13" t="s">
        <v>198</v>
      </c>
      <c r="B72" s="6">
        <v>1210.0</v>
      </c>
      <c r="C72" s="7" t="b">
        <v>1</v>
      </c>
      <c r="D72" s="8" t="str">
        <f>IFERROR(__xludf.DUMMYFUNCTION("GOOGLETRANSLATE(A72,""ar"", ""en"")"),"Rectangle base 45*90")</f>
        <v>Rectangle base 45*90</v>
      </c>
      <c r="E72" s="13" t="s">
        <v>199</v>
      </c>
      <c r="F72" s="9" t="s">
        <v>27</v>
      </c>
      <c r="G72" s="9" t="s">
        <v>18</v>
      </c>
      <c r="H72" s="16" t="s">
        <v>186</v>
      </c>
      <c r="I72" s="8"/>
      <c r="J72" s="31"/>
      <c r="K72" s="11" t="s">
        <v>200</v>
      </c>
      <c r="L72" s="8"/>
      <c r="M72" s="15">
        <v>20.0</v>
      </c>
      <c r="N72" s="8"/>
      <c r="O72" s="8"/>
      <c r="P72" s="31"/>
      <c r="Q72" s="4"/>
      <c r="R72" s="4"/>
      <c r="S72" s="4"/>
      <c r="T72" s="4"/>
      <c r="U72" s="4"/>
      <c r="V72" s="4"/>
      <c r="W72" s="4"/>
      <c r="X72" s="4"/>
      <c r="Y72" s="4"/>
    </row>
    <row r="73">
      <c r="A73" s="5" t="s">
        <v>201</v>
      </c>
      <c r="B73" s="6">
        <v>1227.0</v>
      </c>
      <c r="C73" s="6" t="b">
        <v>0</v>
      </c>
      <c r="D73" s="8" t="str">
        <f>IFERROR(__xludf.DUMMYFUNCTION("GOOGLETRANSLATE(A73,""ar"", ""en"")"),"Two-seat iron swing")</f>
        <v>Two-seat iron swing</v>
      </c>
      <c r="E73" s="5" t="s">
        <v>202</v>
      </c>
      <c r="F73" s="9" t="s">
        <v>28</v>
      </c>
      <c r="G73" s="9"/>
      <c r="H73" s="8"/>
      <c r="I73" s="8"/>
      <c r="J73" s="10">
        <v>974.68</v>
      </c>
      <c r="K73" s="11" t="s">
        <v>203</v>
      </c>
      <c r="L73" s="8"/>
      <c r="M73" s="12">
        <v>14.0</v>
      </c>
      <c r="N73" s="8"/>
      <c r="O73" s="8"/>
      <c r="P73" s="10">
        <v>69.62</v>
      </c>
      <c r="Q73" s="4"/>
      <c r="R73" s="4"/>
      <c r="S73" s="4"/>
      <c r="T73" s="4"/>
      <c r="U73" s="4"/>
      <c r="V73" s="4"/>
      <c r="W73" s="4"/>
      <c r="X73" s="4"/>
      <c r="Y73" s="4"/>
    </row>
    <row r="74">
      <c r="A74" s="5" t="s">
        <v>204</v>
      </c>
      <c r="B74" s="6">
        <v>1229.0</v>
      </c>
      <c r="C74" s="6" t="b">
        <v>0</v>
      </c>
      <c r="D74" s="8" t="str">
        <f>IFERROR(__xludf.DUMMYFUNCTION("GOOGLETRANSLATE(A74,""ar"", ""en"")"),"Two-seat wooden swing")</f>
        <v>Two-seat wooden swing</v>
      </c>
      <c r="E74" s="5" t="s">
        <v>205</v>
      </c>
      <c r="F74" s="9" t="s">
        <v>28</v>
      </c>
      <c r="G74" s="9"/>
      <c r="H74" s="8"/>
      <c r="I74" s="8"/>
      <c r="J74" s="10">
        <v>8312.67</v>
      </c>
      <c r="K74" s="11" t="s">
        <v>206</v>
      </c>
      <c r="L74" s="8"/>
      <c r="M74" s="12">
        <v>53.0</v>
      </c>
      <c r="N74" s="8"/>
      <c r="O74" s="8"/>
      <c r="P74" s="10">
        <v>156.84</v>
      </c>
      <c r="Q74" s="4"/>
      <c r="R74" s="4"/>
      <c r="S74" s="4"/>
      <c r="T74" s="4"/>
      <c r="U74" s="4"/>
      <c r="V74" s="4"/>
      <c r="W74" s="4"/>
      <c r="X74" s="4"/>
      <c r="Y74" s="4"/>
    </row>
    <row r="75">
      <c r="A75" s="13" t="s">
        <v>207</v>
      </c>
      <c r="B75" s="6">
        <v>1234.0</v>
      </c>
      <c r="C75" s="6" t="b">
        <v>0</v>
      </c>
      <c r="D75" s="8" t="str">
        <f>IFERROR(__xludf.DUMMYFUNCTION("GOOGLETRANSLATE(A75,""ar"", ""en"")"),"SAVANNAH PARK BENCH")</f>
        <v>SAVANNAH PARK BENCH</v>
      </c>
      <c r="E75" s="13" t="s">
        <v>208</v>
      </c>
      <c r="F75" s="9" t="s">
        <v>28</v>
      </c>
      <c r="G75" s="9"/>
      <c r="H75" s="8"/>
      <c r="I75" s="8"/>
      <c r="J75" s="14">
        <v>410.02</v>
      </c>
      <c r="K75" s="11" t="s">
        <v>209</v>
      </c>
      <c r="L75" s="8"/>
      <c r="M75" s="15">
        <v>11.0</v>
      </c>
      <c r="N75" s="8"/>
      <c r="O75" s="8"/>
      <c r="P75" s="14">
        <v>37.27</v>
      </c>
      <c r="Q75" s="4"/>
      <c r="R75" s="4"/>
      <c r="S75" s="4"/>
      <c r="T75" s="4"/>
      <c r="U75" s="4"/>
      <c r="V75" s="4"/>
      <c r="W75" s="4"/>
      <c r="X75" s="4"/>
      <c r="Y75" s="4"/>
    </row>
    <row r="76">
      <c r="A76" s="13" t="s">
        <v>210</v>
      </c>
      <c r="B76" s="6">
        <v>1256.0</v>
      </c>
      <c r="C76" s="6" t="b">
        <v>0</v>
      </c>
      <c r="D76" s="8" t="str">
        <f>IFERROR(__xludf.DUMMYFUNCTION("GOOGLETRANSLATE(A76,""ar"", ""en"")"),"Iron table 80*80")</f>
        <v>Iron table 80*80</v>
      </c>
      <c r="E76" s="13" t="s">
        <v>211</v>
      </c>
      <c r="F76" s="9" t="s">
        <v>18</v>
      </c>
      <c r="G76" s="9"/>
      <c r="H76" s="8"/>
      <c r="I76" s="8"/>
      <c r="J76" s="14">
        <v>1051.65</v>
      </c>
      <c r="K76" s="11" t="s">
        <v>212</v>
      </c>
      <c r="L76" s="8"/>
      <c r="M76" s="15">
        <v>29.0</v>
      </c>
      <c r="N76" s="8"/>
      <c r="O76" s="8"/>
      <c r="P76" s="14">
        <v>36.26</v>
      </c>
      <c r="Q76" s="4"/>
      <c r="R76" s="4"/>
      <c r="S76" s="4"/>
      <c r="T76" s="4"/>
      <c r="U76" s="4"/>
      <c r="V76" s="4"/>
      <c r="W76" s="4"/>
      <c r="X76" s="4"/>
      <c r="Y76" s="4"/>
    </row>
    <row r="77">
      <c r="A77" s="13" t="s">
        <v>213</v>
      </c>
      <c r="B77" s="6">
        <v>1259.0</v>
      </c>
      <c r="C77" s="6" t="b">
        <v>0</v>
      </c>
      <c r="D77" s="8" t="str">
        <f>IFERROR(__xludf.DUMMYFUNCTION("GOOGLETRANSLATE(A77,""ar"", ""en"")"),"Wooden table top 70*70 cm")</f>
        <v>Wooden table top 70*70 cm</v>
      </c>
      <c r="E77" s="13" t="s">
        <v>214</v>
      </c>
      <c r="F77" s="9" t="s">
        <v>27</v>
      </c>
      <c r="G77" s="9" t="s">
        <v>18</v>
      </c>
      <c r="H77" s="27" t="s">
        <v>98</v>
      </c>
      <c r="I77" s="8"/>
      <c r="J77" s="14">
        <v>869.65</v>
      </c>
      <c r="K77" s="11" t="s">
        <v>215</v>
      </c>
      <c r="L77" s="8"/>
      <c r="M77" s="15">
        <v>99.0</v>
      </c>
      <c r="N77" s="8"/>
      <c r="O77" s="8"/>
      <c r="P77" s="14">
        <v>8.78</v>
      </c>
      <c r="Q77" s="4"/>
      <c r="R77" s="4"/>
      <c r="S77" s="4"/>
      <c r="T77" s="4"/>
      <c r="U77" s="4"/>
      <c r="V77" s="4"/>
      <c r="W77" s="4"/>
      <c r="X77" s="4"/>
      <c r="Y77" s="4"/>
    </row>
    <row r="78">
      <c r="A78" s="5" t="s">
        <v>216</v>
      </c>
      <c r="B78" s="6">
        <v>1260.0</v>
      </c>
      <c r="C78" s="6" t="b">
        <v>0</v>
      </c>
      <c r="D78" s="8" t="str">
        <f>IFERROR(__xludf.DUMMYFUNCTION("GOOGLETRANSLATE(A78,""ar"", ""en"")"),"Wooden table top 80*80 cm")</f>
        <v>Wooden table top 80*80 cm</v>
      </c>
      <c r="E78" s="5" t="s">
        <v>217</v>
      </c>
      <c r="F78" s="9" t="s">
        <v>27</v>
      </c>
      <c r="G78" s="9" t="s">
        <v>18</v>
      </c>
      <c r="H78" s="27" t="s">
        <v>98</v>
      </c>
      <c r="I78" s="8"/>
      <c r="J78" s="10">
        <v>614.91</v>
      </c>
      <c r="K78" s="11" t="s">
        <v>218</v>
      </c>
      <c r="L78" s="8"/>
      <c r="M78" s="12">
        <v>58.0</v>
      </c>
      <c r="N78" s="8"/>
      <c r="O78" s="8"/>
      <c r="P78" s="10">
        <v>10.6</v>
      </c>
      <c r="Q78" s="4"/>
      <c r="R78" s="4"/>
      <c r="S78" s="4"/>
      <c r="T78" s="4"/>
      <c r="U78" s="4"/>
      <c r="V78" s="4"/>
      <c r="W78" s="4"/>
      <c r="X78" s="4"/>
      <c r="Y78" s="4"/>
    </row>
    <row r="79">
      <c r="A79" s="13" t="s">
        <v>219</v>
      </c>
      <c r="B79" s="6">
        <v>1261.0</v>
      </c>
      <c r="C79" s="6" t="b">
        <v>0</v>
      </c>
      <c r="D79" s="8" t="str">
        <f>IFERROR(__xludf.DUMMYFUNCTION("GOOGLETRANSLATE(A79,""ar"", ""en"")"),"Wooden table top 120*80 cm")</f>
        <v>Wooden table top 120*80 cm</v>
      </c>
      <c r="E79" s="13" t="s">
        <v>220</v>
      </c>
      <c r="F79" s="9" t="s">
        <v>27</v>
      </c>
      <c r="G79" s="9" t="s">
        <v>18</v>
      </c>
      <c r="H79" s="27" t="s">
        <v>98</v>
      </c>
      <c r="I79" s="8"/>
      <c r="J79" s="14">
        <v>1090.48</v>
      </c>
      <c r="K79" s="11" t="s">
        <v>221</v>
      </c>
      <c r="L79" s="8"/>
      <c r="M79" s="15">
        <v>60.0</v>
      </c>
      <c r="N79" s="8"/>
      <c r="O79" s="8"/>
      <c r="P79" s="14">
        <v>18.17</v>
      </c>
      <c r="Q79" s="4"/>
      <c r="R79" s="4"/>
      <c r="S79" s="4"/>
      <c r="T79" s="4"/>
      <c r="U79" s="4"/>
      <c r="V79" s="4"/>
      <c r="W79" s="4"/>
      <c r="X79" s="4"/>
      <c r="Y79" s="4"/>
    </row>
    <row r="80">
      <c r="A80" s="36" t="s">
        <v>222</v>
      </c>
      <c r="B80" s="47">
        <v>1262.0</v>
      </c>
      <c r="C80" s="38" t="b">
        <v>1</v>
      </c>
      <c r="D80" s="39" t="str">
        <f>IFERROR(__xludf.DUMMYFUNCTION("GOOGLETRANSLATE(A80,""ar"", ""en"")"),"60cm round table top")</f>
        <v>60cm round table top</v>
      </c>
      <c r="E80" s="36" t="s">
        <v>223</v>
      </c>
      <c r="F80" s="41" t="s">
        <v>27</v>
      </c>
      <c r="G80" s="41" t="s">
        <v>28</v>
      </c>
      <c r="H80" s="42" t="s">
        <v>98</v>
      </c>
      <c r="I80" s="46" t="s">
        <v>224</v>
      </c>
      <c r="J80" s="43">
        <v>748.2</v>
      </c>
      <c r="K80" s="44" t="s">
        <v>225</v>
      </c>
      <c r="L80" s="39"/>
      <c r="M80" s="45">
        <v>74.0</v>
      </c>
      <c r="N80" s="8"/>
      <c r="O80" s="8"/>
      <c r="P80" s="10">
        <v>10.11</v>
      </c>
      <c r="Q80" s="4"/>
      <c r="R80" s="4"/>
      <c r="S80" s="4"/>
      <c r="T80" s="4"/>
      <c r="U80" s="4"/>
      <c r="V80" s="4"/>
      <c r="W80" s="4"/>
      <c r="X80" s="4"/>
      <c r="Y80" s="4"/>
    </row>
    <row r="81">
      <c r="A81" s="36" t="s">
        <v>226</v>
      </c>
      <c r="B81" s="47">
        <v>1263.0</v>
      </c>
      <c r="C81" s="38" t="b">
        <v>1</v>
      </c>
      <c r="D81" s="39" t="str">
        <f>IFERROR(__xludf.DUMMYFUNCTION("GOOGLETRANSLATE(A81,""ar"", ""en"")"),"60*60 square table top")</f>
        <v>60*60 square table top</v>
      </c>
      <c r="E81" s="48" t="s">
        <v>227</v>
      </c>
      <c r="F81" s="41" t="s">
        <v>27</v>
      </c>
      <c r="G81" s="41" t="s">
        <v>28</v>
      </c>
      <c r="H81" s="42" t="s">
        <v>98</v>
      </c>
      <c r="I81" s="46" t="s">
        <v>228</v>
      </c>
      <c r="J81" s="43">
        <v>1606.44</v>
      </c>
      <c r="K81" s="44" t="s">
        <v>229</v>
      </c>
      <c r="L81" s="39"/>
      <c r="M81" s="45">
        <v>152.0</v>
      </c>
      <c r="N81" s="8"/>
      <c r="O81" s="8"/>
      <c r="P81" s="14">
        <v>10.57</v>
      </c>
      <c r="Q81" s="4"/>
      <c r="R81" s="4"/>
      <c r="S81" s="4"/>
      <c r="T81" s="4"/>
      <c r="U81" s="4"/>
      <c r="V81" s="4"/>
      <c r="W81" s="4"/>
      <c r="X81" s="4"/>
      <c r="Y81" s="4"/>
    </row>
    <row r="82">
      <c r="A82" s="36" t="s">
        <v>230</v>
      </c>
      <c r="B82" s="47">
        <v>1264.0</v>
      </c>
      <c r="C82" s="38" t="b">
        <v>1</v>
      </c>
      <c r="D82" s="39" t="str">
        <f>IFERROR(__xludf.DUMMYFUNCTION("GOOGLETRANSLATE(A82,""ar"", ""en"")"),"70cm round table top")</f>
        <v>70cm round table top</v>
      </c>
      <c r="E82" s="36" t="s">
        <v>231</v>
      </c>
      <c r="F82" s="41" t="s">
        <v>27</v>
      </c>
      <c r="G82" s="41" t="s">
        <v>28</v>
      </c>
      <c r="H82" s="42" t="s">
        <v>98</v>
      </c>
      <c r="I82" s="39"/>
      <c r="J82" s="43">
        <v>460.34</v>
      </c>
      <c r="K82" s="44" t="s">
        <v>232</v>
      </c>
      <c r="L82" s="39"/>
      <c r="M82" s="45">
        <v>36.0</v>
      </c>
      <c r="N82" s="8"/>
      <c r="O82" s="8"/>
      <c r="P82" s="10">
        <v>12.79</v>
      </c>
      <c r="Q82" s="4"/>
      <c r="R82" s="4"/>
      <c r="S82" s="4"/>
      <c r="T82" s="4"/>
      <c r="U82" s="4"/>
      <c r="V82" s="4"/>
      <c r="W82" s="4"/>
      <c r="X82" s="4"/>
      <c r="Y82" s="4"/>
    </row>
    <row r="83">
      <c r="A83" s="36" t="s">
        <v>233</v>
      </c>
      <c r="B83" s="47">
        <v>1265.0</v>
      </c>
      <c r="C83" s="38" t="b">
        <v>1</v>
      </c>
      <c r="D83" s="39" t="str">
        <f>IFERROR(__xludf.DUMMYFUNCTION("GOOGLETRANSLATE(A83,""ar"", ""en"")"),"80cm round table top")</f>
        <v>80cm round table top</v>
      </c>
      <c r="E83" s="36" t="s">
        <v>234</v>
      </c>
      <c r="F83" s="41" t="s">
        <v>27</v>
      </c>
      <c r="G83" s="41" t="s">
        <v>28</v>
      </c>
      <c r="H83" s="42" t="s">
        <v>98</v>
      </c>
      <c r="I83" s="39"/>
      <c r="J83" s="43">
        <v>989.67</v>
      </c>
      <c r="K83" s="44" t="s">
        <v>235</v>
      </c>
      <c r="L83" s="39"/>
      <c r="M83" s="45">
        <v>64.0</v>
      </c>
      <c r="N83" s="8"/>
      <c r="O83" s="8"/>
      <c r="P83" s="14">
        <v>15.46</v>
      </c>
      <c r="Q83" s="4"/>
      <c r="R83" s="4"/>
      <c r="S83" s="4"/>
      <c r="T83" s="4"/>
      <c r="U83" s="4"/>
      <c r="V83" s="4"/>
      <c r="W83" s="4"/>
      <c r="X83" s="4"/>
      <c r="Y83" s="4"/>
    </row>
    <row r="84">
      <c r="A84" s="36" t="s">
        <v>236</v>
      </c>
      <c r="B84" s="47">
        <v>1266.0</v>
      </c>
      <c r="C84" s="38" t="b">
        <v>1</v>
      </c>
      <c r="D84" s="39" t="str">
        <f>IFERROR(__xludf.DUMMYFUNCTION("GOOGLETRANSLATE(A84,""ar"", ""en"")"),"80*80 square table top")</f>
        <v>80*80 square table top</v>
      </c>
      <c r="E84" s="48" t="s">
        <v>237</v>
      </c>
      <c r="F84" s="41" t="s">
        <v>27</v>
      </c>
      <c r="G84" s="41" t="s">
        <v>28</v>
      </c>
      <c r="H84" s="42" t="s">
        <v>98</v>
      </c>
      <c r="I84" s="39"/>
      <c r="J84" s="43">
        <v>612.36</v>
      </c>
      <c r="K84" s="44" t="s">
        <v>238</v>
      </c>
      <c r="L84" s="39"/>
      <c r="M84" s="45">
        <v>44.0</v>
      </c>
      <c r="N84" s="8"/>
      <c r="O84" s="8"/>
      <c r="P84" s="10">
        <v>13.92</v>
      </c>
      <c r="Q84" s="4"/>
      <c r="R84" s="4"/>
      <c r="S84" s="4"/>
      <c r="T84" s="4"/>
      <c r="U84" s="4"/>
      <c r="V84" s="4"/>
      <c r="W84" s="4"/>
      <c r="X84" s="4"/>
      <c r="Y84" s="4"/>
    </row>
    <row r="85">
      <c r="A85" s="36" t="s">
        <v>239</v>
      </c>
      <c r="B85" s="47">
        <v>1267.0</v>
      </c>
      <c r="C85" s="38" t="b">
        <v>1</v>
      </c>
      <c r="D85" s="39" t="str">
        <f>IFERROR(__xludf.DUMMYFUNCTION("GOOGLETRANSLATE(A85,""ar"", ""en"")"),"70*120 rectangular table top")</f>
        <v>70*120 rectangular table top</v>
      </c>
      <c r="E85" s="48" t="s">
        <v>240</v>
      </c>
      <c r="F85" s="41" t="s">
        <v>27</v>
      </c>
      <c r="G85" s="41" t="s">
        <v>28</v>
      </c>
      <c r="H85" s="42" t="s">
        <v>98</v>
      </c>
      <c r="I85" s="46" t="s">
        <v>241</v>
      </c>
      <c r="J85" s="43">
        <v>1953.88</v>
      </c>
      <c r="K85" s="44" t="s">
        <v>242</v>
      </c>
      <c r="L85" s="39"/>
      <c r="M85" s="45">
        <v>86.0</v>
      </c>
      <c r="N85" s="39"/>
      <c r="O85" s="8"/>
      <c r="P85" s="14">
        <v>22.72</v>
      </c>
      <c r="Q85" s="4"/>
      <c r="R85" s="4"/>
      <c r="S85" s="4"/>
      <c r="T85" s="4"/>
      <c r="U85" s="4"/>
      <c r="V85" s="4"/>
      <c r="W85" s="4"/>
      <c r="X85" s="4"/>
      <c r="Y85" s="4"/>
    </row>
    <row r="86">
      <c r="A86" s="36" t="s">
        <v>243</v>
      </c>
      <c r="B86" s="47">
        <v>1268.0</v>
      </c>
      <c r="C86" s="38" t="b">
        <v>1</v>
      </c>
      <c r="D86" s="39" t="str">
        <f>IFERROR(__xludf.DUMMYFUNCTION("GOOGLETRANSLATE(A86,""ar"", ""en"")"),"80*130 rectangular table top")</f>
        <v>80*130 rectangular table top</v>
      </c>
      <c r="E86" s="48" t="s">
        <v>244</v>
      </c>
      <c r="F86" s="41" t="s">
        <v>27</v>
      </c>
      <c r="G86" s="41" t="s">
        <v>28</v>
      </c>
      <c r="H86" s="46" t="s">
        <v>98</v>
      </c>
      <c r="I86" s="39"/>
      <c r="J86" s="43">
        <v>955.47</v>
      </c>
      <c r="K86" s="44" t="s">
        <v>245</v>
      </c>
      <c r="L86" s="39"/>
      <c r="M86" s="45">
        <v>45.0</v>
      </c>
      <c r="N86" s="8"/>
      <c r="O86" s="8"/>
      <c r="P86" s="10">
        <v>21.23</v>
      </c>
      <c r="Q86" s="4"/>
      <c r="R86" s="4"/>
      <c r="S86" s="4"/>
      <c r="T86" s="4"/>
      <c r="U86" s="4"/>
      <c r="V86" s="4"/>
      <c r="W86" s="4"/>
      <c r="X86" s="4"/>
      <c r="Y86" s="4"/>
    </row>
    <row r="87">
      <c r="A87" s="5" t="s">
        <v>246</v>
      </c>
      <c r="B87" s="6">
        <v>1293.0</v>
      </c>
      <c r="C87" s="6" t="b">
        <v>0</v>
      </c>
      <c r="D87" s="8" t="str">
        <f>IFERROR(__xludf.DUMMYFUNCTION("GOOGLETRANSLATE(A87,""ar"", ""en"")"),"square gray iron base")</f>
        <v>square gray iron base</v>
      </c>
      <c r="E87" s="5" t="s">
        <v>247</v>
      </c>
      <c r="F87" s="9" t="s">
        <v>27</v>
      </c>
      <c r="G87" s="9" t="s">
        <v>18</v>
      </c>
      <c r="H87" s="16" t="s">
        <v>186</v>
      </c>
      <c r="I87" s="8"/>
      <c r="J87" s="10">
        <v>716.15</v>
      </c>
      <c r="K87" s="11" t="s">
        <v>248</v>
      </c>
      <c r="L87" s="8"/>
      <c r="M87" s="12">
        <v>43.0</v>
      </c>
      <c r="N87" s="8"/>
      <c r="O87" s="8"/>
      <c r="P87" s="10">
        <v>16.65</v>
      </c>
      <c r="Q87" s="4"/>
      <c r="R87" s="4"/>
      <c r="S87" s="4"/>
      <c r="T87" s="4"/>
      <c r="U87" s="4"/>
      <c r="V87" s="4"/>
      <c r="W87" s="4"/>
      <c r="X87" s="4"/>
      <c r="Y87" s="4"/>
    </row>
    <row r="88">
      <c r="A88" s="13" t="s">
        <v>249</v>
      </c>
      <c r="B88" s="6">
        <v>1294.0</v>
      </c>
      <c r="C88" s="6" t="b">
        <v>0</v>
      </c>
      <c r="D88" s="8" t="str">
        <f>IFERROR(__xludf.DUMMYFUNCTION("GOOGLETRANSLATE(A88,""ar"", ""en"")"),"Table base stainless steel")</f>
        <v>Table base stainless steel</v>
      </c>
      <c r="E88" s="13" t="s">
        <v>250</v>
      </c>
      <c r="F88" s="9" t="s">
        <v>27</v>
      </c>
      <c r="G88" s="9" t="s">
        <v>18</v>
      </c>
      <c r="H88" s="16" t="s">
        <v>186</v>
      </c>
      <c r="I88" s="8"/>
      <c r="J88" s="14">
        <v>27.25</v>
      </c>
      <c r="K88" s="11" t="s">
        <v>251</v>
      </c>
      <c r="L88" s="8"/>
      <c r="M88" s="15">
        <v>1.0</v>
      </c>
      <c r="N88" s="8"/>
      <c r="O88" s="8"/>
      <c r="P88" s="14">
        <v>27.25</v>
      </c>
      <c r="Q88" s="4"/>
      <c r="R88" s="4"/>
      <c r="S88" s="4"/>
      <c r="T88" s="4"/>
      <c r="U88" s="4"/>
      <c r="V88" s="4"/>
      <c r="W88" s="4"/>
      <c r="X88" s="4"/>
      <c r="Y88" s="4"/>
    </row>
    <row r="89">
      <c r="A89" s="5" t="s">
        <v>252</v>
      </c>
      <c r="B89" s="6">
        <v>1295.0</v>
      </c>
      <c r="C89" s="6" t="b">
        <v>0</v>
      </c>
      <c r="D89" s="8" t="str">
        <f>IFERROR(__xludf.DUMMYFUNCTION("GOOGLETRANSLATE(A89,""ar"", ""en"")"),"iron base")</f>
        <v>iron base</v>
      </c>
      <c r="E89" s="5" t="s">
        <v>253</v>
      </c>
      <c r="F89" s="9" t="s">
        <v>27</v>
      </c>
      <c r="G89" s="9" t="s">
        <v>18</v>
      </c>
      <c r="H89" s="16" t="s">
        <v>186</v>
      </c>
      <c r="I89" s="8"/>
      <c r="J89" s="10">
        <v>258.9</v>
      </c>
      <c r="K89" s="11" t="s">
        <v>254</v>
      </c>
      <c r="L89" s="8"/>
      <c r="M89" s="12">
        <v>9.0</v>
      </c>
      <c r="N89" s="8"/>
      <c r="O89" s="8"/>
      <c r="P89" s="10">
        <v>28.77</v>
      </c>
      <c r="Q89" s="4"/>
      <c r="R89" s="4"/>
      <c r="S89" s="4"/>
      <c r="T89" s="4"/>
      <c r="U89" s="4"/>
      <c r="V89" s="4"/>
      <c r="W89" s="4"/>
      <c r="X89" s="4"/>
      <c r="Y89" s="4"/>
    </row>
    <row r="90">
      <c r="A90" s="5" t="s">
        <v>255</v>
      </c>
      <c r="B90" s="6">
        <v>1297.0</v>
      </c>
      <c r="C90" s="6" t="b">
        <v>0</v>
      </c>
      <c r="D90" s="8" t="str">
        <f>IFERROR(__xludf.DUMMYFUNCTION("GOOGLETRANSLATE(A90,""ar"", ""en"")"),"FIX CAST IRON BASE STNLS")</f>
        <v>FIX CAST IRON BASE STNLS</v>
      </c>
      <c r="E90" s="5" t="s">
        <v>256</v>
      </c>
      <c r="F90" s="9" t="s">
        <v>27</v>
      </c>
      <c r="G90" s="9" t="s">
        <v>28</v>
      </c>
      <c r="H90" s="16" t="s">
        <v>186</v>
      </c>
      <c r="I90" s="8"/>
      <c r="J90" s="10">
        <v>85.44</v>
      </c>
      <c r="K90" s="11" t="s">
        <v>257</v>
      </c>
      <c r="L90" s="8"/>
      <c r="M90" s="12">
        <v>5.0</v>
      </c>
      <c r="N90" s="8"/>
      <c r="O90" s="8"/>
      <c r="P90" s="10">
        <v>17.09</v>
      </c>
      <c r="Q90" s="4"/>
      <c r="R90" s="4"/>
      <c r="S90" s="4"/>
      <c r="T90" s="4"/>
      <c r="U90" s="4"/>
      <c r="V90" s="4"/>
      <c r="W90" s="4"/>
      <c r="X90" s="4"/>
      <c r="Y90" s="4"/>
    </row>
    <row r="91">
      <c r="A91" s="13" t="s">
        <v>258</v>
      </c>
      <c r="B91" s="6">
        <v>1300.0</v>
      </c>
      <c r="C91" s="6" t="b">
        <v>0</v>
      </c>
      <c r="D91" s="8" t="str">
        <f>IFERROR(__xludf.DUMMYFUNCTION("GOOGLETRANSLATE(A91,""ar"", ""en"")"),"Table base double/stencil")</f>
        <v>Table base double/stencil</v>
      </c>
      <c r="E91" s="13" t="s">
        <v>259</v>
      </c>
      <c r="F91" s="9" t="s">
        <v>27</v>
      </c>
      <c r="G91" s="9" t="s">
        <v>28</v>
      </c>
      <c r="H91" s="16" t="s">
        <v>186</v>
      </c>
      <c r="I91" s="8"/>
      <c r="J91" s="14">
        <v>1236.98</v>
      </c>
      <c r="K91" s="11" t="s">
        <v>260</v>
      </c>
      <c r="L91" s="8"/>
      <c r="M91" s="15">
        <v>43.0</v>
      </c>
      <c r="N91" s="8"/>
      <c r="O91" s="8"/>
      <c r="P91" s="14">
        <v>28.77</v>
      </c>
      <c r="Q91" s="4"/>
      <c r="R91" s="4"/>
      <c r="S91" s="4"/>
      <c r="T91" s="4"/>
      <c r="U91" s="4"/>
      <c r="V91" s="4"/>
      <c r="W91" s="4"/>
      <c r="X91" s="4"/>
      <c r="Y91" s="4"/>
    </row>
    <row r="92">
      <c r="A92" s="13" t="s">
        <v>261</v>
      </c>
      <c r="B92" s="6">
        <v>1306.0</v>
      </c>
      <c r="C92" s="6" t="b">
        <v>0</v>
      </c>
      <c r="D92" s="8" t="str">
        <f>IFERROR(__xludf.DUMMYFUNCTION("GOOGLETRANSLATE(A92,""ar"", ""en"")"),"TABLE BASE DOUBLE ALUM")</f>
        <v>TABLE BASE DOUBLE ALUM</v>
      </c>
      <c r="E92" s="13" t="s">
        <v>262</v>
      </c>
      <c r="F92" s="9" t="s">
        <v>27</v>
      </c>
      <c r="G92" s="9" t="s">
        <v>28</v>
      </c>
      <c r="H92" s="16" t="s">
        <v>186</v>
      </c>
      <c r="I92" s="8"/>
      <c r="J92" s="14">
        <v>1798.69</v>
      </c>
      <c r="K92" s="11" t="s">
        <v>263</v>
      </c>
      <c r="L92" s="8"/>
      <c r="M92" s="15">
        <v>66.0</v>
      </c>
      <c r="N92" s="8"/>
      <c r="O92" s="8"/>
      <c r="P92" s="14">
        <v>27.25</v>
      </c>
      <c r="Q92" s="4"/>
      <c r="R92" s="4"/>
      <c r="S92" s="4"/>
      <c r="T92" s="4"/>
      <c r="U92" s="4"/>
      <c r="V92" s="4"/>
      <c r="W92" s="4"/>
      <c r="X92" s="4"/>
      <c r="Y92" s="4"/>
    </row>
    <row r="93">
      <c r="A93" s="13" t="s">
        <v>264</v>
      </c>
      <c r="B93" s="6">
        <v>1308.0</v>
      </c>
      <c r="C93" s="6" t="b">
        <v>0</v>
      </c>
      <c r="D93" s="8" t="str">
        <f>IFERROR(__xludf.DUMMYFUNCTION("GOOGLETRANSLATE(A93,""ar"", ""en"")"),"ALUMINUM TABLE TOP 60*60")</f>
        <v>ALUMINUM TABLE TOP 60*60</v>
      </c>
      <c r="E93" s="13" t="s">
        <v>265</v>
      </c>
      <c r="F93" s="9" t="s">
        <v>27</v>
      </c>
      <c r="G93" s="9" t="s">
        <v>28</v>
      </c>
      <c r="H93" s="16" t="s">
        <v>98</v>
      </c>
      <c r="I93" s="8"/>
      <c r="J93" s="14">
        <v>31.46</v>
      </c>
      <c r="K93" s="11" t="s">
        <v>266</v>
      </c>
      <c r="L93" s="8"/>
      <c r="M93" s="15">
        <v>5.0</v>
      </c>
      <c r="N93" s="8"/>
      <c r="O93" s="8"/>
      <c r="P93" s="14">
        <v>6.29</v>
      </c>
      <c r="Q93" s="4"/>
      <c r="R93" s="4"/>
      <c r="S93" s="4"/>
      <c r="T93" s="4"/>
      <c r="U93" s="4"/>
      <c r="V93" s="4"/>
      <c r="W93" s="4"/>
      <c r="X93" s="4"/>
      <c r="Y93" s="4"/>
    </row>
    <row r="94">
      <c r="A94" s="5" t="s">
        <v>267</v>
      </c>
      <c r="B94" s="6">
        <v>1313.0</v>
      </c>
      <c r="C94" s="6" t="b">
        <v>0</v>
      </c>
      <c r="D94" s="8" t="str">
        <f>IFERROR(__xludf.DUMMYFUNCTION("GOOGLETRANSLATE(A94,""ar"", ""en"")"),"Large smooth round font base")</f>
        <v>Large smooth round font base</v>
      </c>
      <c r="E94" s="5" t="s">
        <v>268</v>
      </c>
      <c r="F94" s="9" t="s">
        <v>27</v>
      </c>
      <c r="G94" s="9" t="s">
        <v>28</v>
      </c>
      <c r="H94" s="16" t="s">
        <v>186</v>
      </c>
      <c r="I94" s="8"/>
      <c r="J94" s="10">
        <v>41.49</v>
      </c>
      <c r="K94" s="11" t="s">
        <v>269</v>
      </c>
      <c r="L94" s="8"/>
      <c r="M94" s="12">
        <v>2.0</v>
      </c>
      <c r="N94" s="8"/>
      <c r="O94" s="8"/>
      <c r="P94" s="10">
        <v>20.74</v>
      </c>
      <c r="Q94" s="4"/>
      <c r="R94" s="4"/>
      <c r="S94" s="4"/>
      <c r="T94" s="4"/>
      <c r="U94" s="4"/>
      <c r="V94" s="4"/>
      <c r="W94" s="4"/>
      <c r="X94" s="4"/>
      <c r="Y94" s="4"/>
    </row>
    <row r="95">
      <c r="A95" s="5" t="s">
        <v>270</v>
      </c>
      <c r="B95" s="6">
        <v>1314.0</v>
      </c>
      <c r="C95" s="6" t="b">
        <v>0</v>
      </c>
      <c r="D95" s="8" t="str">
        <f>IFERROR(__xludf.DUMMYFUNCTION("GOOGLETRANSLATE(A95,""ar"", ""en"")"),"Large round font base")</f>
        <v>Large round font base</v>
      </c>
      <c r="E95" s="5" t="s">
        <v>271</v>
      </c>
      <c r="F95" s="9" t="s">
        <v>27</v>
      </c>
      <c r="G95" s="9" t="s">
        <v>28</v>
      </c>
      <c r="H95" s="16" t="s">
        <v>186</v>
      </c>
      <c r="I95" s="8"/>
      <c r="J95" s="10">
        <v>50.8</v>
      </c>
      <c r="K95" s="11" t="s">
        <v>272</v>
      </c>
      <c r="L95" s="8"/>
      <c r="M95" s="12">
        <v>2.0</v>
      </c>
      <c r="N95" s="8"/>
      <c r="O95" s="8"/>
      <c r="P95" s="10">
        <v>25.4</v>
      </c>
      <c r="Q95" s="4"/>
      <c r="R95" s="4"/>
      <c r="S95" s="4"/>
      <c r="T95" s="4"/>
      <c r="U95" s="4"/>
      <c r="V95" s="4"/>
      <c r="W95" s="4"/>
      <c r="X95" s="4"/>
      <c r="Y95" s="4"/>
    </row>
    <row r="96">
      <c r="A96" s="5" t="s">
        <v>273</v>
      </c>
      <c r="B96" s="6">
        <v>1315.0</v>
      </c>
      <c r="C96" s="6" t="b">
        <v>0</v>
      </c>
      <c r="D96" s="8" t="str">
        <f>IFERROR(__xludf.DUMMYFUNCTION("GOOGLETRANSLATE(A96,""ar"", ""en"")"),"Smooth Rectangular Font Base")</f>
        <v>Smooth Rectangular Font Base</v>
      </c>
      <c r="E96" s="5" t="s">
        <v>274</v>
      </c>
      <c r="F96" s="9" t="s">
        <v>27</v>
      </c>
      <c r="G96" s="9" t="s">
        <v>28</v>
      </c>
      <c r="H96" s="16" t="s">
        <v>186</v>
      </c>
      <c r="I96" s="8"/>
      <c r="J96" s="10">
        <v>921.02</v>
      </c>
      <c r="K96" s="11" t="s">
        <v>275</v>
      </c>
      <c r="L96" s="8"/>
      <c r="M96" s="12">
        <v>37.0</v>
      </c>
      <c r="N96" s="8"/>
      <c r="O96" s="8"/>
      <c r="P96" s="10">
        <v>24.89</v>
      </c>
      <c r="Q96" s="4"/>
      <c r="R96" s="4"/>
      <c r="S96" s="4"/>
      <c r="T96" s="4"/>
      <c r="U96" s="4"/>
      <c r="V96" s="4"/>
      <c r="W96" s="4"/>
      <c r="X96" s="4"/>
      <c r="Y96" s="4"/>
    </row>
    <row r="97">
      <c r="A97" s="13" t="s">
        <v>276</v>
      </c>
      <c r="B97" s="6">
        <v>1316.0</v>
      </c>
      <c r="C97" s="6" t="b">
        <v>0</v>
      </c>
      <c r="D97" s="8" t="str">
        <f>IFERROR(__xludf.DUMMYFUNCTION("GOOGLETRANSLATE(A97,""ar"", ""en"")"),"Smooth nut font base")</f>
        <v>Smooth nut font base</v>
      </c>
      <c r="E97" s="13" t="s">
        <v>277</v>
      </c>
      <c r="F97" s="9" t="s">
        <v>27</v>
      </c>
      <c r="G97" s="9" t="s">
        <v>28</v>
      </c>
      <c r="H97" s="16" t="s">
        <v>186</v>
      </c>
      <c r="I97" s="8"/>
      <c r="J97" s="14">
        <v>133.28</v>
      </c>
      <c r="K97" s="11" t="s">
        <v>278</v>
      </c>
      <c r="L97" s="8"/>
      <c r="M97" s="15">
        <v>4.0</v>
      </c>
      <c r="N97" s="8"/>
      <c r="O97" s="8"/>
      <c r="P97" s="14">
        <v>33.32</v>
      </c>
      <c r="Q97" s="4"/>
      <c r="R97" s="4"/>
      <c r="S97" s="4"/>
      <c r="T97" s="4"/>
      <c r="U97" s="4"/>
      <c r="V97" s="4"/>
      <c r="W97" s="4"/>
      <c r="X97" s="4"/>
      <c r="Y97" s="4"/>
    </row>
    <row r="98">
      <c r="A98" s="13" t="s">
        <v>279</v>
      </c>
      <c r="B98" s="6">
        <v>1318.0</v>
      </c>
      <c r="C98" s="6" t="b">
        <v>0</v>
      </c>
      <c r="D98" s="8" t="str">
        <f>IFERROR(__xludf.DUMMYFUNCTION("GOOGLETRANSLATE(A98,""ar"", ""en"")"),"TEAK table top 110*70 cm")</f>
        <v>TEAK table top 110*70 cm</v>
      </c>
      <c r="E98" s="13" t="s">
        <v>280</v>
      </c>
      <c r="F98" s="9" t="s">
        <v>27</v>
      </c>
      <c r="G98" s="9" t="s">
        <v>28</v>
      </c>
      <c r="H98" s="27" t="s">
        <v>98</v>
      </c>
      <c r="I98" s="16" t="s">
        <v>281</v>
      </c>
      <c r="J98" s="14">
        <v>107.66</v>
      </c>
      <c r="K98" s="11" t="s">
        <v>282</v>
      </c>
      <c r="L98" s="8"/>
      <c r="M98" s="15">
        <v>4.0</v>
      </c>
      <c r="N98" s="8"/>
      <c r="O98" s="8"/>
      <c r="P98" s="14">
        <v>26.92</v>
      </c>
      <c r="Q98" s="4"/>
      <c r="R98" s="4"/>
      <c r="S98" s="4"/>
      <c r="T98" s="4"/>
      <c r="U98" s="4"/>
      <c r="V98" s="4"/>
      <c r="W98" s="4"/>
      <c r="X98" s="4"/>
      <c r="Y98" s="4"/>
    </row>
    <row r="99">
      <c r="A99" s="13" t="s">
        <v>283</v>
      </c>
      <c r="B99" s="6">
        <v>1336.0</v>
      </c>
      <c r="C99" s="6" t="b">
        <v>0</v>
      </c>
      <c r="D99" s="8" t="str">
        <f>IFERROR(__xludf.DUMMYFUNCTION("GOOGLETRANSLATE(A99,""ar"", ""en"")"),"200cm aluminum parasol")</f>
        <v>200cm aluminum parasol</v>
      </c>
      <c r="E99" s="13" t="s">
        <v>284</v>
      </c>
      <c r="F99" s="9" t="s">
        <v>28</v>
      </c>
      <c r="G99" s="9"/>
      <c r="H99" s="16" t="s">
        <v>285</v>
      </c>
      <c r="I99" s="8"/>
      <c r="J99" s="14">
        <v>9087.35</v>
      </c>
      <c r="K99" s="11" t="s">
        <v>286</v>
      </c>
      <c r="L99" s="8"/>
      <c r="M99" s="15">
        <v>1709.0</v>
      </c>
      <c r="N99" s="8"/>
      <c r="O99" s="8"/>
      <c r="P99" s="14">
        <v>5.32</v>
      </c>
      <c r="Q99" s="4"/>
      <c r="R99" s="4"/>
      <c r="S99" s="4"/>
      <c r="T99" s="4"/>
      <c r="U99" s="4"/>
      <c r="V99" s="4"/>
      <c r="W99" s="4"/>
      <c r="X99" s="4"/>
      <c r="Y99" s="4"/>
    </row>
    <row r="100">
      <c r="A100" s="13" t="s">
        <v>287</v>
      </c>
      <c r="B100" s="6">
        <v>1340.0</v>
      </c>
      <c r="C100" s="7" t="b">
        <v>1</v>
      </c>
      <c r="D100" s="8" t="str">
        <f>IFERROR(__xludf.DUMMYFUNCTION("GOOGLETRANSLATE(A100,""ar"", ""en"")"),"Turkish Versalite Face 80*120")</f>
        <v>Turkish Versalite Face 80*120</v>
      </c>
      <c r="E100" s="13" t="s">
        <v>288</v>
      </c>
      <c r="F100" s="9" t="s">
        <v>27</v>
      </c>
      <c r="G100" s="9" t="s">
        <v>28</v>
      </c>
      <c r="H100" s="27" t="s">
        <v>98</v>
      </c>
      <c r="I100" s="8"/>
      <c r="J100" s="14">
        <v>1117.83</v>
      </c>
      <c r="K100" s="11" t="s">
        <v>142</v>
      </c>
      <c r="L100" s="8"/>
      <c r="M100" s="15">
        <v>48.0</v>
      </c>
      <c r="N100" s="8"/>
      <c r="O100" s="8"/>
      <c r="P100" s="14">
        <v>23.29</v>
      </c>
      <c r="Q100" s="4"/>
      <c r="R100" s="4"/>
      <c r="S100" s="4"/>
      <c r="T100" s="4"/>
      <c r="U100" s="4"/>
      <c r="V100" s="4"/>
      <c r="W100" s="4"/>
      <c r="X100" s="4"/>
      <c r="Y100" s="4"/>
    </row>
    <row r="101">
      <c r="A101" s="5" t="s">
        <v>289</v>
      </c>
      <c r="B101" s="6">
        <v>1341.0</v>
      </c>
      <c r="C101" s="7" t="b">
        <v>1</v>
      </c>
      <c r="D101" s="8" t="str">
        <f>IFERROR(__xludf.DUMMYFUNCTION("GOOGLETRANSLATE(A101,""ar"", ""en"")"),"Turkish Versalite Face 80*140")</f>
        <v>Turkish Versalite Face 80*140</v>
      </c>
      <c r="E101" s="5" t="s">
        <v>290</v>
      </c>
      <c r="F101" s="9" t="s">
        <v>27</v>
      </c>
      <c r="G101" s="9" t="s">
        <v>28</v>
      </c>
      <c r="H101" s="27" t="s">
        <v>98</v>
      </c>
      <c r="I101" s="8"/>
      <c r="J101" s="10">
        <v>26.39</v>
      </c>
      <c r="K101" s="11" t="s">
        <v>142</v>
      </c>
      <c r="L101" s="8"/>
      <c r="M101" s="12">
        <v>1.0</v>
      </c>
      <c r="N101" s="8"/>
      <c r="O101" s="8"/>
      <c r="P101" s="10">
        <v>26.39</v>
      </c>
      <c r="Q101" s="4"/>
      <c r="R101" s="4"/>
      <c r="S101" s="4"/>
      <c r="T101" s="4"/>
      <c r="U101" s="4"/>
      <c r="V101" s="4"/>
      <c r="W101" s="4"/>
      <c r="X101" s="4"/>
      <c r="Y101" s="4"/>
    </row>
    <row r="102">
      <c r="A102" s="13" t="s">
        <v>291</v>
      </c>
      <c r="B102" s="6">
        <v>1342.0</v>
      </c>
      <c r="C102" s="7" t="b">
        <v>1</v>
      </c>
      <c r="D102" s="8" t="str">
        <f>IFERROR(__xludf.DUMMYFUNCTION("GOOGLETRANSLATE(A102,""ar"", ""en"")"),"Turkish Versalite Face 70 Round")</f>
        <v>Turkish Versalite Face 70 Round</v>
      </c>
      <c r="E102" s="13" t="s">
        <v>292</v>
      </c>
      <c r="F102" s="9" t="s">
        <v>27</v>
      </c>
      <c r="G102" s="9" t="s">
        <v>28</v>
      </c>
      <c r="H102" s="27" t="s">
        <v>98</v>
      </c>
      <c r="I102" s="16" t="s">
        <v>293</v>
      </c>
      <c r="J102" s="14">
        <v>692.82</v>
      </c>
      <c r="K102" s="11" t="s">
        <v>142</v>
      </c>
      <c r="L102" s="8"/>
      <c r="M102" s="15">
        <v>51.0</v>
      </c>
      <c r="N102" s="8"/>
      <c r="O102" s="8"/>
      <c r="P102" s="14">
        <v>13.58</v>
      </c>
      <c r="Q102" s="4"/>
      <c r="R102" s="4"/>
      <c r="S102" s="4"/>
      <c r="T102" s="4"/>
      <c r="U102" s="4"/>
      <c r="V102" s="4"/>
      <c r="W102" s="4"/>
      <c r="X102" s="4"/>
      <c r="Y102" s="4"/>
    </row>
    <row r="103">
      <c r="A103" s="36" t="s">
        <v>294</v>
      </c>
      <c r="B103" s="37">
        <v>1343.0</v>
      </c>
      <c r="C103" s="38" t="b">
        <v>1</v>
      </c>
      <c r="D103" s="39" t="str">
        <f>IFERROR(__xludf.DUMMYFUNCTION("GOOGLETRANSLATE(A103,""ar"", ""en"")"),"Turkish Versalite Face 60*60/Grey")</f>
        <v>Turkish Versalite Face 60*60/Grey</v>
      </c>
      <c r="E103" s="36" t="s">
        <v>295</v>
      </c>
      <c r="F103" s="41" t="s">
        <v>27</v>
      </c>
      <c r="G103" s="41" t="s">
        <v>28</v>
      </c>
      <c r="H103" s="42" t="s">
        <v>98</v>
      </c>
      <c r="I103" s="46" t="s">
        <v>296</v>
      </c>
      <c r="J103" s="43">
        <v>255.01</v>
      </c>
      <c r="K103" s="44" t="s">
        <v>142</v>
      </c>
      <c r="L103" s="39"/>
      <c r="M103" s="45">
        <v>18.0</v>
      </c>
      <c r="N103" s="8"/>
      <c r="O103" s="8"/>
      <c r="P103" s="10">
        <v>14.17</v>
      </c>
      <c r="Q103" s="4"/>
      <c r="R103" s="4"/>
      <c r="S103" s="4"/>
      <c r="T103" s="4"/>
      <c r="U103" s="4"/>
      <c r="V103" s="4"/>
      <c r="W103" s="4"/>
      <c r="X103" s="4"/>
      <c r="Y103" s="4"/>
    </row>
    <row r="104">
      <c r="A104" s="36" t="s">
        <v>297</v>
      </c>
      <c r="B104" s="47">
        <v>1344.0</v>
      </c>
      <c r="C104" s="38" t="b">
        <v>1</v>
      </c>
      <c r="D104" s="39" t="str">
        <f>IFERROR(__xludf.DUMMYFUNCTION("GOOGLETRANSLATE(A104,""ar"", ""en"")"),"Turkish Versalite table top 70*120 cm/grey")</f>
        <v>Turkish Versalite table top 70*120 cm/grey</v>
      </c>
      <c r="E104" s="36" t="s">
        <v>298</v>
      </c>
      <c r="F104" s="41" t="s">
        <v>27</v>
      </c>
      <c r="G104" s="41" t="s">
        <v>28</v>
      </c>
      <c r="H104" s="42" t="s">
        <v>98</v>
      </c>
      <c r="I104" s="39"/>
      <c r="J104" s="43">
        <v>463.54</v>
      </c>
      <c r="K104" s="44" t="s">
        <v>142</v>
      </c>
      <c r="L104" s="39"/>
      <c r="M104" s="45">
        <v>21.0</v>
      </c>
      <c r="N104" s="8"/>
      <c r="O104" s="8"/>
      <c r="P104" s="14">
        <v>22.07</v>
      </c>
      <c r="Q104" s="4"/>
      <c r="R104" s="4"/>
      <c r="S104" s="4"/>
      <c r="T104" s="4"/>
      <c r="U104" s="4"/>
      <c r="V104" s="4"/>
      <c r="W104" s="4"/>
      <c r="X104" s="4"/>
      <c r="Y104" s="4"/>
    </row>
    <row r="105">
      <c r="A105" s="36" t="s">
        <v>299</v>
      </c>
      <c r="B105" s="47">
        <v>1345.0</v>
      </c>
      <c r="C105" s="38" t="b">
        <v>1</v>
      </c>
      <c r="D105" s="39" t="str">
        <f>IFERROR(__xludf.DUMMYFUNCTION("GOOGLETRANSLATE(A105,""ar"", ""en"")"),"Turkish Versalite Face 80*120/Grey")</f>
        <v>Turkish Versalite Face 80*120/Grey</v>
      </c>
      <c r="E105" s="36" t="s">
        <v>300</v>
      </c>
      <c r="F105" s="41" t="s">
        <v>27</v>
      </c>
      <c r="G105" s="41" t="s">
        <v>28</v>
      </c>
      <c r="H105" s="42" t="s">
        <v>98</v>
      </c>
      <c r="I105" s="39"/>
      <c r="J105" s="43">
        <v>2243.45</v>
      </c>
      <c r="K105" s="44" t="s">
        <v>142</v>
      </c>
      <c r="L105" s="39"/>
      <c r="M105" s="45">
        <v>73.0</v>
      </c>
      <c r="N105" s="8"/>
      <c r="O105" s="8"/>
      <c r="P105" s="10">
        <v>30.73</v>
      </c>
      <c r="Q105" s="4"/>
      <c r="R105" s="4"/>
      <c r="S105" s="4"/>
      <c r="T105" s="4"/>
      <c r="U105" s="4"/>
      <c r="V105" s="4"/>
      <c r="W105" s="4"/>
      <c r="X105" s="4"/>
      <c r="Y105" s="4"/>
    </row>
    <row r="106">
      <c r="A106" s="13" t="s">
        <v>301</v>
      </c>
      <c r="B106" s="6">
        <v>1346.0</v>
      </c>
      <c r="C106" s="7" t="b">
        <v>1</v>
      </c>
      <c r="D106" s="8" t="str">
        <f>IFERROR(__xludf.DUMMYFUNCTION("GOOGLETRANSLATE(A106,""ar"", ""en"")"),"Turkish Versalite table top 60*60 cm/red")</f>
        <v>Turkish Versalite table top 60*60 cm/red</v>
      </c>
      <c r="E106" s="13" t="s">
        <v>302</v>
      </c>
      <c r="F106" s="9" t="s">
        <v>27</v>
      </c>
      <c r="G106" s="9" t="s">
        <v>28</v>
      </c>
      <c r="H106" s="27" t="s">
        <v>98</v>
      </c>
      <c r="I106" s="49" t="s">
        <v>303</v>
      </c>
      <c r="J106" s="14">
        <v>271.7</v>
      </c>
      <c r="K106" s="11" t="s">
        <v>142</v>
      </c>
      <c r="L106" s="8"/>
      <c r="M106" s="15">
        <v>20.0</v>
      </c>
      <c r="N106" s="8"/>
      <c r="O106" s="8"/>
      <c r="P106" s="14">
        <v>13.58</v>
      </c>
      <c r="Q106" s="4"/>
      <c r="R106" s="4"/>
      <c r="S106" s="4"/>
      <c r="T106" s="4"/>
      <c r="U106" s="4"/>
      <c r="V106" s="4"/>
      <c r="W106" s="4"/>
      <c r="X106" s="4"/>
      <c r="Y106" s="4"/>
    </row>
    <row r="107">
      <c r="A107" s="5" t="s">
        <v>304</v>
      </c>
      <c r="B107" s="6">
        <v>1347.0</v>
      </c>
      <c r="C107" s="7" t="b">
        <v>1</v>
      </c>
      <c r="D107" s="8" t="str">
        <f>IFERROR(__xludf.DUMMYFUNCTION("GOOGLETRANSLATE(A107,""ar"", ""en"")"),"Turkish Versalite Face 70*120/Red")</f>
        <v>Turkish Versalite Face 70*120/Red</v>
      </c>
      <c r="E107" s="5" t="s">
        <v>305</v>
      </c>
      <c r="F107" s="9" t="s">
        <v>27</v>
      </c>
      <c r="G107" s="9" t="s">
        <v>28</v>
      </c>
      <c r="H107" s="27" t="s">
        <v>98</v>
      </c>
      <c r="I107" s="8"/>
      <c r="J107" s="10">
        <v>850.02</v>
      </c>
      <c r="K107" s="11" t="s">
        <v>142</v>
      </c>
      <c r="L107" s="8"/>
      <c r="M107" s="12">
        <v>40.0</v>
      </c>
      <c r="N107" s="8"/>
      <c r="O107" s="8"/>
      <c r="P107" s="10">
        <v>21.25</v>
      </c>
      <c r="Q107" s="4"/>
      <c r="R107" s="4"/>
      <c r="S107" s="4"/>
      <c r="T107" s="4"/>
      <c r="U107" s="4"/>
      <c r="V107" s="4"/>
      <c r="W107" s="4"/>
      <c r="X107" s="4"/>
      <c r="Y107" s="4"/>
    </row>
    <row r="108">
      <c r="A108" s="13" t="s">
        <v>306</v>
      </c>
      <c r="B108" s="6">
        <v>1348.0</v>
      </c>
      <c r="C108" s="7" t="b">
        <v>1</v>
      </c>
      <c r="D108" s="8" t="str">
        <f>IFERROR(__xludf.DUMMYFUNCTION("GOOGLETRANSLATE(A108,""ar"", ""en"")"),"Turkish Versalite Face 70*70/Red")</f>
        <v>Turkish Versalite Face 70*70/Red</v>
      </c>
      <c r="E108" s="13" t="s">
        <v>307</v>
      </c>
      <c r="F108" s="9" t="s">
        <v>27</v>
      </c>
      <c r="G108" s="9" t="s">
        <v>28</v>
      </c>
      <c r="H108" s="27" t="s">
        <v>98</v>
      </c>
      <c r="I108" s="8"/>
      <c r="J108" s="14">
        <v>14.17</v>
      </c>
      <c r="K108" s="11" t="s">
        <v>142</v>
      </c>
      <c r="L108" s="8"/>
      <c r="M108" s="15">
        <v>1.0</v>
      </c>
      <c r="N108" s="8"/>
      <c r="O108" s="8"/>
      <c r="P108" s="14">
        <v>14.17</v>
      </c>
      <c r="Q108" s="4"/>
      <c r="R108" s="4"/>
      <c r="S108" s="4"/>
      <c r="T108" s="4"/>
      <c r="U108" s="4"/>
      <c r="V108" s="4"/>
      <c r="W108" s="4"/>
      <c r="X108" s="4"/>
      <c r="Y108" s="4"/>
    </row>
    <row r="109">
      <c r="A109" s="5" t="s">
        <v>308</v>
      </c>
      <c r="B109" s="6">
        <v>1349.0</v>
      </c>
      <c r="C109" s="7" t="b">
        <v>1</v>
      </c>
      <c r="D109" s="8" t="str">
        <f>IFERROR(__xludf.DUMMYFUNCTION("GOOGLETRANSLATE(A109,""ar"", ""en"")"),"Turkish Versalite Face 80*120/Rock")</f>
        <v>Turkish Versalite Face 80*120/Rock</v>
      </c>
      <c r="E109" s="5" t="s">
        <v>309</v>
      </c>
      <c r="F109" s="9" t="s">
        <v>27</v>
      </c>
      <c r="G109" s="9" t="s">
        <v>28</v>
      </c>
      <c r="H109" s="27" t="s">
        <v>98</v>
      </c>
      <c r="I109" s="8"/>
      <c r="J109" s="10">
        <v>1229.29</v>
      </c>
      <c r="K109" s="11" t="s">
        <v>142</v>
      </c>
      <c r="L109" s="8"/>
      <c r="M109" s="12">
        <v>40.0</v>
      </c>
      <c r="N109" s="8"/>
      <c r="O109" s="8"/>
      <c r="P109" s="10">
        <v>30.73</v>
      </c>
      <c r="Q109" s="4"/>
      <c r="R109" s="4"/>
      <c r="S109" s="4"/>
      <c r="T109" s="4"/>
      <c r="U109" s="4"/>
      <c r="V109" s="4"/>
      <c r="W109" s="4"/>
      <c r="X109" s="4"/>
      <c r="Y109" s="4"/>
    </row>
    <row r="110">
      <c r="A110" s="13" t="s">
        <v>310</v>
      </c>
      <c r="B110" s="6">
        <v>1350.0</v>
      </c>
      <c r="C110" s="7" t="b">
        <v>1</v>
      </c>
      <c r="D110" s="8" t="str">
        <f>IFERROR(__xludf.DUMMYFUNCTION("GOOGLETRANSLATE(A110,""ar"", ""en"")"),"Turkish Versalite Face 70*70/Black-White")</f>
        <v>Turkish Versalite Face 70*70/Black-White</v>
      </c>
      <c r="E110" s="13" t="s">
        <v>311</v>
      </c>
      <c r="F110" s="9" t="s">
        <v>27</v>
      </c>
      <c r="G110" s="9" t="s">
        <v>28</v>
      </c>
      <c r="H110" s="27" t="s">
        <v>98</v>
      </c>
      <c r="I110" s="8"/>
      <c r="J110" s="14">
        <v>1983.38</v>
      </c>
      <c r="K110" s="11" t="s">
        <v>142</v>
      </c>
      <c r="L110" s="8"/>
      <c r="M110" s="15">
        <v>140.0</v>
      </c>
      <c r="N110" s="8"/>
      <c r="O110" s="8"/>
      <c r="P110" s="14">
        <v>14.17</v>
      </c>
      <c r="Q110" s="4"/>
      <c r="R110" s="4"/>
      <c r="S110" s="4"/>
      <c r="T110" s="4"/>
      <c r="U110" s="4"/>
      <c r="V110" s="4"/>
      <c r="W110" s="4"/>
      <c r="X110" s="4"/>
      <c r="Y110" s="4"/>
    </row>
    <row r="111">
      <c r="A111" s="5" t="s">
        <v>312</v>
      </c>
      <c r="B111" s="6">
        <v>1351.0</v>
      </c>
      <c r="C111" s="7" t="b">
        <v>1</v>
      </c>
      <c r="D111" s="8" t="str">
        <f>IFERROR(__xludf.DUMMYFUNCTION("GOOGLETRANSLATE(A111,""ar"", ""en"")"),"Turkish Versalite Face 80*80/Black-White")</f>
        <v>Turkish Versalite Face 80*80/Black-White</v>
      </c>
      <c r="E111" s="5" t="s">
        <v>313</v>
      </c>
      <c r="F111" s="9" t="s">
        <v>27</v>
      </c>
      <c r="G111" s="9" t="s">
        <v>28</v>
      </c>
      <c r="H111" s="27" t="s">
        <v>98</v>
      </c>
      <c r="I111" s="8"/>
      <c r="J111" s="10">
        <v>1738.85</v>
      </c>
      <c r="K111" s="11" t="s">
        <v>142</v>
      </c>
      <c r="L111" s="8"/>
      <c r="M111" s="12">
        <v>112.0</v>
      </c>
      <c r="N111" s="8"/>
      <c r="O111" s="8"/>
      <c r="P111" s="10">
        <v>15.53</v>
      </c>
      <c r="Q111" s="4"/>
      <c r="R111" s="4"/>
      <c r="S111" s="4"/>
      <c r="T111" s="4"/>
      <c r="U111" s="4"/>
      <c r="V111" s="4"/>
      <c r="W111" s="4"/>
      <c r="X111" s="4"/>
      <c r="Y111" s="4"/>
    </row>
    <row r="112">
      <c r="A112" s="13" t="s">
        <v>291</v>
      </c>
      <c r="B112" s="6">
        <v>1352.0</v>
      </c>
      <c r="C112" s="6" t="b">
        <v>0</v>
      </c>
      <c r="D112" s="8" t="str">
        <f>IFERROR(__xludf.DUMMYFUNCTION("GOOGLETRANSLATE(A112,""ar"", ""en"")"),"Turkish Versalite Face 70 Round")</f>
        <v>Turkish Versalite Face 70 Round</v>
      </c>
      <c r="E112" s="13" t="s">
        <v>314</v>
      </c>
      <c r="F112" s="9" t="s">
        <v>27</v>
      </c>
      <c r="G112" s="9" t="s">
        <v>28</v>
      </c>
      <c r="H112" s="27" t="s">
        <v>98</v>
      </c>
      <c r="I112" s="16" t="s">
        <v>315</v>
      </c>
      <c r="J112" s="14">
        <v>12.62</v>
      </c>
      <c r="K112" s="11" t="s">
        <v>142</v>
      </c>
      <c r="L112" s="8"/>
      <c r="M112" s="15">
        <v>1.0</v>
      </c>
      <c r="N112" s="8"/>
      <c r="O112" s="8"/>
      <c r="P112" s="14">
        <v>12.62</v>
      </c>
      <c r="Q112" s="4"/>
      <c r="R112" s="4"/>
      <c r="S112" s="4"/>
      <c r="T112" s="4"/>
      <c r="U112" s="4"/>
      <c r="V112" s="4"/>
      <c r="W112" s="4"/>
      <c r="X112" s="4"/>
      <c r="Y112" s="4"/>
    </row>
    <row r="113">
      <c r="A113" s="5" t="s">
        <v>316</v>
      </c>
      <c r="B113" s="6">
        <v>1353.0</v>
      </c>
      <c r="C113" s="6" t="b">
        <v>0</v>
      </c>
      <c r="D113" s="8" t="str">
        <f>IFERROR(__xludf.DUMMYFUNCTION("GOOGLETRANSLATE(A113,""ar"", ""en"")"),"Turkish Versalite table top 70*120 cm")</f>
        <v>Turkish Versalite table top 70*120 cm</v>
      </c>
      <c r="E113" s="5" t="s">
        <v>317</v>
      </c>
      <c r="F113" s="9" t="s">
        <v>27</v>
      </c>
      <c r="G113" s="9" t="s">
        <v>28</v>
      </c>
      <c r="H113" s="27" t="s">
        <v>98</v>
      </c>
      <c r="I113" s="8"/>
      <c r="J113" s="10">
        <v>2576.89</v>
      </c>
      <c r="K113" s="11" t="s">
        <v>142</v>
      </c>
      <c r="L113" s="8"/>
      <c r="M113" s="12">
        <v>120.0</v>
      </c>
      <c r="N113" s="8"/>
      <c r="O113" s="8"/>
      <c r="P113" s="10">
        <v>21.47</v>
      </c>
      <c r="Q113" s="4"/>
      <c r="R113" s="4"/>
      <c r="S113" s="4"/>
      <c r="T113" s="4"/>
      <c r="U113" s="4"/>
      <c r="V113" s="4"/>
      <c r="W113" s="4"/>
      <c r="X113" s="4"/>
      <c r="Y113" s="4"/>
    </row>
    <row r="114">
      <c r="A114" s="13" t="s">
        <v>318</v>
      </c>
      <c r="B114" s="6">
        <v>1354.0</v>
      </c>
      <c r="C114" s="6" t="b">
        <v>0</v>
      </c>
      <c r="D114" s="8" t="str">
        <f>IFERROR(__xludf.DUMMYFUNCTION("GOOGLETRANSLATE(A114,""ar"", ""en"")"),"Turkish Versalite table top 80*120 cm")</f>
        <v>Turkish Versalite table top 80*120 cm</v>
      </c>
      <c r="E114" s="13" t="s">
        <v>319</v>
      </c>
      <c r="F114" s="9" t="s">
        <v>27</v>
      </c>
      <c r="G114" s="9" t="s">
        <v>28</v>
      </c>
      <c r="H114" s="27" t="s">
        <v>98</v>
      </c>
      <c r="I114" s="8"/>
      <c r="J114" s="14">
        <v>1524.39</v>
      </c>
      <c r="K114" s="11" t="s">
        <v>142</v>
      </c>
      <c r="L114" s="8"/>
      <c r="M114" s="15">
        <v>52.0</v>
      </c>
      <c r="N114" s="8"/>
      <c r="O114" s="8"/>
      <c r="P114" s="14">
        <v>29.32</v>
      </c>
      <c r="Q114" s="4"/>
      <c r="R114" s="4"/>
      <c r="S114" s="4"/>
      <c r="T114" s="4"/>
      <c r="U114" s="4"/>
      <c r="V114" s="4"/>
      <c r="W114" s="4"/>
      <c r="X114" s="4"/>
      <c r="Y114" s="4"/>
    </row>
    <row r="115">
      <c r="A115" s="5" t="s">
        <v>320</v>
      </c>
      <c r="B115" s="6">
        <v>1355.0</v>
      </c>
      <c r="C115" s="6" t="b">
        <v>0</v>
      </c>
      <c r="D115" s="8" t="str">
        <f>IFERROR(__xludf.DUMMYFUNCTION("GOOGLETRANSLATE(A115,""ar"", ""en"")"),"Turkish Versalite table top 80*140 cm")</f>
        <v>Turkish Versalite table top 80*140 cm</v>
      </c>
      <c r="E115" s="5" t="s">
        <v>321</v>
      </c>
      <c r="F115" s="9" t="s">
        <v>27</v>
      </c>
      <c r="G115" s="9" t="s">
        <v>28</v>
      </c>
      <c r="H115" s="27" t="s">
        <v>98</v>
      </c>
      <c r="I115" s="8"/>
      <c r="J115" s="10">
        <v>874.6</v>
      </c>
      <c r="K115" s="11" t="s">
        <v>142</v>
      </c>
      <c r="L115" s="8"/>
      <c r="M115" s="12">
        <v>30.0</v>
      </c>
      <c r="N115" s="8"/>
      <c r="O115" s="8"/>
      <c r="P115" s="10">
        <v>29.15</v>
      </c>
      <c r="Q115" s="4"/>
      <c r="R115" s="4"/>
      <c r="S115" s="4"/>
      <c r="T115" s="4"/>
      <c r="U115" s="4"/>
      <c r="V115" s="4"/>
      <c r="W115" s="4"/>
      <c r="X115" s="4"/>
      <c r="Y115" s="4"/>
    </row>
    <row r="116">
      <c r="A116" s="13" t="s">
        <v>322</v>
      </c>
      <c r="B116" s="6">
        <v>1356.0</v>
      </c>
      <c r="C116" s="6" t="b">
        <v>0</v>
      </c>
      <c r="D116" s="8" t="str">
        <f>IFERROR(__xludf.DUMMYFUNCTION("GOOGLETRANSLATE(A116,""ar"", ""en"")"),"Turkish Versalite table top 60*60 cm")</f>
        <v>Turkish Versalite table top 60*60 cm</v>
      </c>
      <c r="E116" s="13" t="s">
        <v>323</v>
      </c>
      <c r="F116" s="9" t="s">
        <v>27</v>
      </c>
      <c r="G116" s="9" t="s">
        <v>28</v>
      </c>
      <c r="H116" s="27" t="s">
        <v>98</v>
      </c>
      <c r="I116" s="16" t="s">
        <v>324</v>
      </c>
      <c r="J116" s="14">
        <v>798.21</v>
      </c>
      <c r="K116" s="11" t="s">
        <v>142</v>
      </c>
      <c r="L116" s="8"/>
      <c r="M116" s="15">
        <v>73.0</v>
      </c>
      <c r="N116" s="8"/>
      <c r="O116" s="8"/>
      <c r="P116" s="14">
        <v>10.93</v>
      </c>
      <c r="Q116" s="4"/>
      <c r="R116" s="4"/>
      <c r="S116" s="4"/>
      <c r="T116" s="4"/>
      <c r="U116" s="4"/>
      <c r="V116" s="4"/>
      <c r="W116" s="4"/>
      <c r="X116" s="4"/>
      <c r="Y116" s="4"/>
    </row>
    <row r="117">
      <c r="A117" s="5" t="s">
        <v>325</v>
      </c>
      <c r="B117" s="6">
        <v>1357.0</v>
      </c>
      <c r="C117" s="6" t="b">
        <v>0</v>
      </c>
      <c r="D117" s="8" t="str">
        <f>IFERROR(__xludf.DUMMYFUNCTION("GOOGLETRANSLATE(A117,""ar"", ""en"")"),"Turkish Versalite Face 60 Round")</f>
        <v>Turkish Versalite Face 60 Round</v>
      </c>
      <c r="E117" s="5" t="s">
        <v>326</v>
      </c>
      <c r="F117" s="9" t="s">
        <v>27</v>
      </c>
      <c r="G117" s="9" t="s">
        <v>28</v>
      </c>
      <c r="H117" s="27" t="s">
        <v>98</v>
      </c>
      <c r="I117" s="8"/>
      <c r="J117" s="10">
        <v>137.99</v>
      </c>
      <c r="K117" s="11" t="s">
        <v>142</v>
      </c>
      <c r="L117" s="8"/>
      <c r="M117" s="12">
        <v>13.0</v>
      </c>
      <c r="N117" s="8"/>
      <c r="O117" s="8"/>
      <c r="P117" s="10">
        <v>10.61</v>
      </c>
      <c r="Q117" s="4"/>
      <c r="R117" s="4"/>
      <c r="S117" s="4"/>
      <c r="T117" s="4"/>
      <c r="U117" s="4"/>
      <c r="V117" s="4"/>
      <c r="W117" s="4"/>
      <c r="X117" s="4"/>
      <c r="Y117" s="4"/>
    </row>
    <row r="118">
      <c r="A118" s="13" t="s">
        <v>316</v>
      </c>
      <c r="B118" s="6">
        <v>1358.0</v>
      </c>
      <c r="C118" s="7" t="b">
        <v>1</v>
      </c>
      <c r="D118" s="8" t="str">
        <f>IFERROR(__xludf.DUMMYFUNCTION("GOOGLETRANSLATE(A118,""ar"", ""en"")"),"Turkish Versalite table top 70*120 cm")</f>
        <v>Turkish Versalite table top 70*120 cm</v>
      </c>
      <c r="E118" s="13" t="s">
        <v>327</v>
      </c>
      <c r="F118" s="9" t="s">
        <v>27</v>
      </c>
      <c r="G118" s="9" t="s">
        <v>28</v>
      </c>
      <c r="H118" s="27" t="s">
        <v>98</v>
      </c>
      <c r="I118" s="16" t="s">
        <v>328</v>
      </c>
      <c r="J118" s="14">
        <v>529.76</v>
      </c>
      <c r="K118" s="11" t="s">
        <v>142</v>
      </c>
      <c r="L118" s="8"/>
      <c r="M118" s="15">
        <v>24.0</v>
      </c>
      <c r="N118" s="8"/>
      <c r="O118" s="8"/>
      <c r="P118" s="14">
        <v>22.07</v>
      </c>
      <c r="Q118" s="4"/>
      <c r="R118" s="4"/>
      <c r="S118" s="4"/>
      <c r="T118" s="4"/>
      <c r="U118" s="4"/>
      <c r="V118" s="4"/>
      <c r="W118" s="4"/>
      <c r="X118" s="4"/>
      <c r="Y118" s="4"/>
    </row>
    <row r="119">
      <c r="A119" s="5" t="s">
        <v>325</v>
      </c>
      <c r="B119" s="6">
        <v>1359.0</v>
      </c>
      <c r="C119" s="6" t="b">
        <v>0</v>
      </c>
      <c r="D119" s="8" t="str">
        <f>IFERROR(__xludf.DUMMYFUNCTION("GOOGLETRANSLATE(A119,""ar"", ""en"")"),"Turkish Versalite Face 60 Round")</f>
        <v>Turkish Versalite Face 60 Round</v>
      </c>
      <c r="E119" s="5" t="s">
        <v>329</v>
      </c>
      <c r="F119" s="9" t="s">
        <v>27</v>
      </c>
      <c r="G119" s="9" t="s">
        <v>28</v>
      </c>
      <c r="H119" s="27" t="s">
        <v>98</v>
      </c>
      <c r="I119" s="16"/>
      <c r="J119" s="10">
        <v>254.75</v>
      </c>
      <c r="K119" s="11" t="s">
        <v>142</v>
      </c>
      <c r="L119" s="8"/>
      <c r="M119" s="12">
        <v>24.0</v>
      </c>
      <c r="N119" s="8"/>
      <c r="O119" s="8"/>
      <c r="P119" s="10">
        <v>10.61</v>
      </c>
      <c r="Q119" s="4"/>
      <c r="R119" s="4"/>
      <c r="S119" s="4"/>
      <c r="T119" s="4"/>
      <c r="U119" s="4"/>
      <c r="V119" s="4"/>
      <c r="W119" s="4"/>
      <c r="X119" s="4"/>
      <c r="Y119" s="4"/>
    </row>
    <row r="120">
      <c r="A120" s="13" t="s">
        <v>330</v>
      </c>
      <c r="B120" s="6">
        <v>1360.0</v>
      </c>
      <c r="C120" s="6" t="b">
        <v>0</v>
      </c>
      <c r="D120" s="8" t="str">
        <f>IFERROR(__xludf.DUMMYFUNCTION("GOOGLETRANSLATE(A120,""ar"", ""en"")"),"Folding plastic table 122*76 cm / broken")</f>
        <v>Folding plastic table 122*76 cm / broken</v>
      </c>
      <c r="E120" s="13" t="s">
        <v>331</v>
      </c>
      <c r="F120" s="9" t="s">
        <v>28</v>
      </c>
      <c r="G120" s="9" t="s">
        <v>18</v>
      </c>
      <c r="H120" s="8"/>
      <c r="I120" s="8"/>
      <c r="J120" s="31"/>
      <c r="K120" s="11" t="s">
        <v>332</v>
      </c>
      <c r="L120" s="8"/>
      <c r="M120" s="15">
        <v>13.0</v>
      </c>
      <c r="N120" s="8"/>
      <c r="O120" s="8"/>
      <c r="P120" s="31"/>
      <c r="Q120" s="4"/>
      <c r="R120" s="4"/>
      <c r="S120" s="4"/>
      <c r="T120" s="4"/>
      <c r="U120" s="4"/>
      <c r="V120" s="4"/>
      <c r="W120" s="4"/>
      <c r="X120" s="4"/>
      <c r="Y120" s="4"/>
    </row>
    <row r="121">
      <c r="A121" s="5" t="s">
        <v>333</v>
      </c>
      <c r="B121" s="6">
        <v>1361.0</v>
      </c>
      <c r="C121" s="6" t="b">
        <v>0</v>
      </c>
      <c r="D121" s="8" t="str">
        <f>IFERROR(__xludf.DUMMYFUNCTION("GOOGLETRANSLATE(A121,""ar"", ""en"")"),"Plastic table 152*76 cm")</f>
        <v>Plastic table 152*76 cm</v>
      </c>
      <c r="E121" s="5" t="s">
        <v>334</v>
      </c>
      <c r="F121" s="9" t="s">
        <v>28</v>
      </c>
      <c r="G121" s="9" t="s">
        <v>18</v>
      </c>
      <c r="H121" s="8"/>
      <c r="I121" s="8"/>
      <c r="J121" s="29"/>
      <c r="K121" s="11" t="s">
        <v>335</v>
      </c>
      <c r="L121" s="8"/>
      <c r="M121" s="12">
        <v>194.0</v>
      </c>
      <c r="N121" s="8"/>
      <c r="O121" s="8"/>
      <c r="P121" s="29"/>
      <c r="Q121" s="4"/>
      <c r="R121" s="4"/>
      <c r="S121" s="4"/>
      <c r="T121" s="4"/>
      <c r="U121" s="4"/>
      <c r="V121" s="4"/>
      <c r="W121" s="4"/>
      <c r="X121" s="4"/>
      <c r="Y121" s="4"/>
    </row>
    <row r="122">
      <c r="A122" s="13" t="s">
        <v>336</v>
      </c>
      <c r="B122" s="6">
        <v>1362.0</v>
      </c>
      <c r="C122" s="6" t="b">
        <v>0</v>
      </c>
      <c r="D122" s="8" t="str">
        <f>IFERROR(__xludf.DUMMYFUNCTION("GOOGLETRANSLATE(A122,""ar"", ""en"")"),"Folding plastic table 152*76 cm / broken")</f>
        <v>Folding plastic table 152*76 cm / broken</v>
      </c>
      <c r="E122" s="13" t="s">
        <v>337</v>
      </c>
      <c r="F122" s="9" t="s">
        <v>28</v>
      </c>
      <c r="G122" s="9" t="s">
        <v>18</v>
      </c>
      <c r="H122" s="8"/>
      <c r="I122" s="8"/>
      <c r="J122" s="31"/>
      <c r="K122" s="11" t="s">
        <v>338</v>
      </c>
      <c r="L122" s="8"/>
      <c r="M122" s="15">
        <v>125.0</v>
      </c>
      <c r="N122" s="8"/>
      <c r="O122" s="8"/>
      <c r="P122" s="31"/>
      <c r="Q122" s="4"/>
      <c r="R122" s="4"/>
      <c r="S122" s="4"/>
      <c r="T122" s="4"/>
      <c r="U122" s="4"/>
      <c r="V122" s="4"/>
      <c r="W122" s="4"/>
      <c r="X122" s="4"/>
      <c r="Y122" s="4"/>
    </row>
    <row r="123">
      <c r="A123" s="5" t="s">
        <v>339</v>
      </c>
      <c r="B123" s="6">
        <v>1363.0</v>
      </c>
      <c r="C123" s="6" t="b">
        <v>0</v>
      </c>
      <c r="D123" s="8" t="str">
        <f>IFERROR(__xludf.DUMMYFUNCTION("GOOGLETRANSLATE(A123,""ar"", ""en"")"),"Folding plastic table 180*74 cm / broken")</f>
        <v>Folding plastic table 180*74 cm / broken</v>
      </c>
      <c r="E123" s="5" t="s">
        <v>340</v>
      </c>
      <c r="F123" s="9" t="s">
        <v>28</v>
      </c>
      <c r="G123" s="9" t="s">
        <v>18</v>
      </c>
      <c r="H123" s="8"/>
      <c r="I123" s="8"/>
      <c r="J123" s="29"/>
      <c r="K123" s="11" t="s">
        <v>341</v>
      </c>
      <c r="L123" s="8"/>
      <c r="M123" s="12">
        <v>6.0</v>
      </c>
      <c r="N123" s="8"/>
      <c r="O123" s="8"/>
      <c r="P123" s="29"/>
      <c r="Q123" s="4"/>
      <c r="R123" s="4"/>
      <c r="S123" s="4"/>
      <c r="T123" s="4"/>
      <c r="U123" s="4"/>
      <c r="V123" s="4"/>
      <c r="W123" s="4"/>
      <c r="X123" s="4"/>
      <c r="Y123" s="4"/>
    </row>
    <row r="124">
      <c r="A124" s="13" t="s">
        <v>342</v>
      </c>
      <c r="B124" s="6">
        <v>1364.0</v>
      </c>
      <c r="C124" s="6" t="b">
        <v>0</v>
      </c>
      <c r="D124" s="8" t="str">
        <f>IFERROR(__xludf.DUMMYFUNCTION("GOOGLETRANSLATE(A124,""ar"", ""en"")"),"Plastic table 183*76 cm")</f>
        <v>Plastic table 183*76 cm</v>
      </c>
      <c r="E124" s="13" t="s">
        <v>343</v>
      </c>
      <c r="F124" s="9" t="s">
        <v>28</v>
      </c>
      <c r="G124" s="9" t="s">
        <v>18</v>
      </c>
      <c r="H124" s="8"/>
      <c r="I124" s="8"/>
      <c r="J124" s="31"/>
      <c r="K124" s="11" t="s">
        <v>344</v>
      </c>
      <c r="L124" s="8"/>
      <c r="M124" s="15">
        <v>54.0</v>
      </c>
      <c r="N124" s="8"/>
      <c r="O124" s="8"/>
      <c r="P124" s="31"/>
      <c r="Q124" s="4"/>
      <c r="R124" s="4"/>
      <c r="S124" s="4"/>
      <c r="T124" s="4"/>
      <c r="U124" s="4"/>
      <c r="V124" s="4"/>
      <c r="W124" s="4"/>
      <c r="X124" s="4"/>
      <c r="Y124" s="4"/>
    </row>
    <row r="125">
      <c r="A125" s="13" t="s">
        <v>345</v>
      </c>
      <c r="B125" s="6">
        <v>1368.0</v>
      </c>
      <c r="C125" s="6" t="b">
        <v>0</v>
      </c>
      <c r="D125" s="8" t="str">
        <f>IFERROR(__xludf.DUMMYFUNCTION("GOOGLETRANSLATE(A125,""ar"", ""en"")"),"FISHING CHAIR")</f>
        <v>FISHING CHAIR</v>
      </c>
      <c r="E125" s="13" t="s">
        <v>346</v>
      </c>
      <c r="F125" s="9" t="s">
        <v>28</v>
      </c>
      <c r="G125" s="9" t="s">
        <v>18</v>
      </c>
      <c r="H125" s="8"/>
      <c r="I125" s="8"/>
      <c r="J125" s="31"/>
      <c r="K125" s="11" t="s">
        <v>347</v>
      </c>
      <c r="L125" s="8"/>
      <c r="M125" s="15">
        <v>23.0</v>
      </c>
      <c r="N125" s="8"/>
      <c r="O125" s="8"/>
      <c r="P125" s="31"/>
      <c r="Q125" s="4"/>
      <c r="R125" s="4"/>
      <c r="S125" s="4"/>
      <c r="T125" s="4"/>
      <c r="U125" s="4"/>
      <c r="V125" s="4"/>
      <c r="W125" s="4"/>
      <c r="X125" s="4"/>
      <c r="Y125" s="4"/>
    </row>
    <row r="126">
      <c r="A126" s="13" t="s">
        <v>348</v>
      </c>
      <c r="B126" s="6">
        <v>1371.0</v>
      </c>
      <c r="C126" s="6" t="b">
        <v>0</v>
      </c>
      <c r="D126" s="8" t="str">
        <f>IFERROR(__xludf.DUMMYFUNCTION("GOOGLETRANSLATE(A126,""ar"", ""en"")"),"ALUMINUM TABLE BASE DOUBLE")</f>
        <v>ALUMINUM TABLE BASE DOUBLE</v>
      </c>
      <c r="E126" s="13" t="s">
        <v>349</v>
      </c>
      <c r="F126" s="9" t="s">
        <v>27</v>
      </c>
      <c r="G126" s="9" t="s">
        <v>28</v>
      </c>
      <c r="H126" s="16" t="s">
        <v>186</v>
      </c>
      <c r="I126" s="8"/>
      <c r="J126" s="14">
        <v>757.45</v>
      </c>
      <c r="K126" s="11" t="s">
        <v>350</v>
      </c>
      <c r="L126" s="8"/>
      <c r="M126" s="15">
        <v>32.0</v>
      </c>
      <c r="N126" s="8"/>
      <c r="O126" s="8"/>
      <c r="P126" s="14">
        <v>23.67</v>
      </c>
      <c r="Q126" s="4"/>
      <c r="R126" s="4"/>
      <c r="S126" s="4"/>
      <c r="T126" s="4"/>
      <c r="U126" s="4"/>
      <c r="V126" s="4"/>
      <c r="W126" s="4"/>
      <c r="X126" s="4"/>
      <c r="Y126" s="4"/>
    </row>
    <row r="127">
      <c r="A127" s="5" t="s">
        <v>351</v>
      </c>
      <c r="B127" s="6">
        <v>1372.0</v>
      </c>
      <c r="C127" s="6" t="b">
        <v>0</v>
      </c>
      <c r="D127" s="8" t="str">
        <f>IFERROR(__xludf.DUMMYFUNCTION("GOOGLETRANSLATE(A127,""ar"", ""en"")"),"3-legged aluminum base")</f>
        <v>3-legged aluminum base</v>
      </c>
      <c r="E127" s="5" t="s">
        <v>352</v>
      </c>
      <c r="F127" s="9" t="s">
        <v>27</v>
      </c>
      <c r="G127" s="9" t="s">
        <v>28</v>
      </c>
      <c r="H127" s="16" t="s">
        <v>186</v>
      </c>
      <c r="I127" s="8"/>
      <c r="J127" s="10">
        <v>206.67</v>
      </c>
      <c r="K127" s="11" t="s">
        <v>353</v>
      </c>
      <c r="L127" s="8"/>
      <c r="M127" s="12">
        <v>16.0</v>
      </c>
      <c r="N127" s="8"/>
      <c r="O127" s="8"/>
      <c r="P127" s="10">
        <v>12.92</v>
      </c>
      <c r="Q127" s="4"/>
      <c r="R127" s="4"/>
      <c r="S127" s="4"/>
      <c r="T127" s="4"/>
      <c r="U127" s="4"/>
      <c r="V127" s="4"/>
      <c r="W127" s="4"/>
      <c r="X127" s="4"/>
      <c r="Y127" s="4"/>
    </row>
    <row r="128">
      <c r="A128" s="5" t="s">
        <v>354</v>
      </c>
      <c r="B128" s="6">
        <v>1374.0</v>
      </c>
      <c r="C128" s="6" t="b">
        <v>0</v>
      </c>
      <c r="D128" s="8" t="str">
        <f>IFERROR(__xludf.DUMMYFUNCTION("GOOGLETRANSLATE(A128,""ar"", ""en"")"),"3-legged inflatable aluminum base")</f>
        <v>3-legged inflatable aluminum base</v>
      </c>
      <c r="E128" s="5" t="s">
        <v>355</v>
      </c>
      <c r="F128" s="9" t="s">
        <v>27</v>
      </c>
      <c r="G128" s="9" t="s">
        <v>28</v>
      </c>
      <c r="H128" s="16" t="s">
        <v>186</v>
      </c>
      <c r="I128" s="8"/>
      <c r="J128" s="10">
        <v>29.3</v>
      </c>
      <c r="K128" s="11" t="s">
        <v>356</v>
      </c>
      <c r="L128" s="8"/>
      <c r="M128" s="12">
        <v>3.0</v>
      </c>
      <c r="N128" s="8"/>
      <c r="O128" s="8"/>
      <c r="P128" s="10">
        <v>9.76</v>
      </c>
      <c r="Q128" s="4"/>
      <c r="R128" s="4"/>
      <c r="S128" s="4"/>
      <c r="T128" s="4"/>
      <c r="U128" s="4"/>
      <c r="V128" s="4"/>
      <c r="W128" s="4"/>
      <c r="X128" s="4"/>
      <c r="Y128" s="4"/>
    </row>
    <row r="129">
      <c r="A129" s="13" t="s">
        <v>357</v>
      </c>
      <c r="B129" s="6">
        <v>1375.0</v>
      </c>
      <c r="C129" s="6" t="b">
        <v>0</v>
      </c>
      <c r="D129" s="8" t="str">
        <f>IFERROR(__xludf.DUMMYFUNCTION("GOOGLETRANSLATE(A129,""ar"", ""en"")"),"120cm Round Natural Wood Table Top")</f>
        <v>120cm Round Natural Wood Table Top</v>
      </c>
      <c r="E129" s="13" t="s">
        <v>358</v>
      </c>
      <c r="F129" s="9" t="s">
        <v>27</v>
      </c>
      <c r="G129" s="9" t="s">
        <v>18</v>
      </c>
      <c r="H129" s="27" t="s">
        <v>98</v>
      </c>
      <c r="I129" s="16" t="s">
        <v>359</v>
      </c>
      <c r="J129" s="14">
        <v>52.43</v>
      </c>
      <c r="K129" s="11" t="s">
        <v>360</v>
      </c>
      <c r="L129" s="8"/>
      <c r="M129" s="15">
        <v>2.0</v>
      </c>
      <c r="N129" s="8"/>
      <c r="O129" s="8"/>
      <c r="P129" s="14">
        <v>26.22</v>
      </c>
      <c r="Q129" s="4"/>
      <c r="R129" s="4"/>
      <c r="S129" s="4"/>
      <c r="T129" s="4"/>
      <c r="U129" s="4"/>
      <c r="V129" s="4"/>
      <c r="W129" s="4"/>
      <c r="X129" s="4"/>
      <c r="Y129" s="4"/>
    </row>
    <row r="130">
      <c r="A130" s="5" t="s">
        <v>361</v>
      </c>
      <c r="B130" s="6">
        <v>1376.0</v>
      </c>
      <c r="C130" s="6" t="b">
        <v>0</v>
      </c>
      <c r="D130" s="8" t="str">
        <f>IFERROR(__xludf.DUMMYFUNCTION("GOOGLETRANSLATE(A130,""ar"", ""en"")"),"80cm round natural wood table top")</f>
        <v>80cm round natural wood table top</v>
      </c>
      <c r="E130" s="5" t="s">
        <v>362</v>
      </c>
      <c r="F130" s="9" t="s">
        <v>27</v>
      </c>
      <c r="G130" s="9" t="s">
        <v>18</v>
      </c>
      <c r="H130" s="27" t="s">
        <v>98</v>
      </c>
      <c r="I130" s="8"/>
      <c r="J130" s="10">
        <v>53.75</v>
      </c>
      <c r="K130" s="11" t="s">
        <v>363</v>
      </c>
      <c r="L130" s="8"/>
      <c r="M130" s="12">
        <v>3.0</v>
      </c>
      <c r="N130" s="8"/>
      <c r="O130" s="8"/>
      <c r="P130" s="10">
        <v>17.92</v>
      </c>
      <c r="Q130" s="4"/>
      <c r="R130" s="4"/>
      <c r="S130" s="4"/>
      <c r="T130" s="4"/>
      <c r="U130" s="4"/>
      <c r="V130" s="4"/>
      <c r="W130" s="4"/>
      <c r="X130" s="4"/>
      <c r="Y130" s="4"/>
    </row>
    <row r="131">
      <c r="A131" s="13" t="s">
        <v>364</v>
      </c>
      <c r="B131" s="6">
        <v>1377.0</v>
      </c>
      <c r="C131" s="7" t="b">
        <v>1</v>
      </c>
      <c r="D131" s="8" t="str">
        <f>IFERROR(__xludf.DUMMYFUNCTION("GOOGLETRANSLATE(A131,""ar"", ""en"")"),"Natural wood table top 130*80 cm")</f>
        <v>Natural wood table top 130*80 cm</v>
      </c>
      <c r="E131" s="13" t="s">
        <v>365</v>
      </c>
      <c r="F131" s="9" t="s">
        <v>27</v>
      </c>
      <c r="G131" s="9" t="s">
        <v>18</v>
      </c>
      <c r="H131" s="27" t="s">
        <v>98</v>
      </c>
      <c r="I131" s="16" t="s">
        <v>366</v>
      </c>
      <c r="J131" s="14">
        <v>390.41</v>
      </c>
      <c r="K131" s="11" t="s">
        <v>367</v>
      </c>
      <c r="L131" s="8"/>
      <c r="M131" s="15">
        <v>18.0</v>
      </c>
      <c r="N131" s="8"/>
      <c r="O131" s="8"/>
      <c r="P131" s="14">
        <v>21.69</v>
      </c>
      <c r="Q131" s="4"/>
      <c r="R131" s="4"/>
      <c r="S131" s="4"/>
      <c r="T131" s="4"/>
      <c r="U131" s="4"/>
      <c r="V131" s="4"/>
      <c r="W131" s="4"/>
      <c r="X131" s="4"/>
      <c r="Y131" s="4"/>
    </row>
    <row r="132">
      <c r="A132" s="5" t="s">
        <v>368</v>
      </c>
      <c r="B132" s="6">
        <v>1378.0</v>
      </c>
      <c r="C132" s="6" t="b">
        <v>0</v>
      </c>
      <c r="D132" s="8" t="str">
        <f>IFERROR(__xludf.DUMMYFUNCTION("GOOGLETRANSLATE(A132,""ar"", ""en"")"),"90cm round natural wood table top")</f>
        <v>90cm round natural wood table top</v>
      </c>
      <c r="E132" s="5" t="s">
        <v>369</v>
      </c>
      <c r="F132" s="9" t="s">
        <v>27</v>
      </c>
      <c r="G132" s="9" t="s">
        <v>18</v>
      </c>
      <c r="H132" s="27" t="s">
        <v>98</v>
      </c>
      <c r="I132" s="8"/>
      <c r="J132" s="10">
        <v>396.07</v>
      </c>
      <c r="K132" s="11" t="s">
        <v>370</v>
      </c>
      <c r="L132" s="8"/>
      <c r="M132" s="12">
        <v>21.0</v>
      </c>
      <c r="N132" s="8"/>
      <c r="O132" s="8"/>
      <c r="P132" s="10">
        <v>18.86</v>
      </c>
      <c r="Q132" s="4"/>
      <c r="R132" s="4"/>
      <c r="S132" s="4"/>
      <c r="T132" s="4"/>
      <c r="U132" s="4"/>
      <c r="V132" s="4"/>
      <c r="W132" s="4"/>
      <c r="X132" s="4"/>
      <c r="Y132" s="4"/>
    </row>
    <row r="133">
      <c r="A133" s="13" t="s">
        <v>371</v>
      </c>
      <c r="B133" s="6">
        <v>1379.0</v>
      </c>
      <c r="C133" s="6" t="b">
        <v>0</v>
      </c>
      <c r="D133" s="8" t="str">
        <f>IFERROR(__xludf.DUMMYFUNCTION("GOOGLETRANSLATE(A133,""ar"", ""en"")"),"Natural wood table top 150*90 cm")</f>
        <v>Natural wood table top 150*90 cm</v>
      </c>
      <c r="E133" s="13" t="s">
        <v>372</v>
      </c>
      <c r="F133" s="9" t="s">
        <v>27</v>
      </c>
      <c r="G133" s="9" t="s">
        <v>18</v>
      </c>
      <c r="H133" s="27" t="s">
        <v>98</v>
      </c>
      <c r="I133" s="8"/>
      <c r="J133" s="14">
        <v>32.06</v>
      </c>
      <c r="K133" s="11" t="s">
        <v>373</v>
      </c>
      <c r="L133" s="8"/>
      <c r="M133" s="15">
        <v>1.0</v>
      </c>
      <c r="N133" s="8"/>
      <c r="O133" s="8"/>
      <c r="P133" s="14">
        <v>32.06</v>
      </c>
      <c r="Q133" s="4"/>
      <c r="R133" s="4"/>
      <c r="S133" s="4"/>
      <c r="T133" s="4"/>
      <c r="U133" s="4"/>
      <c r="V133" s="4"/>
      <c r="W133" s="4"/>
      <c r="X133" s="4"/>
      <c r="Y133" s="4"/>
    </row>
    <row r="134">
      <c r="A134" s="5" t="s">
        <v>374</v>
      </c>
      <c r="B134" s="6">
        <v>1380.0</v>
      </c>
      <c r="C134" s="6" t="b">
        <v>0</v>
      </c>
      <c r="D134" s="8" t="str">
        <f>IFERROR(__xludf.DUMMYFUNCTION("GOOGLETRANSLATE(A134,""ar"", ""en"")"),"TABLE BASE DOUBLE - Drilling")</f>
        <v>TABLE BASE DOUBLE - Drilling</v>
      </c>
      <c r="E134" s="5" t="s">
        <v>375</v>
      </c>
      <c r="F134" s="9" t="s">
        <v>27</v>
      </c>
      <c r="G134" s="9" t="s">
        <v>28</v>
      </c>
      <c r="H134" s="16" t="s">
        <v>186</v>
      </c>
      <c r="I134" s="8"/>
      <c r="J134" s="10">
        <v>775.21</v>
      </c>
      <c r="K134" s="11" t="s">
        <v>376</v>
      </c>
      <c r="L134" s="8"/>
      <c r="M134" s="12">
        <v>38.0</v>
      </c>
      <c r="N134" s="8"/>
      <c r="O134" s="8"/>
      <c r="P134" s="10">
        <v>20.4</v>
      </c>
      <c r="Q134" s="4"/>
      <c r="R134" s="4"/>
      <c r="S134" s="4"/>
      <c r="T134" s="4"/>
      <c r="U134" s="4"/>
      <c r="V134" s="4"/>
      <c r="W134" s="4"/>
      <c r="X134" s="4"/>
      <c r="Y134" s="4"/>
    </row>
    <row r="135">
      <c r="A135" s="5" t="s">
        <v>377</v>
      </c>
      <c r="B135" s="6">
        <v>1385.0</v>
      </c>
      <c r="C135" s="6" t="b">
        <v>0</v>
      </c>
      <c r="D135" s="8" t="str">
        <f>IFERROR(__xludf.DUMMYFUNCTION("GOOGLETRANSLATE(A135,""ar"", ""en"")"),"a base")</f>
        <v>a base</v>
      </c>
      <c r="E135" s="5" t="s">
        <v>378</v>
      </c>
      <c r="F135" s="9" t="s">
        <v>27</v>
      </c>
      <c r="G135" s="9"/>
      <c r="H135" s="16" t="s">
        <v>186</v>
      </c>
      <c r="I135" s="8"/>
      <c r="J135" s="10">
        <v>6.8</v>
      </c>
      <c r="K135" s="11" t="s">
        <v>379</v>
      </c>
      <c r="L135" s="8"/>
      <c r="M135" s="12">
        <v>1.0</v>
      </c>
      <c r="N135" s="8"/>
      <c r="O135" s="8"/>
      <c r="P135" s="10">
        <v>6.8</v>
      </c>
      <c r="Q135" s="4"/>
      <c r="R135" s="4"/>
      <c r="S135" s="4"/>
      <c r="T135" s="4"/>
      <c r="U135" s="4"/>
      <c r="V135" s="4"/>
      <c r="W135" s="4"/>
      <c r="X135" s="4"/>
      <c r="Y135" s="4"/>
    </row>
    <row r="136">
      <c r="A136" s="13" t="s">
        <v>380</v>
      </c>
      <c r="B136" s="6">
        <v>1386.0</v>
      </c>
      <c r="C136" s="6" t="b">
        <v>0</v>
      </c>
      <c r="D136" s="8" t="str">
        <f>IFERROR(__xludf.DUMMYFUNCTION("GOOGLETRANSLATE(A136,""ar"", ""en"")"),"80*80 square aluminum table with base")</f>
        <v>80*80 square aluminum table with base</v>
      </c>
      <c r="E136" s="13" t="s">
        <v>381</v>
      </c>
      <c r="F136" s="9" t="s">
        <v>27</v>
      </c>
      <c r="G136" s="9" t="s">
        <v>28</v>
      </c>
      <c r="H136" s="16" t="s">
        <v>382</v>
      </c>
      <c r="I136" s="8"/>
      <c r="J136" s="14">
        <v>332.07</v>
      </c>
      <c r="K136" s="11" t="s">
        <v>383</v>
      </c>
      <c r="L136" s="8"/>
      <c r="M136" s="15">
        <v>14.0</v>
      </c>
      <c r="N136" s="8"/>
      <c r="O136" s="8"/>
      <c r="P136" s="14">
        <v>23.72</v>
      </c>
      <c r="Q136" s="4"/>
      <c r="R136" s="4"/>
      <c r="S136" s="4"/>
      <c r="T136" s="4"/>
      <c r="U136" s="4"/>
      <c r="V136" s="4"/>
      <c r="W136" s="4"/>
      <c r="X136" s="4"/>
      <c r="Y136" s="4"/>
    </row>
    <row r="137">
      <c r="A137" s="5" t="s">
        <v>384</v>
      </c>
      <c r="B137" s="6">
        <v>1391.0</v>
      </c>
      <c r="C137" s="6" t="b">
        <v>0</v>
      </c>
      <c r="D137" s="8" t="str">
        <f>IFERROR(__xludf.DUMMYFUNCTION("GOOGLETRANSLATE(A137,""ar"", ""en"")"),"115 cm round table")</f>
        <v>115 cm round table</v>
      </c>
      <c r="E137" s="5" t="s">
        <v>385</v>
      </c>
      <c r="F137" s="9" t="s">
        <v>28</v>
      </c>
      <c r="G137" s="9" t="s">
        <v>18</v>
      </c>
      <c r="H137" s="8"/>
      <c r="I137" s="8"/>
      <c r="J137" s="10">
        <v>706.71</v>
      </c>
      <c r="K137" s="11" t="s">
        <v>386</v>
      </c>
      <c r="L137" s="8"/>
      <c r="M137" s="12">
        <v>30.0</v>
      </c>
      <c r="N137" s="8"/>
      <c r="O137" s="8"/>
      <c r="P137" s="10">
        <v>23.56</v>
      </c>
      <c r="Q137" s="4"/>
      <c r="R137" s="4"/>
      <c r="S137" s="4"/>
      <c r="T137" s="4"/>
      <c r="U137" s="4"/>
      <c r="V137" s="4"/>
      <c r="W137" s="4"/>
      <c r="X137" s="4"/>
      <c r="Y137" s="4"/>
    </row>
    <row r="138">
      <c r="A138" s="13" t="s">
        <v>387</v>
      </c>
      <c r="B138" s="6">
        <v>1392.0</v>
      </c>
      <c r="C138" s="6" t="b">
        <v>0</v>
      </c>
      <c r="D138" s="8" t="str">
        <f>IFERROR(__xludf.DUMMYFUNCTION("GOOGLETRANSLATE(A138,""ar"", ""en"")"),"Rectangular table 153*76 cm")</f>
        <v>Rectangular table 153*76 cm</v>
      </c>
      <c r="E138" s="13" t="s">
        <v>388</v>
      </c>
      <c r="F138" s="9" t="s">
        <v>28</v>
      </c>
      <c r="G138" s="9" t="s">
        <v>18</v>
      </c>
      <c r="H138" s="8"/>
      <c r="I138" s="8"/>
      <c r="J138" s="14">
        <v>105.87</v>
      </c>
      <c r="K138" s="11" t="s">
        <v>389</v>
      </c>
      <c r="L138" s="8"/>
      <c r="M138" s="15">
        <v>5.0</v>
      </c>
      <c r="N138" s="8"/>
      <c r="O138" s="8"/>
      <c r="P138" s="14">
        <v>21.17</v>
      </c>
      <c r="Q138" s="4"/>
      <c r="R138" s="4"/>
      <c r="S138" s="4"/>
      <c r="T138" s="4"/>
      <c r="U138" s="4"/>
      <c r="V138" s="4"/>
      <c r="W138" s="4"/>
      <c r="X138" s="4"/>
      <c r="Y138" s="4"/>
    </row>
    <row r="139">
      <c r="A139" s="5" t="s">
        <v>387</v>
      </c>
      <c r="B139" s="6">
        <v>1393.0</v>
      </c>
      <c r="C139" s="6" t="b">
        <v>0</v>
      </c>
      <c r="D139" s="8" t="str">
        <f>IFERROR(__xludf.DUMMYFUNCTION("GOOGLETRANSLATE(A139,""ar"", ""en"")"),"Rectangular table 153*76 cm")</f>
        <v>Rectangular table 153*76 cm</v>
      </c>
      <c r="E139" s="5" t="s">
        <v>390</v>
      </c>
      <c r="F139" s="9" t="s">
        <v>28</v>
      </c>
      <c r="G139" s="9" t="s">
        <v>18</v>
      </c>
      <c r="H139" s="8"/>
      <c r="I139" s="8"/>
      <c r="J139" s="10">
        <v>148.19</v>
      </c>
      <c r="K139" s="11" t="s">
        <v>389</v>
      </c>
      <c r="L139" s="8"/>
      <c r="M139" s="12">
        <v>7.0</v>
      </c>
      <c r="N139" s="8"/>
      <c r="O139" s="8"/>
      <c r="P139" s="10">
        <v>21.17</v>
      </c>
      <c r="Q139" s="4"/>
      <c r="R139" s="4"/>
      <c r="S139" s="4"/>
      <c r="T139" s="4"/>
      <c r="U139" s="4"/>
      <c r="V139" s="4"/>
      <c r="W139" s="4"/>
      <c r="X139" s="4"/>
      <c r="Y139" s="4"/>
    </row>
    <row r="140">
      <c r="A140" s="13" t="s">
        <v>391</v>
      </c>
      <c r="B140" s="6">
        <v>1394.0</v>
      </c>
      <c r="C140" s="6" t="b">
        <v>0</v>
      </c>
      <c r="D140" s="8" t="str">
        <f>IFERROR(__xludf.DUMMYFUNCTION("GOOGLETRANSLATE(A140,""ar"", ""en"")"),"Round table 154 cm")</f>
        <v>Round table 154 cm</v>
      </c>
      <c r="E140" s="13" t="s">
        <v>392</v>
      </c>
      <c r="F140" s="9" t="s">
        <v>28</v>
      </c>
      <c r="G140" s="9" t="s">
        <v>18</v>
      </c>
      <c r="H140" s="8"/>
      <c r="I140" s="8"/>
      <c r="J140" s="14">
        <v>2011.52</v>
      </c>
      <c r="K140" s="11" t="s">
        <v>393</v>
      </c>
      <c r="L140" s="8"/>
      <c r="M140" s="15">
        <v>57.0</v>
      </c>
      <c r="N140" s="8"/>
      <c r="O140" s="8"/>
      <c r="P140" s="14">
        <v>35.29</v>
      </c>
      <c r="Q140" s="4"/>
      <c r="R140" s="4"/>
      <c r="S140" s="4"/>
      <c r="T140" s="4"/>
      <c r="U140" s="4"/>
      <c r="V140" s="4"/>
      <c r="W140" s="4"/>
      <c r="X140" s="4"/>
      <c r="Y140" s="4"/>
    </row>
    <row r="141">
      <c r="A141" s="5" t="s">
        <v>394</v>
      </c>
      <c r="B141" s="6">
        <v>1395.0</v>
      </c>
      <c r="C141" s="6" t="b">
        <v>0</v>
      </c>
      <c r="D141" s="8" t="str">
        <f>IFERROR(__xludf.DUMMYFUNCTION("GOOGLETRANSLATE(A141,""ar"", ""en"")"),"FOLD / Round table 154 cm")</f>
        <v>FOLD / Round table 154 cm</v>
      </c>
      <c r="E141" s="5" t="s">
        <v>395</v>
      </c>
      <c r="F141" s="9" t="s">
        <v>28</v>
      </c>
      <c r="G141" s="9" t="s">
        <v>18</v>
      </c>
      <c r="H141" s="8"/>
      <c r="I141" s="8"/>
      <c r="J141" s="10">
        <v>423.48</v>
      </c>
      <c r="K141" s="11" t="s">
        <v>396</v>
      </c>
      <c r="L141" s="8"/>
      <c r="M141" s="12">
        <v>12.0</v>
      </c>
      <c r="N141" s="8"/>
      <c r="O141" s="8"/>
      <c r="P141" s="10">
        <v>35.29</v>
      </c>
      <c r="Q141" s="4"/>
      <c r="R141" s="4"/>
      <c r="S141" s="4"/>
      <c r="T141" s="4"/>
      <c r="U141" s="4"/>
      <c r="V141" s="4"/>
      <c r="W141" s="4"/>
      <c r="X141" s="4"/>
      <c r="Y141" s="4"/>
    </row>
    <row r="142">
      <c r="A142" s="13" t="s">
        <v>397</v>
      </c>
      <c r="B142" s="6">
        <v>1396.0</v>
      </c>
      <c r="C142" s="6" t="b">
        <v>0</v>
      </c>
      <c r="D142" s="8" t="str">
        <f>IFERROR(__xludf.DUMMYFUNCTION("GOOGLETRANSLATE(A142,""ar"", ""en"")"),"Table 172*82 cm")</f>
        <v>Table 172*82 cm</v>
      </c>
      <c r="E142" s="13" t="s">
        <v>398</v>
      </c>
      <c r="F142" s="9" t="s">
        <v>28</v>
      </c>
      <c r="G142" s="9" t="s">
        <v>18</v>
      </c>
      <c r="H142" s="8"/>
      <c r="I142" s="8"/>
      <c r="J142" s="14">
        <v>983.82</v>
      </c>
      <c r="K142" s="11" t="s">
        <v>399</v>
      </c>
      <c r="L142" s="8"/>
      <c r="M142" s="15">
        <v>34.0</v>
      </c>
      <c r="N142" s="8"/>
      <c r="O142" s="8"/>
      <c r="P142" s="14">
        <v>28.94</v>
      </c>
      <c r="Q142" s="4"/>
      <c r="R142" s="4"/>
      <c r="S142" s="4"/>
      <c r="T142" s="4"/>
      <c r="U142" s="4"/>
      <c r="V142" s="4"/>
      <c r="W142" s="4"/>
      <c r="X142" s="4"/>
      <c r="Y142" s="4"/>
    </row>
    <row r="143">
      <c r="A143" s="5" t="s">
        <v>400</v>
      </c>
      <c r="B143" s="6">
        <v>1397.0</v>
      </c>
      <c r="C143" s="6" t="b">
        <v>0</v>
      </c>
      <c r="D143" s="8" t="str">
        <f>IFERROR(__xludf.DUMMYFUNCTION("GOOGLETRANSLATE(A143,""ar"", ""en"")"),"180 cm round table")</f>
        <v>180 cm round table</v>
      </c>
      <c r="E143" s="5" t="s">
        <v>401</v>
      </c>
      <c r="F143" s="9" t="s">
        <v>28</v>
      </c>
      <c r="G143" s="9" t="s">
        <v>18</v>
      </c>
      <c r="H143" s="8"/>
      <c r="I143" s="8"/>
      <c r="J143" s="10">
        <v>677.56</v>
      </c>
      <c r="K143" s="11" t="s">
        <v>402</v>
      </c>
      <c r="L143" s="8"/>
      <c r="M143" s="12">
        <v>12.0</v>
      </c>
      <c r="N143" s="8"/>
      <c r="O143" s="8"/>
      <c r="P143" s="10">
        <v>56.46</v>
      </c>
      <c r="Q143" s="4"/>
      <c r="R143" s="4"/>
      <c r="S143" s="4"/>
      <c r="T143" s="4"/>
      <c r="U143" s="4"/>
      <c r="V143" s="4"/>
      <c r="W143" s="4"/>
      <c r="X143" s="4"/>
      <c r="Y143" s="4"/>
    </row>
    <row r="144">
      <c r="A144" s="13" t="s">
        <v>403</v>
      </c>
      <c r="B144" s="6">
        <v>1398.0</v>
      </c>
      <c r="C144" s="6" t="b">
        <v>0</v>
      </c>
      <c r="D144" s="8" t="str">
        <f>IFERROR(__xludf.DUMMYFUNCTION("GOOGLETRANSLATE(A144,""ar"", ""en"")"),"FOLD / Rectangular table 183*76 cm")</f>
        <v>FOLD / Rectangular table 183*76 cm</v>
      </c>
      <c r="E144" s="13" t="s">
        <v>404</v>
      </c>
      <c r="F144" s="9" t="s">
        <v>28</v>
      </c>
      <c r="G144" s="9" t="s">
        <v>18</v>
      </c>
      <c r="H144" s="8"/>
      <c r="I144" s="8"/>
      <c r="J144" s="14">
        <v>22.94</v>
      </c>
      <c r="K144" s="11" t="s">
        <v>405</v>
      </c>
      <c r="L144" s="8"/>
      <c r="M144" s="15">
        <v>1.0</v>
      </c>
      <c r="N144" s="8"/>
      <c r="O144" s="8"/>
      <c r="P144" s="14">
        <v>22.94</v>
      </c>
      <c r="Q144" s="4"/>
      <c r="R144" s="4"/>
      <c r="S144" s="4"/>
      <c r="T144" s="4"/>
      <c r="U144" s="4"/>
      <c r="V144" s="4"/>
      <c r="W144" s="4"/>
      <c r="X144" s="4"/>
      <c r="Y144" s="4"/>
    </row>
    <row r="145">
      <c r="A145" s="5" t="s">
        <v>406</v>
      </c>
      <c r="B145" s="6">
        <v>1399.0</v>
      </c>
      <c r="C145" s="6" t="b">
        <v>0</v>
      </c>
      <c r="D145" s="8" t="str">
        <f>IFERROR(__xludf.DUMMYFUNCTION("GOOGLETRANSLATE(A145,""ar"", ""en"")"),"Rectangular table 201*90 cm")</f>
        <v>Rectangular table 201*90 cm</v>
      </c>
      <c r="E145" s="5" t="s">
        <v>407</v>
      </c>
      <c r="F145" s="9" t="s">
        <v>28</v>
      </c>
      <c r="G145" s="9" t="s">
        <v>18</v>
      </c>
      <c r="H145" s="8"/>
      <c r="I145" s="8"/>
      <c r="J145" s="10">
        <v>1289.17</v>
      </c>
      <c r="K145" s="11" t="s">
        <v>408</v>
      </c>
      <c r="L145" s="8"/>
      <c r="M145" s="12">
        <v>31.0</v>
      </c>
      <c r="N145" s="8"/>
      <c r="O145" s="8"/>
      <c r="P145" s="10">
        <v>41.59</v>
      </c>
      <c r="Q145" s="4"/>
      <c r="R145" s="4"/>
      <c r="S145" s="4"/>
      <c r="T145" s="4"/>
      <c r="U145" s="4"/>
      <c r="V145" s="4"/>
      <c r="W145" s="4"/>
      <c r="X145" s="4"/>
      <c r="Y145" s="4"/>
    </row>
    <row r="146">
      <c r="A146" s="13" t="s">
        <v>409</v>
      </c>
      <c r="B146" s="6">
        <v>1400.0</v>
      </c>
      <c r="C146" s="6" t="b">
        <v>0</v>
      </c>
      <c r="D146" s="8" t="str">
        <f>IFERROR(__xludf.DUMMYFUNCTION("GOOGLETRANSLATE(A146,""ar"", ""en"")"),"Rectangular table 244*76 cm")</f>
        <v>Rectangular table 244*76 cm</v>
      </c>
      <c r="E146" s="13" t="s">
        <v>410</v>
      </c>
      <c r="F146" s="9" t="s">
        <v>28</v>
      </c>
      <c r="G146" s="9" t="s">
        <v>18</v>
      </c>
      <c r="H146" s="8"/>
      <c r="I146" s="8"/>
      <c r="J146" s="14">
        <v>705.8</v>
      </c>
      <c r="K146" s="11" t="s">
        <v>411</v>
      </c>
      <c r="L146" s="8"/>
      <c r="M146" s="15">
        <v>20.0</v>
      </c>
      <c r="N146" s="8"/>
      <c r="O146" s="8"/>
      <c r="P146" s="14">
        <v>35.29</v>
      </c>
      <c r="Q146" s="4"/>
      <c r="R146" s="4"/>
      <c r="S146" s="4"/>
      <c r="T146" s="4"/>
      <c r="U146" s="4"/>
      <c r="V146" s="4"/>
      <c r="W146" s="4"/>
      <c r="X146" s="4"/>
      <c r="Y146" s="4"/>
    </row>
    <row r="147">
      <c r="A147" s="5" t="s">
        <v>412</v>
      </c>
      <c r="B147" s="6">
        <v>1401.0</v>
      </c>
      <c r="C147" s="6" t="b">
        <v>0</v>
      </c>
      <c r="D147" s="8" t="str">
        <f>IFERROR(__xludf.DUMMYFUNCTION("GOOGLETRANSLATE(A147,""ar"", ""en"")"),"60 cm round table")</f>
        <v>60 cm round table</v>
      </c>
      <c r="E147" s="5" t="s">
        <v>413</v>
      </c>
      <c r="F147" s="9" t="s">
        <v>28</v>
      </c>
      <c r="G147" s="9" t="s">
        <v>18</v>
      </c>
      <c r="H147" s="8"/>
      <c r="I147" s="8"/>
      <c r="J147" s="10">
        <v>7.54</v>
      </c>
      <c r="K147" s="11" t="s">
        <v>414</v>
      </c>
      <c r="L147" s="8"/>
      <c r="M147" s="12">
        <v>1.0</v>
      </c>
      <c r="N147" s="8"/>
      <c r="O147" s="8"/>
      <c r="P147" s="10">
        <v>7.54</v>
      </c>
      <c r="Q147" s="4"/>
      <c r="R147" s="4"/>
      <c r="S147" s="4"/>
      <c r="T147" s="4"/>
      <c r="U147" s="4"/>
      <c r="V147" s="4"/>
      <c r="W147" s="4"/>
      <c r="X147" s="4"/>
      <c r="Y147" s="4"/>
    </row>
    <row r="148">
      <c r="A148" s="13" t="s">
        <v>415</v>
      </c>
      <c r="B148" s="6">
        <v>1402.0</v>
      </c>
      <c r="C148" s="6" t="b">
        <v>0</v>
      </c>
      <c r="D148" s="8" t="str">
        <f>IFERROR(__xludf.DUMMYFUNCTION("GOOGLETRANSLATE(A148,""ar"", ""en"")"),"table")</f>
        <v>table</v>
      </c>
      <c r="E148" s="13" t="s">
        <v>416</v>
      </c>
      <c r="F148" s="9" t="s">
        <v>28</v>
      </c>
      <c r="G148" s="9" t="s">
        <v>18</v>
      </c>
      <c r="H148" s="8"/>
      <c r="I148" s="8"/>
      <c r="J148" s="14">
        <v>72.5</v>
      </c>
      <c r="K148" s="11" t="s">
        <v>417</v>
      </c>
      <c r="L148" s="8"/>
      <c r="M148" s="15">
        <v>8.0</v>
      </c>
      <c r="N148" s="8"/>
      <c r="O148" s="8"/>
      <c r="P148" s="14">
        <v>9.06</v>
      </c>
      <c r="Q148" s="4"/>
      <c r="R148" s="4"/>
      <c r="S148" s="4"/>
      <c r="T148" s="4"/>
      <c r="U148" s="4"/>
      <c r="V148" s="4"/>
      <c r="W148" s="4"/>
      <c r="X148" s="4"/>
      <c r="Y148" s="4"/>
    </row>
    <row r="149">
      <c r="A149" s="5" t="s">
        <v>418</v>
      </c>
      <c r="B149" s="6">
        <v>1403.0</v>
      </c>
      <c r="C149" s="6" t="b">
        <v>0</v>
      </c>
      <c r="D149" s="8" t="str">
        <f>IFERROR(__xludf.DUMMYFUNCTION("GOOGLETRANSLATE(A149,""ar"", ""en"")"),"80 cm round table")</f>
        <v>80 cm round table</v>
      </c>
      <c r="E149" s="5" t="s">
        <v>419</v>
      </c>
      <c r="F149" s="9" t="s">
        <v>28</v>
      </c>
      <c r="G149" s="9" t="s">
        <v>18</v>
      </c>
      <c r="H149" s="8"/>
      <c r="I149" s="8"/>
      <c r="J149" s="10">
        <v>45.77</v>
      </c>
      <c r="K149" s="11" t="s">
        <v>420</v>
      </c>
      <c r="L149" s="8"/>
      <c r="M149" s="12">
        <v>3.0</v>
      </c>
      <c r="N149" s="8"/>
      <c r="O149" s="8"/>
      <c r="P149" s="10">
        <v>15.26</v>
      </c>
      <c r="Q149" s="4"/>
      <c r="R149" s="4"/>
      <c r="S149" s="4"/>
      <c r="T149" s="4"/>
      <c r="U149" s="4"/>
      <c r="V149" s="4"/>
      <c r="W149" s="4"/>
      <c r="X149" s="4"/>
      <c r="Y149" s="4"/>
    </row>
    <row r="150">
      <c r="A150" s="13" t="s">
        <v>421</v>
      </c>
      <c r="B150" s="6">
        <v>1404.0</v>
      </c>
      <c r="C150" s="6" t="b">
        <v>0</v>
      </c>
      <c r="D150" s="8" t="str">
        <f>IFERROR(__xludf.DUMMYFUNCTION("GOOGLETRANSLATE(A150,""ar"", ""en"")"),"square table")</f>
        <v>square table</v>
      </c>
      <c r="E150" s="13" t="s">
        <v>422</v>
      </c>
      <c r="F150" s="9" t="s">
        <v>28</v>
      </c>
      <c r="G150" s="9" t="s">
        <v>18</v>
      </c>
      <c r="H150" s="8"/>
      <c r="I150" s="8"/>
      <c r="J150" s="14">
        <v>205.79</v>
      </c>
      <c r="K150" s="11" t="s">
        <v>423</v>
      </c>
      <c r="L150" s="8"/>
      <c r="M150" s="15">
        <v>13.0</v>
      </c>
      <c r="N150" s="8"/>
      <c r="O150" s="8"/>
      <c r="P150" s="14">
        <v>15.83</v>
      </c>
      <c r="Q150" s="4"/>
      <c r="R150" s="4"/>
      <c r="S150" s="4"/>
      <c r="T150" s="4"/>
      <c r="U150" s="4"/>
      <c r="V150" s="4"/>
      <c r="W150" s="4"/>
      <c r="X150" s="4"/>
      <c r="Y150" s="4"/>
    </row>
    <row r="151">
      <c r="A151" s="13" t="s">
        <v>424</v>
      </c>
      <c r="B151" s="6">
        <v>1408.0</v>
      </c>
      <c r="C151" s="6" t="b">
        <v>0</v>
      </c>
      <c r="D151" s="8" t="str">
        <f>IFERROR(__xludf.DUMMYFUNCTION("GOOGLETRANSLATE(A151,""ar"", ""en"")"),"110*70 wood face")</f>
        <v>110*70 wood face</v>
      </c>
      <c r="E151" s="13" t="s">
        <v>425</v>
      </c>
      <c r="F151" s="9" t="s">
        <v>27</v>
      </c>
      <c r="G151" s="9" t="s">
        <v>18</v>
      </c>
      <c r="H151" s="27" t="s">
        <v>98</v>
      </c>
      <c r="I151" s="16" t="s">
        <v>426</v>
      </c>
      <c r="J151" s="14">
        <v>0.0</v>
      </c>
      <c r="K151" s="11" t="s">
        <v>427</v>
      </c>
      <c r="L151" s="8"/>
      <c r="M151" s="15">
        <v>10.0</v>
      </c>
      <c r="N151" s="8"/>
      <c r="O151" s="8"/>
      <c r="P151" s="14">
        <v>0.0</v>
      </c>
      <c r="Q151" s="4"/>
      <c r="R151" s="4"/>
      <c r="S151" s="4"/>
      <c r="T151" s="4"/>
      <c r="U151" s="4"/>
      <c r="V151" s="4"/>
      <c r="W151" s="4"/>
      <c r="X151" s="4"/>
      <c r="Y151" s="4"/>
    </row>
    <row r="152">
      <c r="A152" s="5" t="s">
        <v>428</v>
      </c>
      <c r="B152" s="6">
        <v>1409.0</v>
      </c>
      <c r="C152" s="6" t="b">
        <v>0</v>
      </c>
      <c r="D152" s="8" t="str">
        <f>IFERROR(__xludf.DUMMYFUNCTION("GOOGLETRANSLATE(A152,""ar"", ""en"")"),"60*60 wood face")</f>
        <v>60*60 wood face</v>
      </c>
      <c r="E152" s="5" t="s">
        <v>429</v>
      </c>
      <c r="F152" s="9" t="s">
        <v>27</v>
      </c>
      <c r="G152" s="9" t="s">
        <v>18</v>
      </c>
      <c r="H152" s="27" t="s">
        <v>98</v>
      </c>
      <c r="I152" s="8"/>
      <c r="J152" s="10">
        <v>0.0</v>
      </c>
      <c r="K152" s="11" t="s">
        <v>430</v>
      </c>
      <c r="L152" s="8"/>
      <c r="M152" s="12">
        <v>38.0</v>
      </c>
      <c r="N152" s="8"/>
      <c r="O152" s="8"/>
      <c r="P152" s="10">
        <v>0.0</v>
      </c>
      <c r="Q152" s="4"/>
      <c r="R152" s="4"/>
      <c r="S152" s="4"/>
      <c r="T152" s="4"/>
      <c r="U152" s="4"/>
      <c r="V152" s="4"/>
      <c r="W152" s="4"/>
      <c r="X152" s="4"/>
      <c r="Y152" s="4"/>
    </row>
    <row r="153">
      <c r="A153" s="5" t="s">
        <v>431</v>
      </c>
      <c r="B153" s="6">
        <v>1412.0</v>
      </c>
      <c r="C153" s="6" t="b">
        <v>0</v>
      </c>
      <c r="D153" s="8" t="str">
        <f>IFERROR(__xludf.DUMMYFUNCTION("GOOGLETRANSLATE(A153,""ar"", ""en"")"),"3-seat aluminum set")</f>
        <v>3-seat aluminum set</v>
      </c>
      <c r="E153" s="5" t="s">
        <v>432</v>
      </c>
      <c r="F153" s="9" t="s">
        <v>28</v>
      </c>
      <c r="G153" s="30"/>
      <c r="H153" s="16" t="s">
        <v>382</v>
      </c>
      <c r="I153" s="8"/>
      <c r="J153" s="29"/>
      <c r="K153" s="11" t="s">
        <v>433</v>
      </c>
      <c r="L153" s="8"/>
      <c r="M153" s="12">
        <v>5.0</v>
      </c>
      <c r="N153" s="8"/>
      <c r="O153" s="8"/>
      <c r="P153" s="29"/>
      <c r="Q153" s="4"/>
      <c r="R153" s="4"/>
      <c r="S153" s="4"/>
      <c r="T153" s="4"/>
      <c r="U153" s="4"/>
      <c r="V153" s="4"/>
      <c r="W153" s="4"/>
      <c r="X153" s="4"/>
      <c r="Y153" s="4"/>
    </row>
    <row r="154">
      <c r="A154" s="13" t="s">
        <v>434</v>
      </c>
      <c r="B154" s="6">
        <v>1413.0</v>
      </c>
      <c r="C154" s="6" t="b">
        <v>0</v>
      </c>
      <c r="D154" s="8" t="str">
        <f>IFERROR(__xludf.DUMMYFUNCTION("GOOGLETRANSLATE(A154,""ar"", ""en"")"),"Aluminum set 1+1+3")</f>
        <v>Aluminum set 1+1+3</v>
      </c>
      <c r="E154" s="13" t="s">
        <v>435</v>
      </c>
      <c r="F154" s="9" t="s">
        <v>28</v>
      </c>
      <c r="G154" s="30"/>
      <c r="H154" s="16" t="s">
        <v>382</v>
      </c>
      <c r="I154" s="8"/>
      <c r="J154" s="31"/>
      <c r="K154" s="11" t="s">
        <v>436</v>
      </c>
      <c r="L154" s="8"/>
      <c r="M154" s="15">
        <v>12.0</v>
      </c>
      <c r="N154" s="8"/>
      <c r="O154" s="8"/>
      <c r="P154" s="31"/>
      <c r="Q154" s="4"/>
      <c r="R154" s="4"/>
      <c r="S154" s="4"/>
      <c r="T154" s="4"/>
      <c r="U154" s="4"/>
      <c r="V154" s="4"/>
      <c r="W154" s="4"/>
      <c r="X154" s="4"/>
      <c r="Y154" s="4"/>
    </row>
    <row r="155">
      <c r="A155" s="13" t="s">
        <v>431</v>
      </c>
      <c r="B155" s="6">
        <v>1415.0</v>
      </c>
      <c r="C155" s="6" t="b">
        <v>0</v>
      </c>
      <c r="D155" s="8" t="str">
        <f>IFERROR(__xludf.DUMMYFUNCTION("GOOGLETRANSLATE(A155,""ar"", ""en"")"),"3-seat aluminum set")</f>
        <v>3-seat aluminum set</v>
      </c>
      <c r="E155" s="13" t="s">
        <v>437</v>
      </c>
      <c r="F155" s="9" t="s">
        <v>28</v>
      </c>
      <c r="G155" s="30"/>
      <c r="H155" s="16" t="s">
        <v>382</v>
      </c>
      <c r="I155" s="8"/>
      <c r="J155" s="31"/>
      <c r="K155" s="11" t="s">
        <v>433</v>
      </c>
      <c r="L155" s="8"/>
      <c r="M155" s="15">
        <v>16.0</v>
      </c>
      <c r="N155" s="8"/>
      <c r="O155" s="8"/>
      <c r="P155" s="31"/>
      <c r="Q155" s="4"/>
      <c r="R155" s="4"/>
      <c r="S155" s="4"/>
      <c r="T155" s="4"/>
      <c r="U155" s="4"/>
      <c r="V155" s="4"/>
      <c r="W155" s="4"/>
      <c r="X155" s="4"/>
      <c r="Y155" s="4"/>
    </row>
    <row r="156">
      <c r="A156" s="5" t="s">
        <v>438</v>
      </c>
      <c r="B156" s="6">
        <v>1416.0</v>
      </c>
      <c r="C156" s="6" t="b">
        <v>0</v>
      </c>
      <c r="D156" s="8" t="str">
        <f>IFERROR(__xludf.DUMMYFUNCTION("GOOGLETRANSLATE(A156,""ar"", ""en"")"),"Aluminum set 1+2+3")</f>
        <v>Aluminum set 1+2+3</v>
      </c>
      <c r="E156" s="5" t="s">
        <v>439</v>
      </c>
      <c r="F156" s="9" t="s">
        <v>28</v>
      </c>
      <c r="G156" s="9"/>
      <c r="H156" s="16" t="s">
        <v>382</v>
      </c>
      <c r="I156" s="8"/>
      <c r="J156" s="29"/>
      <c r="K156" s="11" t="s">
        <v>440</v>
      </c>
      <c r="L156" s="8"/>
      <c r="M156" s="12">
        <v>21.0</v>
      </c>
      <c r="N156" s="8"/>
      <c r="O156" s="8"/>
      <c r="P156" s="29"/>
      <c r="Q156" s="4"/>
      <c r="R156" s="4"/>
      <c r="S156" s="4"/>
      <c r="T156" s="4"/>
      <c r="U156" s="4"/>
      <c r="V156" s="4"/>
      <c r="W156" s="4"/>
      <c r="X156" s="4"/>
      <c r="Y156" s="4"/>
    </row>
    <row r="157">
      <c r="A157" s="13" t="s">
        <v>431</v>
      </c>
      <c r="B157" s="6">
        <v>1417.0</v>
      </c>
      <c r="C157" s="6" t="b">
        <v>0</v>
      </c>
      <c r="D157" s="8" t="str">
        <f>IFERROR(__xludf.DUMMYFUNCTION("GOOGLETRANSLATE(A157,""ar"", ""en"")"),"3-seat aluminum set")</f>
        <v>3-seat aluminum set</v>
      </c>
      <c r="E157" s="35" t="s">
        <v>441</v>
      </c>
      <c r="F157" s="9" t="s">
        <v>28</v>
      </c>
      <c r="G157" s="9"/>
      <c r="H157" s="16" t="s">
        <v>382</v>
      </c>
      <c r="I157" s="8"/>
      <c r="J157" s="31"/>
      <c r="K157" s="11" t="s">
        <v>433</v>
      </c>
      <c r="L157" s="8"/>
      <c r="M157" s="15">
        <v>17.0</v>
      </c>
      <c r="N157" s="8"/>
      <c r="O157" s="8"/>
      <c r="P157" s="31"/>
      <c r="Q157" s="4"/>
      <c r="R157" s="4"/>
      <c r="S157" s="4"/>
      <c r="T157" s="4"/>
      <c r="U157" s="4"/>
      <c r="V157" s="4"/>
      <c r="W157" s="4"/>
      <c r="X157" s="4"/>
      <c r="Y157" s="4"/>
    </row>
    <row r="158">
      <c r="A158" s="13" t="s">
        <v>442</v>
      </c>
      <c r="B158" s="6">
        <v>1419.0</v>
      </c>
      <c r="C158" s="6" t="b">
        <v>0</v>
      </c>
      <c r="D158" s="8" t="str">
        <f>IFERROR(__xludf.DUMMYFUNCTION("GOOGLETRANSLATE(A158,""ar"", ""en"")"),"7-seat aluminum set")</f>
        <v>7-seat aluminum set</v>
      </c>
      <c r="E158" s="13" t="s">
        <v>443</v>
      </c>
      <c r="F158" s="9" t="s">
        <v>28</v>
      </c>
      <c r="G158" s="9"/>
      <c r="H158" s="16" t="s">
        <v>382</v>
      </c>
      <c r="I158" s="8"/>
      <c r="J158" s="31"/>
      <c r="K158" s="11" t="s">
        <v>444</v>
      </c>
      <c r="L158" s="8"/>
      <c r="M158" s="15">
        <v>1.0</v>
      </c>
      <c r="N158" s="8"/>
      <c r="O158" s="8"/>
      <c r="P158" s="31"/>
      <c r="Q158" s="4"/>
      <c r="R158" s="4"/>
      <c r="S158" s="4"/>
      <c r="T158" s="4"/>
      <c r="U158" s="4"/>
      <c r="V158" s="4"/>
      <c r="W158" s="4"/>
      <c r="X158" s="4"/>
      <c r="Y158" s="4"/>
    </row>
    <row r="159">
      <c r="A159" s="13" t="s">
        <v>431</v>
      </c>
      <c r="B159" s="6">
        <v>1423.0</v>
      </c>
      <c r="C159" s="6" t="b">
        <v>0</v>
      </c>
      <c r="D159" s="8" t="str">
        <f>IFERROR(__xludf.DUMMYFUNCTION("GOOGLETRANSLATE(A159,""ar"", ""en"")"),"3-seat aluminum set")</f>
        <v>3-seat aluminum set</v>
      </c>
      <c r="E159" s="13" t="s">
        <v>445</v>
      </c>
      <c r="F159" s="9" t="s">
        <v>28</v>
      </c>
      <c r="G159" s="9"/>
      <c r="H159" s="16" t="s">
        <v>382</v>
      </c>
      <c r="I159" s="8"/>
      <c r="J159" s="31"/>
      <c r="K159" s="11" t="s">
        <v>433</v>
      </c>
      <c r="L159" s="8"/>
      <c r="M159" s="15">
        <v>17.0</v>
      </c>
      <c r="N159" s="8"/>
      <c r="O159" s="8"/>
      <c r="P159" s="31"/>
      <c r="Q159" s="4"/>
      <c r="R159" s="4"/>
      <c r="S159" s="4"/>
      <c r="T159" s="4"/>
      <c r="U159" s="4"/>
      <c r="V159" s="4"/>
      <c r="W159" s="4"/>
      <c r="X159" s="4"/>
      <c r="Y159" s="4"/>
    </row>
    <row r="160">
      <c r="A160" s="13" t="s">
        <v>446</v>
      </c>
      <c r="B160" s="6">
        <v>1425.0</v>
      </c>
      <c r="C160" s="6" t="b">
        <v>0</v>
      </c>
      <c r="D160" s="8" t="str">
        <f>IFERROR(__xludf.DUMMYFUNCTION("GOOGLETRANSLATE(A160,""ar"", ""en"")"),"70 round aluminum table")</f>
        <v>70 round aluminum table</v>
      </c>
      <c r="E160" s="13" t="s">
        <v>447</v>
      </c>
      <c r="F160" s="9" t="s">
        <v>28</v>
      </c>
      <c r="G160" s="9"/>
      <c r="H160" s="16" t="s">
        <v>382</v>
      </c>
      <c r="I160" s="8"/>
      <c r="J160" s="31"/>
      <c r="K160" s="11" t="s">
        <v>448</v>
      </c>
      <c r="L160" s="8"/>
      <c r="M160" s="15">
        <v>74.0</v>
      </c>
      <c r="N160" s="8"/>
      <c r="O160" s="8"/>
      <c r="P160" s="31"/>
      <c r="Q160" s="4"/>
      <c r="R160" s="4"/>
      <c r="S160" s="4"/>
      <c r="T160" s="4"/>
      <c r="U160" s="4"/>
      <c r="V160" s="4"/>
      <c r="W160" s="4"/>
      <c r="X160" s="4"/>
      <c r="Y160" s="4"/>
    </row>
    <row r="161">
      <c r="A161" s="13" t="s">
        <v>449</v>
      </c>
      <c r="B161" s="6">
        <v>1427.0</v>
      </c>
      <c r="C161" s="6" t="b">
        <v>0</v>
      </c>
      <c r="D161" s="8" t="str">
        <f>IFERROR(__xludf.DUMMYFUNCTION("GOOGLETRANSLATE(A161,""ar"", ""en"")"),"Aluminum table 80*80")</f>
        <v>Aluminum table 80*80</v>
      </c>
      <c r="E161" s="13" t="s">
        <v>450</v>
      </c>
      <c r="F161" s="9" t="s">
        <v>28</v>
      </c>
      <c r="G161" s="9"/>
      <c r="H161" s="16" t="s">
        <v>382</v>
      </c>
      <c r="I161" s="8"/>
      <c r="J161" s="31"/>
      <c r="K161" s="11" t="s">
        <v>451</v>
      </c>
      <c r="L161" s="8"/>
      <c r="M161" s="15">
        <v>21.0</v>
      </c>
      <c r="N161" s="8"/>
      <c r="O161" s="8"/>
      <c r="P161" s="31"/>
      <c r="Q161" s="4"/>
      <c r="R161" s="4"/>
      <c r="S161" s="4"/>
      <c r="T161" s="4"/>
      <c r="U161" s="4"/>
      <c r="V161" s="4"/>
      <c r="W161" s="4"/>
      <c r="X161" s="4"/>
      <c r="Y161" s="4"/>
    </row>
    <row r="162">
      <c r="A162" s="36" t="s">
        <v>452</v>
      </c>
      <c r="B162" s="37">
        <v>1428.0</v>
      </c>
      <c r="C162" s="38" t="b">
        <v>1</v>
      </c>
      <c r="D162" s="39" t="str">
        <f>IFERROR(__xludf.DUMMYFUNCTION("GOOGLETRANSLATE(A162,""ar"", ""en"")"),"BLK Aluminum Table with Glass 80cm Round")</f>
        <v>BLK Aluminum Table with Glass 80cm Round</v>
      </c>
      <c r="E162" s="36" t="s">
        <v>453</v>
      </c>
      <c r="F162" s="41" t="s">
        <v>28</v>
      </c>
      <c r="G162" s="41"/>
      <c r="H162" s="46" t="s">
        <v>382</v>
      </c>
      <c r="I162" s="39"/>
      <c r="J162" s="50"/>
      <c r="K162" s="44" t="s">
        <v>454</v>
      </c>
      <c r="L162" s="39"/>
      <c r="M162" s="45">
        <v>34.0</v>
      </c>
      <c r="N162" s="8"/>
      <c r="O162" s="8"/>
      <c r="P162" s="29"/>
      <c r="Q162" s="4"/>
      <c r="R162" s="4"/>
      <c r="S162" s="4"/>
      <c r="T162" s="4"/>
      <c r="U162" s="4"/>
      <c r="V162" s="4"/>
      <c r="W162" s="4"/>
      <c r="X162" s="4"/>
      <c r="Y162" s="4"/>
    </row>
    <row r="163">
      <c r="A163" s="17" t="s">
        <v>455</v>
      </c>
      <c r="B163" s="18">
        <v>1429.0</v>
      </c>
      <c r="C163" s="19" t="b">
        <v>1</v>
      </c>
      <c r="D163" s="20" t="str">
        <f>IFERROR(__xludf.DUMMYFUNCTION("GOOGLETRANSLATE(A163,""ar"", ""en"")"),"COFFEE Aluminum table with glass 80 cm round")</f>
        <v>COFFEE Aluminum table with glass 80 cm round</v>
      </c>
      <c r="E163" s="28" t="s">
        <v>456</v>
      </c>
      <c r="F163" s="9" t="s">
        <v>28</v>
      </c>
      <c r="G163" s="9"/>
      <c r="H163" s="16" t="s">
        <v>382</v>
      </c>
      <c r="I163" s="8"/>
      <c r="J163" s="31"/>
      <c r="K163" s="11" t="s">
        <v>457</v>
      </c>
      <c r="L163" s="8"/>
      <c r="M163" s="15">
        <v>14.0</v>
      </c>
      <c r="N163" s="8"/>
      <c r="O163" s="8"/>
      <c r="P163" s="31"/>
      <c r="Q163" s="4"/>
      <c r="R163" s="4"/>
      <c r="S163" s="4"/>
      <c r="T163" s="4"/>
      <c r="U163" s="4"/>
      <c r="V163" s="4"/>
      <c r="W163" s="4"/>
      <c r="X163" s="4"/>
      <c r="Y163" s="4"/>
    </row>
    <row r="164">
      <c r="A164" s="36" t="s">
        <v>458</v>
      </c>
      <c r="B164" s="37">
        <v>1430.0</v>
      </c>
      <c r="C164" s="38" t="b">
        <v>1</v>
      </c>
      <c r="D164" s="39" t="str">
        <f>IFERROR(__xludf.DUMMYFUNCTION("GOOGLETRANSLATE(A164,""ar"", ""en"")"),"Aluminum table with glass 80*80 cm square")</f>
        <v>Aluminum table with glass 80*80 cm square</v>
      </c>
      <c r="E164" s="36" t="s">
        <v>459</v>
      </c>
      <c r="F164" s="41" t="s">
        <v>28</v>
      </c>
      <c r="G164" s="41"/>
      <c r="H164" s="46" t="s">
        <v>382</v>
      </c>
      <c r="I164" s="39"/>
      <c r="J164" s="50"/>
      <c r="K164" s="44" t="s">
        <v>460</v>
      </c>
      <c r="L164" s="39"/>
      <c r="M164" s="45">
        <v>9.0</v>
      </c>
      <c r="N164" s="8"/>
      <c r="O164" s="8"/>
      <c r="P164" s="29"/>
      <c r="Q164" s="4"/>
      <c r="R164" s="4"/>
      <c r="S164" s="4"/>
      <c r="T164" s="4"/>
      <c r="U164" s="4"/>
      <c r="V164" s="4"/>
      <c r="W164" s="4"/>
      <c r="X164" s="4"/>
      <c r="Y164" s="4"/>
    </row>
    <row r="165">
      <c r="A165" s="13" t="s">
        <v>461</v>
      </c>
      <c r="B165" s="6">
        <v>1431.0</v>
      </c>
      <c r="C165" s="6" t="b">
        <v>0</v>
      </c>
      <c r="D165" s="8" t="str">
        <f>IFERROR(__xludf.DUMMYFUNCTION("GOOGLETRANSLATE(A165,""ar"", ""en"")"),"BLK Aluminum Table with Glass 80*120 cm")</f>
        <v>BLK Aluminum Table with Glass 80*120 cm</v>
      </c>
      <c r="E165" s="13" t="s">
        <v>462</v>
      </c>
      <c r="F165" s="9" t="s">
        <v>28</v>
      </c>
      <c r="G165" s="9"/>
      <c r="H165" s="16" t="s">
        <v>382</v>
      </c>
      <c r="I165" s="8"/>
      <c r="J165" s="31"/>
      <c r="K165" s="11" t="s">
        <v>463</v>
      </c>
      <c r="L165" s="8"/>
      <c r="M165" s="15">
        <v>12.0</v>
      </c>
      <c r="N165" s="8"/>
      <c r="O165" s="8"/>
      <c r="P165" s="31"/>
      <c r="Q165" s="4"/>
      <c r="R165" s="4"/>
      <c r="S165" s="4"/>
      <c r="T165" s="4"/>
      <c r="U165" s="4"/>
      <c r="V165" s="4"/>
      <c r="W165" s="4"/>
      <c r="X165" s="4"/>
      <c r="Y165" s="4"/>
    </row>
    <row r="166">
      <c r="A166" s="36" t="s">
        <v>464</v>
      </c>
      <c r="B166" s="37">
        <v>1432.0</v>
      </c>
      <c r="C166" s="38" t="b">
        <v>1</v>
      </c>
      <c r="D166" s="39" t="str">
        <f>IFERROR(__xludf.DUMMYFUNCTION("GOOGLETRANSLATE(A166,""ar"", ""en"")"),"COFFEE Aluminum table with glass 80*120 cm")</f>
        <v>COFFEE Aluminum table with glass 80*120 cm</v>
      </c>
      <c r="E166" s="48" t="s">
        <v>465</v>
      </c>
      <c r="F166" s="41" t="s">
        <v>28</v>
      </c>
      <c r="G166" s="41"/>
      <c r="H166" s="46" t="s">
        <v>382</v>
      </c>
      <c r="I166" s="39"/>
      <c r="J166" s="50"/>
      <c r="K166" s="44" t="s">
        <v>466</v>
      </c>
      <c r="L166" s="39"/>
      <c r="M166" s="45">
        <v>12.0</v>
      </c>
      <c r="N166" s="8"/>
      <c r="O166" s="8"/>
      <c r="P166" s="29"/>
      <c r="Q166" s="4"/>
      <c r="R166" s="4"/>
      <c r="S166" s="4"/>
      <c r="T166" s="4"/>
      <c r="U166" s="4"/>
      <c r="V166" s="4"/>
      <c r="W166" s="4"/>
      <c r="X166" s="4"/>
      <c r="Y166" s="4"/>
    </row>
    <row r="167">
      <c r="A167" s="13" t="s">
        <v>467</v>
      </c>
      <c r="B167" s="6">
        <v>1433.0</v>
      </c>
      <c r="C167" s="6" t="b">
        <v>0</v>
      </c>
      <c r="D167" s="8" t="str">
        <f>IFERROR(__xludf.DUMMYFUNCTION("GOOGLETRANSLATE(A167,""ar"", ""en"")"),"BLK Aluminum Table with Glass 105 cm Round")</f>
        <v>BLK Aluminum Table with Glass 105 cm Round</v>
      </c>
      <c r="E167" s="13" t="s">
        <v>468</v>
      </c>
      <c r="F167" s="9" t="s">
        <v>28</v>
      </c>
      <c r="G167" s="9"/>
      <c r="H167" s="16" t="s">
        <v>382</v>
      </c>
      <c r="I167" s="8"/>
      <c r="J167" s="31"/>
      <c r="K167" s="11" t="s">
        <v>469</v>
      </c>
      <c r="L167" s="8"/>
      <c r="M167" s="15">
        <v>6.0</v>
      </c>
      <c r="N167" s="8"/>
      <c r="O167" s="8"/>
      <c r="P167" s="31"/>
      <c r="Q167" s="4"/>
      <c r="R167" s="4"/>
      <c r="S167" s="4"/>
      <c r="T167" s="4"/>
      <c r="U167" s="4"/>
      <c r="V167" s="4"/>
      <c r="W167" s="4"/>
      <c r="X167" s="4"/>
      <c r="Y167" s="4"/>
    </row>
    <row r="168">
      <c r="A168" s="5" t="s">
        <v>470</v>
      </c>
      <c r="B168" s="6">
        <v>1434.0</v>
      </c>
      <c r="C168" s="6" t="b">
        <v>0</v>
      </c>
      <c r="D168" s="8" t="str">
        <f>IFERROR(__xludf.DUMMYFUNCTION("GOOGLETRANSLATE(A168,""ar"", ""en"")"),"COFFEE Aluminum Table with Glass 105 cm Round")</f>
        <v>COFFEE Aluminum Table with Glass 105 cm Round</v>
      </c>
      <c r="E168" s="33" t="s">
        <v>471</v>
      </c>
      <c r="F168" s="9" t="s">
        <v>28</v>
      </c>
      <c r="G168" s="9"/>
      <c r="H168" s="16" t="s">
        <v>382</v>
      </c>
      <c r="I168" s="8"/>
      <c r="J168" s="29"/>
      <c r="K168" s="11" t="s">
        <v>472</v>
      </c>
      <c r="L168" s="8"/>
      <c r="M168" s="12">
        <v>6.0</v>
      </c>
      <c r="N168" s="8"/>
      <c r="O168" s="8"/>
      <c r="P168" s="29"/>
      <c r="Q168" s="4"/>
      <c r="R168" s="4"/>
      <c r="S168" s="4"/>
      <c r="T168" s="4"/>
      <c r="U168" s="4"/>
      <c r="V168" s="4"/>
      <c r="W168" s="4"/>
      <c r="X168" s="4"/>
      <c r="Y168" s="4"/>
    </row>
    <row r="169">
      <c r="A169" s="17" t="s">
        <v>473</v>
      </c>
      <c r="B169" s="18">
        <v>1435.0</v>
      </c>
      <c r="C169" s="19" t="b">
        <v>1</v>
      </c>
      <c r="D169" s="20" t="str">
        <f>IFERROR(__xludf.DUMMYFUNCTION("GOOGLETRANSLATE(A169,""ar"", ""en"")"),"COFFEE Aluminum table with glass 90*150 cm")</f>
        <v>COFFEE Aluminum table with glass 90*150 cm</v>
      </c>
      <c r="E169" s="28" t="s">
        <v>474</v>
      </c>
      <c r="F169" s="9" t="s">
        <v>28</v>
      </c>
      <c r="G169" s="9"/>
      <c r="H169" s="16" t="s">
        <v>382</v>
      </c>
      <c r="I169" s="8"/>
      <c r="J169" s="31"/>
      <c r="K169" s="11" t="s">
        <v>475</v>
      </c>
      <c r="L169" s="8"/>
      <c r="M169" s="15">
        <v>12.0</v>
      </c>
      <c r="N169" s="8"/>
      <c r="O169" s="8"/>
      <c r="P169" s="31"/>
      <c r="Q169" s="4"/>
      <c r="R169" s="4"/>
      <c r="S169" s="4"/>
      <c r="T169" s="4"/>
      <c r="U169" s="4"/>
      <c r="V169" s="4"/>
      <c r="W169" s="4"/>
      <c r="X169" s="4"/>
      <c r="Y169" s="4"/>
    </row>
    <row r="170">
      <c r="A170" s="17" t="s">
        <v>476</v>
      </c>
      <c r="B170" s="18">
        <v>1436.0</v>
      </c>
      <c r="C170" s="19" t="b">
        <v>1</v>
      </c>
      <c r="D170" s="20" t="str">
        <f>IFERROR(__xludf.DUMMYFUNCTION("GOOGLETRANSLATE(A170,""ar"", ""en"")"),"BLK Aluminum Table with Glass 90*150 cm")</f>
        <v>BLK Aluminum Table with Glass 90*150 cm</v>
      </c>
      <c r="E170" s="28" t="s">
        <v>477</v>
      </c>
      <c r="F170" s="9" t="s">
        <v>28</v>
      </c>
      <c r="G170" s="9"/>
      <c r="H170" s="16" t="s">
        <v>382</v>
      </c>
      <c r="I170" s="8"/>
      <c r="J170" s="29"/>
      <c r="K170" s="11" t="s">
        <v>478</v>
      </c>
      <c r="L170" s="8"/>
      <c r="M170" s="12">
        <v>8.0</v>
      </c>
      <c r="N170" s="8"/>
      <c r="O170" s="8"/>
      <c r="P170" s="29"/>
      <c r="Q170" s="4"/>
      <c r="R170" s="4"/>
      <c r="S170" s="4"/>
      <c r="T170" s="4"/>
      <c r="U170" s="4"/>
      <c r="V170" s="4"/>
      <c r="W170" s="4"/>
      <c r="X170" s="4"/>
      <c r="Y170" s="4"/>
    </row>
    <row r="171">
      <c r="A171" s="17" t="s">
        <v>479</v>
      </c>
      <c r="B171" s="18">
        <v>1437.0</v>
      </c>
      <c r="C171" s="19" t="b">
        <v>1</v>
      </c>
      <c r="D171" s="20" t="str">
        <f>IFERROR(__xludf.DUMMYFUNCTION("GOOGLETRANSLATE(A171,""ar"", ""en"")"),"BLK Aluminum Set 80*80 Square Table + 4 Chairs")</f>
        <v>BLK Aluminum Set 80*80 Square Table + 4 Chairs</v>
      </c>
      <c r="E171" s="28" t="s">
        <v>480</v>
      </c>
      <c r="F171" s="9" t="s">
        <v>28</v>
      </c>
      <c r="G171" s="9"/>
      <c r="H171" s="16" t="s">
        <v>382</v>
      </c>
      <c r="I171" s="8"/>
      <c r="J171" s="31"/>
      <c r="K171" s="11" t="s">
        <v>481</v>
      </c>
      <c r="L171" s="8"/>
      <c r="M171" s="15">
        <v>12.0</v>
      </c>
      <c r="N171" s="8"/>
      <c r="O171" s="8"/>
      <c r="P171" s="31"/>
      <c r="Q171" s="4"/>
      <c r="R171" s="4"/>
      <c r="S171" s="4"/>
      <c r="T171" s="4"/>
      <c r="U171" s="4"/>
      <c r="V171" s="4"/>
      <c r="W171" s="4"/>
      <c r="X171" s="4"/>
      <c r="Y171" s="4"/>
    </row>
    <row r="172">
      <c r="A172" s="17" t="s">
        <v>482</v>
      </c>
      <c r="B172" s="18">
        <v>1438.0</v>
      </c>
      <c r="C172" s="19" t="b">
        <v>1</v>
      </c>
      <c r="D172" s="20" t="str">
        <f>IFERROR(__xludf.DUMMYFUNCTION("GOOGLETRANSLATE(A172,""ar"", ""en"")"),"BLK Aluminum Table Set 90*150 cm + 6 Chairs")</f>
        <v>BLK Aluminum Table Set 90*150 cm + 6 Chairs</v>
      </c>
      <c r="E172" s="28" t="s">
        <v>483</v>
      </c>
      <c r="F172" s="9" t="s">
        <v>28</v>
      </c>
      <c r="G172" s="9"/>
      <c r="H172" s="16" t="s">
        <v>382</v>
      </c>
      <c r="I172" s="8"/>
      <c r="J172" s="29"/>
      <c r="K172" s="11" t="s">
        <v>484</v>
      </c>
      <c r="L172" s="8"/>
      <c r="M172" s="12">
        <v>4.0</v>
      </c>
      <c r="N172" s="8"/>
      <c r="O172" s="8"/>
      <c r="P172" s="29"/>
      <c r="Q172" s="4"/>
      <c r="R172" s="4"/>
      <c r="S172" s="4"/>
      <c r="T172" s="4"/>
      <c r="U172" s="4"/>
      <c r="V172" s="4"/>
      <c r="W172" s="4"/>
      <c r="X172" s="4"/>
      <c r="Y172" s="4"/>
    </row>
    <row r="173">
      <c r="A173" s="13" t="s">
        <v>431</v>
      </c>
      <c r="B173" s="6">
        <v>1439.0</v>
      </c>
      <c r="C173" s="6" t="b">
        <v>0</v>
      </c>
      <c r="D173" s="8" t="str">
        <f>IFERROR(__xludf.DUMMYFUNCTION("GOOGLETRANSLATE(A173,""ar"", ""en"")"),"3-seat aluminum set")</f>
        <v>3-seat aluminum set</v>
      </c>
      <c r="E173" s="13" t="s">
        <v>485</v>
      </c>
      <c r="F173" s="9" t="s">
        <v>28</v>
      </c>
      <c r="G173" s="9"/>
      <c r="H173" s="16" t="s">
        <v>382</v>
      </c>
      <c r="I173" s="8"/>
      <c r="J173" s="31"/>
      <c r="K173" s="11" t="s">
        <v>433</v>
      </c>
      <c r="L173" s="8"/>
      <c r="M173" s="15">
        <v>12.0</v>
      </c>
      <c r="N173" s="8"/>
      <c r="O173" s="8"/>
      <c r="P173" s="31"/>
      <c r="Q173" s="4"/>
      <c r="R173" s="4"/>
      <c r="S173" s="4"/>
      <c r="T173" s="4"/>
      <c r="U173" s="4"/>
      <c r="V173" s="4"/>
      <c r="W173" s="4"/>
      <c r="X173" s="4"/>
      <c r="Y173" s="4"/>
    </row>
    <row r="174">
      <c r="A174" s="5" t="s">
        <v>486</v>
      </c>
      <c r="B174" s="6">
        <v>1440.0</v>
      </c>
      <c r="C174" s="6" t="b">
        <v>0</v>
      </c>
      <c r="D174" s="8" t="str">
        <f>IFERROR(__xludf.DUMMYFUNCTION("GOOGLETRANSLATE(A174,""ar"", ""en"")"),"GREY 3-Seater Aluminum Set")</f>
        <v>GREY 3-Seater Aluminum Set</v>
      </c>
      <c r="E174" s="5" t="s">
        <v>487</v>
      </c>
      <c r="F174" s="9" t="s">
        <v>28</v>
      </c>
      <c r="G174" s="9"/>
      <c r="H174" s="16" t="s">
        <v>382</v>
      </c>
      <c r="I174" s="8"/>
      <c r="J174" s="29"/>
      <c r="K174" s="11" t="s">
        <v>488</v>
      </c>
      <c r="L174" s="8"/>
      <c r="M174" s="12">
        <v>9.0</v>
      </c>
      <c r="N174" s="8"/>
      <c r="O174" s="8"/>
      <c r="P174" s="29"/>
      <c r="Q174" s="4"/>
      <c r="R174" s="4"/>
      <c r="S174" s="4"/>
      <c r="T174" s="4"/>
      <c r="U174" s="4"/>
      <c r="V174" s="4"/>
      <c r="W174" s="4"/>
      <c r="X174" s="4"/>
      <c r="Y174" s="4"/>
    </row>
    <row r="175">
      <c r="A175" s="13" t="s">
        <v>489</v>
      </c>
      <c r="B175" s="6">
        <v>1441.0</v>
      </c>
      <c r="C175" s="6" t="b">
        <v>0</v>
      </c>
      <c r="D175" s="8" t="str">
        <f>IFERROR(__xludf.DUMMYFUNCTION("GOOGLETRANSLATE(A175,""ar"", ""en"")"),"DRK GRY 3-seat aluminum set")</f>
        <v>DRK GRY 3-seat aluminum set</v>
      </c>
      <c r="E175" s="13" t="s">
        <v>490</v>
      </c>
      <c r="F175" s="9" t="s">
        <v>28</v>
      </c>
      <c r="G175" s="9"/>
      <c r="H175" s="16" t="s">
        <v>382</v>
      </c>
      <c r="I175" s="8"/>
      <c r="J175" s="31"/>
      <c r="K175" s="11" t="s">
        <v>491</v>
      </c>
      <c r="L175" s="8"/>
      <c r="M175" s="15">
        <v>12.0</v>
      </c>
      <c r="N175" s="8"/>
      <c r="O175" s="8"/>
      <c r="P175" s="31"/>
      <c r="Q175" s="4"/>
      <c r="R175" s="4"/>
      <c r="S175" s="4"/>
      <c r="T175" s="4"/>
      <c r="U175" s="4"/>
      <c r="V175" s="4"/>
      <c r="W175" s="4"/>
      <c r="X175" s="4"/>
      <c r="Y175" s="4"/>
    </row>
    <row r="176">
      <c r="A176" s="5" t="s">
        <v>492</v>
      </c>
      <c r="B176" s="6">
        <v>1442.0</v>
      </c>
      <c r="C176" s="6" t="b">
        <v>0</v>
      </c>
      <c r="D176" s="8" t="str">
        <f>IFERROR(__xludf.DUMMYFUNCTION("GOOGLETRANSLATE(A176,""ar"", ""en"")"),"OFF WHITE 3-Seater Aluminum Set")</f>
        <v>OFF WHITE 3-Seater Aluminum Set</v>
      </c>
      <c r="E176" s="34" t="s">
        <v>493</v>
      </c>
      <c r="F176" s="9" t="s">
        <v>28</v>
      </c>
      <c r="G176" s="9"/>
      <c r="H176" s="16" t="s">
        <v>382</v>
      </c>
      <c r="I176" s="8"/>
      <c r="J176" s="29"/>
      <c r="K176" s="11" t="s">
        <v>494</v>
      </c>
      <c r="L176" s="8"/>
      <c r="M176" s="12">
        <v>15.0</v>
      </c>
      <c r="N176" s="8"/>
      <c r="O176" s="8"/>
      <c r="P176" s="29"/>
      <c r="Q176" s="4"/>
      <c r="R176" s="4"/>
      <c r="S176" s="4"/>
      <c r="T176" s="4"/>
      <c r="U176" s="4"/>
      <c r="V176" s="4"/>
      <c r="W176" s="4"/>
      <c r="X176" s="4"/>
      <c r="Y176" s="4"/>
    </row>
    <row r="177">
      <c r="A177" s="13" t="s">
        <v>492</v>
      </c>
      <c r="B177" s="6">
        <v>1443.0</v>
      </c>
      <c r="C177" s="6" t="b">
        <v>0</v>
      </c>
      <c r="D177" s="8" t="str">
        <f>IFERROR(__xludf.DUMMYFUNCTION("GOOGLETRANSLATE(A177,""ar"", ""en"")"),"OFF WHITE 3-Seater Aluminum Set")</f>
        <v>OFF WHITE 3-Seater Aluminum Set</v>
      </c>
      <c r="E177" s="13" t="s">
        <v>495</v>
      </c>
      <c r="F177" s="9" t="s">
        <v>28</v>
      </c>
      <c r="G177" s="9"/>
      <c r="H177" s="16" t="s">
        <v>382</v>
      </c>
      <c r="I177" s="8"/>
      <c r="J177" s="31"/>
      <c r="K177" s="11" t="s">
        <v>494</v>
      </c>
      <c r="L177" s="8"/>
      <c r="M177" s="15">
        <v>24.0</v>
      </c>
      <c r="N177" s="8"/>
      <c r="O177" s="8"/>
      <c r="P177" s="31"/>
      <c r="Q177" s="4"/>
      <c r="R177" s="4"/>
      <c r="S177" s="4"/>
      <c r="T177" s="4"/>
      <c r="U177" s="4"/>
      <c r="V177" s="4"/>
      <c r="W177" s="4"/>
      <c r="X177" s="4"/>
      <c r="Y177" s="4"/>
    </row>
    <row r="178">
      <c r="A178" s="13" t="s">
        <v>496</v>
      </c>
      <c r="B178" s="6">
        <v>1445.0</v>
      </c>
      <c r="C178" s="6" t="b">
        <v>0</v>
      </c>
      <c r="D178" s="8" t="str">
        <f>IFERROR(__xludf.DUMMYFUNCTION("GOOGLETRANSLATE(A178,""ar"", ""en"")"),"ANTRA Aluminum Set 1+1+3 Bags")</f>
        <v>ANTRA Aluminum Set 1+1+3 Bags</v>
      </c>
      <c r="E178" s="13" t="s">
        <v>497</v>
      </c>
      <c r="F178" s="9" t="s">
        <v>28</v>
      </c>
      <c r="G178" s="9"/>
      <c r="H178" s="16" t="s">
        <v>382</v>
      </c>
      <c r="I178" s="8"/>
      <c r="J178" s="31"/>
      <c r="K178" s="11" t="s">
        <v>498</v>
      </c>
      <c r="L178" s="8"/>
      <c r="M178" s="15">
        <v>11.0</v>
      </c>
      <c r="N178" s="8"/>
      <c r="O178" s="8"/>
      <c r="P178" s="31"/>
      <c r="Q178" s="4"/>
      <c r="R178" s="4"/>
      <c r="S178" s="4"/>
      <c r="T178" s="4"/>
      <c r="U178" s="4"/>
      <c r="V178" s="4"/>
      <c r="W178" s="4"/>
      <c r="X178" s="4"/>
      <c r="Y178" s="4"/>
    </row>
    <row r="179">
      <c r="A179" s="5" t="s">
        <v>499</v>
      </c>
      <c r="B179" s="6">
        <v>1446.0</v>
      </c>
      <c r="C179" s="6" t="b">
        <v>0</v>
      </c>
      <c r="D179" s="8" t="str">
        <f>IFERROR(__xludf.DUMMYFUNCTION("GOOGLETRANSLATE(A179,""ar"", ""en"")"),"CREAM Aluminum Set 1+1+3")</f>
        <v>CREAM Aluminum Set 1+1+3</v>
      </c>
      <c r="E179" s="33" t="s">
        <v>500</v>
      </c>
      <c r="F179" s="9" t="s">
        <v>28</v>
      </c>
      <c r="G179" s="9"/>
      <c r="H179" s="16" t="s">
        <v>382</v>
      </c>
      <c r="I179" s="8"/>
      <c r="J179" s="29"/>
      <c r="K179" s="11" t="s">
        <v>501</v>
      </c>
      <c r="L179" s="8"/>
      <c r="M179" s="12">
        <v>12.0</v>
      </c>
      <c r="N179" s="8"/>
      <c r="O179" s="8"/>
      <c r="P179" s="29"/>
      <c r="Q179" s="4"/>
      <c r="R179" s="4"/>
      <c r="S179" s="4"/>
      <c r="T179" s="4"/>
      <c r="U179" s="4"/>
      <c r="V179" s="4"/>
      <c r="W179" s="4"/>
      <c r="X179" s="4"/>
      <c r="Y179" s="4"/>
    </row>
    <row r="180">
      <c r="A180" s="13" t="s">
        <v>502</v>
      </c>
      <c r="B180" s="6">
        <v>1447.0</v>
      </c>
      <c r="C180" s="6" t="b">
        <v>0</v>
      </c>
      <c r="D180" s="8" t="str">
        <f>IFERROR(__xludf.DUMMYFUNCTION("GOOGLETRANSLATE(A180,""ar"", ""en"")"),"Two-story iron and wood bed")</f>
        <v>Two-story iron and wood bed</v>
      </c>
      <c r="E180" s="13" t="s">
        <v>503</v>
      </c>
      <c r="F180" s="9" t="s">
        <v>18</v>
      </c>
      <c r="G180" s="9"/>
      <c r="H180" s="8"/>
      <c r="I180" s="8"/>
      <c r="J180" s="31"/>
      <c r="K180" s="11" t="s">
        <v>504</v>
      </c>
      <c r="L180" s="8"/>
      <c r="M180" s="15">
        <v>107.0</v>
      </c>
      <c r="N180" s="8"/>
      <c r="O180" s="8"/>
      <c r="P180" s="31"/>
      <c r="Q180" s="4"/>
      <c r="R180" s="4"/>
      <c r="S180" s="4"/>
      <c r="T180" s="4"/>
      <c r="U180" s="4"/>
      <c r="V180" s="4"/>
      <c r="W180" s="4"/>
      <c r="X180" s="4"/>
      <c r="Y180" s="4"/>
    </row>
    <row r="181">
      <c r="A181" s="5" t="s">
        <v>505</v>
      </c>
      <c r="B181" s="6">
        <v>1448.0</v>
      </c>
      <c r="C181" s="6" t="b">
        <v>0</v>
      </c>
      <c r="D181" s="8" t="str">
        <f>IFERROR(__xludf.DUMMYFUNCTION("GOOGLETRANSLATE(A181,""ar"", ""en"")"),"120 cm iron and wood bed")</f>
        <v>120 cm iron and wood bed</v>
      </c>
      <c r="E181" s="5" t="s">
        <v>506</v>
      </c>
      <c r="F181" s="9" t="s">
        <v>18</v>
      </c>
      <c r="G181" s="9"/>
      <c r="H181" s="8"/>
      <c r="I181" s="8"/>
      <c r="J181" s="29"/>
      <c r="K181" s="11" t="s">
        <v>507</v>
      </c>
      <c r="L181" s="8"/>
      <c r="M181" s="12">
        <v>134.0</v>
      </c>
      <c r="N181" s="8"/>
      <c r="O181" s="8"/>
      <c r="P181" s="29"/>
      <c r="Q181" s="4"/>
      <c r="R181" s="4"/>
      <c r="S181" s="4"/>
      <c r="T181" s="4"/>
      <c r="U181" s="4"/>
      <c r="V181" s="4"/>
      <c r="W181" s="4"/>
      <c r="X181" s="4"/>
      <c r="Y181" s="4"/>
    </row>
    <row r="182">
      <c r="A182" s="13" t="s">
        <v>508</v>
      </c>
      <c r="B182" s="6">
        <v>1449.0</v>
      </c>
      <c r="C182" s="6" t="b">
        <v>0</v>
      </c>
      <c r="D182" s="8" t="str">
        <f>IFERROR(__xludf.DUMMYFUNCTION("GOOGLETRANSLATE(A182,""ar"", ""en"")"),"Iron and wood bed 170 cm")</f>
        <v>Iron and wood bed 170 cm</v>
      </c>
      <c r="E182" s="13" t="s">
        <v>509</v>
      </c>
      <c r="F182" s="9" t="s">
        <v>18</v>
      </c>
      <c r="G182" s="9"/>
      <c r="H182" s="8"/>
      <c r="I182" s="8"/>
      <c r="J182" s="31"/>
      <c r="K182" s="11" t="s">
        <v>510</v>
      </c>
      <c r="L182" s="8"/>
      <c r="M182" s="15">
        <v>55.0</v>
      </c>
      <c r="N182" s="8"/>
      <c r="O182" s="8"/>
      <c r="P182" s="31"/>
      <c r="Q182" s="4"/>
      <c r="R182" s="4"/>
      <c r="S182" s="4"/>
      <c r="T182" s="4"/>
      <c r="U182" s="4"/>
      <c r="V182" s="4"/>
      <c r="W182" s="4"/>
      <c r="X182" s="4"/>
      <c r="Y182" s="4"/>
    </row>
    <row r="183">
      <c r="A183" s="5" t="s">
        <v>511</v>
      </c>
      <c r="B183" s="6">
        <v>1450.0</v>
      </c>
      <c r="C183" s="6" t="b">
        <v>0</v>
      </c>
      <c r="D183" s="8" t="str">
        <f>IFERROR(__xludf.DUMMYFUNCTION("GOOGLETRANSLATE(A183,""ar"", ""en"")"),"100 cm iron and wood bed")</f>
        <v>100 cm iron and wood bed</v>
      </c>
      <c r="E183" s="5" t="s">
        <v>512</v>
      </c>
      <c r="F183" s="9" t="s">
        <v>18</v>
      </c>
      <c r="G183" s="9"/>
      <c r="H183" s="8"/>
      <c r="I183" s="8"/>
      <c r="J183" s="29"/>
      <c r="K183" s="11" t="s">
        <v>513</v>
      </c>
      <c r="L183" s="8"/>
      <c r="M183" s="12">
        <v>138.0</v>
      </c>
      <c r="N183" s="8"/>
      <c r="O183" s="8"/>
      <c r="P183" s="29"/>
      <c r="Q183" s="4"/>
      <c r="R183" s="4"/>
      <c r="S183" s="4"/>
      <c r="T183" s="4"/>
      <c r="U183" s="4"/>
      <c r="V183" s="4"/>
      <c r="W183" s="4"/>
      <c r="X183" s="4"/>
      <c r="Y183" s="4"/>
    </row>
    <row r="184">
      <c r="A184" s="17" t="s">
        <v>514</v>
      </c>
      <c r="B184" s="18">
        <v>1451.0</v>
      </c>
      <c r="C184" s="19" t="b">
        <v>1</v>
      </c>
      <c r="D184" s="20" t="str">
        <f>IFERROR(__xludf.DUMMYFUNCTION("GOOGLETRANSLATE(A184,""ar"", ""en"")"),"Light two-story iron and wood bed")</f>
        <v>Light two-story iron and wood bed</v>
      </c>
      <c r="E184" s="28" t="s">
        <v>515</v>
      </c>
      <c r="F184" s="9" t="s">
        <v>18</v>
      </c>
      <c r="G184" s="9"/>
      <c r="H184" s="8"/>
      <c r="I184" s="8"/>
      <c r="J184" s="31"/>
      <c r="K184" s="11" t="s">
        <v>516</v>
      </c>
      <c r="L184" s="8"/>
      <c r="M184" s="15">
        <v>7.0</v>
      </c>
      <c r="N184" s="8"/>
      <c r="O184" s="8"/>
      <c r="P184" s="31"/>
      <c r="Q184" s="4"/>
      <c r="R184" s="4"/>
      <c r="S184" s="4"/>
      <c r="T184" s="4"/>
      <c r="U184" s="4"/>
      <c r="V184" s="4"/>
      <c r="W184" s="4"/>
      <c r="X184" s="4"/>
      <c r="Y184" s="4"/>
    </row>
    <row r="185">
      <c r="A185" s="13" t="s">
        <v>517</v>
      </c>
      <c r="B185" s="6">
        <v>1457.0</v>
      </c>
      <c r="C185" s="6" t="b">
        <v>0</v>
      </c>
      <c r="D185" s="8" t="str">
        <f>IFERROR(__xludf.DUMMYFUNCTION("GOOGLETRANSLATE(A185,""ar"", ""en"")"),"FLOWER STAND 3 PCS")</f>
        <v>FLOWER STAND 3 PCS</v>
      </c>
      <c r="E185" s="13" t="s">
        <v>518</v>
      </c>
      <c r="F185" s="9" t="s">
        <v>28</v>
      </c>
      <c r="G185" s="9"/>
      <c r="H185" s="16" t="s">
        <v>519</v>
      </c>
      <c r="I185" s="8"/>
      <c r="J185" s="31"/>
      <c r="K185" s="11" t="s">
        <v>520</v>
      </c>
      <c r="L185" s="8"/>
      <c r="M185" s="15">
        <v>16.0</v>
      </c>
      <c r="N185" s="8"/>
      <c r="O185" s="8"/>
      <c r="P185" s="31"/>
      <c r="Q185" s="4"/>
      <c r="R185" s="4"/>
      <c r="S185" s="4"/>
      <c r="T185" s="4"/>
      <c r="U185" s="4"/>
      <c r="V185" s="4"/>
      <c r="W185" s="4"/>
      <c r="X185" s="4"/>
      <c r="Y185" s="4"/>
    </row>
    <row r="186">
      <c r="A186" s="13" t="s">
        <v>521</v>
      </c>
      <c r="B186" s="6">
        <v>1458.0</v>
      </c>
      <c r="C186" s="6" t="b">
        <v>0</v>
      </c>
      <c r="D186" s="8" t="str">
        <f>IFERROR(__xludf.DUMMYFUNCTION("GOOGLETRANSLATE(A186,""ar"", ""en"")"),"Resin table 80*80 cm")</f>
        <v>Resin table 80*80 cm</v>
      </c>
      <c r="E186" s="13" t="s">
        <v>522</v>
      </c>
      <c r="F186" s="9" t="s">
        <v>28</v>
      </c>
      <c r="G186" s="9"/>
      <c r="H186" s="16" t="s">
        <v>519</v>
      </c>
      <c r="I186" s="8"/>
      <c r="J186" s="31"/>
      <c r="K186" s="11" t="s">
        <v>523</v>
      </c>
      <c r="L186" s="8"/>
      <c r="M186" s="15">
        <v>18.0</v>
      </c>
      <c r="N186" s="8"/>
      <c r="O186" s="8"/>
      <c r="P186" s="31"/>
      <c r="Q186" s="4"/>
      <c r="R186" s="4"/>
      <c r="S186" s="4"/>
      <c r="T186" s="4"/>
      <c r="U186" s="4"/>
      <c r="V186" s="4"/>
      <c r="W186" s="4"/>
      <c r="X186" s="4"/>
      <c r="Y186" s="4"/>
    </row>
    <row r="187">
      <c r="A187" s="5" t="s">
        <v>524</v>
      </c>
      <c r="B187" s="6">
        <v>1459.0</v>
      </c>
      <c r="C187" s="6" t="b">
        <v>0</v>
      </c>
      <c r="D187" s="8" t="str">
        <f>IFERROR(__xludf.DUMMYFUNCTION("GOOGLETRANSLATE(A187,""ar"", ""en"")"),"Resin table 90*90")</f>
        <v>Resin table 90*90</v>
      </c>
      <c r="E187" s="5" t="s">
        <v>525</v>
      </c>
      <c r="F187" s="9" t="s">
        <v>28</v>
      </c>
      <c r="G187" s="9"/>
      <c r="H187" s="16" t="s">
        <v>519</v>
      </c>
      <c r="I187" s="8"/>
      <c r="J187" s="29"/>
      <c r="K187" s="11" t="s">
        <v>526</v>
      </c>
      <c r="L187" s="8"/>
      <c r="M187" s="12">
        <v>38.0</v>
      </c>
      <c r="N187" s="8"/>
      <c r="O187" s="8"/>
      <c r="P187" s="29"/>
      <c r="Q187" s="4"/>
      <c r="R187" s="4"/>
      <c r="S187" s="4"/>
      <c r="T187" s="4"/>
      <c r="U187" s="4"/>
      <c r="V187" s="4"/>
      <c r="W187" s="4"/>
      <c r="X187" s="4"/>
      <c r="Y187" s="4"/>
    </row>
    <row r="188">
      <c r="A188" s="13" t="s">
        <v>527</v>
      </c>
      <c r="B188" s="6">
        <v>1460.0</v>
      </c>
      <c r="C188" s="6" t="b">
        <v>0</v>
      </c>
      <c r="D188" s="8" t="str">
        <f>IFERROR(__xludf.DUMMYFUNCTION("GOOGLETRANSLATE(A188,""ar"", ""en"")"),"solid chair")</f>
        <v>solid chair</v>
      </c>
      <c r="E188" s="13" t="s">
        <v>528</v>
      </c>
      <c r="F188" s="9" t="s">
        <v>28</v>
      </c>
      <c r="G188" s="9"/>
      <c r="H188" s="16" t="s">
        <v>519</v>
      </c>
      <c r="I188" s="8"/>
      <c r="J188" s="31"/>
      <c r="K188" s="11" t="s">
        <v>529</v>
      </c>
      <c r="L188" s="8"/>
      <c r="M188" s="15">
        <v>18.0</v>
      </c>
      <c r="N188" s="8"/>
      <c r="O188" s="8"/>
      <c r="P188" s="31"/>
      <c r="Q188" s="4"/>
      <c r="R188" s="4"/>
      <c r="S188" s="4"/>
      <c r="T188" s="4"/>
      <c r="U188" s="4"/>
      <c r="V188" s="4"/>
      <c r="W188" s="4"/>
      <c r="X188" s="4"/>
      <c r="Y188" s="4"/>
    </row>
    <row r="189">
      <c r="A189" s="13" t="s">
        <v>530</v>
      </c>
      <c r="B189" s="6">
        <v>1461.0</v>
      </c>
      <c r="C189" s="6" t="b">
        <v>0</v>
      </c>
      <c r="D189" s="8" t="str">
        <f>IFERROR(__xludf.DUMMYFUNCTION("GOOGLETRANSLATE(A189,""ar"", ""en"")"),"Resin table set 150 cm + 6 chairs")</f>
        <v>Resin table set 150 cm + 6 chairs</v>
      </c>
      <c r="E189" s="13" t="s">
        <v>531</v>
      </c>
      <c r="F189" s="9" t="s">
        <v>28</v>
      </c>
      <c r="G189" s="9"/>
      <c r="H189" s="16" t="s">
        <v>519</v>
      </c>
      <c r="I189" s="8"/>
      <c r="J189" s="31"/>
      <c r="K189" s="11" t="s">
        <v>532</v>
      </c>
      <c r="L189" s="8"/>
      <c r="M189" s="15">
        <v>17.0</v>
      </c>
      <c r="N189" s="8"/>
      <c r="O189" s="8"/>
      <c r="P189" s="31"/>
      <c r="Q189" s="4"/>
      <c r="R189" s="4"/>
      <c r="S189" s="4"/>
      <c r="T189" s="4"/>
      <c r="U189" s="4"/>
      <c r="V189" s="4"/>
      <c r="W189" s="4"/>
      <c r="X189" s="4"/>
      <c r="Y189" s="4"/>
    </row>
    <row r="190">
      <c r="A190" s="5" t="s">
        <v>533</v>
      </c>
      <c r="B190" s="6">
        <v>1462.0</v>
      </c>
      <c r="C190" s="6" t="b">
        <v>0</v>
      </c>
      <c r="D190" s="8" t="str">
        <f>IFERROR(__xludf.DUMMYFUNCTION("GOOGLETRANSLATE(A190,""ar"", ""en"")"),"solid chair with upholstery")</f>
        <v>solid chair with upholstery</v>
      </c>
      <c r="E190" s="5" t="s">
        <v>534</v>
      </c>
      <c r="F190" s="9" t="s">
        <v>28</v>
      </c>
      <c r="G190" s="9"/>
      <c r="H190" s="16" t="s">
        <v>519</v>
      </c>
      <c r="I190" s="8"/>
      <c r="J190" s="29"/>
      <c r="K190" s="11" t="s">
        <v>535</v>
      </c>
      <c r="L190" s="8"/>
      <c r="M190" s="12">
        <v>196.0</v>
      </c>
      <c r="N190" s="8"/>
      <c r="O190" s="8"/>
      <c r="P190" s="29"/>
      <c r="Q190" s="4"/>
      <c r="R190" s="4"/>
      <c r="S190" s="4"/>
      <c r="T190" s="4"/>
      <c r="U190" s="4"/>
      <c r="V190" s="4"/>
      <c r="W190" s="4"/>
      <c r="X190" s="4"/>
      <c r="Y190" s="4"/>
    </row>
    <row r="191">
      <c r="A191" s="13" t="s">
        <v>536</v>
      </c>
      <c r="B191" s="6">
        <v>1463.0</v>
      </c>
      <c r="C191" s="6" t="b">
        <v>0</v>
      </c>
      <c r="D191" s="8" t="str">
        <f>IFERROR(__xludf.DUMMYFUNCTION("GOOGLETRANSLATE(A191,""ar"", ""en"")"),"45 cm resin table")</f>
        <v>45 cm resin table</v>
      </c>
      <c r="E191" s="13" t="s">
        <v>537</v>
      </c>
      <c r="F191" s="9" t="s">
        <v>28</v>
      </c>
      <c r="G191" s="9"/>
      <c r="H191" s="16" t="s">
        <v>519</v>
      </c>
      <c r="I191" s="8"/>
      <c r="J191" s="31"/>
      <c r="K191" s="11" t="s">
        <v>538</v>
      </c>
      <c r="L191" s="8"/>
      <c r="M191" s="15">
        <v>46.0</v>
      </c>
      <c r="N191" s="8"/>
      <c r="O191" s="8"/>
      <c r="P191" s="31"/>
      <c r="Q191" s="4"/>
      <c r="R191" s="4"/>
      <c r="S191" s="4"/>
      <c r="T191" s="4"/>
      <c r="U191" s="4"/>
      <c r="V191" s="4"/>
      <c r="W191" s="4"/>
      <c r="X191" s="4"/>
      <c r="Y191" s="4"/>
    </row>
    <row r="192">
      <c r="A192" s="13" t="s">
        <v>527</v>
      </c>
      <c r="B192" s="6">
        <v>1464.0</v>
      </c>
      <c r="C192" s="6" t="b">
        <v>0</v>
      </c>
      <c r="D192" s="8" t="str">
        <f>IFERROR(__xludf.DUMMYFUNCTION("GOOGLETRANSLATE(A192,""ar"", ""en"")"),"solid chair")</f>
        <v>solid chair</v>
      </c>
      <c r="E192" s="13" t="s">
        <v>539</v>
      </c>
      <c r="F192" s="9" t="s">
        <v>28</v>
      </c>
      <c r="G192" s="9"/>
      <c r="H192" s="16" t="s">
        <v>519</v>
      </c>
      <c r="I192" s="8"/>
      <c r="J192" s="31"/>
      <c r="K192" s="11" t="s">
        <v>529</v>
      </c>
      <c r="L192" s="8"/>
      <c r="M192" s="15">
        <v>176.0</v>
      </c>
      <c r="N192" s="8"/>
      <c r="O192" s="8"/>
      <c r="P192" s="31"/>
      <c r="Q192" s="4"/>
      <c r="R192" s="4"/>
      <c r="S192" s="4"/>
      <c r="T192" s="4"/>
      <c r="U192" s="4"/>
      <c r="V192" s="4"/>
      <c r="W192" s="4"/>
      <c r="X192" s="4"/>
      <c r="Y192" s="4"/>
    </row>
    <row r="193">
      <c r="A193" s="17" t="s">
        <v>540</v>
      </c>
      <c r="B193" s="18">
        <v>1465.0</v>
      </c>
      <c r="C193" s="19" t="b">
        <v>1</v>
      </c>
      <c r="D193" s="20" t="str">
        <f>IFERROR(__xludf.DUMMYFUNCTION("GOOGLETRANSLATE(A193,""ar"", ""en"")"),"Corner resin set")</f>
        <v>Corner resin set</v>
      </c>
      <c r="E193" s="28" t="s">
        <v>541</v>
      </c>
      <c r="F193" s="9" t="s">
        <v>28</v>
      </c>
      <c r="G193" s="9"/>
      <c r="H193" s="16" t="s">
        <v>519</v>
      </c>
      <c r="I193" s="8"/>
      <c r="J193" s="31"/>
      <c r="K193" s="11" t="s">
        <v>542</v>
      </c>
      <c r="L193" s="8"/>
      <c r="M193" s="15">
        <v>22.0</v>
      </c>
      <c r="N193" s="8"/>
      <c r="O193" s="8"/>
      <c r="P193" s="31"/>
      <c r="Q193" s="4"/>
      <c r="R193" s="4"/>
      <c r="S193" s="4"/>
      <c r="T193" s="4"/>
      <c r="U193" s="4"/>
      <c r="V193" s="4"/>
      <c r="W193" s="4"/>
      <c r="X193" s="4"/>
      <c r="Y193" s="4"/>
    </row>
    <row r="194">
      <c r="A194" s="13" t="s">
        <v>543</v>
      </c>
      <c r="B194" s="6">
        <v>1467.0</v>
      </c>
      <c r="C194" s="6" t="b">
        <v>0</v>
      </c>
      <c r="D194" s="8" t="str">
        <f>IFERROR(__xludf.DUMMYFUNCTION("GOOGLETRANSLATE(A194,""ar"", ""en"")"),"Resin table 75*110 cm")</f>
        <v>Resin table 75*110 cm</v>
      </c>
      <c r="E194" s="13" t="s">
        <v>544</v>
      </c>
      <c r="F194" s="9" t="s">
        <v>28</v>
      </c>
      <c r="G194" s="9"/>
      <c r="H194" s="16" t="s">
        <v>519</v>
      </c>
      <c r="I194" s="8"/>
      <c r="J194" s="31"/>
      <c r="K194" s="11" t="s">
        <v>545</v>
      </c>
      <c r="L194" s="8"/>
      <c r="M194" s="15">
        <v>19.0</v>
      </c>
      <c r="N194" s="8"/>
      <c r="O194" s="8"/>
      <c r="P194" s="31"/>
      <c r="Q194" s="4"/>
      <c r="R194" s="4"/>
      <c r="S194" s="4"/>
      <c r="T194" s="4"/>
      <c r="U194" s="4"/>
      <c r="V194" s="4"/>
      <c r="W194" s="4"/>
      <c r="X194" s="4"/>
      <c r="Y194" s="4"/>
    </row>
    <row r="195">
      <c r="A195" s="5" t="s">
        <v>546</v>
      </c>
      <c r="B195" s="6">
        <v>1468.0</v>
      </c>
      <c r="C195" s="6" t="b">
        <v>0</v>
      </c>
      <c r="D195" s="8" t="str">
        <f>IFERROR(__xludf.DUMMYFUNCTION("GOOGLETRANSLATE(A195,""ar"", ""en"")"),"Resin table 80*130 cm")</f>
        <v>Resin table 80*130 cm</v>
      </c>
      <c r="E195" s="5" t="s">
        <v>547</v>
      </c>
      <c r="F195" s="9" t="s">
        <v>28</v>
      </c>
      <c r="G195" s="9"/>
      <c r="H195" s="16" t="s">
        <v>519</v>
      </c>
      <c r="I195" s="8"/>
      <c r="J195" s="29"/>
      <c r="K195" s="11" t="s">
        <v>548</v>
      </c>
      <c r="L195" s="8"/>
      <c r="M195" s="12">
        <v>10.0</v>
      </c>
      <c r="N195" s="8"/>
      <c r="O195" s="8"/>
      <c r="P195" s="29"/>
      <c r="Q195" s="4"/>
      <c r="R195" s="4"/>
      <c r="S195" s="4"/>
      <c r="T195" s="4"/>
      <c r="U195" s="4"/>
      <c r="V195" s="4"/>
      <c r="W195" s="4"/>
      <c r="X195" s="4"/>
      <c r="Y195" s="4"/>
    </row>
    <row r="196">
      <c r="A196" s="13" t="s">
        <v>527</v>
      </c>
      <c r="B196" s="6">
        <v>1469.0</v>
      </c>
      <c r="C196" s="6" t="b">
        <v>0</v>
      </c>
      <c r="D196" s="8" t="str">
        <f>IFERROR(__xludf.DUMMYFUNCTION("GOOGLETRANSLATE(A196,""ar"", ""en"")"),"solid chair")</f>
        <v>solid chair</v>
      </c>
      <c r="E196" s="13" t="s">
        <v>549</v>
      </c>
      <c r="F196" s="9" t="s">
        <v>28</v>
      </c>
      <c r="G196" s="9"/>
      <c r="H196" s="16" t="s">
        <v>519</v>
      </c>
      <c r="I196" s="8"/>
      <c r="J196" s="31"/>
      <c r="K196" s="11" t="s">
        <v>529</v>
      </c>
      <c r="L196" s="8"/>
      <c r="M196" s="15">
        <v>94.0</v>
      </c>
      <c r="N196" s="8"/>
      <c r="O196" s="8"/>
      <c r="P196" s="31"/>
      <c r="Q196" s="4"/>
      <c r="R196" s="4"/>
      <c r="S196" s="4"/>
      <c r="T196" s="4"/>
      <c r="U196" s="4"/>
      <c r="V196" s="4"/>
      <c r="W196" s="4"/>
      <c r="X196" s="4"/>
      <c r="Y196" s="4"/>
    </row>
    <row r="197">
      <c r="A197" s="13" t="s">
        <v>550</v>
      </c>
      <c r="B197" s="6">
        <v>1470.0</v>
      </c>
      <c r="C197" s="6" t="b">
        <v>0</v>
      </c>
      <c r="D197" s="8" t="str">
        <f>IFERROR(__xludf.DUMMYFUNCTION("GOOGLETRANSLATE(A197,""ar"", ""en"")"),"90*90 table set + 4 white chairs")</f>
        <v>90*90 table set + 4 white chairs</v>
      </c>
      <c r="E197" s="13" t="s">
        <v>551</v>
      </c>
      <c r="F197" s="9" t="s">
        <v>28</v>
      </c>
      <c r="G197" s="9"/>
      <c r="H197" s="16" t="s">
        <v>519</v>
      </c>
      <c r="I197" s="8"/>
      <c r="J197" s="31"/>
      <c r="K197" s="11" t="s">
        <v>552</v>
      </c>
      <c r="L197" s="8"/>
      <c r="M197" s="15">
        <v>8.0</v>
      </c>
      <c r="N197" s="8"/>
      <c r="O197" s="8"/>
      <c r="P197" s="31"/>
      <c r="Q197" s="4"/>
      <c r="R197" s="4"/>
      <c r="S197" s="4"/>
      <c r="T197" s="4"/>
      <c r="U197" s="4"/>
      <c r="V197" s="4"/>
      <c r="W197" s="4"/>
      <c r="X197" s="4"/>
      <c r="Y197" s="4"/>
    </row>
    <row r="198">
      <c r="A198" s="5" t="s">
        <v>553</v>
      </c>
      <c r="B198" s="6">
        <v>1471.0</v>
      </c>
      <c r="C198" s="6" t="b">
        <v>0</v>
      </c>
      <c r="D198" s="8" t="str">
        <f>IFERROR(__xludf.DUMMYFUNCTION("GOOGLETRANSLATE(A198,""ar"", ""en"")"),"Resin bar set 1 + 6 Vange chairs")</f>
        <v>Resin bar set 1 + 6 Vange chairs</v>
      </c>
      <c r="E198" s="5" t="s">
        <v>554</v>
      </c>
      <c r="F198" s="9" t="s">
        <v>28</v>
      </c>
      <c r="G198" s="9"/>
      <c r="H198" s="16" t="s">
        <v>519</v>
      </c>
      <c r="I198" s="8"/>
      <c r="J198" s="29"/>
      <c r="K198" s="11" t="s">
        <v>555</v>
      </c>
      <c r="L198" s="8"/>
      <c r="M198" s="12">
        <v>14.0</v>
      </c>
      <c r="N198" s="8"/>
      <c r="O198" s="8"/>
      <c r="P198" s="29"/>
      <c r="Q198" s="4"/>
      <c r="R198" s="4"/>
      <c r="S198" s="4"/>
      <c r="T198" s="4"/>
      <c r="U198" s="4"/>
      <c r="V198" s="4"/>
      <c r="W198" s="4"/>
      <c r="X198" s="4"/>
      <c r="Y198" s="4"/>
    </row>
    <row r="199">
      <c r="A199" s="5" t="s">
        <v>556</v>
      </c>
      <c r="B199" s="6">
        <v>1473.0</v>
      </c>
      <c r="C199" s="6" t="b">
        <v>0</v>
      </c>
      <c r="D199" s="8" t="str">
        <f>IFERROR(__xludf.DUMMYFUNCTION("GOOGLETRANSLATE(A199,""ar"", ""en"")"),"Two-seat rattan set")</f>
        <v>Two-seat rattan set</v>
      </c>
      <c r="E199" s="5" t="s">
        <v>557</v>
      </c>
      <c r="F199" s="9" t="s">
        <v>28</v>
      </c>
      <c r="G199" s="9"/>
      <c r="H199" s="16" t="s">
        <v>519</v>
      </c>
      <c r="I199" s="8"/>
      <c r="J199" s="29"/>
      <c r="K199" s="11" t="s">
        <v>558</v>
      </c>
      <c r="L199" s="8"/>
      <c r="M199" s="12">
        <v>41.0</v>
      </c>
      <c r="N199" s="8"/>
      <c r="O199" s="8"/>
      <c r="P199" s="29"/>
      <c r="Q199" s="4"/>
      <c r="R199" s="4"/>
      <c r="S199" s="4"/>
      <c r="T199" s="4"/>
      <c r="U199" s="4"/>
      <c r="V199" s="4"/>
      <c r="W199" s="4"/>
      <c r="X199" s="4"/>
      <c r="Y199" s="4"/>
    </row>
    <row r="200">
      <c r="A200" s="17" t="s">
        <v>559</v>
      </c>
      <c r="B200" s="18">
        <v>1474.0</v>
      </c>
      <c r="C200" s="19" t="b">
        <v>1</v>
      </c>
      <c r="D200" s="20" t="str">
        <f>IFERROR(__xludf.DUMMYFUNCTION("GOOGLETRANSLATE(A200,""ar"", ""en"")"),"XTRA Two-seat resin set")</f>
        <v>XTRA Two-seat resin set</v>
      </c>
      <c r="E200" s="28" t="s">
        <v>560</v>
      </c>
      <c r="F200" s="9" t="s">
        <v>28</v>
      </c>
      <c r="G200" s="9"/>
      <c r="H200" s="16" t="s">
        <v>519</v>
      </c>
      <c r="I200" s="8"/>
      <c r="J200" s="31"/>
      <c r="K200" s="11" t="s">
        <v>561</v>
      </c>
      <c r="L200" s="8"/>
      <c r="M200" s="15">
        <v>9.0</v>
      </c>
      <c r="N200" s="8"/>
      <c r="O200" s="8"/>
      <c r="P200" s="31"/>
      <c r="Q200" s="4"/>
      <c r="R200" s="4"/>
      <c r="S200" s="4"/>
      <c r="T200" s="4"/>
      <c r="U200" s="4"/>
      <c r="V200" s="4"/>
      <c r="W200" s="4"/>
      <c r="X200" s="4"/>
      <c r="Y200" s="4"/>
    </row>
    <row r="201">
      <c r="A201" s="13" t="s">
        <v>562</v>
      </c>
      <c r="B201" s="6">
        <v>1476.0</v>
      </c>
      <c r="C201" s="6" t="b">
        <v>0</v>
      </c>
      <c r="D201" s="8" t="str">
        <f>IFERROR(__xludf.DUMMYFUNCTION("GOOGLETRANSLATE(A201,""ar"", ""en"")"),"Resin chaise longue")</f>
        <v>Resin chaise longue</v>
      </c>
      <c r="E201" s="13" t="s">
        <v>563</v>
      </c>
      <c r="F201" s="9" t="s">
        <v>28</v>
      </c>
      <c r="G201" s="9"/>
      <c r="H201" s="16" t="s">
        <v>519</v>
      </c>
      <c r="I201" s="8"/>
      <c r="J201" s="31"/>
      <c r="K201" s="11" t="s">
        <v>564</v>
      </c>
      <c r="L201" s="8"/>
      <c r="M201" s="15">
        <v>89.0</v>
      </c>
      <c r="N201" s="8"/>
      <c r="O201" s="8"/>
      <c r="P201" s="31"/>
      <c r="Q201" s="4"/>
      <c r="R201" s="4"/>
      <c r="S201" s="4"/>
      <c r="T201" s="4"/>
      <c r="U201" s="4"/>
      <c r="V201" s="4"/>
      <c r="W201" s="4"/>
      <c r="X201" s="4"/>
      <c r="Y201" s="4"/>
    </row>
    <row r="202">
      <c r="A202" s="5" t="s">
        <v>565</v>
      </c>
      <c r="B202" s="6">
        <v>1491.0</v>
      </c>
      <c r="C202" s="6" t="b">
        <v>0</v>
      </c>
      <c r="D202" s="8" t="str">
        <f>IFERROR(__xludf.DUMMYFUNCTION("GOOGLETRANSLATE(A202,""ar"", ""en"")"),"Plastic Bank")</f>
        <v>Plastic Bank</v>
      </c>
      <c r="E202" s="5" t="s">
        <v>566</v>
      </c>
      <c r="F202" s="9" t="s">
        <v>28</v>
      </c>
      <c r="G202" s="9"/>
      <c r="H202" s="8"/>
      <c r="I202" s="8"/>
      <c r="J202" s="29"/>
      <c r="K202" s="11" t="s">
        <v>567</v>
      </c>
      <c r="L202" s="8"/>
      <c r="M202" s="12">
        <v>95.0</v>
      </c>
      <c r="N202" s="8"/>
      <c r="O202" s="8"/>
      <c r="P202" s="29"/>
      <c r="Q202" s="4"/>
      <c r="R202" s="4"/>
      <c r="S202" s="4"/>
      <c r="T202" s="4"/>
      <c r="U202" s="4"/>
      <c r="V202" s="4"/>
      <c r="W202" s="4"/>
      <c r="X202" s="4"/>
      <c r="Y202" s="4"/>
    </row>
    <row r="203">
      <c r="A203" s="13" t="s">
        <v>568</v>
      </c>
      <c r="B203" s="6">
        <v>1492.0</v>
      </c>
      <c r="C203" s="6" t="b">
        <v>0</v>
      </c>
      <c r="D203" s="8" t="str">
        <f>IFERROR(__xludf.DUMMYFUNCTION("GOOGLETRANSLATE(A203,""ar"", ""en"")"),"Round inflatable iron base hoop")</f>
        <v>Round inflatable iron base hoop</v>
      </c>
      <c r="E203" s="13" t="s">
        <v>569</v>
      </c>
      <c r="F203" s="9" t="s">
        <v>27</v>
      </c>
      <c r="G203" s="9" t="s">
        <v>18</v>
      </c>
      <c r="H203" s="16" t="s">
        <v>186</v>
      </c>
      <c r="I203" s="8"/>
      <c r="J203" s="31"/>
      <c r="K203" s="11" t="s">
        <v>570</v>
      </c>
      <c r="L203" s="8"/>
      <c r="M203" s="15">
        <v>36.0</v>
      </c>
      <c r="N203" s="8"/>
      <c r="O203" s="8"/>
      <c r="P203" s="31"/>
      <c r="Q203" s="4"/>
      <c r="R203" s="4"/>
      <c r="S203" s="4"/>
      <c r="T203" s="4"/>
      <c r="U203" s="4"/>
      <c r="V203" s="4"/>
      <c r="W203" s="4"/>
      <c r="X203" s="4"/>
      <c r="Y203" s="4"/>
    </row>
    <row r="204">
      <c r="A204" s="13" t="s">
        <v>571</v>
      </c>
      <c r="B204" s="6">
        <v>1500.0</v>
      </c>
      <c r="C204" s="6" t="b">
        <v>0</v>
      </c>
      <c r="D204" s="8" t="str">
        <f>IFERROR(__xludf.DUMMYFUNCTION("GOOGLETRANSLATE(A204,""ar"", ""en"")"),"110cm High Gloss Inflatable Iron Base")</f>
        <v>110cm High Gloss Inflatable Iron Base</v>
      </c>
      <c r="E204" s="13" t="s">
        <v>572</v>
      </c>
      <c r="F204" s="9" t="s">
        <v>27</v>
      </c>
      <c r="G204" s="9" t="s">
        <v>18</v>
      </c>
      <c r="H204" s="16" t="s">
        <v>186</v>
      </c>
      <c r="I204" s="8"/>
      <c r="J204" s="31"/>
      <c r="K204" s="11" t="s">
        <v>573</v>
      </c>
      <c r="L204" s="8"/>
      <c r="M204" s="15">
        <v>25.0</v>
      </c>
      <c r="N204" s="8"/>
      <c r="O204" s="8"/>
      <c r="P204" s="31"/>
      <c r="Q204" s="4"/>
      <c r="R204" s="4"/>
      <c r="S204" s="4"/>
      <c r="T204" s="4"/>
      <c r="U204" s="4"/>
      <c r="V204" s="4"/>
      <c r="W204" s="4"/>
      <c r="X204" s="4"/>
      <c r="Y204" s="4"/>
    </row>
    <row r="205">
      <c r="A205" s="13" t="s">
        <v>574</v>
      </c>
      <c r="B205" s="6">
        <v>1504.0</v>
      </c>
      <c r="C205" s="6" t="b">
        <v>0</v>
      </c>
      <c r="D205" s="8" t="str">
        <f>IFERROR(__xludf.DUMMYFUNCTION("GOOGLETRANSLATE(A205,""ar"", ""en"")"),"60cm square iron stair base")</f>
        <v>60cm square iron stair base</v>
      </c>
      <c r="E205" s="13" t="s">
        <v>575</v>
      </c>
      <c r="F205" s="9" t="s">
        <v>27</v>
      </c>
      <c r="G205" s="9" t="s">
        <v>18</v>
      </c>
      <c r="H205" s="16" t="s">
        <v>186</v>
      </c>
      <c r="I205" s="8"/>
      <c r="J205" s="31"/>
      <c r="K205" s="11" t="s">
        <v>576</v>
      </c>
      <c r="L205" s="8"/>
      <c r="M205" s="15">
        <v>86.0</v>
      </c>
      <c r="N205" s="8"/>
      <c r="O205" s="8"/>
      <c r="P205" s="31"/>
      <c r="Q205" s="4"/>
      <c r="R205" s="4"/>
      <c r="S205" s="4"/>
      <c r="T205" s="4"/>
      <c r="U205" s="4"/>
      <c r="V205" s="4"/>
      <c r="W205" s="4"/>
      <c r="X205" s="4"/>
      <c r="Y205" s="4"/>
    </row>
    <row r="206">
      <c r="A206" s="5" t="s">
        <v>577</v>
      </c>
      <c r="B206" s="6">
        <v>1511.0</v>
      </c>
      <c r="C206" s="6" t="b">
        <v>0</v>
      </c>
      <c r="D206" s="8" t="str">
        <f>IFERROR(__xludf.DUMMYFUNCTION("GOOGLETRANSLATE(A206,""ar"", ""en"")"),"square stainless steel base")</f>
        <v>square stainless steel base</v>
      </c>
      <c r="E206" s="5" t="s">
        <v>578</v>
      </c>
      <c r="F206" s="9" t="s">
        <v>27</v>
      </c>
      <c r="G206" s="9" t="s">
        <v>28</v>
      </c>
      <c r="H206" s="16" t="s">
        <v>186</v>
      </c>
      <c r="I206" s="8"/>
      <c r="J206" s="29"/>
      <c r="K206" s="11" t="s">
        <v>579</v>
      </c>
      <c r="L206" s="8"/>
      <c r="M206" s="12">
        <v>22.0</v>
      </c>
      <c r="N206" s="8"/>
      <c r="O206" s="8"/>
      <c r="P206" s="29"/>
      <c r="Q206" s="4"/>
      <c r="R206" s="4"/>
      <c r="S206" s="4"/>
      <c r="T206" s="4"/>
      <c r="U206" s="4"/>
      <c r="V206" s="4"/>
      <c r="W206" s="4"/>
      <c r="X206" s="4"/>
      <c r="Y206" s="4"/>
    </row>
    <row r="207">
      <c r="A207" s="5" t="s">
        <v>577</v>
      </c>
      <c r="B207" s="6">
        <v>1517.0</v>
      </c>
      <c r="C207" s="6" t="b">
        <v>0</v>
      </c>
      <c r="D207" s="8" t="str">
        <f>IFERROR(__xludf.DUMMYFUNCTION("GOOGLETRANSLATE(A207,""ar"", ""en"")"),"square stainless steel base")</f>
        <v>square stainless steel base</v>
      </c>
      <c r="E207" s="5" t="s">
        <v>580</v>
      </c>
      <c r="F207" s="9" t="s">
        <v>27</v>
      </c>
      <c r="G207" s="9" t="s">
        <v>28</v>
      </c>
      <c r="H207" s="16" t="s">
        <v>186</v>
      </c>
      <c r="I207" s="8"/>
      <c r="J207" s="29"/>
      <c r="K207" s="11" t="s">
        <v>579</v>
      </c>
      <c r="L207" s="8"/>
      <c r="M207" s="12">
        <v>34.0</v>
      </c>
      <c r="N207" s="8"/>
      <c r="O207" s="8"/>
      <c r="P207" s="29"/>
      <c r="Q207" s="4"/>
      <c r="R207" s="4"/>
      <c r="S207" s="4"/>
      <c r="T207" s="4"/>
      <c r="U207" s="4"/>
      <c r="V207" s="4"/>
      <c r="W207" s="4"/>
      <c r="X207" s="4"/>
      <c r="Y207" s="4"/>
    </row>
    <row r="208">
      <c r="A208" s="5" t="s">
        <v>581</v>
      </c>
      <c r="B208" s="6">
        <v>1519.0</v>
      </c>
      <c r="C208" s="6" t="b">
        <v>0</v>
      </c>
      <c r="D208" s="8" t="str">
        <f>IFERROR(__xludf.DUMMYFUNCTION("GOOGLETRANSLATE(A208,""ar"", ""en"")"),"iron clothes pole")</f>
        <v>iron clothes pole</v>
      </c>
      <c r="E208" s="5" t="s">
        <v>582</v>
      </c>
      <c r="F208" s="9" t="s">
        <v>18</v>
      </c>
      <c r="G208" s="9"/>
      <c r="H208" s="8"/>
      <c r="I208" s="8"/>
      <c r="J208" s="29"/>
      <c r="K208" s="11" t="s">
        <v>583</v>
      </c>
      <c r="L208" s="8"/>
      <c r="M208" s="12">
        <v>263.0</v>
      </c>
      <c r="N208" s="8"/>
      <c r="O208" s="8"/>
      <c r="P208" s="29"/>
      <c r="Q208" s="4"/>
      <c r="R208" s="4"/>
      <c r="S208" s="4"/>
      <c r="T208" s="4"/>
      <c r="U208" s="4"/>
      <c r="V208" s="4"/>
      <c r="W208" s="4"/>
      <c r="X208" s="4"/>
      <c r="Y208" s="4"/>
    </row>
    <row r="209">
      <c r="A209" s="13" t="s">
        <v>584</v>
      </c>
      <c r="B209" s="6">
        <v>1520.0</v>
      </c>
      <c r="C209" s="6" t="b">
        <v>0</v>
      </c>
      <c r="D209" s="8" t="str">
        <f>IFERROR(__xludf.DUMMYFUNCTION("GOOGLETRANSLATE(A209,""ar"", ""en"")"),"wooden clothes pole")</f>
        <v>wooden clothes pole</v>
      </c>
      <c r="E209" s="13" t="s">
        <v>585</v>
      </c>
      <c r="F209" s="9" t="s">
        <v>18</v>
      </c>
      <c r="G209" s="9"/>
      <c r="H209" s="8"/>
      <c r="I209" s="8"/>
      <c r="J209" s="31"/>
      <c r="K209" s="11" t="s">
        <v>586</v>
      </c>
      <c r="L209" s="8"/>
      <c r="M209" s="15">
        <v>138.0</v>
      </c>
      <c r="N209" s="8"/>
      <c r="O209" s="8"/>
      <c r="P209" s="31"/>
      <c r="Q209" s="4"/>
      <c r="R209" s="4"/>
      <c r="S209" s="4"/>
      <c r="T209" s="4"/>
      <c r="U209" s="4"/>
      <c r="V209" s="4"/>
      <c r="W209" s="4"/>
      <c r="X209" s="4"/>
      <c r="Y209" s="4"/>
    </row>
    <row r="210">
      <c r="A210" s="5" t="s">
        <v>581</v>
      </c>
      <c r="B210" s="6">
        <v>1521.0</v>
      </c>
      <c r="C210" s="6" t="b">
        <v>0</v>
      </c>
      <c r="D210" s="8" t="str">
        <f>IFERROR(__xludf.DUMMYFUNCTION("GOOGLETRANSLATE(A210,""ar"", ""en"")"),"iron clothes pole")</f>
        <v>iron clothes pole</v>
      </c>
      <c r="E210" s="5" t="s">
        <v>587</v>
      </c>
      <c r="F210" s="9" t="s">
        <v>18</v>
      </c>
      <c r="G210" s="9"/>
      <c r="H210" s="8"/>
      <c r="I210" s="8"/>
      <c r="J210" s="29"/>
      <c r="K210" s="11" t="s">
        <v>583</v>
      </c>
      <c r="L210" s="8"/>
      <c r="M210" s="12">
        <v>95.0</v>
      </c>
      <c r="N210" s="8"/>
      <c r="O210" s="8"/>
      <c r="P210" s="29"/>
      <c r="Q210" s="4"/>
      <c r="R210" s="4"/>
      <c r="S210" s="4"/>
      <c r="T210" s="4"/>
      <c r="U210" s="4"/>
      <c r="V210" s="4"/>
      <c r="W210" s="4"/>
      <c r="X210" s="4"/>
      <c r="Y210" s="4"/>
    </row>
    <row r="211">
      <c r="A211" s="5" t="s">
        <v>588</v>
      </c>
      <c r="B211" s="6">
        <v>1525.0</v>
      </c>
      <c r="C211" s="6" t="b">
        <v>0</v>
      </c>
      <c r="D211" s="8" t="str">
        <f>IFERROR(__xludf.DUMMYFUNCTION("GOOGLETRANSLATE(A211,""ar"", ""en"")"),"Light Grey Recliner Chair")</f>
        <v>Light Grey Recliner Chair</v>
      </c>
      <c r="E211" s="5" t="s">
        <v>589</v>
      </c>
      <c r="F211" s="9" t="s">
        <v>18</v>
      </c>
      <c r="G211" s="9"/>
      <c r="H211" s="8"/>
      <c r="I211" s="8"/>
      <c r="J211" s="29"/>
      <c r="K211" s="11" t="s">
        <v>590</v>
      </c>
      <c r="L211" s="8"/>
      <c r="M211" s="12">
        <v>17.0</v>
      </c>
      <c r="N211" s="8"/>
      <c r="O211" s="8"/>
      <c r="P211" s="29"/>
      <c r="Q211" s="4"/>
      <c r="R211" s="4"/>
      <c r="S211" s="4"/>
      <c r="T211" s="4"/>
      <c r="U211" s="4"/>
      <c r="V211" s="4"/>
      <c r="W211" s="4"/>
      <c r="X211" s="4"/>
      <c r="Y211" s="4"/>
    </row>
    <row r="212">
      <c r="A212" s="5" t="s">
        <v>591</v>
      </c>
      <c r="B212" s="6">
        <v>1529.0</v>
      </c>
      <c r="C212" s="6" t="b">
        <v>0</v>
      </c>
      <c r="D212" s="8" t="str">
        <f>IFERROR(__xludf.DUMMYFUNCTION("GOOGLETRANSLATE(A212,""ar"", ""en"")"),"RECLYNER CHAIR - LIGHT GRAY")</f>
        <v>RECLYNER CHAIR - LIGHT GRAY</v>
      </c>
      <c r="E212" s="5" t="s">
        <v>592</v>
      </c>
      <c r="F212" s="9" t="s">
        <v>18</v>
      </c>
      <c r="G212" s="9"/>
      <c r="H212" s="8"/>
      <c r="I212" s="8"/>
      <c r="J212" s="29"/>
      <c r="K212" s="11" t="s">
        <v>593</v>
      </c>
      <c r="L212" s="8"/>
      <c r="M212" s="12">
        <v>12.0</v>
      </c>
      <c r="N212" s="8"/>
      <c r="O212" s="8"/>
      <c r="P212" s="29"/>
      <c r="Q212" s="4"/>
      <c r="R212" s="4"/>
      <c r="S212" s="4"/>
      <c r="T212" s="4"/>
      <c r="U212" s="4"/>
      <c r="V212" s="4"/>
      <c r="W212" s="4"/>
      <c r="X212" s="4"/>
      <c r="Y212" s="4"/>
    </row>
    <row r="213">
      <c r="A213" s="5" t="s">
        <v>594</v>
      </c>
      <c r="B213" s="6">
        <v>1539.0</v>
      </c>
      <c r="C213" s="7" t="b">
        <v>1</v>
      </c>
      <c r="D213" s="8" t="str">
        <f>IFERROR(__xludf.DUMMYFUNCTION("GOOGLETRANSLATE(A213,""ar"", ""en"")"),"Font Bank 150 cm")</f>
        <v>Font Bank 150 cm</v>
      </c>
      <c r="E213" s="5" t="s">
        <v>595</v>
      </c>
      <c r="F213" s="9" t="s">
        <v>28</v>
      </c>
      <c r="G213" s="9"/>
      <c r="H213" s="8"/>
      <c r="I213" s="8"/>
      <c r="J213" s="29"/>
      <c r="K213" s="11" t="s">
        <v>596</v>
      </c>
      <c r="L213" s="8"/>
      <c r="M213" s="12">
        <v>24.0</v>
      </c>
      <c r="N213" s="8"/>
      <c r="O213" s="8"/>
      <c r="P213" s="29"/>
      <c r="Q213" s="4"/>
      <c r="R213" s="4"/>
      <c r="S213" s="4"/>
      <c r="T213" s="4"/>
      <c r="U213" s="4"/>
      <c r="V213" s="4"/>
      <c r="W213" s="4"/>
      <c r="X213" s="4"/>
      <c r="Y213" s="4"/>
    </row>
    <row r="214">
      <c r="A214" s="13" t="s">
        <v>597</v>
      </c>
      <c r="B214" s="6">
        <v>1542.0</v>
      </c>
      <c r="C214" s="6" t="b">
        <v>0</v>
      </c>
      <c r="D214" s="8" t="str">
        <f>IFERROR(__xludf.DUMMYFUNCTION("GOOGLETRANSLATE(A214,""ar"", ""en"")"),"Font chair")</f>
        <v>Font chair</v>
      </c>
      <c r="E214" s="13" t="s">
        <v>598</v>
      </c>
      <c r="F214" s="9" t="s">
        <v>28</v>
      </c>
      <c r="G214" s="9"/>
      <c r="H214" s="8"/>
      <c r="I214" s="8"/>
      <c r="J214" s="31"/>
      <c r="K214" s="11" t="s">
        <v>599</v>
      </c>
      <c r="L214" s="8"/>
      <c r="M214" s="15">
        <v>60.0</v>
      </c>
      <c r="N214" s="8"/>
      <c r="O214" s="8"/>
      <c r="P214" s="31"/>
      <c r="Q214" s="4"/>
      <c r="R214" s="4"/>
      <c r="S214" s="4"/>
      <c r="T214" s="4"/>
      <c r="U214" s="4"/>
      <c r="V214" s="4"/>
      <c r="W214" s="4"/>
      <c r="X214" s="4"/>
      <c r="Y214" s="4"/>
    </row>
    <row r="215">
      <c r="A215" s="5" t="s">
        <v>597</v>
      </c>
      <c r="B215" s="6">
        <v>1543.0</v>
      </c>
      <c r="C215" s="6" t="b">
        <v>0</v>
      </c>
      <c r="D215" s="8" t="str">
        <f>IFERROR(__xludf.DUMMYFUNCTION("GOOGLETRANSLATE(A215,""ar"", ""en"")"),"Font chair")</f>
        <v>Font chair</v>
      </c>
      <c r="E215" s="5" t="s">
        <v>600</v>
      </c>
      <c r="F215" s="9" t="s">
        <v>28</v>
      </c>
      <c r="G215" s="9"/>
      <c r="H215" s="8"/>
      <c r="I215" s="8"/>
      <c r="J215" s="29"/>
      <c r="K215" s="11" t="s">
        <v>599</v>
      </c>
      <c r="L215" s="8"/>
      <c r="M215" s="12">
        <v>42.0</v>
      </c>
      <c r="N215" s="8"/>
      <c r="O215" s="8"/>
      <c r="P215" s="29"/>
      <c r="Q215" s="4"/>
      <c r="R215" s="4"/>
      <c r="S215" s="4"/>
      <c r="T215" s="4"/>
      <c r="U215" s="4"/>
      <c r="V215" s="4"/>
      <c r="W215" s="4"/>
      <c r="X215" s="4"/>
      <c r="Y215" s="4"/>
    </row>
    <row r="216">
      <c r="A216" s="13" t="s">
        <v>601</v>
      </c>
      <c r="B216" s="6">
        <v>1544.0</v>
      </c>
      <c r="C216" s="6" t="b">
        <v>0</v>
      </c>
      <c r="D216" s="8" t="str">
        <f>IFERROR(__xludf.DUMMYFUNCTION("GOOGLETRANSLATE(A216,""ar"", ""en"")"),"Font table")</f>
        <v>Font table</v>
      </c>
      <c r="E216" s="13" t="s">
        <v>602</v>
      </c>
      <c r="F216" s="9" t="s">
        <v>28</v>
      </c>
      <c r="G216" s="9"/>
      <c r="H216" s="8"/>
      <c r="I216" s="8"/>
      <c r="J216" s="31"/>
      <c r="K216" s="11" t="s">
        <v>603</v>
      </c>
      <c r="L216" s="8"/>
      <c r="M216" s="15">
        <v>15.0</v>
      </c>
      <c r="N216" s="8"/>
      <c r="O216" s="8"/>
      <c r="P216" s="31"/>
      <c r="Q216" s="4"/>
      <c r="R216" s="4"/>
      <c r="S216" s="4"/>
      <c r="T216" s="4"/>
      <c r="U216" s="4"/>
      <c r="V216" s="4"/>
      <c r="W216" s="4"/>
      <c r="X216" s="4"/>
      <c r="Y216" s="4"/>
    </row>
    <row r="217">
      <c r="A217" s="5" t="s">
        <v>601</v>
      </c>
      <c r="B217" s="6">
        <v>1545.0</v>
      </c>
      <c r="C217" s="6" t="b">
        <v>0</v>
      </c>
      <c r="D217" s="8" t="str">
        <f>IFERROR(__xludf.DUMMYFUNCTION("GOOGLETRANSLATE(A217,""ar"", ""en"")"),"Font table")</f>
        <v>Font table</v>
      </c>
      <c r="E217" s="5" t="s">
        <v>604</v>
      </c>
      <c r="F217" s="9" t="s">
        <v>28</v>
      </c>
      <c r="G217" s="9"/>
      <c r="H217" s="8"/>
      <c r="I217" s="8"/>
      <c r="J217" s="29"/>
      <c r="K217" s="11" t="s">
        <v>603</v>
      </c>
      <c r="L217" s="8"/>
      <c r="M217" s="12">
        <v>6.0</v>
      </c>
      <c r="N217" s="8"/>
      <c r="O217" s="8"/>
      <c r="P217" s="29"/>
      <c r="Q217" s="4"/>
      <c r="R217" s="4"/>
      <c r="S217" s="4"/>
      <c r="T217" s="4"/>
      <c r="U217" s="4"/>
      <c r="V217" s="4"/>
      <c r="W217" s="4"/>
      <c r="X217" s="4"/>
      <c r="Y217" s="4"/>
    </row>
    <row r="218">
      <c r="A218" s="13" t="s">
        <v>605</v>
      </c>
      <c r="B218" s="6">
        <v>1554.0</v>
      </c>
      <c r="C218" s="6" t="b">
        <v>0</v>
      </c>
      <c r="D218" s="8" t="str">
        <f>IFERROR(__xludf.DUMMYFUNCTION("GOOGLETRANSLATE(A218,""ar"", ""en"")"),"chair with rope handle")</f>
        <v>chair with rope handle</v>
      </c>
      <c r="E218" s="32" t="s">
        <v>606</v>
      </c>
      <c r="F218" s="9" t="s">
        <v>28</v>
      </c>
      <c r="G218" s="9"/>
      <c r="H218" s="16" t="s">
        <v>29</v>
      </c>
      <c r="I218" s="8"/>
      <c r="J218" s="31"/>
      <c r="K218" s="11" t="s">
        <v>607</v>
      </c>
      <c r="L218" s="8"/>
      <c r="M218" s="15">
        <v>103.0</v>
      </c>
      <c r="N218" s="8"/>
      <c r="O218" s="8"/>
      <c r="P218" s="31"/>
      <c r="Q218" s="4"/>
      <c r="R218" s="4"/>
      <c r="S218" s="4"/>
      <c r="T218" s="4"/>
      <c r="U218" s="4"/>
      <c r="V218" s="4"/>
      <c r="W218" s="4"/>
      <c r="X218" s="4"/>
      <c r="Y218" s="4"/>
    </row>
    <row r="219">
      <c r="A219" s="5" t="s">
        <v>608</v>
      </c>
      <c r="B219" s="6">
        <v>1565.0</v>
      </c>
      <c r="C219" s="6" t="b">
        <v>0</v>
      </c>
      <c r="D219" s="8" t="str">
        <f>IFERROR(__xludf.DUMMYFUNCTION("GOOGLETRANSLATE(A219,""ar"", ""en"")"),"Aluminum rope chair")</f>
        <v>Aluminum rope chair</v>
      </c>
      <c r="E219" s="5" t="s">
        <v>609</v>
      </c>
      <c r="F219" s="9" t="s">
        <v>28</v>
      </c>
      <c r="G219" s="9"/>
      <c r="H219" s="16" t="s">
        <v>29</v>
      </c>
      <c r="I219" s="8"/>
      <c r="J219" s="29"/>
      <c r="K219" s="11" t="s">
        <v>610</v>
      </c>
      <c r="L219" s="8"/>
      <c r="M219" s="12">
        <v>90.0</v>
      </c>
      <c r="N219" s="8"/>
      <c r="O219" s="8"/>
      <c r="P219" s="29"/>
      <c r="Q219" s="4"/>
      <c r="R219" s="4"/>
      <c r="S219" s="4"/>
      <c r="T219" s="4"/>
      <c r="U219" s="4"/>
      <c r="V219" s="4"/>
      <c r="W219" s="4"/>
      <c r="X219" s="4"/>
      <c r="Y219" s="4"/>
    </row>
    <row r="220">
      <c r="A220" s="5" t="s">
        <v>611</v>
      </c>
      <c r="B220" s="6">
        <v>1566.0</v>
      </c>
      <c r="C220" s="6" t="b">
        <v>0</v>
      </c>
      <c r="D220" s="8" t="str">
        <f>IFERROR(__xludf.DUMMYFUNCTION("GOOGLETRANSLATE(A220,""ar"", ""en"")"),"80 cm round table")</f>
        <v>80 cm round table</v>
      </c>
      <c r="E220" s="5" t="s">
        <v>612</v>
      </c>
      <c r="F220" s="30"/>
      <c r="G220" s="30"/>
      <c r="H220" s="8"/>
      <c r="I220" s="8"/>
      <c r="J220" s="10">
        <v>0.0</v>
      </c>
      <c r="K220" s="11" t="s">
        <v>613</v>
      </c>
      <c r="L220" s="8"/>
      <c r="M220" s="12">
        <v>17.0</v>
      </c>
      <c r="N220" s="8"/>
      <c r="O220" s="8"/>
      <c r="P220" s="10">
        <v>0.0</v>
      </c>
      <c r="Q220" s="4"/>
      <c r="R220" s="4"/>
      <c r="S220" s="4"/>
      <c r="T220" s="4"/>
      <c r="U220" s="4"/>
      <c r="V220" s="4"/>
      <c r="W220" s="4"/>
      <c r="X220" s="4"/>
      <c r="Y220" s="4"/>
    </row>
    <row r="221">
      <c r="A221" s="13" t="s">
        <v>614</v>
      </c>
      <c r="B221" s="6">
        <v>1567.0</v>
      </c>
      <c r="C221" s="6" t="b">
        <v>0</v>
      </c>
      <c r="D221" s="8" t="str">
        <f>IFERROR(__xludf.DUMMYFUNCTION("GOOGLETRANSLATE(A221,""ar"", ""en"")"),"clothes pole")</f>
        <v>clothes pole</v>
      </c>
      <c r="E221" s="13" t="s">
        <v>615</v>
      </c>
      <c r="F221" s="9" t="s">
        <v>18</v>
      </c>
      <c r="G221" s="9"/>
      <c r="H221" s="8"/>
      <c r="I221" s="8"/>
      <c r="J221" s="14">
        <v>0.0</v>
      </c>
      <c r="K221" s="11" t="s">
        <v>616</v>
      </c>
      <c r="L221" s="8"/>
      <c r="M221" s="15">
        <v>27.0</v>
      </c>
      <c r="N221" s="8"/>
      <c r="O221" s="8"/>
      <c r="P221" s="14">
        <v>0.0</v>
      </c>
      <c r="Q221" s="4"/>
      <c r="R221" s="4"/>
      <c r="S221" s="4"/>
      <c r="T221" s="4"/>
      <c r="U221" s="4"/>
      <c r="V221" s="4"/>
      <c r="W221" s="4"/>
      <c r="X221" s="4"/>
      <c r="Y221" s="4"/>
    </row>
    <row r="222">
      <c r="A222" s="36" t="s">
        <v>617</v>
      </c>
      <c r="B222" s="47">
        <v>1568.0</v>
      </c>
      <c r="C222" s="38" t="b">
        <v>1</v>
      </c>
      <c r="D222" s="39" t="str">
        <f>IFERROR(__xludf.DUMMYFUNCTION("GOOGLETRANSLATE(A222,""ar"", ""en"")"),"100*60 table top")</f>
        <v>100*60 table top</v>
      </c>
      <c r="E222" s="36" t="s">
        <v>618</v>
      </c>
      <c r="F222" s="41" t="s">
        <v>27</v>
      </c>
      <c r="G222" s="41" t="s">
        <v>28</v>
      </c>
      <c r="H222" s="42" t="s">
        <v>98</v>
      </c>
      <c r="I222" s="46" t="s">
        <v>619</v>
      </c>
      <c r="J222" s="50"/>
      <c r="K222" s="44" t="s">
        <v>620</v>
      </c>
      <c r="L222" s="39"/>
      <c r="M222" s="45">
        <v>39.0</v>
      </c>
      <c r="N222" s="8"/>
      <c r="O222" s="8"/>
      <c r="P222" s="29"/>
      <c r="Q222" s="4"/>
      <c r="R222" s="4"/>
      <c r="S222" s="4"/>
      <c r="T222" s="4"/>
      <c r="U222" s="4"/>
      <c r="V222" s="4"/>
      <c r="W222" s="4"/>
      <c r="X222" s="4"/>
      <c r="Y222" s="4"/>
    </row>
    <row r="223">
      <c r="A223" s="36" t="s">
        <v>621</v>
      </c>
      <c r="B223" s="47">
        <v>1569.0</v>
      </c>
      <c r="C223" s="38" t="b">
        <v>1</v>
      </c>
      <c r="D223" s="39" t="str">
        <f>IFERROR(__xludf.DUMMYFUNCTION("GOOGLETRANSLATE(A223,""ar"", ""en"")"),"60*60 table top")</f>
        <v>60*60 table top</v>
      </c>
      <c r="E223" s="36" t="s">
        <v>622</v>
      </c>
      <c r="F223" s="41" t="s">
        <v>27</v>
      </c>
      <c r="G223" s="41" t="s">
        <v>28</v>
      </c>
      <c r="H223" s="42" t="s">
        <v>98</v>
      </c>
      <c r="I223" s="39"/>
      <c r="J223" s="50"/>
      <c r="K223" s="44" t="s">
        <v>620</v>
      </c>
      <c r="L223" s="39"/>
      <c r="M223" s="45">
        <v>84.0</v>
      </c>
      <c r="N223" s="8"/>
      <c r="O223" s="8"/>
      <c r="P223" s="31"/>
      <c r="Q223" s="4"/>
      <c r="R223" s="4"/>
      <c r="S223" s="4"/>
      <c r="T223" s="4"/>
      <c r="U223" s="4"/>
      <c r="V223" s="4"/>
      <c r="W223" s="4"/>
      <c r="X223" s="4"/>
      <c r="Y223" s="4"/>
    </row>
    <row r="224">
      <c r="A224" s="36" t="s">
        <v>623</v>
      </c>
      <c r="B224" s="47">
        <v>1570.0</v>
      </c>
      <c r="C224" s="38" t="b">
        <v>1</v>
      </c>
      <c r="D224" s="39" t="str">
        <f>IFERROR(__xludf.DUMMYFUNCTION("GOOGLETRANSLATE(A224,""ar"", ""en"")"),"Table top 70*110")</f>
        <v>Table top 70*110</v>
      </c>
      <c r="E224" s="36" t="s">
        <v>624</v>
      </c>
      <c r="F224" s="41" t="s">
        <v>27</v>
      </c>
      <c r="G224" s="41" t="s">
        <v>28</v>
      </c>
      <c r="H224" s="42" t="s">
        <v>98</v>
      </c>
      <c r="I224" s="39"/>
      <c r="J224" s="50"/>
      <c r="K224" s="44" t="s">
        <v>620</v>
      </c>
      <c r="L224" s="39"/>
      <c r="M224" s="45">
        <v>23.0</v>
      </c>
      <c r="N224" s="8"/>
      <c r="O224" s="8"/>
      <c r="P224" s="29"/>
      <c r="Q224" s="4"/>
      <c r="R224" s="4"/>
      <c r="S224" s="4"/>
      <c r="T224" s="4"/>
      <c r="U224" s="4"/>
      <c r="V224" s="4"/>
      <c r="W224" s="4"/>
      <c r="X224" s="4"/>
      <c r="Y224" s="4"/>
    </row>
    <row r="225">
      <c r="A225" s="36" t="s">
        <v>625</v>
      </c>
      <c r="B225" s="47">
        <v>1571.0</v>
      </c>
      <c r="C225" s="38" t="b">
        <v>1</v>
      </c>
      <c r="D225" s="39" t="str">
        <f>IFERROR(__xludf.DUMMYFUNCTION("GOOGLETRANSLATE(A225,""ar"", ""en"")"),"70*70 table top")</f>
        <v>70*70 table top</v>
      </c>
      <c r="E225" s="36" t="s">
        <v>626</v>
      </c>
      <c r="F225" s="41" t="s">
        <v>27</v>
      </c>
      <c r="G225" s="41" t="s">
        <v>28</v>
      </c>
      <c r="H225" s="42" t="s">
        <v>98</v>
      </c>
      <c r="I225" s="39"/>
      <c r="J225" s="50"/>
      <c r="K225" s="44" t="s">
        <v>620</v>
      </c>
      <c r="L225" s="39"/>
      <c r="M225" s="45">
        <v>61.0</v>
      </c>
      <c r="N225" s="8"/>
      <c r="O225" s="8"/>
      <c r="P225" s="31"/>
      <c r="Q225" s="4"/>
      <c r="R225" s="4"/>
      <c r="S225" s="4"/>
      <c r="T225" s="4"/>
      <c r="U225" s="4"/>
      <c r="V225" s="4"/>
      <c r="W225" s="4"/>
      <c r="X225" s="4"/>
      <c r="Y225" s="4"/>
    </row>
    <row r="226">
      <c r="A226" s="36" t="s">
        <v>627</v>
      </c>
      <c r="B226" s="47">
        <v>1572.0</v>
      </c>
      <c r="C226" s="38" t="b">
        <v>1</v>
      </c>
      <c r="D226" s="39" t="str">
        <f>IFERROR(__xludf.DUMMYFUNCTION("GOOGLETRANSLATE(A226,""ar"", ""en"")"),"80*120 table top")</f>
        <v>80*120 table top</v>
      </c>
      <c r="E226" s="36" t="s">
        <v>628</v>
      </c>
      <c r="F226" s="41" t="s">
        <v>27</v>
      </c>
      <c r="G226" s="41" t="s">
        <v>28</v>
      </c>
      <c r="H226" s="42" t="s">
        <v>98</v>
      </c>
      <c r="I226" s="39"/>
      <c r="J226" s="50"/>
      <c r="K226" s="44" t="s">
        <v>620</v>
      </c>
      <c r="L226" s="8"/>
      <c r="M226" s="12">
        <v>48.0</v>
      </c>
      <c r="N226" s="8"/>
      <c r="O226" s="8"/>
      <c r="P226" s="29"/>
      <c r="Q226" s="4"/>
      <c r="R226" s="4"/>
      <c r="S226" s="4"/>
      <c r="T226" s="4"/>
      <c r="U226" s="4"/>
      <c r="V226" s="4"/>
      <c r="W226" s="4"/>
      <c r="X226" s="4"/>
      <c r="Y226" s="4"/>
    </row>
    <row r="227">
      <c r="A227" s="36" t="s">
        <v>629</v>
      </c>
      <c r="B227" s="47">
        <v>1573.0</v>
      </c>
      <c r="C227" s="38" t="b">
        <v>1</v>
      </c>
      <c r="D227" s="39" t="str">
        <f>IFERROR(__xludf.DUMMYFUNCTION("GOOGLETRANSLATE(A227,""ar"", ""en"")"),"80*80 table top")</f>
        <v>80*80 table top</v>
      </c>
      <c r="E227" s="36" t="s">
        <v>630</v>
      </c>
      <c r="F227" s="41" t="s">
        <v>27</v>
      </c>
      <c r="G227" s="41" t="s">
        <v>28</v>
      </c>
      <c r="H227" s="42" t="s">
        <v>98</v>
      </c>
      <c r="I227" s="39"/>
      <c r="J227" s="50"/>
      <c r="K227" s="44" t="s">
        <v>620</v>
      </c>
      <c r="L227" s="39"/>
      <c r="M227" s="45">
        <v>94.0</v>
      </c>
      <c r="N227" s="8"/>
      <c r="O227" s="8"/>
      <c r="P227" s="31"/>
      <c r="Q227" s="4"/>
      <c r="R227" s="4"/>
      <c r="S227" s="4"/>
      <c r="T227" s="4"/>
      <c r="U227" s="4"/>
      <c r="V227" s="4"/>
      <c r="W227" s="4"/>
      <c r="X227" s="4"/>
      <c r="Y227" s="4"/>
    </row>
    <row r="228">
      <c r="A228" s="17" t="s">
        <v>631</v>
      </c>
      <c r="B228" s="18">
        <v>1575.0</v>
      </c>
      <c r="C228" s="19" t="b">
        <v>1</v>
      </c>
      <c r="D228" s="20" t="str">
        <f>IFERROR(__xludf.DUMMYFUNCTION("GOOGLETRANSLATE(A228,""ar"", ""en"")"),"GLD + RED Iron Hotel Chair")</f>
        <v>GLD + RED Iron Hotel Chair</v>
      </c>
      <c r="E228" s="28" t="s">
        <v>632</v>
      </c>
      <c r="F228" s="9" t="s">
        <v>18</v>
      </c>
      <c r="G228" s="9"/>
      <c r="H228" s="8"/>
      <c r="I228" s="8"/>
      <c r="J228" s="31"/>
      <c r="K228" s="11" t="s">
        <v>633</v>
      </c>
      <c r="L228" s="8"/>
      <c r="M228" s="15">
        <v>150.0</v>
      </c>
      <c r="N228" s="8"/>
      <c r="O228" s="8"/>
      <c r="P228" s="51" t="s">
        <v>634</v>
      </c>
      <c r="Q228" s="4"/>
      <c r="R228" s="4"/>
      <c r="S228" s="4"/>
      <c r="T228" s="4"/>
      <c r="U228" s="4"/>
      <c r="V228" s="4"/>
      <c r="W228" s="4"/>
      <c r="X228" s="4"/>
      <c r="Y228" s="4"/>
    </row>
    <row r="229">
      <c r="A229" s="5" t="s">
        <v>635</v>
      </c>
      <c r="B229" s="6">
        <v>1576.0</v>
      </c>
      <c r="C229" s="6" t="b">
        <v>0</v>
      </c>
      <c r="D229" s="8" t="str">
        <f>IFERROR(__xludf.DUMMYFUNCTION("GOOGLETRANSLATE(A229,""ar"", ""en"")"),"FLOWER DESIGN Aluminum Hotel Chair")</f>
        <v>FLOWER DESIGN Aluminum Hotel Chair</v>
      </c>
      <c r="E229" s="5" t="s">
        <v>636</v>
      </c>
      <c r="F229" s="9" t="s">
        <v>28</v>
      </c>
      <c r="G229" s="9"/>
      <c r="H229" s="8"/>
      <c r="I229" s="8"/>
      <c r="J229" s="29"/>
      <c r="K229" s="11" t="s">
        <v>637</v>
      </c>
      <c r="L229" s="8"/>
      <c r="M229" s="12">
        <v>24.0</v>
      </c>
      <c r="N229" s="8"/>
      <c r="O229" s="8"/>
      <c r="P229" s="29"/>
      <c r="Q229" s="4"/>
      <c r="R229" s="4"/>
      <c r="S229" s="4"/>
      <c r="T229" s="4"/>
      <c r="U229" s="4"/>
      <c r="V229" s="4"/>
      <c r="W229" s="4"/>
      <c r="X229" s="4"/>
      <c r="Y229" s="4"/>
    </row>
    <row r="230">
      <c r="A230" s="5" t="s">
        <v>638</v>
      </c>
      <c r="B230" s="6">
        <v>1578.0</v>
      </c>
      <c r="C230" s="7" t="b">
        <v>1</v>
      </c>
      <c r="D230" s="8" t="str">
        <f>IFERROR(__xludf.DUMMYFUNCTION("GOOGLETRANSLATE(A230,""ar"", ""en"")"),"GREY POFF SEAT")</f>
        <v>GREY POFF SEAT</v>
      </c>
      <c r="E230" s="34" t="s">
        <v>639</v>
      </c>
      <c r="F230" s="9" t="s">
        <v>18</v>
      </c>
      <c r="G230" s="9"/>
      <c r="H230" s="8"/>
      <c r="I230" s="8"/>
      <c r="J230" s="29"/>
      <c r="K230" s="11" t="s">
        <v>640</v>
      </c>
      <c r="L230" s="8"/>
      <c r="M230" s="12">
        <v>45.0</v>
      </c>
      <c r="N230" s="8"/>
      <c r="O230" s="8"/>
      <c r="P230" s="29"/>
      <c r="Q230" s="4"/>
      <c r="R230" s="4"/>
      <c r="S230" s="4"/>
      <c r="T230" s="4"/>
      <c r="U230" s="4"/>
      <c r="V230" s="4"/>
      <c r="W230" s="4"/>
      <c r="X230" s="4"/>
      <c r="Y230" s="4"/>
    </row>
    <row r="231">
      <c r="A231" s="13" t="s">
        <v>641</v>
      </c>
      <c r="B231" s="6">
        <v>1579.0</v>
      </c>
      <c r="C231" s="6" t="b">
        <v>0</v>
      </c>
      <c r="D231" s="8" t="str">
        <f>IFERROR(__xludf.DUMMYFUNCTION("GOOGLETRANSLATE(A231,""ar"", ""en"")"),"BLUE POV ANGLE")</f>
        <v>BLUE POV ANGLE</v>
      </c>
      <c r="E231" s="32" t="s">
        <v>642</v>
      </c>
      <c r="F231" s="9" t="s">
        <v>18</v>
      </c>
      <c r="G231" s="9"/>
      <c r="H231" s="8"/>
      <c r="I231" s="8"/>
      <c r="J231" s="31"/>
      <c r="K231" s="11" t="s">
        <v>643</v>
      </c>
      <c r="L231" s="8"/>
      <c r="M231" s="15">
        <v>5.0</v>
      </c>
      <c r="N231" s="8"/>
      <c r="O231" s="8"/>
      <c r="P231" s="31"/>
      <c r="Q231" s="4"/>
      <c r="R231" s="4"/>
      <c r="S231" s="4"/>
      <c r="T231" s="4"/>
      <c r="U231" s="4"/>
      <c r="V231" s="4"/>
      <c r="W231" s="4"/>
      <c r="X231" s="4"/>
      <c r="Y231" s="4"/>
    </row>
    <row r="232">
      <c r="A232" s="5" t="s">
        <v>644</v>
      </c>
      <c r="B232" s="6">
        <v>1580.0</v>
      </c>
      <c r="C232" s="6" t="b">
        <v>0</v>
      </c>
      <c r="D232" s="8" t="str">
        <f>IFERROR(__xludf.DUMMYFUNCTION("GOOGLETRANSLATE(A232,""ar"", ""en"")"),"GREEN Buff Corner")</f>
        <v>GREEN Buff Corner</v>
      </c>
      <c r="E232" s="34" t="s">
        <v>645</v>
      </c>
      <c r="F232" s="9" t="s">
        <v>18</v>
      </c>
      <c r="G232" s="9"/>
      <c r="H232" s="8"/>
      <c r="I232" s="8"/>
      <c r="J232" s="29"/>
      <c r="K232" s="11" t="s">
        <v>646</v>
      </c>
      <c r="L232" s="8"/>
      <c r="M232" s="12">
        <v>5.0</v>
      </c>
      <c r="N232" s="8"/>
      <c r="O232" s="8"/>
      <c r="P232" s="29"/>
      <c r="Q232" s="4"/>
      <c r="R232" s="4"/>
      <c r="S232" s="4"/>
      <c r="T232" s="4"/>
      <c r="U232" s="4"/>
      <c r="V232" s="4"/>
      <c r="W232" s="4"/>
      <c r="X232" s="4"/>
      <c r="Y232" s="4"/>
    </row>
    <row r="233">
      <c r="A233" s="13" t="s">
        <v>647</v>
      </c>
      <c r="B233" s="6">
        <v>1581.0</v>
      </c>
      <c r="C233" s="6" t="b">
        <v>0</v>
      </c>
      <c r="D233" s="8" t="str">
        <f>IFERROR(__xludf.DUMMYFUNCTION("GOOGLETRANSLATE(A233,""ar"", ""en"")"),"GRAY Buff Corner")</f>
        <v>GRAY Buff Corner</v>
      </c>
      <c r="E233" s="35" t="s">
        <v>648</v>
      </c>
      <c r="F233" s="9" t="s">
        <v>18</v>
      </c>
      <c r="G233" s="9"/>
      <c r="H233" s="8"/>
      <c r="I233" s="8"/>
      <c r="J233" s="31"/>
      <c r="K233" s="11" t="s">
        <v>649</v>
      </c>
      <c r="L233" s="8"/>
      <c r="M233" s="15">
        <v>75.0</v>
      </c>
      <c r="N233" s="8"/>
      <c r="O233" s="8"/>
      <c r="P233" s="31"/>
      <c r="Q233" s="4"/>
      <c r="R233" s="4"/>
      <c r="S233" s="4"/>
      <c r="T233" s="4"/>
      <c r="U233" s="4"/>
      <c r="V233" s="4"/>
      <c r="W233" s="4"/>
      <c r="X233" s="4"/>
      <c r="Y233" s="4"/>
    </row>
    <row r="234">
      <c r="A234" s="5" t="s">
        <v>650</v>
      </c>
      <c r="B234" s="6">
        <v>1582.0</v>
      </c>
      <c r="C234" s="6" t="b">
        <v>0</v>
      </c>
      <c r="D234" s="8" t="str">
        <f>IFERROR(__xludf.DUMMYFUNCTION("GOOGLETRANSLATE(A234,""ar"", ""en"")"),"SAND Buff Corner")</f>
        <v>SAND Buff Corner</v>
      </c>
      <c r="E234" s="33" t="s">
        <v>651</v>
      </c>
      <c r="F234" s="9" t="s">
        <v>18</v>
      </c>
      <c r="G234" s="9"/>
      <c r="H234" s="8"/>
      <c r="I234" s="8"/>
      <c r="J234" s="29"/>
      <c r="K234" s="11" t="s">
        <v>652</v>
      </c>
      <c r="L234" s="8"/>
      <c r="M234" s="12">
        <v>5.0</v>
      </c>
      <c r="N234" s="8"/>
      <c r="O234" s="8"/>
      <c r="P234" s="29"/>
      <c r="Q234" s="4"/>
      <c r="R234" s="4"/>
      <c r="S234" s="4"/>
      <c r="T234" s="4"/>
      <c r="U234" s="4"/>
      <c r="V234" s="4"/>
      <c r="W234" s="4"/>
      <c r="X234" s="4"/>
      <c r="Y234" s="4"/>
    </row>
    <row r="235">
      <c r="A235" s="13" t="s">
        <v>653</v>
      </c>
      <c r="B235" s="6">
        <v>1583.0</v>
      </c>
      <c r="C235" s="7" t="b">
        <v>1</v>
      </c>
      <c r="D235" s="8" t="str">
        <f>IFERROR(__xludf.DUMMYFUNCTION("GOOGLETRANSLATE(A235,""ar"", ""en"")"),"BLUE -L-SHAPE POV")</f>
        <v>BLUE -L-SHAPE POV</v>
      </c>
      <c r="E235" s="35" t="s">
        <v>654</v>
      </c>
      <c r="F235" s="9" t="s">
        <v>18</v>
      </c>
      <c r="G235" s="9"/>
      <c r="H235" s="8"/>
      <c r="I235" s="8"/>
      <c r="J235" s="31"/>
      <c r="K235" s="11" t="s">
        <v>655</v>
      </c>
      <c r="L235" s="8"/>
      <c r="M235" s="15">
        <v>28.0</v>
      </c>
      <c r="N235" s="8"/>
      <c r="O235" s="8"/>
      <c r="P235" s="31"/>
      <c r="Q235" s="4"/>
      <c r="R235" s="4"/>
      <c r="S235" s="4"/>
      <c r="T235" s="4"/>
      <c r="U235" s="4"/>
      <c r="V235" s="4"/>
      <c r="W235" s="4"/>
      <c r="X235" s="4"/>
      <c r="Y235" s="4"/>
    </row>
    <row r="236">
      <c r="A236" s="5" t="s">
        <v>656</v>
      </c>
      <c r="B236" s="6">
        <v>1584.0</v>
      </c>
      <c r="C236" s="6" t="b">
        <v>0</v>
      </c>
      <c r="D236" s="8" t="str">
        <f>IFERROR(__xludf.DUMMYFUNCTION("GOOGLETRANSLATE(A236,""ar"", ""en"")"),"GREEN -L-SHAPE POF")</f>
        <v>GREEN -L-SHAPE POF</v>
      </c>
      <c r="E236" s="34" t="s">
        <v>657</v>
      </c>
      <c r="F236" s="9" t="s">
        <v>18</v>
      </c>
      <c r="G236" s="9"/>
      <c r="H236" s="8"/>
      <c r="I236" s="8"/>
      <c r="J236" s="29"/>
      <c r="K236" s="11" t="s">
        <v>658</v>
      </c>
      <c r="L236" s="8"/>
      <c r="M236" s="12">
        <v>13.0</v>
      </c>
      <c r="N236" s="8"/>
      <c r="O236" s="8"/>
      <c r="P236" s="29"/>
      <c r="Q236" s="4"/>
      <c r="R236" s="4"/>
      <c r="S236" s="4"/>
      <c r="T236" s="4"/>
      <c r="U236" s="4"/>
      <c r="V236" s="4"/>
      <c r="W236" s="4"/>
      <c r="X236" s="4"/>
      <c r="Y236" s="4"/>
    </row>
    <row r="237">
      <c r="A237" s="13" t="s">
        <v>659</v>
      </c>
      <c r="B237" s="6">
        <v>1585.0</v>
      </c>
      <c r="C237" s="7" t="b">
        <v>1</v>
      </c>
      <c r="D237" s="8" t="str">
        <f>IFERROR(__xludf.DUMMYFUNCTION("GOOGLETRANSLATE(A237,""ar"", ""en"")"),"GREY L-SHAPE POF")</f>
        <v>GREY L-SHAPE POF</v>
      </c>
      <c r="E237" s="35" t="s">
        <v>660</v>
      </c>
      <c r="F237" s="9" t="s">
        <v>18</v>
      </c>
      <c r="G237" s="9"/>
      <c r="H237" s="8"/>
      <c r="I237" s="8"/>
      <c r="J237" s="31"/>
      <c r="K237" s="11" t="s">
        <v>661</v>
      </c>
      <c r="L237" s="8"/>
      <c r="M237" s="15">
        <v>288.0</v>
      </c>
      <c r="N237" s="8"/>
      <c r="O237" s="8"/>
      <c r="P237" s="31"/>
      <c r="Q237" s="4"/>
      <c r="R237" s="4"/>
      <c r="S237" s="4"/>
      <c r="T237" s="4"/>
      <c r="U237" s="4"/>
      <c r="V237" s="4"/>
      <c r="W237" s="4"/>
      <c r="X237" s="4"/>
      <c r="Y237" s="4"/>
    </row>
    <row r="238">
      <c r="A238" s="5" t="s">
        <v>662</v>
      </c>
      <c r="B238" s="6">
        <v>1586.0</v>
      </c>
      <c r="C238" s="6" t="b">
        <v>0</v>
      </c>
      <c r="D238" s="8" t="str">
        <f>IFERROR(__xludf.DUMMYFUNCTION("GOOGLETRANSLATE(A238,""ar"", ""en"")"),"SAND -L-SHAPE Buff")</f>
        <v>SAND -L-SHAPE Buff</v>
      </c>
      <c r="E238" s="34" t="s">
        <v>663</v>
      </c>
      <c r="F238" s="9" t="s">
        <v>18</v>
      </c>
      <c r="G238" s="9"/>
      <c r="H238" s="8"/>
      <c r="I238" s="8"/>
      <c r="J238" s="29"/>
      <c r="K238" s="11" t="s">
        <v>664</v>
      </c>
      <c r="L238" s="8"/>
      <c r="M238" s="12">
        <v>29.0</v>
      </c>
      <c r="N238" s="8"/>
      <c r="O238" s="8"/>
      <c r="P238" s="29"/>
      <c r="Q238" s="4"/>
      <c r="R238" s="4"/>
      <c r="S238" s="4"/>
      <c r="T238" s="4"/>
      <c r="U238" s="4"/>
      <c r="V238" s="4"/>
      <c r="W238" s="4"/>
      <c r="X238" s="4"/>
      <c r="Y238" s="4"/>
    </row>
    <row r="239">
      <c r="A239" s="13" t="s">
        <v>665</v>
      </c>
      <c r="B239" s="6">
        <v>1592.0</v>
      </c>
      <c r="C239" s="6" t="b">
        <v>0</v>
      </c>
      <c r="D239" s="8" t="str">
        <f>IFERROR(__xludf.DUMMYFUNCTION("GOOGLETRANSLATE(A239,""ar"", ""en"")"),"4-legged aluminum base")</f>
        <v>4-legged aluminum base</v>
      </c>
      <c r="E239" s="13" t="s">
        <v>666</v>
      </c>
      <c r="F239" s="9" t="s">
        <v>27</v>
      </c>
      <c r="G239" s="9" t="s">
        <v>28</v>
      </c>
      <c r="H239" s="16" t="s">
        <v>186</v>
      </c>
      <c r="I239" s="8"/>
      <c r="J239" s="14">
        <v>0.0</v>
      </c>
      <c r="K239" s="11" t="s">
        <v>667</v>
      </c>
      <c r="L239" s="8"/>
      <c r="M239" s="15">
        <v>28.0</v>
      </c>
      <c r="N239" s="8"/>
      <c r="O239" s="8"/>
      <c r="P239" s="14">
        <v>0.0</v>
      </c>
      <c r="Q239" s="4"/>
      <c r="R239" s="4"/>
      <c r="S239" s="4"/>
      <c r="T239" s="4"/>
      <c r="U239" s="4"/>
      <c r="V239" s="4"/>
      <c r="W239" s="4"/>
      <c r="X239" s="4"/>
      <c r="Y239" s="4"/>
    </row>
    <row r="240">
      <c r="A240" s="17" t="s">
        <v>668</v>
      </c>
      <c r="B240" s="18">
        <v>1602.0</v>
      </c>
      <c r="C240" s="19" t="b">
        <v>1</v>
      </c>
      <c r="D240" s="20" t="str">
        <f>IFERROR(__xludf.DUMMYFUNCTION("GOOGLETRANSLATE(A240,""ar"", ""en"")"),"lukewarm")</f>
        <v>lukewarm</v>
      </c>
      <c r="E240" s="28" t="s">
        <v>669</v>
      </c>
      <c r="F240" s="9" t="s">
        <v>18</v>
      </c>
      <c r="G240" s="9"/>
      <c r="H240" s="8"/>
      <c r="I240" s="8"/>
      <c r="J240" s="31"/>
      <c r="K240" s="11" t="s">
        <v>670</v>
      </c>
      <c r="L240" s="8"/>
      <c r="M240" s="15">
        <v>11.0</v>
      </c>
      <c r="N240" s="8"/>
      <c r="O240" s="8"/>
      <c r="P240" s="31"/>
      <c r="Q240" s="4"/>
      <c r="R240" s="4"/>
      <c r="S240" s="4"/>
      <c r="T240" s="4"/>
      <c r="U240" s="4"/>
      <c r="V240" s="4"/>
      <c r="W240" s="4"/>
      <c r="X240" s="4"/>
      <c r="Y240" s="4"/>
    </row>
    <row r="241">
      <c r="A241" s="5" t="s">
        <v>671</v>
      </c>
      <c r="B241" s="6">
        <v>1603.0</v>
      </c>
      <c r="C241" s="6" t="b">
        <v>0</v>
      </c>
      <c r="D241" s="8" t="str">
        <f>IFERROR(__xludf.DUMMYFUNCTION("GOOGLETRANSLATE(A241,""ar"", ""en"")"),"Table 80*80 cm")</f>
        <v>Table 80*80 cm</v>
      </c>
      <c r="E241" s="5" t="s">
        <v>672</v>
      </c>
      <c r="F241" s="9" t="s">
        <v>18</v>
      </c>
      <c r="G241" s="9"/>
      <c r="H241" s="8"/>
      <c r="I241" s="8"/>
      <c r="J241" s="29"/>
      <c r="K241" s="11" t="s">
        <v>673</v>
      </c>
      <c r="L241" s="8"/>
      <c r="M241" s="12">
        <v>23.0</v>
      </c>
      <c r="N241" s="8"/>
      <c r="O241" s="8"/>
      <c r="P241" s="29"/>
      <c r="Q241" s="4"/>
      <c r="R241" s="4"/>
      <c r="S241" s="4"/>
      <c r="T241" s="4"/>
      <c r="U241" s="4"/>
      <c r="V241" s="4"/>
      <c r="W241" s="4"/>
      <c r="X241" s="4"/>
      <c r="Y241" s="4"/>
    </row>
    <row r="242">
      <c r="A242" s="13" t="s">
        <v>527</v>
      </c>
      <c r="B242" s="6">
        <v>1604.0</v>
      </c>
      <c r="C242" s="6" t="b">
        <v>0</v>
      </c>
      <c r="D242" s="8" t="str">
        <f>IFERROR(__xludf.DUMMYFUNCTION("GOOGLETRANSLATE(A242,""ar"", ""en"")"),"solid chair")</f>
        <v>solid chair</v>
      </c>
      <c r="E242" s="13" t="s">
        <v>674</v>
      </c>
      <c r="F242" s="9" t="s">
        <v>28</v>
      </c>
      <c r="G242" s="9"/>
      <c r="H242" s="16" t="s">
        <v>519</v>
      </c>
      <c r="I242" s="8"/>
      <c r="J242" s="14">
        <v>0.0</v>
      </c>
      <c r="K242" s="11" t="s">
        <v>529</v>
      </c>
      <c r="L242" s="8"/>
      <c r="M242" s="15">
        <v>240.0</v>
      </c>
      <c r="N242" s="8"/>
      <c r="O242" s="8"/>
      <c r="P242" s="14">
        <v>0.0</v>
      </c>
      <c r="Q242" s="4"/>
      <c r="R242" s="4"/>
      <c r="S242" s="4"/>
      <c r="T242" s="4"/>
      <c r="U242" s="4"/>
      <c r="V242" s="4"/>
      <c r="W242" s="4"/>
      <c r="X242" s="4"/>
      <c r="Y242" s="4"/>
    </row>
    <row r="243">
      <c r="A243" s="13" t="s">
        <v>675</v>
      </c>
      <c r="B243" s="6">
        <v>1607.0</v>
      </c>
      <c r="C243" s="6" t="b">
        <v>0</v>
      </c>
      <c r="D243" s="8" t="str">
        <f>IFERROR(__xludf.DUMMYFUNCTION("GOOGLETRANSLATE(A243,""ar"", ""en"")"),"Bed 160*190")</f>
        <v>Bed 160*190</v>
      </c>
      <c r="E243" s="13" t="s">
        <v>676</v>
      </c>
      <c r="F243" s="9" t="s">
        <v>18</v>
      </c>
      <c r="G243" s="9"/>
      <c r="H243" s="8"/>
      <c r="I243" s="8"/>
      <c r="J243" s="14">
        <v>0.0</v>
      </c>
      <c r="K243" s="11" t="s">
        <v>677</v>
      </c>
      <c r="L243" s="8"/>
      <c r="M243" s="15">
        <v>23.0</v>
      </c>
      <c r="N243" s="8"/>
      <c r="O243" s="8"/>
      <c r="P243" s="14">
        <v>0.0</v>
      </c>
      <c r="Q243" s="4"/>
      <c r="R243" s="4"/>
      <c r="S243" s="4"/>
      <c r="T243" s="4"/>
      <c r="U243" s="4"/>
      <c r="V243" s="4"/>
      <c r="W243" s="4"/>
      <c r="X243" s="4"/>
      <c r="Y243" s="4"/>
    </row>
    <row r="244">
      <c r="A244" s="17" t="s">
        <v>678</v>
      </c>
      <c r="B244" s="18">
        <v>1608.0</v>
      </c>
      <c r="C244" s="19" t="b">
        <v>1</v>
      </c>
      <c r="D244" s="20" t="str">
        <f>IFERROR(__xludf.DUMMYFUNCTION("GOOGLETRANSLATE(A244,""ar"", ""en"")"),"Chest of drawers")</f>
        <v>Chest of drawers</v>
      </c>
      <c r="E244" s="28" t="s">
        <v>679</v>
      </c>
      <c r="F244" s="20" t="s">
        <v>18</v>
      </c>
      <c r="G244" s="28"/>
      <c r="H244" s="8"/>
      <c r="I244" s="8"/>
      <c r="J244" s="10">
        <v>0.0</v>
      </c>
      <c r="K244" s="11" t="s">
        <v>680</v>
      </c>
      <c r="L244" s="8"/>
      <c r="M244" s="12">
        <v>36.0</v>
      </c>
      <c r="N244" s="8"/>
      <c r="O244" s="8"/>
      <c r="P244" s="10">
        <v>0.0</v>
      </c>
      <c r="Q244" s="4"/>
      <c r="R244" s="4"/>
      <c r="S244" s="4"/>
      <c r="T244" s="4"/>
      <c r="U244" s="4"/>
      <c r="V244" s="4"/>
      <c r="W244" s="4"/>
      <c r="X244" s="4"/>
      <c r="Y244" s="4"/>
    </row>
    <row r="245">
      <c r="A245" s="13" t="s">
        <v>675</v>
      </c>
      <c r="B245" s="6">
        <v>1609.0</v>
      </c>
      <c r="C245" s="6" t="b">
        <v>0</v>
      </c>
      <c r="D245" s="8" t="str">
        <f>IFERROR(__xludf.DUMMYFUNCTION("GOOGLETRANSLATE(A245,""ar"", ""en"")"),"Bed 160*190")</f>
        <v>Bed 160*190</v>
      </c>
      <c r="E245" s="13" t="s">
        <v>681</v>
      </c>
      <c r="F245" s="9" t="s">
        <v>18</v>
      </c>
      <c r="G245" s="9"/>
      <c r="H245" s="8"/>
      <c r="I245" s="8"/>
      <c r="J245" s="14">
        <v>0.0</v>
      </c>
      <c r="K245" s="11" t="s">
        <v>677</v>
      </c>
      <c r="L245" s="8"/>
      <c r="M245" s="15">
        <v>16.0</v>
      </c>
      <c r="N245" s="8"/>
      <c r="O245" s="8"/>
      <c r="P245" s="14">
        <v>0.0</v>
      </c>
      <c r="Q245" s="4"/>
      <c r="R245" s="4"/>
      <c r="S245" s="4"/>
      <c r="T245" s="4"/>
      <c r="U245" s="4"/>
      <c r="V245" s="4"/>
      <c r="W245" s="4"/>
      <c r="X245" s="4"/>
      <c r="Y245" s="4"/>
    </row>
    <row r="246">
      <c r="A246" s="17" t="s">
        <v>682</v>
      </c>
      <c r="B246" s="18">
        <v>1611.0</v>
      </c>
      <c r="C246" s="19" t="b">
        <v>1</v>
      </c>
      <c r="D246" s="20" t="str">
        <f>IFERROR(__xludf.DUMMYFUNCTION("GOOGLETRANSLATE(A246,""ar"", ""en"")"),"50 kg solar base")</f>
        <v>50 kg solar base</v>
      </c>
      <c r="E246" s="28" t="s">
        <v>683</v>
      </c>
      <c r="F246" s="9" t="s">
        <v>28</v>
      </c>
      <c r="G246" s="9"/>
      <c r="H246" s="16" t="s">
        <v>285</v>
      </c>
      <c r="I246" s="8"/>
      <c r="J246" s="31"/>
      <c r="K246" s="11" t="s">
        <v>684</v>
      </c>
      <c r="L246" s="8"/>
      <c r="M246" s="15">
        <v>15.0</v>
      </c>
      <c r="N246" s="8"/>
      <c r="O246" s="8"/>
      <c r="P246" s="31"/>
      <c r="Q246" s="4"/>
      <c r="R246" s="4"/>
      <c r="S246" s="4"/>
      <c r="T246" s="4"/>
      <c r="U246" s="4"/>
      <c r="V246" s="4"/>
      <c r="W246" s="4"/>
      <c r="X246" s="4"/>
      <c r="Y246" s="4"/>
    </row>
    <row r="247">
      <c r="A247" s="36" t="s">
        <v>685</v>
      </c>
      <c r="B247" s="47">
        <v>1615.0</v>
      </c>
      <c r="C247" s="38" t="b">
        <v>1</v>
      </c>
      <c r="D247" s="39" t="str">
        <f>IFERROR(__xludf.DUMMYFUNCTION("GOOGLETRANSLATE(A247,""ar"", ""en"")"),"Malaysian Versalite Face 70*110")</f>
        <v>Malaysian Versalite Face 70*110</v>
      </c>
      <c r="E247" s="36" t="s">
        <v>686</v>
      </c>
      <c r="F247" s="41" t="s">
        <v>27</v>
      </c>
      <c r="G247" s="41" t="s">
        <v>28</v>
      </c>
      <c r="H247" s="42" t="s">
        <v>98</v>
      </c>
      <c r="I247" s="46" t="s">
        <v>687</v>
      </c>
      <c r="J247" s="50"/>
      <c r="K247" s="44" t="s">
        <v>142</v>
      </c>
      <c r="L247" s="39"/>
      <c r="M247" s="45">
        <v>30.0</v>
      </c>
      <c r="N247" s="8"/>
      <c r="O247" s="8"/>
      <c r="P247" s="31"/>
      <c r="Q247" s="4"/>
      <c r="R247" s="4"/>
      <c r="S247" s="4"/>
      <c r="T247" s="4"/>
      <c r="U247" s="4"/>
      <c r="V247" s="4"/>
      <c r="W247" s="4"/>
      <c r="X247" s="4"/>
      <c r="Y247" s="4"/>
    </row>
    <row r="248">
      <c r="A248" s="5" t="s">
        <v>685</v>
      </c>
      <c r="B248" s="6">
        <v>1616.0</v>
      </c>
      <c r="C248" s="6" t="b">
        <v>0</v>
      </c>
      <c r="D248" s="8" t="str">
        <f>IFERROR(__xludf.DUMMYFUNCTION("GOOGLETRANSLATE(A248,""ar"", ""en"")"),"Malaysian Versalite Face 70*110")</f>
        <v>Malaysian Versalite Face 70*110</v>
      </c>
      <c r="E248" s="33" t="s">
        <v>688</v>
      </c>
      <c r="F248" s="9" t="s">
        <v>27</v>
      </c>
      <c r="G248" s="9" t="s">
        <v>28</v>
      </c>
      <c r="H248" s="27" t="s">
        <v>98</v>
      </c>
      <c r="I248" s="16" t="s">
        <v>689</v>
      </c>
      <c r="J248" s="29"/>
      <c r="K248" s="11" t="s">
        <v>142</v>
      </c>
      <c r="L248" s="8"/>
      <c r="M248" s="12">
        <v>30.0</v>
      </c>
      <c r="N248" s="8"/>
      <c r="O248" s="8"/>
      <c r="P248" s="29"/>
      <c r="Q248" s="4"/>
      <c r="R248" s="4"/>
      <c r="S248" s="4"/>
      <c r="T248" s="4"/>
      <c r="U248" s="4"/>
      <c r="V248" s="4"/>
      <c r="W248" s="4"/>
      <c r="X248" s="4"/>
      <c r="Y248" s="4"/>
    </row>
    <row r="249">
      <c r="A249" s="13" t="s">
        <v>685</v>
      </c>
      <c r="B249" s="6">
        <v>1617.0</v>
      </c>
      <c r="C249" s="6" t="b">
        <v>0</v>
      </c>
      <c r="D249" s="8" t="str">
        <f>IFERROR(__xludf.DUMMYFUNCTION("GOOGLETRANSLATE(A249,""ar"", ""en"")"),"Malaysian Versalite Face 70*110")</f>
        <v>Malaysian Versalite Face 70*110</v>
      </c>
      <c r="E249" s="35" t="s">
        <v>690</v>
      </c>
      <c r="F249" s="9" t="s">
        <v>27</v>
      </c>
      <c r="G249" s="9" t="s">
        <v>28</v>
      </c>
      <c r="H249" s="27" t="s">
        <v>98</v>
      </c>
      <c r="I249" s="8"/>
      <c r="J249" s="31"/>
      <c r="K249" s="11" t="s">
        <v>142</v>
      </c>
      <c r="L249" s="8"/>
      <c r="M249" s="15">
        <v>24.0</v>
      </c>
      <c r="N249" s="8"/>
      <c r="O249" s="8"/>
      <c r="P249" s="31"/>
      <c r="Q249" s="4"/>
      <c r="R249" s="4"/>
      <c r="S249" s="4"/>
      <c r="T249" s="4"/>
      <c r="U249" s="4"/>
      <c r="V249" s="4"/>
      <c r="W249" s="4"/>
      <c r="X249" s="4"/>
      <c r="Y249" s="4"/>
    </row>
    <row r="250">
      <c r="A250" s="5" t="s">
        <v>685</v>
      </c>
      <c r="B250" s="6">
        <v>1618.0</v>
      </c>
      <c r="C250" s="7" t="b">
        <v>1</v>
      </c>
      <c r="D250" s="8" t="str">
        <f>IFERROR(__xludf.DUMMYFUNCTION("GOOGLETRANSLATE(A250,""ar"", ""en"")"),"Malaysian Versalite Face 70*110")</f>
        <v>Malaysian Versalite Face 70*110</v>
      </c>
      <c r="E250" s="34" t="s">
        <v>691</v>
      </c>
      <c r="F250" s="9" t="s">
        <v>27</v>
      </c>
      <c r="G250" s="9" t="s">
        <v>28</v>
      </c>
      <c r="H250" s="27" t="s">
        <v>98</v>
      </c>
      <c r="I250" s="8"/>
      <c r="J250" s="29"/>
      <c r="K250" s="11" t="s">
        <v>142</v>
      </c>
      <c r="L250" s="8"/>
      <c r="M250" s="12">
        <v>29.0</v>
      </c>
      <c r="N250" s="8"/>
      <c r="O250" s="8"/>
      <c r="P250" s="29"/>
      <c r="Q250" s="4"/>
      <c r="R250" s="4"/>
      <c r="S250" s="4"/>
      <c r="T250" s="4"/>
      <c r="U250" s="4"/>
      <c r="V250" s="4"/>
      <c r="W250" s="4"/>
      <c r="X250" s="4"/>
      <c r="Y250" s="4"/>
    </row>
    <row r="251">
      <c r="A251" s="13" t="s">
        <v>685</v>
      </c>
      <c r="B251" s="6">
        <v>1619.0</v>
      </c>
      <c r="C251" s="7" t="b">
        <v>1</v>
      </c>
      <c r="D251" s="8" t="str">
        <f>IFERROR(__xludf.DUMMYFUNCTION("GOOGLETRANSLATE(A251,""ar"", ""en"")"),"Malaysian Versalite Face 70*110")</f>
        <v>Malaysian Versalite Face 70*110</v>
      </c>
      <c r="E251" s="35" t="s">
        <v>692</v>
      </c>
      <c r="F251" s="9" t="s">
        <v>27</v>
      </c>
      <c r="G251" s="9" t="s">
        <v>28</v>
      </c>
      <c r="H251" s="27" t="s">
        <v>98</v>
      </c>
      <c r="I251" s="8"/>
      <c r="J251" s="31"/>
      <c r="K251" s="11" t="s">
        <v>142</v>
      </c>
      <c r="L251" s="8"/>
      <c r="M251" s="15">
        <v>40.0</v>
      </c>
      <c r="N251" s="8"/>
      <c r="O251" s="8"/>
      <c r="P251" s="31"/>
      <c r="Q251" s="4"/>
      <c r="R251" s="4"/>
      <c r="S251" s="4"/>
      <c r="T251" s="4"/>
      <c r="U251" s="4"/>
      <c r="V251" s="4"/>
      <c r="W251" s="4"/>
      <c r="X251" s="4"/>
      <c r="Y251" s="4"/>
    </row>
    <row r="252">
      <c r="A252" s="5" t="s">
        <v>685</v>
      </c>
      <c r="B252" s="6">
        <v>1620.0</v>
      </c>
      <c r="C252" s="7" t="b">
        <v>1</v>
      </c>
      <c r="D252" s="8" t="str">
        <f>IFERROR(__xludf.DUMMYFUNCTION("GOOGLETRANSLATE(A252,""ar"", ""en"")"),"Malaysian Versalite Face 70*110")</f>
        <v>Malaysian Versalite Face 70*110</v>
      </c>
      <c r="E252" s="5" t="s">
        <v>693</v>
      </c>
      <c r="F252" s="9" t="s">
        <v>27</v>
      </c>
      <c r="G252" s="9" t="s">
        <v>28</v>
      </c>
      <c r="H252" s="27" t="s">
        <v>98</v>
      </c>
      <c r="I252" s="16" t="s">
        <v>694</v>
      </c>
      <c r="J252" s="29"/>
      <c r="K252" s="11" t="s">
        <v>142</v>
      </c>
      <c r="L252" s="8"/>
      <c r="M252" s="12">
        <v>21.0</v>
      </c>
      <c r="N252" s="8"/>
      <c r="O252" s="8"/>
      <c r="P252" s="29"/>
      <c r="Q252" s="4"/>
      <c r="R252" s="4"/>
      <c r="S252" s="4"/>
      <c r="T252" s="4"/>
      <c r="U252" s="4"/>
      <c r="V252" s="4"/>
      <c r="W252" s="4"/>
      <c r="X252" s="4"/>
      <c r="Y252" s="4"/>
    </row>
    <row r="253">
      <c r="A253" s="13" t="s">
        <v>685</v>
      </c>
      <c r="B253" s="6">
        <v>1621.0</v>
      </c>
      <c r="C253" s="7" t="b">
        <v>1</v>
      </c>
      <c r="D253" s="8" t="str">
        <f>IFERROR(__xludf.DUMMYFUNCTION("GOOGLETRANSLATE(A253,""ar"", ""en"")"),"Malaysian Versalite Face 70*110")</f>
        <v>Malaysian Versalite Face 70*110</v>
      </c>
      <c r="E253" s="32" t="s">
        <v>695</v>
      </c>
      <c r="F253" s="9" t="s">
        <v>27</v>
      </c>
      <c r="G253" s="9" t="s">
        <v>28</v>
      </c>
      <c r="H253" s="27" t="s">
        <v>98</v>
      </c>
      <c r="I253" s="16" t="s">
        <v>696</v>
      </c>
      <c r="J253" s="31"/>
      <c r="K253" s="11" t="s">
        <v>142</v>
      </c>
      <c r="L253" s="8"/>
      <c r="M253" s="15">
        <v>18.0</v>
      </c>
      <c r="N253" s="8"/>
      <c r="O253" s="8"/>
      <c r="P253" s="31"/>
      <c r="Q253" s="4"/>
      <c r="R253" s="4"/>
      <c r="S253" s="4"/>
      <c r="T253" s="4"/>
      <c r="U253" s="4"/>
      <c r="V253" s="4"/>
      <c r="W253" s="4"/>
      <c r="X253" s="4"/>
      <c r="Y253" s="4"/>
    </row>
    <row r="254">
      <c r="A254" s="17" t="s">
        <v>685</v>
      </c>
      <c r="B254" s="18">
        <v>1622.0</v>
      </c>
      <c r="C254" s="19" t="b">
        <v>1</v>
      </c>
      <c r="D254" s="20" t="str">
        <f>IFERROR(__xludf.DUMMYFUNCTION("GOOGLETRANSLATE(A254,""ar"", ""en"")"),"Malaysian Versalite Face 70*110")</f>
        <v>Malaysian Versalite Face 70*110</v>
      </c>
      <c r="E254" s="28" t="s">
        <v>697</v>
      </c>
      <c r="F254" s="20" t="s">
        <v>27</v>
      </c>
      <c r="G254" s="28" t="s">
        <v>28</v>
      </c>
      <c r="H254" s="27" t="s">
        <v>98</v>
      </c>
      <c r="I254" s="8"/>
      <c r="J254" s="29"/>
      <c r="K254" s="11" t="s">
        <v>142</v>
      </c>
      <c r="L254" s="8"/>
      <c r="M254" s="12">
        <v>11.0</v>
      </c>
      <c r="N254" s="8"/>
      <c r="O254" s="8"/>
      <c r="P254" s="29"/>
      <c r="Q254" s="4"/>
      <c r="R254" s="4"/>
      <c r="S254" s="4"/>
      <c r="T254" s="4"/>
      <c r="U254" s="4"/>
      <c r="V254" s="4"/>
      <c r="W254" s="4"/>
      <c r="X254" s="4"/>
      <c r="Y254" s="4"/>
    </row>
    <row r="255">
      <c r="A255" s="36" t="s">
        <v>698</v>
      </c>
      <c r="B255" s="47">
        <v>1623.0</v>
      </c>
      <c r="C255" s="38" t="b">
        <v>1</v>
      </c>
      <c r="D255" s="39" t="str">
        <f>IFERROR(__xludf.DUMMYFUNCTION("GOOGLETRANSLATE(A255,""ar"", ""en"")"),"Malaysian Versalite Face 80*120")</f>
        <v>Malaysian Versalite Face 80*120</v>
      </c>
      <c r="E255" s="40" t="s">
        <v>699</v>
      </c>
      <c r="F255" s="41" t="s">
        <v>27</v>
      </c>
      <c r="G255" s="41" t="s">
        <v>28</v>
      </c>
      <c r="H255" s="42" t="s">
        <v>98</v>
      </c>
      <c r="I255" s="39"/>
      <c r="J255" s="50"/>
      <c r="K255" s="44" t="s">
        <v>142</v>
      </c>
      <c r="L255" s="39"/>
      <c r="M255" s="45">
        <v>23.0</v>
      </c>
      <c r="N255" s="8"/>
      <c r="O255" s="8"/>
      <c r="P255" s="31"/>
      <c r="Q255" s="4"/>
      <c r="R255" s="4"/>
      <c r="S255" s="4"/>
      <c r="T255" s="4"/>
      <c r="U255" s="4"/>
      <c r="V255" s="4"/>
      <c r="W255" s="4"/>
      <c r="X255" s="4"/>
      <c r="Y255" s="4"/>
    </row>
    <row r="256">
      <c r="A256" s="5" t="s">
        <v>698</v>
      </c>
      <c r="B256" s="6">
        <v>1624.0</v>
      </c>
      <c r="C256" s="6" t="b">
        <v>0</v>
      </c>
      <c r="D256" s="8" t="str">
        <f>IFERROR(__xludf.DUMMYFUNCTION("GOOGLETRANSLATE(A256,""ar"", ""en"")"),"Malaysian Versalite Face 80*120")</f>
        <v>Malaysian Versalite Face 80*120</v>
      </c>
      <c r="E256" s="34" t="s">
        <v>700</v>
      </c>
      <c r="F256" s="9" t="s">
        <v>27</v>
      </c>
      <c r="G256" s="9" t="s">
        <v>28</v>
      </c>
      <c r="H256" s="27" t="s">
        <v>98</v>
      </c>
      <c r="I256" s="8"/>
      <c r="J256" s="29"/>
      <c r="K256" s="11" t="s">
        <v>142</v>
      </c>
      <c r="L256" s="8"/>
      <c r="M256" s="12">
        <v>1.0</v>
      </c>
      <c r="N256" s="8"/>
      <c r="O256" s="8"/>
      <c r="P256" s="29"/>
      <c r="Q256" s="4"/>
      <c r="R256" s="4"/>
      <c r="S256" s="4"/>
      <c r="T256" s="4"/>
      <c r="U256" s="4"/>
      <c r="V256" s="4"/>
      <c r="W256" s="4"/>
      <c r="X256" s="4"/>
      <c r="Y256" s="4"/>
    </row>
    <row r="257">
      <c r="A257" s="13" t="s">
        <v>698</v>
      </c>
      <c r="B257" s="6">
        <v>1625.0</v>
      </c>
      <c r="C257" s="6" t="b">
        <v>0</v>
      </c>
      <c r="D257" s="8" t="str">
        <f>IFERROR(__xludf.DUMMYFUNCTION("GOOGLETRANSLATE(A257,""ar"", ""en"")"),"Malaysian Versalite Face 80*120")</f>
        <v>Malaysian Versalite Face 80*120</v>
      </c>
      <c r="E257" s="35" t="s">
        <v>701</v>
      </c>
      <c r="F257" s="9" t="s">
        <v>27</v>
      </c>
      <c r="G257" s="9" t="s">
        <v>28</v>
      </c>
      <c r="H257" s="27" t="s">
        <v>98</v>
      </c>
      <c r="I257" s="8"/>
      <c r="J257" s="31"/>
      <c r="K257" s="11" t="s">
        <v>142</v>
      </c>
      <c r="L257" s="8"/>
      <c r="M257" s="15">
        <v>2.0</v>
      </c>
      <c r="N257" s="8"/>
      <c r="O257" s="8"/>
      <c r="P257" s="31"/>
      <c r="Q257" s="4"/>
      <c r="R257" s="4"/>
      <c r="S257" s="4"/>
      <c r="T257" s="4"/>
      <c r="U257" s="4"/>
      <c r="V257" s="4"/>
      <c r="W257" s="4"/>
      <c r="X257" s="4"/>
      <c r="Y257" s="4"/>
    </row>
    <row r="258">
      <c r="A258" s="17" t="s">
        <v>698</v>
      </c>
      <c r="B258" s="18">
        <v>1626.0</v>
      </c>
      <c r="C258" s="19" t="b">
        <v>1</v>
      </c>
      <c r="D258" s="20" t="str">
        <f>IFERROR(__xludf.DUMMYFUNCTION("GOOGLETRANSLATE(A258,""ar"", ""en"")"),"Malaysian Versalite Face 80*120")</f>
        <v>Malaysian Versalite Face 80*120</v>
      </c>
      <c r="E258" s="28" t="s">
        <v>702</v>
      </c>
      <c r="F258" s="9" t="s">
        <v>27</v>
      </c>
      <c r="G258" s="9" t="s">
        <v>28</v>
      </c>
      <c r="H258" s="27" t="s">
        <v>98</v>
      </c>
      <c r="I258" s="8"/>
      <c r="J258" s="29"/>
      <c r="K258" s="11" t="s">
        <v>142</v>
      </c>
      <c r="L258" s="8"/>
      <c r="M258" s="12">
        <v>23.0</v>
      </c>
      <c r="N258" s="8"/>
      <c r="O258" s="8"/>
      <c r="P258" s="29"/>
      <c r="Q258" s="4"/>
      <c r="R258" s="4"/>
      <c r="S258" s="4"/>
      <c r="T258" s="4"/>
      <c r="U258" s="4"/>
      <c r="V258" s="4"/>
      <c r="W258" s="4"/>
      <c r="X258" s="4"/>
      <c r="Y258" s="4"/>
    </row>
    <row r="259">
      <c r="A259" s="13" t="s">
        <v>698</v>
      </c>
      <c r="B259" s="6">
        <v>1627.0</v>
      </c>
      <c r="C259" s="7" t="b">
        <v>1</v>
      </c>
      <c r="D259" s="8" t="str">
        <f>IFERROR(__xludf.DUMMYFUNCTION("GOOGLETRANSLATE(A259,""ar"", ""en"")"),"Malaysian Versalite Face 80*120")</f>
        <v>Malaysian Versalite Face 80*120</v>
      </c>
      <c r="E259" s="35" t="s">
        <v>703</v>
      </c>
      <c r="F259" s="9" t="s">
        <v>27</v>
      </c>
      <c r="G259" s="9" t="s">
        <v>28</v>
      </c>
      <c r="H259" s="27" t="s">
        <v>98</v>
      </c>
      <c r="I259" s="8"/>
      <c r="J259" s="31"/>
      <c r="K259" s="11" t="s">
        <v>142</v>
      </c>
      <c r="L259" s="8"/>
      <c r="M259" s="15">
        <v>31.0</v>
      </c>
      <c r="N259" s="8"/>
      <c r="O259" s="8"/>
      <c r="P259" s="31"/>
      <c r="Q259" s="4"/>
      <c r="R259" s="4"/>
      <c r="S259" s="4"/>
      <c r="T259" s="4"/>
      <c r="U259" s="4"/>
      <c r="V259" s="4"/>
      <c r="W259" s="4"/>
      <c r="X259" s="4"/>
      <c r="Y259" s="4"/>
    </row>
    <row r="260">
      <c r="A260" s="17" t="s">
        <v>698</v>
      </c>
      <c r="B260" s="18">
        <v>1628.0</v>
      </c>
      <c r="C260" s="19" t="b">
        <v>1</v>
      </c>
      <c r="D260" s="20" t="str">
        <f>IFERROR(__xludf.DUMMYFUNCTION("GOOGLETRANSLATE(A260,""ar"", ""en"")"),"Malaysian Versalite Face 80*120")</f>
        <v>Malaysian Versalite Face 80*120</v>
      </c>
      <c r="E260" s="28" t="s">
        <v>704</v>
      </c>
      <c r="F260" s="9" t="s">
        <v>27</v>
      </c>
      <c r="G260" s="9" t="s">
        <v>28</v>
      </c>
      <c r="H260" s="27" t="s">
        <v>98</v>
      </c>
      <c r="I260" s="8"/>
      <c r="J260" s="29"/>
      <c r="K260" s="11" t="s">
        <v>142</v>
      </c>
      <c r="L260" s="8"/>
      <c r="M260" s="12">
        <v>1.0</v>
      </c>
      <c r="N260" s="8"/>
      <c r="O260" s="8"/>
      <c r="P260" s="29"/>
      <c r="Q260" s="4"/>
      <c r="R260" s="4"/>
      <c r="S260" s="4"/>
      <c r="T260" s="4"/>
      <c r="U260" s="4"/>
      <c r="V260" s="4"/>
      <c r="W260" s="4"/>
      <c r="X260" s="4"/>
      <c r="Y260" s="4"/>
    </row>
    <row r="261">
      <c r="A261" s="13" t="s">
        <v>698</v>
      </c>
      <c r="B261" s="6">
        <v>1629.0</v>
      </c>
      <c r="C261" s="7" t="b">
        <v>1</v>
      </c>
      <c r="D261" s="8" t="str">
        <f>IFERROR(__xludf.DUMMYFUNCTION("GOOGLETRANSLATE(A261,""ar"", ""en"")"),"Malaysian Versalite Face 80*120")</f>
        <v>Malaysian Versalite Face 80*120</v>
      </c>
      <c r="E261" s="35" t="s">
        <v>705</v>
      </c>
      <c r="F261" s="9" t="s">
        <v>27</v>
      </c>
      <c r="G261" s="9" t="s">
        <v>28</v>
      </c>
      <c r="H261" s="27" t="s">
        <v>98</v>
      </c>
      <c r="I261" s="8"/>
      <c r="J261" s="31"/>
      <c r="K261" s="11" t="s">
        <v>142</v>
      </c>
      <c r="L261" s="8"/>
      <c r="M261" s="15">
        <v>6.0</v>
      </c>
      <c r="N261" s="8"/>
      <c r="O261" s="8"/>
      <c r="P261" s="31"/>
      <c r="Q261" s="4"/>
      <c r="R261" s="4"/>
      <c r="S261" s="4"/>
      <c r="T261" s="4"/>
      <c r="U261" s="4"/>
      <c r="V261" s="4"/>
      <c r="W261" s="4"/>
      <c r="X261" s="4"/>
      <c r="Y261" s="4"/>
    </row>
    <row r="262">
      <c r="A262" s="17" t="s">
        <v>698</v>
      </c>
      <c r="B262" s="18">
        <v>1630.0</v>
      </c>
      <c r="C262" s="19" t="b">
        <v>1</v>
      </c>
      <c r="D262" s="20" t="str">
        <f>IFERROR(__xludf.DUMMYFUNCTION("GOOGLETRANSLATE(A262,""ar"", ""en"")"),"Malaysian Versalite Face 80*120")</f>
        <v>Malaysian Versalite Face 80*120</v>
      </c>
      <c r="E262" s="28" t="s">
        <v>706</v>
      </c>
      <c r="F262" s="9" t="s">
        <v>27</v>
      </c>
      <c r="G262" s="9" t="s">
        <v>28</v>
      </c>
      <c r="H262" s="27" t="s">
        <v>98</v>
      </c>
      <c r="I262" s="8"/>
      <c r="J262" s="29"/>
      <c r="K262" s="11" t="s">
        <v>142</v>
      </c>
      <c r="L262" s="8"/>
      <c r="M262" s="12">
        <v>1.0</v>
      </c>
      <c r="N262" s="8"/>
      <c r="O262" s="8"/>
      <c r="P262" s="29"/>
      <c r="Q262" s="4"/>
      <c r="R262" s="4"/>
      <c r="S262" s="4"/>
      <c r="T262" s="4"/>
      <c r="U262" s="4"/>
      <c r="V262" s="4"/>
      <c r="W262" s="4"/>
      <c r="X262" s="4"/>
      <c r="Y262" s="4"/>
    </row>
    <row r="263">
      <c r="A263" s="36" t="s">
        <v>707</v>
      </c>
      <c r="B263" s="47">
        <v>1631.0</v>
      </c>
      <c r="C263" s="38" t="b">
        <v>1</v>
      </c>
      <c r="D263" s="39" t="str">
        <f>IFERROR(__xludf.DUMMYFUNCTION("GOOGLETRANSLATE(A263,""ar"", ""en"")"),"Malaysian Versalite Face 70*70")</f>
        <v>Malaysian Versalite Face 70*70</v>
      </c>
      <c r="E263" s="40" t="s">
        <v>708</v>
      </c>
      <c r="F263" s="41" t="s">
        <v>27</v>
      </c>
      <c r="G263" s="41" t="s">
        <v>28</v>
      </c>
      <c r="H263" s="42" t="s">
        <v>98</v>
      </c>
      <c r="I263" s="39"/>
      <c r="J263" s="50"/>
      <c r="K263" s="44" t="s">
        <v>142</v>
      </c>
      <c r="L263" s="39"/>
      <c r="M263" s="45">
        <v>54.0</v>
      </c>
      <c r="N263" s="8"/>
      <c r="O263" s="8"/>
      <c r="P263" s="31"/>
      <c r="Q263" s="4"/>
      <c r="R263" s="4"/>
      <c r="S263" s="4"/>
      <c r="T263" s="4"/>
      <c r="U263" s="4"/>
      <c r="V263" s="4"/>
      <c r="W263" s="4"/>
      <c r="X263" s="4"/>
      <c r="Y263" s="4"/>
    </row>
    <row r="264">
      <c r="A264" s="5" t="s">
        <v>707</v>
      </c>
      <c r="B264" s="6">
        <v>1632.0</v>
      </c>
      <c r="C264" s="6" t="b">
        <v>0</v>
      </c>
      <c r="D264" s="8" t="str">
        <f>IFERROR(__xludf.DUMMYFUNCTION("GOOGLETRANSLATE(A264,""ar"", ""en"")"),"Malaysian Versalite Face 70*70")</f>
        <v>Malaysian Versalite Face 70*70</v>
      </c>
      <c r="E264" s="5" t="s">
        <v>709</v>
      </c>
      <c r="F264" s="9" t="s">
        <v>27</v>
      </c>
      <c r="G264" s="9" t="s">
        <v>28</v>
      </c>
      <c r="H264" s="27" t="s">
        <v>98</v>
      </c>
      <c r="I264" s="16" t="s">
        <v>710</v>
      </c>
      <c r="J264" s="29"/>
      <c r="K264" s="11" t="s">
        <v>142</v>
      </c>
      <c r="L264" s="8"/>
      <c r="M264" s="12">
        <v>2.0</v>
      </c>
      <c r="N264" s="8"/>
      <c r="O264" s="8"/>
      <c r="P264" s="29"/>
      <c r="Q264" s="4"/>
      <c r="R264" s="4"/>
      <c r="S264" s="4"/>
      <c r="T264" s="4"/>
      <c r="U264" s="4"/>
      <c r="V264" s="4"/>
      <c r="W264" s="4"/>
      <c r="X264" s="4"/>
      <c r="Y264" s="4"/>
    </row>
    <row r="265">
      <c r="A265" s="13" t="s">
        <v>707</v>
      </c>
      <c r="B265" s="6">
        <v>1633.0</v>
      </c>
      <c r="C265" s="7" t="b">
        <v>1</v>
      </c>
      <c r="D265" s="8" t="str">
        <f>IFERROR(__xludf.DUMMYFUNCTION("GOOGLETRANSLATE(A265,""ar"", ""en"")"),"Malaysian Versalite Face 70*70")</f>
        <v>Malaysian Versalite Face 70*70</v>
      </c>
      <c r="E265" s="35" t="s">
        <v>711</v>
      </c>
      <c r="F265" s="9" t="s">
        <v>27</v>
      </c>
      <c r="G265" s="9" t="s">
        <v>28</v>
      </c>
      <c r="H265" s="27" t="s">
        <v>98</v>
      </c>
      <c r="I265" s="8"/>
      <c r="J265" s="31"/>
      <c r="K265" s="11" t="s">
        <v>142</v>
      </c>
      <c r="L265" s="8"/>
      <c r="M265" s="15">
        <v>36.0</v>
      </c>
      <c r="N265" s="8"/>
      <c r="O265" s="8"/>
      <c r="P265" s="31"/>
      <c r="Q265" s="4"/>
      <c r="R265" s="4"/>
      <c r="S265" s="4"/>
      <c r="T265" s="4"/>
      <c r="U265" s="4"/>
      <c r="V265" s="4"/>
      <c r="W265" s="4"/>
      <c r="X265" s="4"/>
      <c r="Y265" s="4"/>
    </row>
    <row r="266">
      <c r="A266" s="36" t="s">
        <v>707</v>
      </c>
      <c r="B266" s="47">
        <v>1634.0</v>
      </c>
      <c r="C266" s="38" t="b">
        <v>1</v>
      </c>
      <c r="D266" s="39" t="str">
        <f>IFERROR(__xludf.DUMMYFUNCTION("GOOGLETRANSLATE(A266,""ar"", ""en"")"),"Malaysian Versalite Face 70*70")</f>
        <v>Malaysian Versalite Face 70*70</v>
      </c>
      <c r="E266" s="40" t="s">
        <v>712</v>
      </c>
      <c r="F266" s="41" t="s">
        <v>27</v>
      </c>
      <c r="G266" s="41" t="s">
        <v>28</v>
      </c>
      <c r="H266" s="42" t="s">
        <v>98</v>
      </c>
      <c r="I266" s="39"/>
      <c r="J266" s="50"/>
      <c r="K266" s="44" t="s">
        <v>142</v>
      </c>
      <c r="L266" s="39"/>
      <c r="M266" s="45">
        <v>40.0</v>
      </c>
      <c r="N266" s="8"/>
      <c r="O266" s="8"/>
      <c r="P266" s="29"/>
      <c r="Q266" s="4"/>
      <c r="R266" s="4"/>
      <c r="S266" s="4"/>
      <c r="T266" s="4"/>
      <c r="U266" s="4"/>
      <c r="V266" s="4"/>
      <c r="W266" s="4"/>
      <c r="X266" s="4"/>
      <c r="Y266" s="4"/>
    </row>
    <row r="267">
      <c r="A267" s="36" t="s">
        <v>707</v>
      </c>
      <c r="B267" s="47">
        <v>1635.0</v>
      </c>
      <c r="C267" s="38" t="b">
        <v>1</v>
      </c>
      <c r="D267" s="39" t="str">
        <f>IFERROR(__xludf.DUMMYFUNCTION("GOOGLETRANSLATE(A267,""ar"", ""en"")"),"Malaysian Versalite Face 70*70")</f>
        <v>Malaysian Versalite Face 70*70</v>
      </c>
      <c r="E267" s="40" t="s">
        <v>713</v>
      </c>
      <c r="F267" s="41" t="s">
        <v>27</v>
      </c>
      <c r="G267" s="41" t="s">
        <v>28</v>
      </c>
      <c r="H267" s="42" t="s">
        <v>98</v>
      </c>
      <c r="I267" s="39"/>
      <c r="J267" s="50"/>
      <c r="K267" s="44" t="s">
        <v>142</v>
      </c>
      <c r="L267" s="39"/>
      <c r="M267" s="45">
        <v>13.0</v>
      </c>
      <c r="N267" s="8"/>
      <c r="O267" s="8"/>
      <c r="P267" s="31"/>
      <c r="Q267" s="4"/>
      <c r="R267" s="4"/>
      <c r="S267" s="4"/>
      <c r="T267" s="4"/>
      <c r="U267" s="4"/>
      <c r="V267" s="4"/>
      <c r="W267" s="4"/>
      <c r="X267" s="4"/>
      <c r="Y267" s="4"/>
    </row>
    <row r="268">
      <c r="A268" s="17" t="s">
        <v>707</v>
      </c>
      <c r="B268" s="18">
        <v>1636.0</v>
      </c>
      <c r="C268" s="19" t="b">
        <v>1</v>
      </c>
      <c r="D268" s="20" t="str">
        <f>IFERROR(__xludf.DUMMYFUNCTION("GOOGLETRANSLATE(A268,""ar"", ""en"")"),"Malaysian Versalite Face 70*70")</f>
        <v>Malaysian Versalite Face 70*70</v>
      </c>
      <c r="E268" s="28" t="s">
        <v>714</v>
      </c>
      <c r="F268" s="9" t="s">
        <v>27</v>
      </c>
      <c r="G268" s="9" t="s">
        <v>28</v>
      </c>
      <c r="H268" s="27" t="s">
        <v>98</v>
      </c>
      <c r="I268" s="8"/>
      <c r="J268" s="29"/>
      <c r="K268" s="11" t="s">
        <v>142</v>
      </c>
      <c r="L268" s="8"/>
      <c r="M268" s="12">
        <v>11.0</v>
      </c>
      <c r="N268" s="8"/>
      <c r="O268" s="8"/>
      <c r="P268" s="29"/>
      <c r="Q268" s="4"/>
      <c r="R268" s="4"/>
      <c r="S268" s="4"/>
      <c r="T268" s="4"/>
      <c r="U268" s="4"/>
      <c r="V268" s="4"/>
      <c r="W268" s="4"/>
      <c r="X268" s="4"/>
      <c r="Y268" s="4"/>
    </row>
    <row r="269">
      <c r="A269" s="13" t="s">
        <v>707</v>
      </c>
      <c r="B269" s="6">
        <v>1637.0</v>
      </c>
      <c r="C269" s="7" t="b">
        <v>1</v>
      </c>
      <c r="D269" s="8" t="str">
        <f>IFERROR(__xludf.DUMMYFUNCTION("GOOGLETRANSLATE(A269,""ar"", ""en"")"),"Malaysian Versalite Face 70*70")</f>
        <v>Malaysian Versalite Face 70*70</v>
      </c>
      <c r="E269" s="35" t="s">
        <v>715</v>
      </c>
      <c r="F269" s="9" t="s">
        <v>27</v>
      </c>
      <c r="G269" s="9" t="s">
        <v>28</v>
      </c>
      <c r="H269" s="27" t="s">
        <v>98</v>
      </c>
      <c r="I269" s="8"/>
      <c r="J269" s="31"/>
      <c r="K269" s="11" t="s">
        <v>142</v>
      </c>
      <c r="L269" s="8"/>
      <c r="M269" s="15">
        <v>26.0</v>
      </c>
      <c r="N269" s="8"/>
      <c r="O269" s="8"/>
      <c r="P269" s="31"/>
      <c r="Q269" s="4"/>
      <c r="R269" s="4"/>
      <c r="S269" s="4"/>
      <c r="T269" s="4"/>
      <c r="U269" s="4"/>
      <c r="V269" s="4"/>
      <c r="W269" s="4"/>
      <c r="X269" s="4"/>
      <c r="Y269" s="4"/>
    </row>
    <row r="270">
      <c r="A270" s="5" t="s">
        <v>707</v>
      </c>
      <c r="B270" s="6">
        <v>1638.0</v>
      </c>
      <c r="C270" s="7" t="b">
        <v>1</v>
      </c>
      <c r="D270" s="8" t="str">
        <f>IFERROR(__xludf.DUMMYFUNCTION("GOOGLETRANSLATE(A270,""ar"", ""en"")"),"Malaysian Versalite Face 70*70")</f>
        <v>Malaysian Versalite Face 70*70</v>
      </c>
      <c r="E270" s="5" t="s">
        <v>716</v>
      </c>
      <c r="F270" s="9" t="s">
        <v>27</v>
      </c>
      <c r="G270" s="9" t="s">
        <v>28</v>
      </c>
      <c r="H270" s="27" t="s">
        <v>98</v>
      </c>
      <c r="I270" s="16" t="s">
        <v>717</v>
      </c>
      <c r="J270" s="29"/>
      <c r="K270" s="11" t="s">
        <v>142</v>
      </c>
      <c r="L270" s="8"/>
      <c r="M270" s="12">
        <v>16.0</v>
      </c>
      <c r="N270" s="8"/>
      <c r="O270" s="8"/>
      <c r="P270" s="29"/>
      <c r="Q270" s="4"/>
      <c r="R270" s="4"/>
      <c r="S270" s="4"/>
      <c r="T270" s="4"/>
      <c r="U270" s="4"/>
      <c r="V270" s="4"/>
      <c r="W270" s="4"/>
      <c r="X270" s="4"/>
      <c r="Y270" s="4"/>
    </row>
    <row r="271">
      <c r="A271" s="36" t="s">
        <v>718</v>
      </c>
      <c r="B271" s="47">
        <v>1639.0</v>
      </c>
      <c r="C271" s="38" t="b">
        <v>1</v>
      </c>
      <c r="D271" s="39" t="str">
        <f>IFERROR(__xludf.DUMMYFUNCTION("GOOGLETRANSLATE(A271,""ar"", ""en"")"),"Malaysian Versalite Face 80*80")</f>
        <v>Malaysian Versalite Face 80*80</v>
      </c>
      <c r="E271" s="40" t="s">
        <v>719</v>
      </c>
      <c r="F271" s="41" t="s">
        <v>27</v>
      </c>
      <c r="G271" s="41" t="s">
        <v>28</v>
      </c>
      <c r="H271" s="42" t="s">
        <v>98</v>
      </c>
      <c r="I271" s="39"/>
      <c r="J271" s="50"/>
      <c r="K271" s="44" t="s">
        <v>142</v>
      </c>
      <c r="L271" s="39"/>
      <c r="M271" s="45">
        <v>33.0</v>
      </c>
      <c r="N271" s="8"/>
      <c r="O271" s="8"/>
      <c r="P271" s="31"/>
      <c r="Q271" s="4"/>
      <c r="R271" s="4"/>
      <c r="S271" s="4"/>
      <c r="T271" s="4"/>
      <c r="U271" s="4"/>
      <c r="V271" s="4"/>
      <c r="W271" s="4"/>
      <c r="X271" s="4"/>
      <c r="Y271" s="4"/>
    </row>
    <row r="272">
      <c r="A272" s="17" t="s">
        <v>718</v>
      </c>
      <c r="B272" s="18">
        <v>1640.0</v>
      </c>
      <c r="C272" s="19" t="b">
        <v>1</v>
      </c>
      <c r="D272" s="20" t="str">
        <f>IFERROR(__xludf.DUMMYFUNCTION("GOOGLETRANSLATE(A272,""ar"", ""en"")"),"Malaysian Versalite Face 80*80")</f>
        <v>Malaysian Versalite Face 80*80</v>
      </c>
      <c r="E272" s="28" t="s">
        <v>720</v>
      </c>
      <c r="F272" s="9" t="s">
        <v>27</v>
      </c>
      <c r="G272" s="9" t="s">
        <v>28</v>
      </c>
      <c r="H272" s="27" t="s">
        <v>98</v>
      </c>
      <c r="I272" s="8"/>
      <c r="J272" s="29"/>
      <c r="K272" s="11" t="s">
        <v>142</v>
      </c>
      <c r="L272" s="8"/>
      <c r="M272" s="12">
        <v>60.0</v>
      </c>
      <c r="N272" s="8"/>
      <c r="O272" s="8"/>
      <c r="P272" s="29"/>
      <c r="Q272" s="4"/>
      <c r="R272" s="4"/>
      <c r="S272" s="4"/>
      <c r="T272" s="4"/>
      <c r="U272" s="4"/>
      <c r="V272" s="4"/>
      <c r="W272" s="4"/>
      <c r="X272" s="4"/>
      <c r="Y272" s="4"/>
    </row>
    <row r="273">
      <c r="A273" s="36" t="s">
        <v>718</v>
      </c>
      <c r="B273" s="47">
        <v>1641.0</v>
      </c>
      <c r="C273" s="38" t="b">
        <v>1</v>
      </c>
      <c r="D273" s="39" t="str">
        <f>IFERROR(__xludf.DUMMYFUNCTION("GOOGLETRANSLATE(A273,""ar"", ""en"")"),"Malaysian Versalite Face 80*80")</f>
        <v>Malaysian Versalite Face 80*80</v>
      </c>
      <c r="E273" s="40" t="s">
        <v>721</v>
      </c>
      <c r="F273" s="41" t="s">
        <v>27</v>
      </c>
      <c r="G273" s="41" t="s">
        <v>28</v>
      </c>
      <c r="H273" s="42" t="s">
        <v>98</v>
      </c>
      <c r="I273" s="39"/>
      <c r="J273" s="50"/>
      <c r="K273" s="44" t="s">
        <v>142</v>
      </c>
      <c r="L273" s="39"/>
      <c r="M273" s="45">
        <v>60.0</v>
      </c>
      <c r="N273" s="8"/>
      <c r="O273" s="8"/>
      <c r="P273" s="31"/>
      <c r="Q273" s="4"/>
      <c r="R273" s="4"/>
      <c r="S273" s="4"/>
      <c r="T273" s="4"/>
      <c r="U273" s="4"/>
      <c r="V273" s="4"/>
      <c r="W273" s="4"/>
      <c r="X273" s="4"/>
      <c r="Y273" s="4"/>
    </row>
    <row r="274">
      <c r="A274" s="5" t="s">
        <v>718</v>
      </c>
      <c r="B274" s="6">
        <v>1642.0</v>
      </c>
      <c r="C274" s="6" t="b">
        <v>0</v>
      </c>
      <c r="D274" s="8" t="str">
        <f>IFERROR(__xludf.DUMMYFUNCTION("GOOGLETRANSLATE(A274,""ar"", ""en"")"),"Malaysian Versalite Face 80*80")</f>
        <v>Malaysian Versalite Face 80*80</v>
      </c>
      <c r="E274" s="34" t="s">
        <v>722</v>
      </c>
      <c r="F274" s="9" t="s">
        <v>27</v>
      </c>
      <c r="G274" s="9" t="s">
        <v>28</v>
      </c>
      <c r="H274" s="27" t="s">
        <v>98</v>
      </c>
      <c r="I274" s="8"/>
      <c r="J274" s="29"/>
      <c r="K274" s="11" t="s">
        <v>142</v>
      </c>
      <c r="L274" s="8"/>
      <c r="M274" s="12">
        <v>1.0</v>
      </c>
      <c r="N274" s="8"/>
      <c r="O274" s="8"/>
      <c r="P274" s="29"/>
      <c r="Q274" s="4"/>
      <c r="R274" s="4"/>
      <c r="S274" s="4"/>
      <c r="T274" s="4"/>
      <c r="U274" s="4"/>
      <c r="V274" s="4"/>
      <c r="W274" s="4"/>
      <c r="X274" s="4"/>
      <c r="Y274" s="4"/>
    </row>
    <row r="275">
      <c r="A275" s="13" t="s">
        <v>718</v>
      </c>
      <c r="B275" s="6">
        <v>1643.0</v>
      </c>
      <c r="C275" s="6" t="b">
        <v>0</v>
      </c>
      <c r="D275" s="8" t="str">
        <f>IFERROR(__xludf.DUMMYFUNCTION("GOOGLETRANSLATE(A275,""ar"", ""en"")"),"Malaysian Versalite Face 80*80")</f>
        <v>Malaysian Versalite Face 80*80</v>
      </c>
      <c r="E275" s="13" t="s">
        <v>723</v>
      </c>
      <c r="F275" s="9" t="s">
        <v>27</v>
      </c>
      <c r="G275" s="9" t="s">
        <v>28</v>
      </c>
      <c r="H275" s="27" t="s">
        <v>98</v>
      </c>
      <c r="I275" s="16" t="s">
        <v>724</v>
      </c>
      <c r="J275" s="31"/>
      <c r="K275" s="11" t="s">
        <v>142</v>
      </c>
      <c r="L275" s="8"/>
      <c r="M275" s="15">
        <v>47.0</v>
      </c>
      <c r="N275" s="8"/>
      <c r="O275" s="8"/>
      <c r="P275" s="31"/>
      <c r="Q275" s="4"/>
      <c r="R275" s="4"/>
      <c r="S275" s="4"/>
      <c r="T275" s="4"/>
      <c r="U275" s="4"/>
      <c r="V275" s="4"/>
      <c r="W275" s="4"/>
      <c r="X275" s="4"/>
      <c r="Y275" s="4"/>
    </row>
    <row r="276">
      <c r="A276" s="36" t="s">
        <v>718</v>
      </c>
      <c r="B276" s="47">
        <v>1644.0</v>
      </c>
      <c r="C276" s="38" t="b">
        <v>1</v>
      </c>
      <c r="D276" s="39" t="str">
        <f>IFERROR(__xludf.DUMMYFUNCTION("GOOGLETRANSLATE(A276,""ar"", ""en"")"),"Malaysian Versalite Face 80*80")</f>
        <v>Malaysian Versalite Face 80*80</v>
      </c>
      <c r="E276" s="40" t="s">
        <v>725</v>
      </c>
      <c r="F276" s="41" t="s">
        <v>27</v>
      </c>
      <c r="G276" s="41" t="s">
        <v>28</v>
      </c>
      <c r="H276" s="42" t="s">
        <v>98</v>
      </c>
      <c r="I276" s="39"/>
      <c r="J276" s="50"/>
      <c r="K276" s="44" t="s">
        <v>142</v>
      </c>
      <c r="L276" s="39"/>
      <c r="M276" s="45">
        <v>16.0</v>
      </c>
      <c r="N276" s="8"/>
      <c r="O276" s="8"/>
      <c r="P276" s="29"/>
      <c r="Q276" s="4"/>
      <c r="R276" s="4"/>
      <c r="S276" s="4"/>
      <c r="T276" s="4"/>
      <c r="U276" s="4"/>
      <c r="V276" s="4"/>
      <c r="W276" s="4"/>
      <c r="X276" s="4"/>
      <c r="Y276" s="4"/>
    </row>
    <row r="277">
      <c r="A277" s="36" t="s">
        <v>718</v>
      </c>
      <c r="B277" s="37">
        <v>1645.0</v>
      </c>
      <c r="C277" s="38" t="b">
        <v>1</v>
      </c>
      <c r="D277" s="39" t="str">
        <f>IFERROR(__xludf.DUMMYFUNCTION("GOOGLETRANSLATE(A277,""ar"", ""en"")"),"Malaysian Versalite Face 80*80")</f>
        <v>Malaysian Versalite Face 80*80</v>
      </c>
      <c r="E277" s="36" t="s">
        <v>726</v>
      </c>
      <c r="F277" s="41" t="s">
        <v>27</v>
      </c>
      <c r="G277" s="41" t="s">
        <v>28</v>
      </c>
      <c r="H277" s="42" t="s">
        <v>98</v>
      </c>
      <c r="I277" s="46" t="s">
        <v>727</v>
      </c>
      <c r="J277" s="50"/>
      <c r="K277" s="44" t="s">
        <v>142</v>
      </c>
      <c r="L277" s="39"/>
      <c r="M277" s="45">
        <v>35.0</v>
      </c>
      <c r="N277" s="8"/>
      <c r="O277" s="8"/>
      <c r="P277" s="31"/>
      <c r="Q277" s="4"/>
      <c r="R277" s="4"/>
      <c r="S277" s="4"/>
      <c r="T277" s="4"/>
      <c r="U277" s="4"/>
      <c r="V277" s="4"/>
      <c r="W277" s="4"/>
      <c r="X277" s="4"/>
      <c r="Y277" s="4"/>
    </row>
    <row r="278">
      <c r="A278" s="17" t="s">
        <v>718</v>
      </c>
      <c r="B278" s="18">
        <v>1646.0</v>
      </c>
      <c r="C278" s="19" t="b">
        <v>1</v>
      </c>
      <c r="D278" s="20" t="str">
        <f>IFERROR(__xludf.DUMMYFUNCTION("GOOGLETRANSLATE(A278,""ar"", ""en"")"),"Malaysian Versalite Face 80*80")</f>
        <v>Malaysian Versalite Face 80*80</v>
      </c>
      <c r="E278" s="28" t="s">
        <v>728</v>
      </c>
      <c r="F278" s="9" t="s">
        <v>27</v>
      </c>
      <c r="G278" s="9" t="s">
        <v>28</v>
      </c>
      <c r="H278" s="27" t="s">
        <v>98</v>
      </c>
      <c r="I278" s="8"/>
      <c r="J278" s="29"/>
      <c r="K278" s="11" t="s">
        <v>142</v>
      </c>
      <c r="L278" s="8"/>
      <c r="M278" s="12">
        <v>7.0</v>
      </c>
      <c r="N278" s="8"/>
      <c r="O278" s="8"/>
      <c r="P278" s="29"/>
      <c r="Q278" s="4"/>
      <c r="R278" s="4"/>
      <c r="S278" s="4"/>
      <c r="T278" s="4"/>
      <c r="U278" s="4"/>
      <c r="V278" s="4"/>
      <c r="W278" s="4"/>
      <c r="X278" s="4"/>
      <c r="Y278" s="4"/>
    </row>
    <row r="279">
      <c r="A279" s="17" t="s">
        <v>718</v>
      </c>
      <c r="B279" s="18">
        <v>1647.0</v>
      </c>
      <c r="C279" s="19" t="b">
        <v>1</v>
      </c>
      <c r="D279" s="20" t="str">
        <f>IFERROR(__xludf.DUMMYFUNCTION("GOOGLETRANSLATE(A279,""ar"", ""en"")"),"Malaysian Versalite Face 80*80")</f>
        <v>Malaysian Versalite Face 80*80</v>
      </c>
      <c r="E279" s="28" t="s">
        <v>729</v>
      </c>
      <c r="F279" s="9" t="s">
        <v>27</v>
      </c>
      <c r="G279" s="9" t="s">
        <v>28</v>
      </c>
      <c r="H279" s="27" t="s">
        <v>98</v>
      </c>
      <c r="I279" s="8"/>
      <c r="J279" s="31"/>
      <c r="K279" s="11" t="s">
        <v>142</v>
      </c>
      <c r="L279" s="8"/>
      <c r="M279" s="15">
        <v>24.0</v>
      </c>
      <c r="N279" s="8"/>
      <c r="O279" s="8"/>
      <c r="P279" s="31"/>
      <c r="Q279" s="4"/>
      <c r="R279" s="4"/>
      <c r="S279" s="4"/>
      <c r="T279" s="4"/>
      <c r="U279" s="4"/>
      <c r="V279" s="4"/>
      <c r="W279" s="4"/>
      <c r="X279" s="4"/>
      <c r="Y279" s="4"/>
    </row>
    <row r="280">
      <c r="A280" s="5" t="s">
        <v>718</v>
      </c>
      <c r="B280" s="6">
        <v>1648.0</v>
      </c>
      <c r="C280" s="7" t="b">
        <v>1</v>
      </c>
      <c r="D280" s="8" t="str">
        <f>IFERROR(__xludf.DUMMYFUNCTION("GOOGLETRANSLATE(A280,""ar"", ""en"")"),"Malaysian Versalite Face 80*80")</f>
        <v>Malaysian Versalite Face 80*80</v>
      </c>
      <c r="E280" s="34" t="s">
        <v>730</v>
      </c>
      <c r="F280" s="9" t="s">
        <v>27</v>
      </c>
      <c r="G280" s="9" t="s">
        <v>28</v>
      </c>
      <c r="H280" s="27" t="s">
        <v>98</v>
      </c>
      <c r="I280" s="8"/>
      <c r="J280" s="29"/>
      <c r="K280" s="11" t="s">
        <v>142</v>
      </c>
      <c r="L280" s="8"/>
      <c r="M280" s="12">
        <v>7.0</v>
      </c>
      <c r="N280" s="8"/>
      <c r="O280" s="8"/>
      <c r="P280" s="29"/>
      <c r="Q280" s="4"/>
      <c r="R280" s="4"/>
      <c r="S280" s="4"/>
      <c r="T280" s="4"/>
      <c r="U280" s="4"/>
      <c r="V280" s="4"/>
      <c r="W280" s="4"/>
      <c r="X280" s="4"/>
      <c r="Y280" s="4"/>
    </row>
    <row r="281">
      <c r="A281" s="13" t="s">
        <v>718</v>
      </c>
      <c r="B281" s="6">
        <v>1649.0</v>
      </c>
      <c r="C281" s="6" t="b">
        <v>0</v>
      </c>
      <c r="D281" s="8" t="str">
        <f>IFERROR(__xludf.DUMMYFUNCTION("GOOGLETRANSLATE(A281,""ar"", ""en"")"),"Malaysian Versalite Face 80*80")</f>
        <v>Malaysian Versalite Face 80*80</v>
      </c>
      <c r="E281" s="35" t="s">
        <v>731</v>
      </c>
      <c r="F281" s="9" t="s">
        <v>27</v>
      </c>
      <c r="G281" s="9" t="s">
        <v>28</v>
      </c>
      <c r="H281" s="27" t="s">
        <v>98</v>
      </c>
      <c r="I281" s="8"/>
      <c r="J281" s="31"/>
      <c r="K281" s="11" t="s">
        <v>142</v>
      </c>
      <c r="L281" s="8"/>
      <c r="M281" s="15">
        <v>56.0</v>
      </c>
      <c r="N281" s="8"/>
      <c r="O281" s="8"/>
      <c r="P281" s="31"/>
      <c r="Q281" s="4"/>
      <c r="R281" s="4"/>
      <c r="S281" s="4"/>
      <c r="T281" s="4"/>
      <c r="U281" s="4"/>
      <c r="V281" s="4"/>
      <c r="W281" s="4"/>
      <c r="X281" s="4"/>
      <c r="Y281" s="4"/>
    </row>
    <row r="282">
      <c r="A282" s="5" t="s">
        <v>718</v>
      </c>
      <c r="B282" s="6">
        <v>1650.0</v>
      </c>
      <c r="C282" s="7" t="b">
        <v>1</v>
      </c>
      <c r="D282" s="8" t="str">
        <f>IFERROR(__xludf.DUMMYFUNCTION("GOOGLETRANSLATE(A282,""ar"", ""en"")"),"Malaysian Versalite Face 80*80")</f>
        <v>Malaysian Versalite Face 80*80</v>
      </c>
      <c r="E282" s="34" t="s">
        <v>732</v>
      </c>
      <c r="F282" s="9" t="s">
        <v>27</v>
      </c>
      <c r="G282" s="9" t="s">
        <v>28</v>
      </c>
      <c r="H282" s="27" t="s">
        <v>98</v>
      </c>
      <c r="I282" s="8"/>
      <c r="J282" s="29"/>
      <c r="K282" s="11" t="s">
        <v>142</v>
      </c>
      <c r="L282" s="8"/>
      <c r="M282" s="12">
        <v>12.0</v>
      </c>
      <c r="N282" s="8"/>
      <c r="O282" s="8"/>
      <c r="P282" s="29"/>
      <c r="Q282" s="4"/>
      <c r="R282" s="4"/>
      <c r="S282" s="4"/>
      <c r="T282" s="4"/>
      <c r="U282" s="4"/>
      <c r="V282" s="4"/>
      <c r="W282" s="4"/>
      <c r="X282" s="4"/>
      <c r="Y282" s="4"/>
    </row>
    <row r="283">
      <c r="A283" s="17" t="s">
        <v>733</v>
      </c>
      <c r="B283" s="18">
        <v>1651.0</v>
      </c>
      <c r="C283" s="19" t="b">
        <v>1</v>
      </c>
      <c r="D283" s="20" t="str">
        <f>IFERROR(__xludf.DUMMYFUNCTION("GOOGLETRANSLATE(A283,""ar"", ""en"")"),"180 cm plastic table with bag")</f>
        <v>180 cm plastic table with bag</v>
      </c>
      <c r="E283" s="28" t="s">
        <v>734</v>
      </c>
      <c r="F283" s="9" t="s">
        <v>28</v>
      </c>
      <c r="G283" s="30"/>
      <c r="H283" s="8"/>
      <c r="I283" s="8"/>
      <c r="J283" s="31"/>
      <c r="K283" s="11" t="s">
        <v>735</v>
      </c>
      <c r="L283" s="8"/>
      <c r="M283" s="15">
        <v>74.0</v>
      </c>
      <c r="N283" s="8"/>
      <c r="O283" s="8"/>
      <c r="P283" s="31"/>
      <c r="Q283" s="4"/>
      <c r="R283" s="4"/>
      <c r="S283" s="4"/>
      <c r="T283" s="4"/>
      <c r="U283" s="4"/>
      <c r="V283" s="4"/>
      <c r="W283" s="4"/>
      <c r="X283" s="4"/>
      <c r="Y283" s="4"/>
    </row>
    <row r="284">
      <c r="A284" s="17" t="s">
        <v>733</v>
      </c>
      <c r="B284" s="18">
        <v>1652.0</v>
      </c>
      <c r="C284" s="19" t="b">
        <v>1</v>
      </c>
      <c r="D284" s="20" t="str">
        <f>IFERROR(__xludf.DUMMYFUNCTION("GOOGLETRANSLATE(A284,""ar"", ""en"")"),"180 cm plastic table with bag")</f>
        <v>180 cm plastic table with bag</v>
      </c>
      <c r="E284" s="28" t="s">
        <v>736</v>
      </c>
      <c r="F284" s="9" t="s">
        <v>28</v>
      </c>
      <c r="G284" s="9"/>
      <c r="H284" s="8"/>
      <c r="I284" s="8"/>
      <c r="J284" s="29"/>
      <c r="K284" s="11" t="s">
        <v>735</v>
      </c>
      <c r="L284" s="8"/>
      <c r="M284" s="12">
        <v>65.0</v>
      </c>
      <c r="N284" s="8"/>
      <c r="O284" s="8"/>
      <c r="P284" s="29"/>
      <c r="Q284" s="4"/>
      <c r="R284" s="4"/>
      <c r="S284" s="4"/>
      <c r="T284" s="4"/>
      <c r="U284" s="4"/>
      <c r="V284" s="4"/>
      <c r="W284" s="4"/>
      <c r="X284" s="4"/>
      <c r="Y284" s="4"/>
    </row>
    <row r="285">
      <c r="A285" s="13" t="s">
        <v>733</v>
      </c>
      <c r="B285" s="6">
        <v>1653.0</v>
      </c>
      <c r="C285" s="6" t="b">
        <v>0</v>
      </c>
      <c r="D285" s="8" t="str">
        <f>IFERROR(__xludf.DUMMYFUNCTION("GOOGLETRANSLATE(A285,""ar"", ""en"")"),"180 cm plastic table with bag")</f>
        <v>180 cm plastic table with bag</v>
      </c>
      <c r="E285" s="13" t="s">
        <v>737</v>
      </c>
      <c r="F285" s="9" t="s">
        <v>28</v>
      </c>
      <c r="G285" s="9"/>
      <c r="H285" s="8"/>
      <c r="I285" s="8"/>
      <c r="J285" s="31"/>
      <c r="K285" s="11" t="s">
        <v>735</v>
      </c>
      <c r="L285" s="8"/>
      <c r="M285" s="15">
        <v>220.0</v>
      </c>
      <c r="N285" s="8"/>
      <c r="O285" s="8"/>
      <c r="P285" s="31"/>
      <c r="Q285" s="4"/>
      <c r="R285" s="4"/>
      <c r="S285" s="4"/>
      <c r="T285" s="4"/>
      <c r="U285" s="4"/>
      <c r="V285" s="4"/>
      <c r="W285" s="4"/>
      <c r="X285" s="4"/>
      <c r="Y285" s="4"/>
    </row>
    <row r="286">
      <c r="A286" s="13" t="s">
        <v>738</v>
      </c>
      <c r="B286" s="6">
        <v>1656.0</v>
      </c>
      <c r="C286" s="6" t="b">
        <v>0</v>
      </c>
      <c r="D286" s="8" t="str">
        <f>IFERROR(__xludf.DUMMYFUNCTION("GOOGLETRANSLATE(A286,""ar"", ""en"")"),"Resin table 80*80")</f>
        <v>Resin table 80*80</v>
      </c>
      <c r="E286" s="13" t="s">
        <v>739</v>
      </c>
      <c r="F286" s="9" t="s">
        <v>28</v>
      </c>
      <c r="G286" s="9"/>
      <c r="H286" s="16" t="s">
        <v>519</v>
      </c>
      <c r="I286" s="8"/>
      <c r="J286" s="14">
        <v>0.0</v>
      </c>
      <c r="K286" s="11" t="s">
        <v>740</v>
      </c>
      <c r="L286" s="8"/>
      <c r="M286" s="15">
        <v>10.0</v>
      </c>
      <c r="N286" s="8"/>
      <c r="O286" s="8"/>
      <c r="P286" s="14">
        <v>0.0</v>
      </c>
      <c r="Q286" s="4"/>
      <c r="R286" s="4"/>
      <c r="S286" s="4"/>
      <c r="T286" s="4"/>
      <c r="U286" s="4"/>
      <c r="V286" s="4"/>
      <c r="W286" s="4"/>
      <c r="X286" s="4"/>
      <c r="Y286" s="4"/>
    </row>
    <row r="287">
      <c r="A287" s="13" t="s">
        <v>741</v>
      </c>
      <c r="B287" s="6">
        <v>1662.0</v>
      </c>
      <c r="C287" s="6" t="b">
        <v>0</v>
      </c>
      <c r="D287" s="8" t="str">
        <f>IFERROR(__xludf.DUMMYFUNCTION("GOOGLETRANSLATE(A287,""ar"", ""en"")"),"Heavy Duty 2 Seater Tack Set")</f>
        <v>Heavy Duty 2 Seater Tack Set</v>
      </c>
      <c r="E287" s="13" t="s">
        <v>742</v>
      </c>
      <c r="F287" s="9" t="s">
        <v>28</v>
      </c>
      <c r="G287" s="9"/>
      <c r="H287" s="8"/>
      <c r="I287" s="8"/>
      <c r="J287" s="31"/>
      <c r="K287" s="11" t="s">
        <v>743</v>
      </c>
      <c r="L287" s="8"/>
      <c r="M287" s="15">
        <v>8.0</v>
      </c>
      <c r="N287" s="8"/>
      <c r="O287" s="8"/>
      <c r="P287" s="31"/>
      <c r="Q287" s="4"/>
      <c r="R287" s="4"/>
      <c r="S287" s="4"/>
      <c r="T287" s="4"/>
      <c r="U287" s="4"/>
      <c r="V287" s="4"/>
      <c r="W287" s="4"/>
      <c r="X287" s="4"/>
      <c r="Y287" s="4"/>
    </row>
    <row r="288">
      <c r="A288" s="5" t="s">
        <v>744</v>
      </c>
      <c r="B288" s="6">
        <v>1670.0</v>
      </c>
      <c r="C288" s="6" t="b">
        <v>0</v>
      </c>
      <c r="D288" s="8" t="str">
        <f>IFERROR(__xludf.DUMMYFUNCTION("GOOGLETRANSLATE(A288,""ar"", ""en"")"),"Plastic table top 60*60")</f>
        <v>Plastic table top 60*60</v>
      </c>
      <c r="E288" s="5" t="s">
        <v>745</v>
      </c>
      <c r="F288" s="9" t="s">
        <v>27</v>
      </c>
      <c r="G288" s="9" t="s">
        <v>28</v>
      </c>
      <c r="H288" s="27" t="s">
        <v>98</v>
      </c>
      <c r="I288" s="8"/>
      <c r="J288" s="29"/>
      <c r="K288" s="11" t="s">
        <v>746</v>
      </c>
      <c r="L288" s="8"/>
      <c r="M288" s="12">
        <v>68.0</v>
      </c>
      <c r="N288" s="8"/>
      <c r="O288" s="8"/>
      <c r="P288" s="29"/>
      <c r="Q288" s="4"/>
      <c r="R288" s="4"/>
      <c r="S288" s="4"/>
      <c r="T288" s="4"/>
      <c r="U288" s="4"/>
      <c r="V288" s="4"/>
      <c r="W288" s="4"/>
      <c r="X288" s="4"/>
      <c r="Y288" s="4"/>
    </row>
    <row r="289">
      <c r="A289" s="13" t="s">
        <v>747</v>
      </c>
      <c r="B289" s="6">
        <v>1671.0</v>
      </c>
      <c r="C289" s="6" t="b">
        <v>0</v>
      </c>
      <c r="D289" s="8" t="str">
        <f>IFERROR(__xludf.DUMMYFUNCTION("GOOGLETRANSLATE(A289,""ar"", ""en"")"),"Plastic table top 80*80")</f>
        <v>Plastic table top 80*80</v>
      </c>
      <c r="E289" s="13" t="s">
        <v>748</v>
      </c>
      <c r="F289" s="9" t="s">
        <v>27</v>
      </c>
      <c r="G289" s="9" t="s">
        <v>28</v>
      </c>
      <c r="H289" s="27" t="s">
        <v>98</v>
      </c>
      <c r="I289" s="8"/>
      <c r="J289" s="31"/>
      <c r="K289" s="11" t="s">
        <v>749</v>
      </c>
      <c r="L289" s="8"/>
      <c r="M289" s="15">
        <v>96.0</v>
      </c>
      <c r="N289" s="8"/>
      <c r="O289" s="8"/>
      <c r="P289" s="31"/>
      <c r="Q289" s="4"/>
      <c r="R289" s="4"/>
      <c r="S289" s="4"/>
      <c r="T289" s="4"/>
      <c r="U289" s="4"/>
      <c r="V289" s="4"/>
      <c r="W289" s="4"/>
      <c r="X289" s="4"/>
      <c r="Y289" s="4"/>
    </row>
    <row r="290">
      <c r="A290" s="13" t="s">
        <v>750</v>
      </c>
      <c r="B290" s="6">
        <v>1676.0</v>
      </c>
      <c r="C290" s="6" t="b">
        <v>0</v>
      </c>
      <c r="D290" s="8" t="str">
        <f>IFERROR(__xludf.DUMMYFUNCTION("GOOGLETRANSLATE(A290,""ar"", ""en"")"),"Leather and iron chair")</f>
        <v>Leather and iron chair</v>
      </c>
      <c r="E290" s="13" t="s">
        <v>751</v>
      </c>
      <c r="F290" s="9" t="s">
        <v>18</v>
      </c>
      <c r="G290" s="9"/>
      <c r="H290" s="16" t="s">
        <v>72</v>
      </c>
      <c r="I290" s="8"/>
      <c r="J290" s="31"/>
      <c r="K290" s="11" t="s">
        <v>752</v>
      </c>
      <c r="L290" s="8"/>
      <c r="M290" s="15">
        <v>36.0</v>
      </c>
      <c r="N290" s="8"/>
      <c r="O290" s="8"/>
      <c r="P290" s="31"/>
      <c r="Q290" s="4"/>
      <c r="R290" s="4"/>
      <c r="S290" s="4"/>
      <c r="T290" s="4"/>
      <c r="U290" s="4"/>
      <c r="V290" s="4"/>
      <c r="W290" s="4"/>
      <c r="X290" s="4"/>
      <c r="Y290" s="4"/>
    </row>
    <row r="291">
      <c r="A291" s="13" t="s">
        <v>753</v>
      </c>
      <c r="B291" s="6">
        <v>1686.0</v>
      </c>
      <c r="C291" s="7" t="b">
        <v>1</v>
      </c>
      <c r="D291" s="8" t="str">
        <f>IFERROR(__xludf.DUMMYFUNCTION("GOOGLETRANSLATE(A291,""ar"", ""en"")"),"Iron and cloth chair")</f>
        <v>Iron and cloth chair</v>
      </c>
      <c r="E291" s="13" t="s">
        <v>754</v>
      </c>
      <c r="F291" s="9" t="s">
        <v>18</v>
      </c>
      <c r="G291" s="9"/>
      <c r="H291" s="16" t="s">
        <v>72</v>
      </c>
      <c r="I291" s="8"/>
      <c r="J291" s="31"/>
      <c r="K291" s="11" t="s">
        <v>755</v>
      </c>
      <c r="L291" s="8"/>
      <c r="M291" s="15">
        <v>88.0</v>
      </c>
      <c r="N291" s="8"/>
      <c r="O291" s="8"/>
      <c r="P291" s="31"/>
      <c r="Q291" s="4"/>
      <c r="R291" s="4"/>
      <c r="S291" s="4"/>
      <c r="T291" s="4"/>
      <c r="U291" s="4"/>
      <c r="V291" s="4"/>
      <c r="W291" s="4"/>
      <c r="X291" s="4"/>
      <c r="Y291" s="4"/>
    </row>
    <row r="292">
      <c r="A292" s="13" t="s">
        <v>756</v>
      </c>
      <c r="B292" s="6">
        <v>1688.0</v>
      </c>
      <c r="C292" s="6" t="b">
        <v>0</v>
      </c>
      <c r="D292" s="8" t="str">
        <f>IFERROR(__xludf.DUMMYFUNCTION("GOOGLETRANSLATE(A292,""ar"", ""en"")"),"SILVER Heavy Iron Bar Table 60*60")</f>
        <v>SILVER Heavy Iron Bar Table 60*60</v>
      </c>
      <c r="E292" s="32" t="s">
        <v>757</v>
      </c>
      <c r="F292" s="9" t="s">
        <v>27</v>
      </c>
      <c r="G292" s="9" t="s">
        <v>18</v>
      </c>
      <c r="H292" s="8"/>
      <c r="I292" s="8"/>
      <c r="J292" s="31"/>
      <c r="K292" s="11" t="s">
        <v>758</v>
      </c>
      <c r="L292" s="8"/>
      <c r="M292" s="15">
        <v>35.0</v>
      </c>
      <c r="N292" s="8"/>
      <c r="O292" s="8"/>
      <c r="P292" s="31"/>
      <c r="Q292" s="4"/>
      <c r="R292" s="4"/>
      <c r="S292" s="4"/>
      <c r="T292" s="4"/>
      <c r="U292" s="4"/>
      <c r="V292" s="4"/>
      <c r="W292" s="4"/>
      <c r="X292" s="4"/>
      <c r="Y292" s="4"/>
    </row>
    <row r="293">
      <c r="A293" s="5" t="s">
        <v>759</v>
      </c>
      <c r="B293" s="6">
        <v>1689.0</v>
      </c>
      <c r="C293" s="6" t="b">
        <v>0</v>
      </c>
      <c r="D293" s="8" t="str">
        <f>IFERROR(__xludf.DUMMYFUNCTION("GOOGLETRANSLATE(A293,""ar"", ""en"")"),"SILVER Heavy Iron Table 80*80")</f>
        <v>SILVER Heavy Iron Table 80*80</v>
      </c>
      <c r="E293" s="5" t="s">
        <v>760</v>
      </c>
      <c r="F293" s="9" t="s">
        <v>27</v>
      </c>
      <c r="G293" s="9" t="s">
        <v>18</v>
      </c>
      <c r="H293" s="8"/>
      <c r="I293" s="8"/>
      <c r="J293" s="29"/>
      <c r="K293" s="11" t="s">
        <v>761</v>
      </c>
      <c r="L293" s="8"/>
      <c r="M293" s="12">
        <v>29.0</v>
      </c>
      <c r="N293" s="8"/>
      <c r="O293" s="8"/>
      <c r="P293" s="29"/>
      <c r="Q293" s="4"/>
      <c r="R293" s="4"/>
      <c r="S293" s="4"/>
      <c r="T293" s="4"/>
      <c r="U293" s="4"/>
      <c r="V293" s="4"/>
      <c r="W293" s="4"/>
      <c r="X293" s="4"/>
      <c r="Y293" s="4"/>
    </row>
    <row r="294">
      <c r="A294" s="13" t="s">
        <v>762</v>
      </c>
      <c r="B294" s="6">
        <v>1714.0</v>
      </c>
      <c r="C294" s="6" t="b">
        <v>0</v>
      </c>
      <c r="D294" s="8" t="str">
        <f>IFERROR(__xludf.DUMMYFUNCTION("GOOGLETRANSLATE(A294,""ar"", ""en"")"),"Wide iron bar stool with back")</f>
        <v>Wide iron bar stool with back</v>
      </c>
      <c r="E294" s="13" t="s">
        <v>763</v>
      </c>
      <c r="F294" s="9" t="s">
        <v>18</v>
      </c>
      <c r="G294" s="9"/>
      <c r="H294" s="16" t="s">
        <v>47</v>
      </c>
      <c r="I294" s="8"/>
      <c r="J294" s="31"/>
      <c r="K294" s="11" t="s">
        <v>764</v>
      </c>
      <c r="L294" s="8"/>
      <c r="M294" s="15">
        <v>51.0</v>
      </c>
      <c r="N294" s="8"/>
      <c r="O294" s="8"/>
      <c r="P294" s="31"/>
      <c r="Q294" s="4"/>
      <c r="R294" s="4"/>
      <c r="S294" s="4"/>
      <c r="T294" s="4"/>
      <c r="U294" s="4"/>
      <c r="V294" s="4"/>
      <c r="W294" s="4"/>
      <c r="X294" s="4"/>
      <c r="Y294" s="4"/>
    </row>
    <row r="295">
      <c r="A295" s="13" t="s">
        <v>765</v>
      </c>
      <c r="B295" s="6">
        <v>1716.0</v>
      </c>
      <c r="C295" s="6" t="b">
        <v>0</v>
      </c>
      <c r="D295" s="8" t="str">
        <f>IFERROR(__xludf.DUMMYFUNCTION("GOOGLETRANSLATE(A295,""ar"", ""en"")"),"Iron table with wooden top 60*60")</f>
        <v>Iron table with wooden top 60*60</v>
      </c>
      <c r="E295" s="13" t="s">
        <v>766</v>
      </c>
      <c r="F295" s="9" t="s">
        <v>27</v>
      </c>
      <c r="G295" s="9" t="s">
        <v>18</v>
      </c>
      <c r="H295" s="8"/>
      <c r="I295" s="8"/>
      <c r="J295" s="31"/>
      <c r="K295" s="11" t="s">
        <v>767</v>
      </c>
      <c r="L295" s="8"/>
      <c r="M295" s="15">
        <v>23.0</v>
      </c>
      <c r="N295" s="8"/>
      <c r="O295" s="8"/>
      <c r="P295" s="31"/>
      <c r="Q295" s="4"/>
      <c r="R295" s="4"/>
      <c r="S295" s="4"/>
      <c r="T295" s="4"/>
      <c r="U295" s="4"/>
      <c r="V295" s="4"/>
      <c r="W295" s="4"/>
      <c r="X295" s="4"/>
      <c r="Y295" s="4"/>
    </row>
    <row r="296">
      <c r="A296" s="5" t="s">
        <v>768</v>
      </c>
      <c r="B296" s="6">
        <v>1717.0</v>
      </c>
      <c r="C296" s="7" t="b">
        <v>1</v>
      </c>
      <c r="D296" s="8" t="str">
        <f>IFERROR(__xludf.DUMMYFUNCTION("GOOGLETRANSLATE(A296,""ar"", ""en"")"),"Iron table with wooden top 70*70")</f>
        <v>Iron table with wooden top 70*70</v>
      </c>
      <c r="E296" s="5" t="s">
        <v>769</v>
      </c>
      <c r="F296" s="9" t="s">
        <v>27</v>
      </c>
      <c r="G296" s="9" t="s">
        <v>18</v>
      </c>
      <c r="H296" s="8"/>
      <c r="I296" s="8"/>
      <c r="J296" s="29"/>
      <c r="K296" s="11" t="s">
        <v>770</v>
      </c>
      <c r="L296" s="8"/>
      <c r="M296" s="12">
        <v>28.0</v>
      </c>
      <c r="N296" s="8"/>
      <c r="O296" s="8"/>
      <c r="P296" s="29"/>
      <c r="Q296" s="4"/>
      <c r="R296" s="4"/>
      <c r="S296" s="4"/>
      <c r="T296" s="4"/>
      <c r="U296" s="4"/>
      <c r="V296" s="4"/>
      <c r="W296" s="4"/>
      <c r="X296" s="4"/>
      <c r="Y296" s="4"/>
    </row>
    <row r="297">
      <c r="A297" s="13" t="s">
        <v>771</v>
      </c>
      <c r="B297" s="6">
        <v>1720.0</v>
      </c>
      <c r="C297" s="6" t="b">
        <v>0</v>
      </c>
      <c r="D297" s="8" t="str">
        <f>IFERROR(__xludf.DUMMYFUNCTION("GOOGLETRANSLATE(A297,""ar"", ""en"")"),"Iron chair with black handle")</f>
        <v>Iron chair with black handle</v>
      </c>
      <c r="E297" s="13" t="s">
        <v>772</v>
      </c>
      <c r="F297" s="9" t="s">
        <v>27</v>
      </c>
      <c r="G297" s="9" t="s">
        <v>18</v>
      </c>
      <c r="H297" s="16" t="s">
        <v>72</v>
      </c>
      <c r="I297" s="8"/>
      <c r="J297" s="31"/>
      <c r="K297" s="11" t="s">
        <v>773</v>
      </c>
      <c r="L297" s="8"/>
      <c r="M297" s="15">
        <v>10.0</v>
      </c>
      <c r="N297" s="8"/>
      <c r="O297" s="8"/>
      <c r="P297" s="31"/>
      <c r="Q297" s="4"/>
      <c r="R297" s="4"/>
      <c r="S297" s="4"/>
      <c r="T297" s="4"/>
      <c r="U297" s="4"/>
      <c r="V297" s="4"/>
      <c r="W297" s="4"/>
      <c r="X297" s="4"/>
      <c r="Y297" s="4"/>
    </row>
    <row r="298">
      <c r="A298" s="5" t="s">
        <v>774</v>
      </c>
      <c r="B298" s="6">
        <v>1735.0</v>
      </c>
      <c r="C298" s="6" t="b">
        <v>0</v>
      </c>
      <c r="D298" s="8" t="str">
        <f>IFERROR(__xludf.DUMMYFUNCTION("GOOGLETRANSLATE(A298,""ar"", ""en"")"),"MATT BLK 60cm Short Iron Bar Stool")</f>
        <v>MATT BLK 60cm Short Iron Bar Stool</v>
      </c>
      <c r="E298" s="5" t="s">
        <v>775</v>
      </c>
      <c r="F298" s="9" t="s">
        <v>27</v>
      </c>
      <c r="G298" s="9" t="s">
        <v>18</v>
      </c>
      <c r="H298" s="16" t="s">
        <v>47</v>
      </c>
      <c r="I298" s="8"/>
      <c r="J298" s="29"/>
      <c r="K298" s="11" t="s">
        <v>776</v>
      </c>
      <c r="L298" s="8"/>
      <c r="M298" s="12">
        <v>59.0</v>
      </c>
      <c r="N298" s="8"/>
      <c r="O298" s="8"/>
      <c r="P298" s="29"/>
      <c r="Q298" s="4"/>
      <c r="R298" s="4"/>
      <c r="S298" s="4"/>
      <c r="T298" s="4"/>
      <c r="U298" s="4"/>
      <c r="V298" s="4"/>
      <c r="W298" s="4"/>
      <c r="X298" s="4"/>
      <c r="Y298" s="4"/>
    </row>
    <row r="299">
      <c r="A299" s="13" t="s">
        <v>777</v>
      </c>
      <c r="B299" s="6">
        <v>1752.0</v>
      </c>
      <c r="C299" s="6" t="b">
        <v>0</v>
      </c>
      <c r="D299" s="8" t="str">
        <f>IFERROR(__xludf.DUMMYFUNCTION("GOOGLETRANSLATE(A299,""ar"", ""en"")"),"Resin table 90*150 cm")</f>
        <v>Resin table 90*150 cm</v>
      </c>
      <c r="E299" s="13" t="s">
        <v>778</v>
      </c>
      <c r="F299" s="9" t="s">
        <v>28</v>
      </c>
      <c r="G299" s="9"/>
      <c r="H299" s="16" t="s">
        <v>519</v>
      </c>
      <c r="I299" s="8"/>
      <c r="J299" s="14">
        <v>0.0</v>
      </c>
      <c r="K299" s="11" t="s">
        <v>779</v>
      </c>
      <c r="L299" s="8"/>
      <c r="M299" s="15">
        <v>8.0</v>
      </c>
      <c r="N299" s="8"/>
      <c r="O299" s="8"/>
      <c r="P299" s="14">
        <v>0.0</v>
      </c>
      <c r="Q299" s="4"/>
      <c r="R299" s="4"/>
      <c r="S299" s="4"/>
      <c r="T299" s="4"/>
      <c r="U299" s="4"/>
      <c r="V299" s="4"/>
      <c r="W299" s="4"/>
      <c r="X299" s="4"/>
      <c r="Y299" s="4"/>
    </row>
    <row r="300">
      <c r="A300" s="17" t="s">
        <v>780</v>
      </c>
      <c r="B300" s="18">
        <v>1758.0</v>
      </c>
      <c r="C300" s="19" t="b">
        <v>1</v>
      </c>
      <c r="D300" s="20" t="str">
        <f>IFERROR(__xludf.DUMMYFUNCTION("GOOGLETRANSLATE(A300,""ar"", ""en"")"),"Two-seat swing")</f>
        <v>Two-seat swing</v>
      </c>
      <c r="E300" s="28" t="s">
        <v>781</v>
      </c>
      <c r="F300" s="9" t="s">
        <v>28</v>
      </c>
      <c r="G300" s="9"/>
      <c r="H300" s="8"/>
      <c r="I300" s="8"/>
      <c r="J300" s="31"/>
      <c r="K300" s="11" t="s">
        <v>782</v>
      </c>
      <c r="L300" s="8"/>
      <c r="M300" s="15">
        <v>6.0</v>
      </c>
      <c r="N300" s="8"/>
      <c r="O300" s="8"/>
      <c r="P300" s="31"/>
      <c r="Q300" s="4"/>
      <c r="R300" s="4"/>
      <c r="S300" s="4"/>
      <c r="T300" s="4"/>
      <c r="U300" s="4"/>
      <c r="V300" s="4"/>
      <c r="W300" s="4"/>
      <c r="X300" s="4"/>
      <c r="Y300" s="4"/>
    </row>
    <row r="301">
      <c r="A301" s="17" t="s">
        <v>780</v>
      </c>
      <c r="B301" s="18">
        <v>1761.0</v>
      </c>
      <c r="C301" s="19" t="b">
        <v>1</v>
      </c>
      <c r="D301" s="20" t="str">
        <f>IFERROR(__xludf.DUMMYFUNCTION("GOOGLETRANSLATE(A301,""ar"", ""en"")"),"Two-seat swing")</f>
        <v>Two-seat swing</v>
      </c>
      <c r="E301" s="28" t="s">
        <v>783</v>
      </c>
      <c r="F301" s="9" t="s">
        <v>28</v>
      </c>
      <c r="G301" s="9"/>
      <c r="H301" s="8"/>
      <c r="I301" s="8"/>
      <c r="J301" s="29"/>
      <c r="K301" s="11" t="s">
        <v>782</v>
      </c>
      <c r="L301" s="8"/>
      <c r="M301" s="12">
        <v>7.0</v>
      </c>
      <c r="N301" s="8"/>
      <c r="O301" s="8"/>
      <c r="P301" s="29"/>
      <c r="Q301" s="4"/>
      <c r="R301" s="4"/>
      <c r="S301" s="4"/>
      <c r="T301" s="4"/>
      <c r="U301" s="4"/>
      <c r="V301" s="4"/>
      <c r="W301" s="4"/>
      <c r="X301" s="4"/>
      <c r="Y301" s="4"/>
    </row>
    <row r="302">
      <c r="A302" s="5" t="s">
        <v>784</v>
      </c>
      <c r="B302" s="6">
        <v>1763.0</v>
      </c>
      <c r="C302" s="7" t="b">
        <v>1</v>
      </c>
      <c r="D302" s="8" t="str">
        <f>IFERROR(__xludf.DUMMYFUNCTION("GOOGLETRANSLATE(A302,""ar"", ""en"")"),"3-seat swing with net")</f>
        <v>3-seat swing with net</v>
      </c>
      <c r="E302" s="5" t="s">
        <v>785</v>
      </c>
      <c r="F302" s="9" t="s">
        <v>28</v>
      </c>
      <c r="G302" s="9"/>
      <c r="H302" s="8"/>
      <c r="I302" s="8"/>
      <c r="J302" s="29"/>
      <c r="K302" s="11" t="s">
        <v>786</v>
      </c>
      <c r="L302" s="8"/>
      <c r="M302" s="12">
        <v>46.0</v>
      </c>
      <c r="N302" s="8"/>
      <c r="O302" s="8"/>
      <c r="P302" s="29"/>
      <c r="Q302" s="4"/>
      <c r="R302" s="4"/>
      <c r="S302" s="4"/>
      <c r="T302" s="4"/>
      <c r="U302" s="4"/>
      <c r="V302" s="4"/>
      <c r="W302" s="4"/>
      <c r="X302" s="4"/>
      <c r="Y302" s="4"/>
    </row>
    <row r="303">
      <c r="A303" s="13" t="s">
        <v>784</v>
      </c>
      <c r="B303" s="6">
        <v>1764.0</v>
      </c>
      <c r="C303" s="7" t="b">
        <v>1</v>
      </c>
      <c r="D303" s="8" t="str">
        <f>IFERROR(__xludf.DUMMYFUNCTION("GOOGLETRANSLATE(A303,""ar"", ""en"")"),"3-seat swing with net")</f>
        <v>3-seat swing with net</v>
      </c>
      <c r="E303" s="13" t="s">
        <v>787</v>
      </c>
      <c r="F303" s="9" t="s">
        <v>28</v>
      </c>
      <c r="G303" s="9"/>
      <c r="H303" s="8"/>
      <c r="I303" s="8"/>
      <c r="J303" s="31"/>
      <c r="K303" s="11" t="s">
        <v>786</v>
      </c>
      <c r="L303" s="8"/>
      <c r="M303" s="15">
        <v>44.0</v>
      </c>
      <c r="N303" s="8"/>
      <c r="O303" s="8"/>
      <c r="P303" s="31"/>
      <c r="Q303" s="4"/>
      <c r="R303" s="4"/>
      <c r="S303" s="4"/>
      <c r="T303" s="4"/>
      <c r="U303" s="4"/>
      <c r="V303" s="4"/>
      <c r="W303" s="4"/>
      <c r="X303" s="4"/>
      <c r="Y303" s="4"/>
    </row>
    <row r="304">
      <c r="A304" s="5" t="s">
        <v>784</v>
      </c>
      <c r="B304" s="6">
        <v>1765.0</v>
      </c>
      <c r="C304" s="7" t="b">
        <v>1</v>
      </c>
      <c r="D304" s="8" t="str">
        <f>IFERROR(__xludf.DUMMYFUNCTION("GOOGLETRANSLATE(A304,""ar"", ""en"")"),"3-seat swing with net")</f>
        <v>3-seat swing with net</v>
      </c>
      <c r="E304" s="5" t="s">
        <v>788</v>
      </c>
      <c r="F304" s="9" t="s">
        <v>28</v>
      </c>
      <c r="G304" s="9"/>
      <c r="H304" s="8"/>
      <c r="I304" s="8"/>
      <c r="J304" s="29"/>
      <c r="K304" s="11" t="s">
        <v>786</v>
      </c>
      <c r="L304" s="8"/>
      <c r="M304" s="12">
        <v>152.0</v>
      </c>
      <c r="N304" s="8"/>
      <c r="O304" s="8"/>
      <c r="P304" s="29"/>
      <c r="Q304" s="4"/>
      <c r="R304" s="4"/>
      <c r="S304" s="4"/>
      <c r="T304" s="4"/>
      <c r="U304" s="4"/>
      <c r="V304" s="4"/>
      <c r="W304" s="4"/>
      <c r="X304" s="4"/>
      <c r="Y304" s="4"/>
    </row>
    <row r="305">
      <c r="A305" s="13" t="s">
        <v>784</v>
      </c>
      <c r="B305" s="6">
        <v>1766.0</v>
      </c>
      <c r="C305" s="6" t="b">
        <v>0</v>
      </c>
      <c r="D305" s="8" t="str">
        <f>IFERROR(__xludf.DUMMYFUNCTION("GOOGLETRANSLATE(A305,""ar"", ""en"")"),"3-seat swing with net")</f>
        <v>3-seat swing with net</v>
      </c>
      <c r="E305" s="13" t="s">
        <v>789</v>
      </c>
      <c r="F305" s="9" t="s">
        <v>28</v>
      </c>
      <c r="G305" s="9"/>
      <c r="H305" s="8"/>
      <c r="I305" s="8"/>
      <c r="J305" s="31"/>
      <c r="K305" s="11" t="s">
        <v>786</v>
      </c>
      <c r="L305" s="8"/>
      <c r="M305" s="15">
        <v>78.0</v>
      </c>
      <c r="N305" s="8"/>
      <c r="O305" s="8"/>
      <c r="P305" s="31"/>
      <c r="Q305" s="4"/>
      <c r="R305" s="4"/>
      <c r="S305" s="4"/>
      <c r="T305" s="4"/>
      <c r="U305" s="4"/>
      <c r="V305" s="4"/>
      <c r="W305" s="4"/>
      <c r="X305" s="4"/>
      <c r="Y305" s="4"/>
    </row>
    <row r="306">
      <c r="A306" s="5" t="s">
        <v>790</v>
      </c>
      <c r="B306" s="6">
        <v>1767.0</v>
      </c>
      <c r="C306" s="7" t="b">
        <v>1</v>
      </c>
      <c r="D306" s="8" t="str">
        <f>IFERROR(__xludf.DUMMYFUNCTION("GOOGLETRANSLATE(A306,""ar"", ""en"")"),"1-2 swing")</f>
        <v>1-2 swing</v>
      </c>
      <c r="E306" s="5" t="s">
        <v>791</v>
      </c>
      <c r="F306" s="9" t="s">
        <v>28</v>
      </c>
      <c r="G306" s="9"/>
      <c r="H306" s="8"/>
      <c r="I306" s="8"/>
      <c r="J306" s="29"/>
      <c r="K306" s="11" t="s">
        <v>792</v>
      </c>
      <c r="L306" s="8"/>
      <c r="M306" s="12">
        <v>20.0</v>
      </c>
      <c r="N306" s="8"/>
      <c r="O306" s="8"/>
      <c r="P306" s="29"/>
      <c r="Q306" s="4"/>
      <c r="R306" s="4"/>
      <c r="S306" s="4"/>
      <c r="T306" s="4"/>
      <c r="U306" s="4"/>
      <c r="V306" s="4"/>
      <c r="W306" s="4"/>
      <c r="X306" s="4"/>
      <c r="Y306" s="4"/>
    </row>
    <row r="307">
      <c r="A307" s="13" t="s">
        <v>790</v>
      </c>
      <c r="B307" s="6">
        <v>1768.0</v>
      </c>
      <c r="C307" s="6" t="b">
        <v>0</v>
      </c>
      <c r="D307" s="8" t="str">
        <f>IFERROR(__xludf.DUMMYFUNCTION("GOOGLETRANSLATE(A307,""ar"", ""en"")"),"1-2 swing")</f>
        <v>1-2 swing</v>
      </c>
      <c r="E307" s="13" t="s">
        <v>793</v>
      </c>
      <c r="F307" s="9" t="s">
        <v>28</v>
      </c>
      <c r="G307" s="9"/>
      <c r="H307" s="8"/>
      <c r="I307" s="8"/>
      <c r="J307" s="31"/>
      <c r="K307" s="11" t="s">
        <v>792</v>
      </c>
      <c r="L307" s="8"/>
      <c r="M307" s="15">
        <v>8.0</v>
      </c>
      <c r="N307" s="8"/>
      <c r="O307" s="8"/>
      <c r="P307" s="31"/>
      <c r="Q307" s="4"/>
      <c r="R307" s="4"/>
      <c r="S307" s="4"/>
      <c r="T307" s="4"/>
      <c r="U307" s="4"/>
      <c r="V307" s="4"/>
      <c r="W307" s="4"/>
      <c r="X307" s="4"/>
      <c r="Y307" s="4"/>
    </row>
    <row r="308">
      <c r="A308" s="13" t="s">
        <v>794</v>
      </c>
      <c r="B308" s="6">
        <v>1786.0</v>
      </c>
      <c r="C308" s="7" t="b">
        <v>1</v>
      </c>
      <c r="D308" s="8" t="str">
        <f>IFERROR(__xludf.DUMMYFUNCTION("GOOGLETRANSLATE(A308,""ar"", ""en"")"),"3-seat mesh swing")</f>
        <v>3-seat mesh swing</v>
      </c>
      <c r="E308" s="13" t="s">
        <v>795</v>
      </c>
      <c r="F308" s="9" t="s">
        <v>28</v>
      </c>
      <c r="G308" s="9"/>
      <c r="H308" s="8"/>
      <c r="I308" s="8"/>
      <c r="J308" s="31"/>
      <c r="K308" s="11" t="s">
        <v>796</v>
      </c>
      <c r="L308" s="8"/>
      <c r="M308" s="15">
        <v>51.0</v>
      </c>
      <c r="N308" s="8"/>
      <c r="O308" s="8"/>
      <c r="P308" s="31"/>
      <c r="Q308" s="4"/>
      <c r="R308" s="4"/>
      <c r="S308" s="4"/>
      <c r="T308" s="4"/>
      <c r="U308" s="4"/>
      <c r="V308" s="4"/>
      <c r="W308" s="4"/>
      <c r="X308" s="4"/>
      <c r="Y308" s="4"/>
    </row>
    <row r="309">
      <c r="A309" s="17" t="s">
        <v>797</v>
      </c>
      <c r="B309" s="18">
        <v>1799.0</v>
      </c>
      <c r="C309" s="19" t="b">
        <v>1</v>
      </c>
      <c r="D309" s="20" t="str">
        <f>IFERROR(__xludf.DUMMYFUNCTION("GOOGLETRANSLATE(A309,""ar"", ""en"")"),"Turkish chair in a set")</f>
        <v>Turkish chair in a set</v>
      </c>
      <c r="E309" s="28" t="s">
        <v>798</v>
      </c>
      <c r="F309" s="9" t="s">
        <v>18</v>
      </c>
      <c r="G309" s="9"/>
      <c r="H309" s="6"/>
      <c r="I309" s="8"/>
      <c r="J309" s="31"/>
      <c r="K309" s="11" t="s">
        <v>799</v>
      </c>
      <c r="L309" s="8"/>
      <c r="M309" s="15">
        <v>4.0</v>
      </c>
      <c r="N309" s="8"/>
      <c r="O309" s="8"/>
      <c r="P309" s="31"/>
      <c r="Q309" s="4"/>
      <c r="R309" s="4"/>
      <c r="S309" s="4"/>
      <c r="T309" s="4"/>
      <c r="U309" s="4"/>
      <c r="V309" s="4"/>
      <c r="W309" s="4"/>
      <c r="X309" s="4"/>
      <c r="Y309" s="4"/>
    </row>
    <row r="310">
      <c r="A310" s="5" t="s">
        <v>800</v>
      </c>
      <c r="B310" s="6">
        <v>1806.0</v>
      </c>
      <c r="C310" s="6" t="b">
        <v>0</v>
      </c>
      <c r="D310" s="8" t="str">
        <f>IFERROR(__xludf.DUMMYFUNCTION("GOOGLETRANSLATE(A310,""ar"", ""en"")"),"150 cm plastic table")</f>
        <v>150 cm plastic table</v>
      </c>
      <c r="E310" s="5" t="s">
        <v>801</v>
      </c>
      <c r="F310" s="9" t="s">
        <v>28</v>
      </c>
      <c r="G310" s="9"/>
      <c r="H310" s="8"/>
      <c r="I310" s="8"/>
      <c r="J310" s="29"/>
      <c r="K310" s="11" t="s">
        <v>802</v>
      </c>
      <c r="L310" s="8"/>
      <c r="M310" s="12">
        <v>18.0</v>
      </c>
      <c r="N310" s="8"/>
      <c r="O310" s="8"/>
      <c r="P310" s="29"/>
      <c r="Q310" s="4"/>
      <c r="R310" s="4"/>
      <c r="S310" s="4"/>
      <c r="T310" s="4"/>
      <c r="U310" s="4"/>
      <c r="V310" s="4"/>
      <c r="W310" s="4"/>
      <c r="X310" s="4"/>
      <c r="Y310" s="4"/>
    </row>
    <row r="311">
      <c r="A311" s="13" t="s">
        <v>803</v>
      </c>
      <c r="B311" s="6">
        <v>1807.0</v>
      </c>
      <c r="C311" s="6" t="b">
        <v>0</v>
      </c>
      <c r="D311" s="8" t="str">
        <f>IFERROR(__xludf.DUMMYFUNCTION("GOOGLETRANSLATE(A311,""ar"", ""en"")"),"Aluminum table top 120*70")</f>
        <v>Aluminum table top 120*70</v>
      </c>
      <c r="E311" s="13" t="s">
        <v>804</v>
      </c>
      <c r="F311" s="9" t="s">
        <v>27</v>
      </c>
      <c r="G311" s="9" t="s">
        <v>28</v>
      </c>
      <c r="H311" s="27" t="s">
        <v>98</v>
      </c>
      <c r="I311" s="16" t="s">
        <v>805</v>
      </c>
      <c r="J311" s="31"/>
      <c r="K311" s="11" t="s">
        <v>806</v>
      </c>
      <c r="L311" s="8"/>
      <c r="M311" s="15">
        <v>19.0</v>
      </c>
      <c r="N311" s="8"/>
      <c r="O311" s="8"/>
      <c r="P311" s="31"/>
      <c r="Q311" s="4"/>
      <c r="R311" s="4"/>
      <c r="S311" s="4"/>
      <c r="T311" s="4"/>
      <c r="U311" s="4"/>
      <c r="V311" s="4"/>
      <c r="W311" s="4"/>
      <c r="X311" s="4"/>
      <c r="Y311" s="4"/>
    </row>
    <row r="312">
      <c r="A312" s="5" t="s">
        <v>807</v>
      </c>
      <c r="B312" s="6">
        <v>1808.0</v>
      </c>
      <c r="C312" s="6" t="b">
        <v>0</v>
      </c>
      <c r="D312" s="8" t="str">
        <f>IFERROR(__xludf.DUMMYFUNCTION("GOOGLETRANSLATE(A312,""ar"", ""en"")"),"Aluminum table top 60*60")</f>
        <v>Aluminum table top 60*60</v>
      </c>
      <c r="E312" s="5" t="s">
        <v>808</v>
      </c>
      <c r="F312" s="9" t="s">
        <v>27</v>
      </c>
      <c r="G312" s="9" t="s">
        <v>28</v>
      </c>
      <c r="H312" s="27" t="s">
        <v>98</v>
      </c>
      <c r="I312" s="8"/>
      <c r="J312" s="29"/>
      <c r="K312" s="11" t="s">
        <v>809</v>
      </c>
      <c r="L312" s="8"/>
      <c r="M312" s="12">
        <v>39.0</v>
      </c>
      <c r="N312" s="8"/>
      <c r="O312" s="8"/>
      <c r="P312" s="29"/>
      <c r="Q312" s="4"/>
      <c r="R312" s="4"/>
      <c r="S312" s="4"/>
      <c r="T312" s="4"/>
      <c r="U312" s="4"/>
      <c r="V312" s="4"/>
      <c r="W312" s="4"/>
      <c r="X312" s="4"/>
      <c r="Y312" s="4"/>
    </row>
    <row r="313">
      <c r="A313" s="13" t="s">
        <v>810</v>
      </c>
      <c r="B313" s="6">
        <v>1809.0</v>
      </c>
      <c r="C313" s="6" t="b">
        <v>0</v>
      </c>
      <c r="D313" s="8" t="str">
        <f>IFERROR(__xludf.DUMMYFUNCTION("GOOGLETRANSLATE(A313,""ar"", ""en"")"),"Aluminum table top 70*70")</f>
        <v>Aluminum table top 70*70</v>
      </c>
      <c r="E313" s="13" t="s">
        <v>811</v>
      </c>
      <c r="F313" s="9" t="s">
        <v>27</v>
      </c>
      <c r="G313" s="9" t="s">
        <v>28</v>
      </c>
      <c r="H313" s="27" t="s">
        <v>98</v>
      </c>
      <c r="I313" s="8"/>
      <c r="J313" s="31"/>
      <c r="K313" s="11" t="s">
        <v>812</v>
      </c>
      <c r="L313" s="8"/>
      <c r="M313" s="15">
        <v>46.0</v>
      </c>
      <c r="N313" s="8"/>
      <c r="O313" s="8"/>
      <c r="P313" s="31"/>
      <c r="Q313" s="4"/>
      <c r="R313" s="4"/>
      <c r="S313" s="4"/>
      <c r="T313" s="4"/>
      <c r="U313" s="4"/>
      <c r="V313" s="4"/>
      <c r="W313" s="4"/>
      <c r="X313" s="4"/>
      <c r="Y313" s="4"/>
    </row>
    <row r="314">
      <c r="A314" s="5" t="s">
        <v>813</v>
      </c>
      <c r="B314" s="6">
        <v>1810.0</v>
      </c>
      <c r="C314" s="6" t="b">
        <v>0</v>
      </c>
      <c r="D314" s="8" t="str">
        <f>IFERROR(__xludf.DUMMYFUNCTION("GOOGLETRANSLATE(A314,""ar"", ""en"")"),"Aluminum table top 80*80")</f>
        <v>Aluminum table top 80*80</v>
      </c>
      <c r="E314" s="5" t="s">
        <v>814</v>
      </c>
      <c r="F314" s="9" t="s">
        <v>27</v>
      </c>
      <c r="G314" s="9" t="s">
        <v>28</v>
      </c>
      <c r="H314" s="27" t="s">
        <v>98</v>
      </c>
      <c r="I314" s="8"/>
      <c r="J314" s="29"/>
      <c r="K314" s="11" t="s">
        <v>815</v>
      </c>
      <c r="L314" s="8"/>
      <c r="M314" s="12">
        <v>3.0</v>
      </c>
      <c r="N314" s="8"/>
      <c r="O314" s="8"/>
      <c r="P314" s="29"/>
      <c r="Q314" s="4"/>
      <c r="R314" s="4"/>
      <c r="S314" s="4"/>
      <c r="T314" s="4"/>
      <c r="U314" s="4"/>
      <c r="V314" s="4"/>
      <c r="W314" s="4"/>
      <c r="X314" s="4"/>
      <c r="Y314" s="4"/>
    </row>
    <row r="315">
      <c r="A315" s="13" t="s">
        <v>816</v>
      </c>
      <c r="B315" s="6">
        <v>1811.0</v>
      </c>
      <c r="C315" s="6" t="b">
        <v>0</v>
      </c>
      <c r="D315" s="8" t="str">
        <f>IFERROR(__xludf.DUMMYFUNCTION("GOOGLETRANSLATE(A315,""ar"", ""en"")"),"Heavy Duty 4 Legs Wide Aluminum Base")</f>
        <v>Heavy Duty 4 Legs Wide Aluminum Base</v>
      </c>
      <c r="E315" s="13" t="s">
        <v>817</v>
      </c>
      <c r="F315" s="9" t="s">
        <v>27</v>
      </c>
      <c r="G315" s="9" t="s">
        <v>28</v>
      </c>
      <c r="H315" s="16" t="s">
        <v>186</v>
      </c>
      <c r="I315" s="8"/>
      <c r="J315" s="31"/>
      <c r="K315" s="11" t="s">
        <v>818</v>
      </c>
      <c r="L315" s="8"/>
      <c r="M315" s="15">
        <v>8.0</v>
      </c>
      <c r="N315" s="8"/>
      <c r="O315" s="8"/>
      <c r="P315" s="31"/>
      <c r="Q315" s="4"/>
      <c r="R315" s="4"/>
      <c r="S315" s="4"/>
      <c r="T315" s="4"/>
      <c r="U315" s="4"/>
      <c r="V315" s="4"/>
      <c r="W315" s="4"/>
      <c r="X315" s="4"/>
      <c r="Y315" s="4"/>
    </row>
    <row r="316">
      <c r="A316" s="5" t="s">
        <v>252</v>
      </c>
      <c r="B316" s="6">
        <v>1813.0</v>
      </c>
      <c r="C316" s="6" t="b">
        <v>0</v>
      </c>
      <c r="D316" s="8" t="str">
        <f>IFERROR(__xludf.DUMMYFUNCTION("GOOGLETRANSLATE(A316,""ar"", ""en"")"),"iron base")</f>
        <v>iron base</v>
      </c>
      <c r="E316" s="5" t="s">
        <v>819</v>
      </c>
      <c r="F316" s="9" t="s">
        <v>27</v>
      </c>
      <c r="G316" s="9" t="s">
        <v>28</v>
      </c>
      <c r="H316" s="16" t="s">
        <v>186</v>
      </c>
      <c r="I316" s="8"/>
      <c r="J316" s="29"/>
      <c r="K316" s="11" t="s">
        <v>254</v>
      </c>
      <c r="L316" s="8"/>
      <c r="M316" s="12">
        <v>6.0</v>
      </c>
      <c r="N316" s="8"/>
      <c r="O316" s="8"/>
      <c r="P316" s="29"/>
      <c r="Q316" s="4"/>
      <c r="R316" s="4"/>
      <c r="S316" s="4"/>
      <c r="T316" s="4"/>
      <c r="U316" s="4"/>
      <c r="V316" s="4"/>
      <c r="W316" s="4"/>
      <c r="X316" s="4"/>
      <c r="Y316" s="4"/>
    </row>
    <row r="317">
      <c r="A317" s="13" t="s">
        <v>820</v>
      </c>
      <c r="B317" s="6">
        <v>1814.0</v>
      </c>
      <c r="C317" s="6" t="b">
        <v>0</v>
      </c>
      <c r="D317" s="8" t="str">
        <f>IFERROR(__xludf.DUMMYFUNCTION("GOOGLETRANSLATE(A317,""ar"", ""en"")"),"Aluminum tipper base")</f>
        <v>Aluminum tipper base</v>
      </c>
      <c r="E317" s="13" t="s">
        <v>821</v>
      </c>
      <c r="F317" s="9" t="s">
        <v>27</v>
      </c>
      <c r="G317" s="9" t="s">
        <v>28</v>
      </c>
      <c r="H317" s="16" t="s">
        <v>186</v>
      </c>
      <c r="I317" s="8"/>
      <c r="J317" s="31"/>
      <c r="K317" s="11" t="s">
        <v>822</v>
      </c>
      <c r="L317" s="8"/>
      <c r="M317" s="15">
        <v>9.0</v>
      </c>
      <c r="N317" s="8"/>
      <c r="O317" s="8"/>
      <c r="P317" s="31"/>
      <c r="Q317" s="4"/>
      <c r="R317" s="4"/>
      <c r="S317" s="4"/>
      <c r="T317" s="4"/>
      <c r="U317" s="4"/>
      <c r="V317" s="4"/>
      <c r="W317" s="4"/>
      <c r="X317" s="4"/>
      <c r="Y317" s="4"/>
    </row>
    <row r="318">
      <c r="A318" s="5" t="s">
        <v>823</v>
      </c>
      <c r="B318" s="6">
        <v>1815.0</v>
      </c>
      <c r="C318" s="6" t="b">
        <v>0</v>
      </c>
      <c r="D318" s="8" t="str">
        <f>IFERROR(__xludf.DUMMYFUNCTION("GOOGLETRANSLATE(A318,""ar"", ""en"")"),"Round drawer font base")</f>
        <v>Round drawer font base</v>
      </c>
      <c r="E318" s="5" t="s">
        <v>824</v>
      </c>
      <c r="F318" s="9" t="s">
        <v>27</v>
      </c>
      <c r="G318" s="9" t="s">
        <v>28</v>
      </c>
      <c r="H318" s="16" t="s">
        <v>186</v>
      </c>
      <c r="I318" s="8"/>
      <c r="J318" s="29"/>
      <c r="K318" s="11" t="s">
        <v>825</v>
      </c>
      <c r="L318" s="8"/>
      <c r="M318" s="12">
        <v>50.0</v>
      </c>
      <c r="N318" s="8"/>
      <c r="O318" s="8"/>
      <c r="P318" s="29"/>
      <c r="Q318" s="4"/>
      <c r="R318" s="4"/>
      <c r="S318" s="4"/>
      <c r="T318" s="4"/>
      <c r="U318" s="4"/>
      <c r="V318" s="4"/>
      <c r="W318" s="4"/>
      <c r="X318" s="4"/>
      <c r="Y318" s="4"/>
    </row>
    <row r="319">
      <c r="A319" s="13" t="s">
        <v>826</v>
      </c>
      <c r="B319" s="6">
        <v>1820.0</v>
      </c>
      <c r="C319" s="6" t="b">
        <v>0</v>
      </c>
      <c r="D319" s="8" t="str">
        <f>IFERROR(__xludf.DUMMYFUNCTION("GOOGLETRANSLATE(A319,""ar"", ""en"")"),"335/ Font base is allowed")</f>
        <v>335/ Font base is allowed</v>
      </c>
      <c r="E319" s="13" t="s">
        <v>827</v>
      </c>
      <c r="F319" s="9" t="s">
        <v>27</v>
      </c>
      <c r="G319" s="9" t="s">
        <v>28</v>
      </c>
      <c r="H319" s="16" t="s">
        <v>186</v>
      </c>
      <c r="I319" s="8"/>
      <c r="J319" s="31"/>
      <c r="K319" s="11" t="s">
        <v>828</v>
      </c>
      <c r="L319" s="8"/>
      <c r="M319" s="15">
        <v>6.0</v>
      </c>
      <c r="N319" s="8"/>
      <c r="O319" s="8"/>
      <c r="P319" s="31"/>
      <c r="Q319" s="4"/>
      <c r="R319" s="4"/>
      <c r="S319" s="4"/>
      <c r="T319" s="4"/>
      <c r="U319" s="4"/>
      <c r="V319" s="4"/>
      <c r="W319" s="4"/>
      <c r="X319" s="4"/>
      <c r="Y319" s="4"/>
    </row>
    <row r="320">
      <c r="A320" s="5" t="s">
        <v>829</v>
      </c>
      <c r="B320" s="6">
        <v>1823.0</v>
      </c>
      <c r="C320" s="6" t="b">
        <v>0</v>
      </c>
      <c r="D320" s="8" t="str">
        <f>IFERROR(__xludf.DUMMYFUNCTION("GOOGLETRANSLATE(A320,""ar"", ""en"")"),"Font bar base 4 legs drilling chute")</f>
        <v>Font bar base 4 legs drilling chute</v>
      </c>
      <c r="E320" s="5" t="s">
        <v>830</v>
      </c>
      <c r="F320" s="9" t="s">
        <v>27</v>
      </c>
      <c r="G320" s="9" t="s">
        <v>28</v>
      </c>
      <c r="H320" s="16" t="s">
        <v>186</v>
      </c>
      <c r="I320" s="8"/>
      <c r="J320" s="29"/>
      <c r="K320" s="11" t="s">
        <v>831</v>
      </c>
      <c r="L320" s="8"/>
      <c r="M320" s="12">
        <v>7.0</v>
      </c>
      <c r="N320" s="8"/>
      <c r="O320" s="8"/>
      <c r="P320" s="29"/>
      <c r="Q320" s="4"/>
      <c r="R320" s="4"/>
      <c r="S320" s="4"/>
      <c r="T320" s="4"/>
      <c r="U320" s="4"/>
      <c r="V320" s="4"/>
      <c r="W320" s="4"/>
      <c r="X320" s="4"/>
      <c r="Y320" s="4"/>
    </row>
    <row r="321">
      <c r="A321" s="5" t="s">
        <v>832</v>
      </c>
      <c r="B321" s="6">
        <v>1834.0</v>
      </c>
      <c r="C321" s="6" t="b">
        <v>0</v>
      </c>
      <c r="D321" s="8" t="str">
        <f>IFERROR(__xludf.DUMMYFUNCTION("GOOGLETRANSLATE(A321,""ar"", ""en"")"),"Round staircase bar iron base")</f>
        <v>Round staircase bar iron base</v>
      </c>
      <c r="E321" s="5" t="s">
        <v>833</v>
      </c>
      <c r="F321" s="9" t="s">
        <v>27</v>
      </c>
      <c r="G321" s="9" t="s">
        <v>18</v>
      </c>
      <c r="H321" s="16" t="s">
        <v>186</v>
      </c>
      <c r="I321" s="8"/>
      <c r="J321" s="29"/>
      <c r="K321" s="11" t="s">
        <v>834</v>
      </c>
      <c r="L321" s="8"/>
      <c r="M321" s="12">
        <v>9.0</v>
      </c>
      <c r="N321" s="8"/>
      <c r="O321" s="8"/>
      <c r="P321" s="29"/>
      <c r="Q321" s="4"/>
      <c r="R321" s="4"/>
      <c r="S321" s="4"/>
      <c r="T321" s="4"/>
      <c r="U321" s="4"/>
      <c r="V321" s="4"/>
      <c r="W321" s="4"/>
      <c r="X321" s="4"/>
      <c r="Y321" s="4"/>
    </row>
    <row r="322">
      <c r="A322" s="13" t="s">
        <v>835</v>
      </c>
      <c r="B322" s="6">
        <v>1835.0</v>
      </c>
      <c r="C322" s="6" t="b">
        <v>0</v>
      </c>
      <c r="D322" s="8" t="str">
        <f>IFERROR(__xludf.DUMMYFUNCTION("GOOGLETRANSLATE(A322,""ar"", ""en"")"),"Smooth square iron bar base")</f>
        <v>Smooth square iron bar base</v>
      </c>
      <c r="E322" s="13" t="s">
        <v>836</v>
      </c>
      <c r="F322" s="9" t="s">
        <v>27</v>
      </c>
      <c r="G322" s="9" t="s">
        <v>18</v>
      </c>
      <c r="H322" s="16" t="s">
        <v>186</v>
      </c>
      <c r="I322" s="8"/>
      <c r="J322" s="31"/>
      <c r="K322" s="11" t="s">
        <v>837</v>
      </c>
      <c r="L322" s="8"/>
      <c r="M322" s="15">
        <v>3.0</v>
      </c>
      <c r="N322" s="8"/>
      <c r="O322" s="8"/>
      <c r="P322" s="31"/>
      <c r="Q322" s="4"/>
      <c r="R322" s="4"/>
      <c r="S322" s="4"/>
      <c r="T322" s="4"/>
      <c r="U322" s="4"/>
      <c r="V322" s="4"/>
      <c r="W322" s="4"/>
      <c r="X322" s="4"/>
      <c r="Y322" s="4"/>
    </row>
    <row r="323">
      <c r="A323" s="5" t="s">
        <v>838</v>
      </c>
      <c r="B323" s="6">
        <v>1837.0</v>
      </c>
      <c r="C323" s="6" t="b">
        <v>0</v>
      </c>
      <c r="D323" s="8" t="str">
        <f>IFERROR(__xludf.DUMMYFUNCTION("GOOGLETRANSLATE(A323,""ar"", ""en"")"),"Square font base")</f>
        <v>Square font base</v>
      </c>
      <c r="E323" s="5" t="s">
        <v>839</v>
      </c>
      <c r="F323" s="9" t="s">
        <v>27</v>
      </c>
      <c r="G323" s="9" t="s">
        <v>28</v>
      </c>
      <c r="H323" s="16" t="s">
        <v>186</v>
      </c>
      <c r="I323" s="8"/>
      <c r="J323" s="29"/>
      <c r="K323" s="11" t="s">
        <v>840</v>
      </c>
      <c r="L323" s="8"/>
      <c r="M323" s="12">
        <v>38.0</v>
      </c>
      <c r="N323" s="8"/>
      <c r="O323" s="8"/>
      <c r="P323" s="29"/>
      <c r="Q323" s="4"/>
      <c r="R323" s="4"/>
      <c r="S323" s="4"/>
      <c r="T323" s="4"/>
      <c r="U323" s="4"/>
      <c r="V323" s="4"/>
      <c r="W323" s="4"/>
      <c r="X323" s="4"/>
      <c r="Y323" s="4"/>
    </row>
    <row r="324">
      <c r="A324" s="13" t="s">
        <v>841</v>
      </c>
      <c r="B324" s="6">
        <v>1838.0</v>
      </c>
      <c r="C324" s="6" t="b">
        <v>0</v>
      </c>
      <c r="D324" s="8" t="str">
        <f>IFERROR(__xludf.DUMMYFUNCTION("GOOGLETRANSLATE(A324,""ar"", ""en"")"),"Thin X Font Base")</f>
        <v>Thin X Font Base</v>
      </c>
      <c r="E324" s="13" t="s">
        <v>842</v>
      </c>
      <c r="F324" s="9" t="s">
        <v>27</v>
      </c>
      <c r="G324" s="9" t="s">
        <v>28</v>
      </c>
      <c r="H324" s="16" t="s">
        <v>186</v>
      </c>
      <c r="I324" s="8"/>
      <c r="J324" s="31"/>
      <c r="K324" s="11" t="s">
        <v>843</v>
      </c>
      <c r="L324" s="8"/>
      <c r="M324" s="15">
        <v>6.0</v>
      </c>
      <c r="N324" s="8"/>
      <c r="O324" s="8"/>
      <c r="P324" s="31"/>
      <c r="Q324" s="4"/>
      <c r="R324" s="4"/>
      <c r="S324" s="4"/>
      <c r="T324" s="4"/>
      <c r="U324" s="4"/>
      <c r="V324" s="4"/>
      <c r="W324" s="4"/>
      <c r="X324" s="4"/>
      <c r="Y324" s="4"/>
    </row>
    <row r="325">
      <c r="A325" s="5" t="s">
        <v>844</v>
      </c>
      <c r="B325" s="6">
        <v>1839.0</v>
      </c>
      <c r="C325" s="6" t="b">
        <v>0</v>
      </c>
      <c r="D325" s="8" t="str">
        <f>IFERROR(__xludf.DUMMYFUNCTION("GOOGLETRANSLATE(A325,""ar"", ""en"")"),"Font base is allowed")</f>
        <v>Font base is allowed</v>
      </c>
      <c r="E325" s="5" t="s">
        <v>845</v>
      </c>
      <c r="F325" s="9" t="s">
        <v>27</v>
      </c>
      <c r="G325" s="9" t="s">
        <v>28</v>
      </c>
      <c r="H325" s="16" t="s">
        <v>186</v>
      </c>
      <c r="I325" s="8"/>
      <c r="J325" s="29"/>
      <c r="K325" s="11" t="s">
        <v>846</v>
      </c>
      <c r="L325" s="8"/>
      <c r="M325" s="12">
        <v>20.0</v>
      </c>
      <c r="N325" s="8"/>
      <c r="O325" s="8"/>
      <c r="P325" s="29"/>
      <c r="Q325" s="4"/>
      <c r="R325" s="4"/>
      <c r="S325" s="4"/>
      <c r="T325" s="4"/>
      <c r="U325" s="4"/>
      <c r="V325" s="4"/>
      <c r="W325" s="4"/>
      <c r="X325" s="4"/>
      <c r="Y325" s="4"/>
    </row>
    <row r="326">
      <c r="A326" s="5" t="s">
        <v>847</v>
      </c>
      <c r="B326" s="6">
        <v>1841.0</v>
      </c>
      <c r="C326" s="6" t="b">
        <v>0</v>
      </c>
      <c r="D326" s="8" t="str">
        <f>IFERROR(__xludf.DUMMYFUNCTION("GOOGLETRANSLATE(A326,""ar"", ""en"")"),"Black round stainless steel base")</f>
        <v>Black round stainless steel base</v>
      </c>
      <c r="E326" s="5" t="s">
        <v>848</v>
      </c>
      <c r="F326" s="9" t="s">
        <v>27</v>
      </c>
      <c r="G326" s="9" t="s">
        <v>28</v>
      </c>
      <c r="H326" s="16" t="s">
        <v>186</v>
      </c>
      <c r="I326" s="8"/>
      <c r="J326" s="29"/>
      <c r="K326" s="11" t="s">
        <v>849</v>
      </c>
      <c r="L326" s="8"/>
      <c r="M326" s="12">
        <v>75.0</v>
      </c>
      <c r="N326" s="8"/>
      <c r="O326" s="8"/>
      <c r="P326" s="29"/>
      <c r="Q326" s="4"/>
      <c r="R326" s="4"/>
      <c r="S326" s="4"/>
      <c r="T326" s="4"/>
      <c r="U326" s="4"/>
      <c r="V326" s="4"/>
      <c r="W326" s="4"/>
      <c r="X326" s="4"/>
      <c r="Y326" s="4"/>
    </row>
    <row r="327">
      <c r="A327" s="13" t="s">
        <v>850</v>
      </c>
      <c r="B327" s="6">
        <v>1842.0</v>
      </c>
      <c r="C327" s="6" t="b">
        <v>0</v>
      </c>
      <c r="D327" s="8" t="str">
        <f>IFERROR(__xludf.DUMMYFUNCTION("GOOGLETRANSLATE(A327,""ar"", ""en"")"),"Stainless steel bar base")</f>
        <v>Stainless steel bar base</v>
      </c>
      <c r="E327" s="13" t="s">
        <v>851</v>
      </c>
      <c r="F327" s="9" t="s">
        <v>27</v>
      </c>
      <c r="G327" s="9" t="s">
        <v>28</v>
      </c>
      <c r="H327" s="16" t="s">
        <v>186</v>
      </c>
      <c r="I327" s="8"/>
      <c r="J327" s="31"/>
      <c r="K327" s="11" t="s">
        <v>852</v>
      </c>
      <c r="L327" s="8"/>
      <c r="M327" s="15">
        <v>38.0</v>
      </c>
      <c r="N327" s="8"/>
      <c r="O327" s="8"/>
      <c r="P327" s="31"/>
      <c r="Q327" s="4"/>
      <c r="R327" s="4"/>
      <c r="S327" s="4"/>
      <c r="T327" s="4"/>
      <c r="U327" s="4"/>
      <c r="V327" s="4"/>
      <c r="W327" s="4"/>
      <c r="X327" s="4"/>
      <c r="Y327" s="4"/>
    </row>
    <row r="328">
      <c r="A328" s="5" t="s">
        <v>853</v>
      </c>
      <c r="B328" s="6">
        <v>1845.0</v>
      </c>
      <c r="C328" s="6" t="b">
        <v>0</v>
      </c>
      <c r="D328" s="8" t="str">
        <f>IFERROR(__xludf.DUMMYFUNCTION("GOOGLETRANSLATE(A328,""ar"", ""en"")"),"38 cm stainless steel base")</f>
        <v>38 cm stainless steel base</v>
      </c>
      <c r="E328" s="5" t="s">
        <v>854</v>
      </c>
      <c r="F328" s="9" t="s">
        <v>27</v>
      </c>
      <c r="G328" s="9" t="s">
        <v>28</v>
      </c>
      <c r="H328" s="16" t="s">
        <v>186</v>
      </c>
      <c r="I328" s="8"/>
      <c r="J328" s="29"/>
      <c r="K328" s="11" t="s">
        <v>855</v>
      </c>
      <c r="L328" s="8"/>
      <c r="M328" s="12">
        <v>44.0</v>
      </c>
      <c r="N328" s="8"/>
      <c r="O328" s="8"/>
      <c r="P328" s="29"/>
      <c r="Q328" s="4"/>
      <c r="R328" s="4"/>
      <c r="S328" s="4"/>
      <c r="T328" s="4"/>
      <c r="U328" s="4"/>
      <c r="V328" s="4"/>
      <c r="W328" s="4"/>
      <c r="X328" s="4"/>
      <c r="Y328" s="4"/>
    </row>
    <row r="329">
      <c r="A329" s="13" t="s">
        <v>856</v>
      </c>
      <c r="B329" s="6">
        <v>1846.0</v>
      </c>
      <c r="C329" s="6" t="b">
        <v>0</v>
      </c>
      <c r="D329" s="8" t="str">
        <f>IFERROR(__xludf.DUMMYFUNCTION("GOOGLETRANSLATE(A329,""ar"", ""en"")"),"C72 Round Stainless Steel Base")</f>
        <v>C72 Round Stainless Steel Base</v>
      </c>
      <c r="E329" s="13" t="s">
        <v>857</v>
      </c>
      <c r="F329" s="9" t="s">
        <v>27</v>
      </c>
      <c r="G329" s="9" t="s">
        <v>28</v>
      </c>
      <c r="H329" s="16" t="s">
        <v>186</v>
      </c>
      <c r="I329" s="8"/>
      <c r="J329" s="31"/>
      <c r="K329" s="11" t="s">
        <v>858</v>
      </c>
      <c r="L329" s="8"/>
      <c r="M329" s="15">
        <v>8.0</v>
      </c>
      <c r="N329" s="8"/>
      <c r="O329" s="8"/>
      <c r="P329" s="31"/>
      <c r="Q329" s="4"/>
      <c r="R329" s="4"/>
      <c r="S329" s="4"/>
      <c r="T329" s="4"/>
      <c r="U329" s="4"/>
      <c r="V329" s="4"/>
      <c r="W329" s="4"/>
      <c r="X329" s="4"/>
      <c r="Y329" s="4"/>
    </row>
    <row r="330">
      <c r="A330" s="5" t="s">
        <v>859</v>
      </c>
      <c r="B330" s="6">
        <v>1849.0</v>
      </c>
      <c r="C330" s="7" t="b">
        <v>1</v>
      </c>
      <c r="D330" s="8" t="str">
        <f>IFERROR(__xludf.DUMMYFUNCTION("GOOGLETRANSLATE(A330,""ar"", ""en"")"),"WHITE Turkish Versalite Face 70*70")</f>
        <v>WHITE Turkish Versalite Face 70*70</v>
      </c>
      <c r="E330" s="5" t="s">
        <v>860</v>
      </c>
      <c r="F330" s="9" t="s">
        <v>27</v>
      </c>
      <c r="G330" s="9" t="s">
        <v>18</v>
      </c>
      <c r="H330" s="27" t="s">
        <v>98</v>
      </c>
      <c r="I330" s="16" t="s">
        <v>861</v>
      </c>
      <c r="J330" s="29"/>
      <c r="K330" s="52" t="s">
        <v>862</v>
      </c>
      <c r="L330" s="8"/>
      <c r="M330" s="12">
        <v>30.0</v>
      </c>
      <c r="N330" s="8"/>
      <c r="O330" s="8"/>
      <c r="P330" s="29"/>
      <c r="Q330" s="4"/>
      <c r="R330" s="4"/>
      <c r="S330" s="4"/>
      <c r="T330" s="4"/>
      <c r="U330" s="4"/>
      <c r="V330" s="4"/>
      <c r="W330" s="4"/>
      <c r="X330" s="4"/>
      <c r="Y330" s="4"/>
    </row>
    <row r="331">
      <c r="A331" s="13" t="s">
        <v>863</v>
      </c>
      <c r="B331" s="6">
        <v>1850.0</v>
      </c>
      <c r="C331" s="7" t="b">
        <v>1</v>
      </c>
      <c r="D331" s="8" t="str">
        <f>IFERROR(__xludf.DUMMYFUNCTION("GOOGLETRANSLATE(A331,""ar"", ""en"")"),"WHITE Turkish Versalite face 70 round")</f>
        <v>WHITE Turkish Versalite face 70 round</v>
      </c>
      <c r="E331" s="13" t="s">
        <v>864</v>
      </c>
      <c r="F331" s="9" t="s">
        <v>27</v>
      </c>
      <c r="G331" s="9" t="s">
        <v>18</v>
      </c>
      <c r="H331" s="27" t="s">
        <v>98</v>
      </c>
      <c r="I331" s="16" t="s">
        <v>865</v>
      </c>
      <c r="J331" s="31"/>
      <c r="K331" s="11" t="s">
        <v>862</v>
      </c>
      <c r="L331" s="8"/>
      <c r="M331" s="15">
        <v>20.0</v>
      </c>
      <c r="N331" s="8"/>
      <c r="O331" s="8"/>
      <c r="P331" s="31"/>
      <c r="Q331" s="4"/>
      <c r="R331" s="4"/>
      <c r="S331" s="4"/>
      <c r="T331" s="4"/>
      <c r="U331" s="4"/>
      <c r="V331" s="4"/>
      <c r="W331" s="4"/>
      <c r="X331" s="4"/>
      <c r="Y331" s="4"/>
    </row>
    <row r="332">
      <c r="A332" s="5" t="s">
        <v>866</v>
      </c>
      <c r="B332" s="6">
        <v>1851.0</v>
      </c>
      <c r="C332" s="6" t="b">
        <v>0</v>
      </c>
      <c r="D332" s="8" t="str">
        <f>IFERROR(__xludf.DUMMYFUNCTION("GOOGLETRANSLATE(A332,""ar"", ""en"")"),"WHITE Turkish Versalite Face 80*120")</f>
        <v>WHITE Turkish Versalite Face 80*120</v>
      </c>
      <c r="E332" s="5" t="s">
        <v>867</v>
      </c>
      <c r="F332" s="9" t="s">
        <v>27</v>
      </c>
      <c r="G332" s="9" t="s">
        <v>18</v>
      </c>
      <c r="H332" s="27" t="s">
        <v>98</v>
      </c>
      <c r="I332" s="8"/>
      <c r="J332" s="29"/>
      <c r="K332" s="11" t="s">
        <v>862</v>
      </c>
      <c r="L332" s="8"/>
      <c r="M332" s="12">
        <v>30.0</v>
      </c>
      <c r="N332" s="8"/>
      <c r="O332" s="8"/>
      <c r="P332" s="29"/>
      <c r="Q332" s="4"/>
      <c r="R332" s="4"/>
      <c r="S332" s="4"/>
      <c r="T332" s="4"/>
      <c r="U332" s="4"/>
      <c r="V332" s="4"/>
      <c r="W332" s="4"/>
      <c r="X332" s="4"/>
      <c r="Y332" s="4"/>
    </row>
    <row r="333">
      <c r="A333" s="13" t="s">
        <v>868</v>
      </c>
      <c r="B333" s="6">
        <v>1852.0</v>
      </c>
      <c r="C333" s="7" t="b">
        <v>1</v>
      </c>
      <c r="D333" s="8" t="str">
        <f>IFERROR(__xludf.DUMMYFUNCTION("GOOGLETRANSLATE(A333,""ar"", ""en"")"),"WHITE Turkish Versalite Face 80*80")</f>
        <v>WHITE Turkish Versalite Face 80*80</v>
      </c>
      <c r="E333" s="13" t="s">
        <v>869</v>
      </c>
      <c r="F333" s="9" t="s">
        <v>27</v>
      </c>
      <c r="G333" s="9" t="s">
        <v>18</v>
      </c>
      <c r="H333" s="27" t="s">
        <v>98</v>
      </c>
      <c r="I333" s="8"/>
      <c r="J333" s="31"/>
      <c r="K333" s="11" t="s">
        <v>862</v>
      </c>
      <c r="L333" s="8"/>
      <c r="M333" s="15">
        <v>30.0</v>
      </c>
      <c r="N333" s="8"/>
      <c r="O333" s="8"/>
      <c r="P333" s="31"/>
      <c r="Q333" s="4"/>
      <c r="R333" s="4"/>
      <c r="S333" s="4"/>
      <c r="T333" s="4"/>
      <c r="U333" s="4"/>
      <c r="V333" s="4"/>
      <c r="W333" s="4"/>
      <c r="X333" s="4"/>
      <c r="Y333" s="4"/>
    </row>
    <row r="334">
      <c r="A334" s="5" t="s">
        <v>870</v>
      </c>
      <c r="B334" s="6">
        <v>1853.0</v>
      </c>
      <c r="C334" s="7" t="b">
        <v>1</v>
      </c>
      <c r="D334" s="8" t="str">
        <f>IFERROR(__xludf.DUMMYFUNCTION("GOOGLETRANSLATE(A334,""ar"", ""en"")"),"WHITE Turkish Versalite face 80mm round")</f>
        <v>WHITE Turkish Versalite face 80mm round</v>
      </c>
      <c r="E334" s="5" t="s">
        <v>871</v>
      </c>
      <c r="F334" s="9" t="s">
        <v>27</v>
      </c>
      <c r="G334" s="9" t="s">
        <v>18</v>
      </c>
      <c r="H334" s="27" t="s">
        <v>98</v>
      </c>
      <c r="I334" s="8"/>
      <c r="J334" s="29"/>
      <c r="K334" s="11" t="s">
        <v>862</v>
      </c>
      <c r="L334" s="8"/>
      <c r="M334" s="12">
        <v>20.0</v>
      </c>
      <c r="N334" s="8"/>
      <c r="O334" s="8"/>
      <c r="P334" s="29"/>
      <c r="Q334" s="4"/>
      <c r="R334" s="4"/>
      <c r="S334" s="4"/>
      <c r="T334" s="4"/>
      <c r="U334" s="4"/>
      <c r="V334" s="4"/>
      <c r="W334" s="4"/>
      <c r="X334" s="4"/>
      <c r="Y334" s="4"/>
    </row>
    <row r="335">
      <c r="A335" s="13" t="s">
        <v>872</v>
      </c>
      <c r="B335" s="6">
        <v>1854.0</v>
      </c>
      <c r="C335" s="7" t="b">
        <v>1</v>
      </c>
      <c r="D335" s="8" t="str">
        <f>IFERROR(__xludf.DUMMYFUNCTION("GOOGLETRANSLATE(A335,""ar"", ""en"")"),"WHITE Turkish Versalite face 90 round")</f>
        <v>WHITE Turkish Versalite face 90 round</v>
      </c>
      <c r="E335" s="13" t="s">
        <v>873</v>
      </c>
      <c r="F335" s="9" t="s">
        <v>27</v>
      </c>
      <c r="G335" s="9" t="s">
        <v>18</v>
      </c>
      <c r="H335" s="27" t="s">
        <v>98</v>
      </c>
      <c r="I335" s="8"/>
      <c r="J335" s="31"/>
      <c r="K335" s="11" t="s">
        <v>862</v>
      </c>
      <c r="L335" s="8"/>
      <c r="M335" s="15">
        <v>14.0</v>
      </c>
      <c r="N335" s="8"/>
      <c r="O335" s="8"/>
      <c r="P335" s="31"/>
      <c r="Q335" s="4"/>
      <c r="R335" s="4"/>
      <c r="S335" s="4"/>
      <c r="T335" s="4"/>
      <c r="U335" s="4"/>
      <c r="V335" s="4"/>
      <c r="W335" s="4"/>
      <c r="X335" s="4"/>
      <c r="Y335" s="4"/>
    </row>
    <row r="336">
      <c r="A336" s="5" t="s">
        <v>874</v>
      </c>
      <c r="B336" s="6">
        <v>1855.0</v>
      </c>
      <c r="C336" s="7" t="b">
        <v>1</v>
      </c>
      <c r="D336" s="8" t="str">
        <f>IFERROR(__xludf.DUMMYFUNCTION("GOOGLETRANSLATE(A336,""ar"", ""en"")"),"BLACK Turkish Versalite face 60 round")</f>
        <v>BLACK Turkish Versalite face 60 round</v>
      </c>
      <c r="E336" s="5" t="s">
        <v>875</v>
      </c>
      <c r="F336" s="9" t="s">
        <v>27</v>
      </c>
      <c r="G336" s="9" t="s">
        <v>18</v>
      </c>
      <c r="H336" s="27" t="s">
        <v>98</v>
      </c>
      <c r="I336" s="16" t="s">
        <v>876</v>
      </c>
      <c r="J336" s="29"/>
      <c r="K336" s="11" t="s">
        <v>862</v>
      </c>
      <c r="L336" s="8"/>
      <c r="M336" s="12">
        <v>30.0</v>
      </c>
      <c r="N336" s="8"/>
      <c r="O336" s="8"/>
      <c r="P336" s="29"/>
      <c r="Q336" s="4"/>
      <c r="R336" s="4"/>
      <c r="S336" s="4"/>
      <c r="T336" s="4"/>
      <c r="U336" s="4"/>
      <c r="V336" s="4"/>
      <c r="W336" s="4"/>
      <c r="X336" s="4"/>
      <c r="Y336" s="4"/>
    </row>
    <row r="337">
      <c r="A337" s="13" t="s">
        <v>877</v>
      </c>
      <c r="B337" s="6">
        <v>1856.0</v>
      </c>
      <c r="C337" s="7" t="b">
        <v>1</v>
      </c>
      <c r="D337" s="8" t="str">
        <f>IFERROR(__xludf.DUMMYFUNCTION("GOOGLETRANSLATE(A337,""ar"", ""en"")"),"BLACK Turkish Versalite Face 70*70")</f>
        <v>BLACK Turkish Versalite Face 70*70</v>
      </c>
      <c r="E337" s="13" t="s">
        <v>878</v>
      </c>
      <c r="F337" s="9" t="s">
        <v>27</v>
      </c>
      <c r="G337" s="9" t="s">
        <v>18</v>
      </c>
      <c r="H337" s="27" t="s">
        <v>98</v>
      </c>
      <c r="I337" s="16" t="s">
        <v>879</v>
      </c>
      <c r="J337" s="31"/>
      <c r="K337" s="11" t="s">
        <v>862</v>
      </c>
      <c r="L337" s="8"/>
      <c r="M337" s="15">
        <v>12.0</v>
      </c>
      <c r="N337" s="8"/>
      <c r="O337" s="8"/>
      <c r="P337" s="31"/>
      <c r="Q337" s="4"/>
      <c r="R337" s="4"/>
      <c r="S337" s="4"/>
      <c r="T337" s="4"/>
      <c r="U337" s="4"/>
      <c r="V337" s="4"/>
      <c r="W337" s="4"/>
      <c r="X337" s="4"/>
      <c r="Y337" s="4"/>
    </row>
    <row r="338">
      <c r="A338" s="5" t="s">
        <v>880</v>
      </c>
      <c r="B338" s="6">
        <v>1857.0</v>
      </c>
      <c r="C338" s="7" t="b">
        <v>1</v>
      </c>
      <c r="D338" s="8" t="str">
        <f>IFERROR(__xludf.DUMMYFUNCTION("GOOGLETRANSLATE(A338,""ar"", ""en"")"),"BLACK Turkish Versalite face 70 round")</f>
        <v>BLACK Turkish Versalite face 70 round</v>
      </c>
      <c r="E338" s="5" t="s">
        <v>881</v>
      </c>
      <c r="F338" s="9" t="s">
        <v>27</v>
      </c>
      <c r="G338" s="9" t="s">
        <v>18</v>
      </c>
      <c r="H338" s="27" t="s">
        <v>98</v>
      </c>
      <c r="I338" s="8"/>
      <c r="J338" s="29"/>
      <c r="K338" s="11" t="s">
        <v>862</v>
      </c>
      <c r="L338" s="8"/>
      <c r="M338" s="12">
        <v>26.0</v>
      </c>
      <c r="N338" s="8"/>
      <c r="O338" s="8"/>
      <c r="P338" s="29"/>
      <c r="Q338" s="4"/>
      <c r="R338" s="4"/>
      <c r="S338" s="4"/>
      <c r="T338" s="4"/>
      <c r="U338" s="4"/>
      <c r="V338" s="4"/>
      <c r="W338" s="4"/>
      <c r="X338" s="4"/>
      <c r="Y338" s="4"/>
    </row>
    <row r="339">
      <c r="A339" s="5" t="s">
        <v>882</v>
      </c>
      <c r="B339" s="6">
        <v>1858.0</v>
      </c>
      <c r="C339" s="7" t="b">
        <v>0</v>
      </c>
      <c r="D339" s="8" t="str">
        <f>IFERROR(__xludf.DUMMYFUNCTION("GOOGLETRANSLATE(A339,""ar"", ""en"")"),"BLACK Turkish Versalite Face 80*120")</f>
        <v>BLACK Turkish Versalite Face 80*120</v>
      </c>
      <c r="E339" s="5" t="s">
        <v>883</v>
      </c>
      <c r="F339" s="9" t="s">
        <v>27</v>
      </c>
      <c r="G339" s="9" t="s">
        <v>18</v>
      </c>
      <c r="H339" s="27" t="s">
        <v>98</v>
      </c>
      <c r="I339" s="8"/>
      <c r="J339" s="31"/>
      <c r="K339" s="11" t="s">
        <v>862</v>
      </c>
      <c r="L339" s="8"/>
      <c r="M339" s="15">
        <v>22.0</v>
      </c>
      <c r="N339" s="8"/>
      <c r="O339" s="8"/>
      <c r="P339" s="31"/>
      <c r="Q339" s="4"/>
      <c r="R339" s="4"/>
      <c r="S339" s="4"/>
      <c r="T339" s="4"/>
      <c r="U339" s="4"/>
      <c r="V339" s="4"/>
      <c r="W339" s="4"/>
      <c r="X339" s="4"/>
      <c r="Y339" s="4"/>
    </row>
    <row r="340">
      <c r="A340" s="17" t="s">
        <v>884</v>
      </c>
      <c r="B340" s="18">
        <v>1859.0</v>
      </c>
      <c r="C340" s="17" t="b">
        <v>1</v>
      </c>
      <c r="D340" s="18" t="str">
        <f>IFERROR(__xludf.DUMMYFUNCTION("GOOGLETRANSLATE(A340,""ar"", ""en"")"),"BLACK Turkish Versalite Face 80*80")</f>
        <v>BLACK Turkish Versalite Face 80*80</v>
      </c>
      <c r="E340" s="19" t="s">
        <v>885</v>
      </c>
      <c r="F340" s="20" t="s">
        <v>27</v>
      </c>
      <c r="G340" s="28" t="s">
        <v>18</v>
      </c>
      <c r="H340" s="27" t="s">
        <v>98</v>
      </c>
      <c r="I340" s="8"/>
      <c r="J340" s="29"/>
      <c r="K340" s="11" t="s">
        <v>862</v>
      </c>
      <c r="L340" s="8"/>
      <c r="M340" s="12">
        <v>15.0</v>
      </c>
      <c r="N340" s="8"/>
      <c r="O340" s="8"/>
      <c r="P340" s="29"/>
      <c r="Q340" s="4"/>
      <c r="R340" s="4"/>
      <c r="S340" s="4"/>
      <c r="T340" s="4"/>
      <c r="U340" s="4"/>
      <c r="V340" s="4"/>
      <c r="W340" s="4"/>
      <c r="X340" s="4"/>
      <c r="Y340" s="4"/>
    </row>
    <row r="341">
      <c r="A341" s="13" t="s">
        <v>886</v>
      </c>
      <c r="B341" s="6">
        <v>1860.0</v>
      </c>
      <c r="C341" s="7" t="b">
        <v>1</v>
      </c>
      <c r="D341" s="8" t="str">
        <f>IFERROR(__xludf.DUMMYFUNCTION("GOOGLETRANSLATE(A341,""ar"", ""en"")"),"BLACK Turkish Versalite face 80 round")</f>
        <v>BLACK Turkish Versalite face 80 round</v>
      </c>
      <c r="E341" s="13" t="s">
        <v>887</v>
      </c>
      <c r="F341" s="9" t="s">
        <v>27</v>
      </c>
      <c r="G341" s="9" t="s">
        <v>18</v>
      </c>
      <c r="H341" s="27" t="s">
        <v>98</v>
      </c>
      <c r="I341" s="8"/>
      <c r="J341" s="31"/>
      <c r="K341" s="11" t="s">
        <v>862</v>
      </c>
      <c r="L341" s="8"/>
      <c r="M341" s="15">
        <v>27.0</v>
      </c>
      <c r="N341" s="8"/>
      <c r="O341" s="8"/>
      <c r="P341" s="31"/>
      <c r="Q341" s="4"/>
      <c r="R341" s="4"/>
      <c r="S341" s="4"/>
      <c r="T341" s="4"/>
      <c r="U341" s="4"/>
      <c r="V341" s="4"/>
      <c r="W341" s="4"/>
      <c r="X341" s="4"/>
      <c r="Y341" s="4"/>
    </row>
    <row r="342">
      <c r="A342" s="5" t="s">
        <v>888</v>
      </c>
      <c r="B342" s="6">
        <v>1861.0</v>
      </c>
      <c r="C342" s="7" t="b">
        <v>1</v>
      </c>
      <c r="D342" s="8" t="str">
        <f>IFERROR(__xludf.DUMMYFUNCTION("GOOGLETRANSLATE(A342,""ar"", ""en"")"),"BLACK Turkish Versalite face 90 round")</f>
        <v>BLACK Turkish Versalite face 90 round</v>
      </c>
      <c r="E342" s="5" t="s">
        <v>889</v>
      </c>
      <c r="F342" s="9" t="s">
        <v>27</v>
      </c>
      <c r="G342" s="9" t="s">
        <v>18</v>
      </c>
      <c r="H342" s="27" t="s">
        <v>98</v>
      </c>
      <c r="I342" s="8"/>
      <c r="J342" s="29"/>
      <c r="K342" s="11" t="s">
        <v>862</v>
      </c>
      <c r="L342" s="8"/>
      <c r="M342" s="12">
        <v>14.0</v>
      </c>
      <c r="N342" s="8"/>
      <c r="O342" s="8"/>
      <c r="P342" s="29"/>
      <c r="Q342" s="4"/>
      <c r="R342" s="4"/>
      <c r="S342" s="4"/>
      <c r="T342" s="4"/>
      <c r="U342" s="4"/>
      <c r="V342" s="4"/>
      <c r="W342" s="4"/>
      <c r="X342" s="4"/>
      <c r="Y342" s="4"/>
    </row>
    <row r="343">
      <c r="A343" s="13" t="s">
        <v>890</v>
      </c>
      <c r="B343" s="6">
        <v>1862.0</v>
      </c>
      <c r="C343" s="6" t="b">
        <v>0</v>
      </c>
      <c r="D343" s="8" t="str">
        <f>IFERROR(__xludf.DUMMYFUNCTION("GOOGLETRANSLATE(A343,""ar"", ""en"")"),"Wenge Turkish Versalite Face 80*80")</f>
        <v>Wenge Turkish Versalite Face 80*80</v>
      </c>
      <c r="E343" s="13" t="s">
        <v>891</v>
      </c>
      <c r="F343" s="9" t="s">
        <v>27</v>
      </c>
      <c r="G343" s="9" t="s">
        <v>18</v>
      </c>
      <c r="H343" s="27" t="s">
        <v>98</v>
      </c>
      <c r="I343" s="8"/>
      <c r="J343" s="31"/>
      <c r="K343" s="11" t="s">
        <v>862</v>
      </c>
      <c r="L343" s="8"/>
      <c r="M343" s="15">
        <v>30.0</v>
      </c>
      <c r="N343" s="8"/>
      <c r="O343" s="8"/>
      <c r="P343" s="31"/>
      <c r="Q343" s="4"/>
      <c r="R343" s="4"/>
      <c r="S343" s="4"/>
      <c r="T343" s="4"/>
      <c r="U343" s="4"/>
      <c r="V343" s="4"/>
      <c r="W343" s="4"/>
      <c r="X343" s="4"/>
      <c r="Y343" s="4"/>
    </row>
    <row r="344">
      <c r="A344" s="5" t="s">
        <v>892</v>
      </c>
      <c r="B344" s="6">
        <v>1863.0</v>
      </c>
      <c r="C344" s="6" t="b">
        <v>0</v>
      </c>
      <c r="D344" s="8" t="str">
        <f>IFERROR(__xludf.DUMMYFUNCTION("GOOGLETRANSLATE(A344,""ar"", ""en"")"),"RED WOOD Turkish Versalite face 70*70")</f>
        <v>RED WOOD Turkish Versalite face 70*70</v>
      </c>
      <c r="E344" s="5" t="s">
        <v>893</v>
      </c>
      <c r="F344" s="9" t="s">
        <v>27</v>
      </c>
      <c r="G344" s="9" t="s">
        <v>18</v>
      </c>
      <c r="H344" s="27" t="s">
        <v>98</v>
      </c>
      <c r="I344" s="16" t="s">
        <v>894</v>
      </c>
      <c r="J344" s="29"/>
      <c r="K344" s="11" t="s">
        <v>862</v>
      </c>
      <c r="L344" s="8"/>
      <c r="M344" s="12">
        <v>30.0</v>
      </c>
      <c r="N344" s="8"/>
      <c r="O344" s="8"/>
      <c r="P344" s="29"/>
      <c r="Q344" s="4"/>
      <c r="R344" s="4"/>
      <c r="S344" s="4"/>
      <c r="T344" s="4"/>
      <c r="U344" s="4"/>
      <c r="V344" s="4"/>
      <c r="W344" s="4"/>
      <c r="X344" s="4"/>
      <c r="Y344" s="4"/>
    </row>
    <row r="345">
      <c r="A345" s="13" t="s">
        <v>895</v>
      </c>
      <c r="B345" s="6">
        <v>1864.0</v>
      </c>
      <c r="C345" s="6" t="b">
        <v>0</v>
      </c>
      <c r="D345" s="8" t="str">
        <f>IFERROR(__xludf.DUMMYFUNCTION("GOOGLETRANSLATE(A345,""ar"", ""en"")"),"RED WOOD Turkish Versalite face 80*140")</f>
        <v>RED WOOD Turkish Versalite face 80*140</v>
      </c>
      <c r="E345" s="13" t="s">
        <v>896</v>
      </c>
      <c r="F345" s="9" t="s">
        <v>27</v>
      </c>
      <c r="G345" s="9" t="s">
        <v>18</v>
      </c>
      <c r="H345" s="27" t="s">
        <v>98</v>
      </c>
      <c r="I345" s="8"/>
      <c r="J345" s="31"/>
      <c r="K345" s="11" t="s">
        <v>862</v>
      </c>
      <c r="L345" s="8"/>
      <c r="M345" s="15">
        <v>12.0</v>
      </c>
      <c r="N345" s="8"/>
      <c r="O345" s="8"/>
      <c r="P345" s="31"/>
      <c r="Q345" s="4"/>
      <c r="R345" s="4"/>
      <c r="S345" s="4"/>
      <c r="T345" s="4"/>
      <c r="U345" s="4"/>
      <c r="V345" s="4"/>
      <c r="W345" s="4"/>
      <c r="X345" s="4"/>
      <c r="Y345" s="4"/>
    </row>
    <row r="346">
      <c r="A346" s="5" t="s">
        <v>897</v>
      </c>
      <c r="B346" s="6">
        <v>1865.0</v>
      </c>
      <c r="C346" s="6" t="b">
        <v>0</v>
      </c>
      <c r="D346" s="8" t="str">
        <f>IFERROR(__xludf.DUMMYFUNCTION("GOOGLETRANSLATE(A346,""ar"", ""en"")"),"RED WOOD Turkish Versalite face 80*80")</f>
        <v>RED WOOD Turkish Versalite face 80*80</v>
      </c>
      <c r="E346" s="5" t="s">
        <v>898</v>
      </c>
      <c r="F346" s="9" t="s">
        <v>27</v>
      </c>
      <c r="G346" s="9" t="s">
        <v>18</v>
      </c>
      <c r="H346" s="27" t="s">
        <v>98</v>
      </c>
      <c r="I346" s="8"/>
      <c r="J346" s="29"/>
      <c r="K346" s="11" t="s">
        <v>862</v>
      </c>
      <c r="L346" s="8"/>
      <c r="M346" s="12">
        <v>26.0</v>
      </c>
      <c r="N346" s="8"/>
      <c r="O346" s="8"/>
      <c r="P346" s="29"/>
      <c r="Q346" s="4"/>
      <c r="R346" s="4"/>
      <c r="S346" s="4"/>
      <c r="T346" s="4"/>
      <c r="U346" s="4"/>
      <c r="V346" s="4"/>
      <c r="W346" s="4"/>
      <c r="X346" s="4"/>
      <c r="Y346" s="4"/>
    </row>
    <row r="347">
      <c r="A347" s="13" t="s">
        <v>899</v>
      </c>
      <c r="B347" s="6">
        <v>1866.0</v>
      </c>
      <c r="C347" s="6" t="b">
        <v>0</v>
      </c>
      <c r="D347" s="8" t="str">
        <f>IFERROR(__xludf.DUMMYFUNCTION("GOOGLETRANSLATE(A347,""ar"", ""en"")"),"INDIAN WOOD Turkish Versalite face 70*70")</f>
        <v>INDIAN WOOD Turkish Versalite face 70*70</v>
      </c>
      <c r="E347" s="13" t="s">
        <v>900</v>
      </c>
      <c r="F347" s="9" t="s">
        <v>27</v>
      </c>
      <c r="G347" s="9" t="s">
        <v>18</v>
      </c>
      <c r="H347" s="27" t="s">
        <v>98</v>
      </c>
      <c r="I347" s="7" t="s">
        <v>901</v>
      </c>
      <c r="J347" s="31"/>
      <c r="K347" s="11" t="s">
        <v>862</v>
      </c>
      <c r="L347" s="8"/>
      <c r="M347" s="15">
        <v>30.0</v>
      </c>
      <c r="N347" s="8"/>
      <c r="O347" s="8"/>
      <c r="P347" s="31"/>
      <c r="Q347" s="4"/>
      <c r="R347" s="4"/>
      <c r="S347" s="4"/>
      <c r="T347" s="4"/>
      <c r="U347" s="4"/>
      <c r="V347" s="4"/>
      <c r="W347" s="4"/>
      <c r="X347" s="4"/>
      <c r="Y347" s="4"/>
    </row>
    <row r="348">
      <c r="A348" s="5" t="s">
        <v>902</v>
      </c>
      <c r="B348" s="6">
        <v>1867.0</v>
      </c>
      <c r="C348" s="6" t="b">
        <v>0</v>
      </c>
      <c r="D348" s="8" t="str">
        <f>IFERROR(__xludf.DUMMYFUNCTION("GOOGLETRANSLATE(A348,""ar"", ""en"")"),"INDIAN WOOD Turkish Versalite face 70 round")</f>
        <v>INDIAN WOOD Turkish Versalite face 70 round</v>
      </c>
      <c r="E348" s="5" t="s">
        <v>903</v>
      </c>
      <c r="F348" s="9" t="s">
        <v>27</v>
      </c>
      <c r="G348" s="9" t="s">
        <v>18</v>
      </c>
      <c r="H348" s="27" t="s">
        <v>98</v>
      </c>
      <c r="I348" s="16" t="s">
        <v>904</v>
      </c>
      <c r="J348" s="29"/>
      <c r="K348" s="11" t="s">
        <v>862</v>
      </c>
      <c r="L348" s="8"/>
      <c r="M348" s="12">
        <v>20.0</v>
      </c>
      <c r="N348" s="8"/>
      <c r="O348" s="8"/>
      <c r="P348" s="29"/>
      <c r="Q348" s="4"/>
      <c r="R348" s="4"/>
      <c r="S348" s="4"/>
      <c r="T348" s="4"/>
      <c r="U348" s="4"/>
      <c r="V348" s="4"/>
      <c r="W348" s="4"/>
      <c r="X348" s="4"/>
      <c r="Y348" s="4"/>
    </row>
    <row r="349">
      <c r="A349" s="13" t="s">
        <v>905</v>
      </c>
      <c r="B349" s="6">
        <v>1868.0</v>
      </c>
      <c r="C349" s="6" t="b">
        <v>0</v>
      </c>
      <c r="D349" s="8" t="str">
        <f>IFERROR(__xludf.DUMMYFUNCTION("GOOGLETRANSLATE(A349,""ar"", ""en"")"),"INDIAN WOOD Turkish Versalite face 80*120")</f>
        <v>INDIAN WOOD Turkish Versalite face 80*120</v>
      </c>
      <c r="E349" s="13" t="s">
        <v>906</v>
      </c>
      <c r="F349" s="9" t="s">
        <v>27</v>
      </c>
      <c r="G349" s="9" t="s">
        <v>18</v>
      </c>
      <c r="H349" s="27" t="s">
        <v>98</v>
      </c>
      <c r="I349" s="8"/>
      <c r="J349" s="31"/>
      <c r="K349" s="11" t="s">
        <v>862</v>
      </c>
      <c r="L349" s="8"/>
      <c r="M349" s="15">
        <v>20.0</v>
      </c>
      <c r="N349" s="8"/>
      <c r="O349" s="8"/>
      <c r="P349" s="31"/>
      <c r="Q349" s="4"/>
      <c r="R349" s="4"/>
      <c r="S349" s="4"/>
      <c r="T349" s="4"/>
      <c r="U349" s="4"/>
      <c r="V349" s="4"/>
      <c r="W349" s="4"/>
      <c r="X349" s="4"/>
      <c r="Y349" s="4"/>
    </row>
    <row r="350">
      <c r="A350" s="5" t="s">
        <v>907</v>
      </c>
      <c r="B350" s="6">
        <v>1869.0</v>
      </c>
      <c r="C350" s="6" t="b">
        <v>0</v>
      </c>
      <c r="D350" s="8" t="str">
        <f>IFERROR(__xludf.DUMMYFUNCTION("GOOGLETRANSLATE(A350,""ar"", ""en"")"),"INDIAN WOOD Turkish Versalite face 80*80")</f>
        <v>INDIAN WOOD Turkish Versalite face 80*80</v>
      </c>
      <c r="E350" s="5" t="s">
        <v>908</v>
      </c>
      <c r="F350" s="9" t="s">
        <v>27</v>
      </c>
      <c r="G350" s="9" t="s">
        <v>18</v>
      </c>
      <c r="H350" s="27" t="s">
        <v>98</v>
      </c>
      <c r="I350" s="8"/>
      <c r="J350" s="29"/>
      <c r="K350" s="11" t="s">
        <v>862</v>
      </c>
      <c r="L350" s="8"/>
      <c r="M350" s="12">
        <v>30.0</v>
      </c>
      <c r="N350" s="8"/>
      <c r="O350" s="8"/>
      <c r="P350" s="29"/>
      <c r="Q350" s="4"/>
      <c r="R350" s="4"/>
      <c r="S350" s="4"/>
      <c r="T350" s="4"/>
      <c r="U350" s="4"/>
      <c r="V350" s="4"/>
      <c r="W350" s="4"/>
      <c r="X350" s="4"/>
      <c r="Y350" s="4"/>
    </row>
    <row r="351">
      <c r="A351" s="13" t="s">
        <v>909</v>
      </c>
      <c r="B351" s="6">
        <v>1870.0</v>
      </c>
      <c r="C351" s="6" t="b">
        <v>0</v>
      </c>
      <c r="D351" s="8" t="str">
        <f>IFERROR(__xludf.DUMMYFUNCTION("GOOGLETRANSLATE(A351,""ar"", ""en"")"),"INDIAN WOOD Turkish Versalite face 80 round")</f>
        <v>INDIAN WOOD Turkish Versalite face 80 round</v>
      </c>
      <c r="E351" s="13" t="s">
        <v>910</v>
      </c>
      <c r="F351" s="9" t="s">
        <v>27</v>
      </c>
      <c r="G351" s="9" t="s">
        <v>18</v>
      </c>
      <c r="H351" s="27" t="s">
        <v>98</v>
      </c>
      <c r="I351" s="8"/>
      <c r="J351" s="31"/>
      <c r="K351" s="11" t="s">
        <v>862</v>
      </c>
      <c r="L351" s="8"/>
      <c r="M351" s="15">
        <v>20.0</v>
      </c>
      <c r="N351" s="8"/>
      <c r="O351" s="8"/>
      <c r="P351" s="31"/>
      <c r="Q351" s="4"/>
      <c r="R351" s="4"/>
      <c r="S351" s="4"/>
      <c r="T351" s="4"/>
      <c r="U351" s="4"/>
      <c r="V351" s="4"/>
      <c r="W351" s="4"/>
      <c r="X351" s="4"/>
      <c r="Y351" s="4"/>
    </row>
    <row r="352">
      <c r="A352" s="5" t="s">
        <v>911</v>
      </c>
      <c r="B352" s="6">
        <v>1871.0</v>
      </c>
      <c r="C352" s="6" t="b">
        <v>0</v>
      </c>
      <c r="D352" s="8" t="str">
        <f>IFERROR(__xludf.DUMMYFUNCTION("GOOGLETRANSLATE(A352,""ar"", ""en"")"),"Green wood Turkish Versalite face 70*70")</f>
        <v>Green wood Turkish Versalite face 70*70</v>
      </c>
      <c r="E352" s="5" t="s">
        <v>912</v>
      </c>
      <c r="F352" s="9" t="s">
        <v>27</v>
      </c>
      <c r="G352" s="9" t="s">
        <v>18</v>
      </c>
      <c r="H352" s="27" t="s">
        <v>98</v>
      </c>
      <c r="I352" s="53" t="s">
        <v>913</v>
      </c>
      <c r="J352" s="29"/>
      <c r="K352" s="11" t="s">
        <v>862</v>
      </c>
      <c r="L352" s="8"/>
      <c r="M352" s="12">
        <v>20.0</v>
      </c>
      <c r="N352" s="8"/>
      <c r="O352" s="8"/>
      <c r="P352" s="29"/>
      <c r="Q352" s="4"/>
      <c r="R352" s="4"/>
      <c r="S352" s="4"/>
      <c r="T352" s="4"/>
      <c r="U352" s="4"/>
      <c r="V352" s="4"/>
      <c r="W352" s="4"/>
      <c r="X352" s="4"/>
      <c r="Y352" s="4"/>
    </row>
    <row r="353">
      <c r="A353" s="13" t="s">
        <v>914</v>
      </c>
      <c r="B353" s="6">
        <v>1872.0</v>
      </c>
      <c r="C353" s="6" t="b">
        <v>0</v>
      </c>
      <c r="D353" s="8" t="str">
        <f>IFERROR(__xludf.DUMMYFUNCTION("GOOGLETRANSLATE(A353,""ar"", ""en"")"),"Green wood Turkish Versalite face 80*120")</f>
        <v>Green wood Turkish Versalite face 80*120</v>
      </c>
      <c r="E353" s="13" t="s">
        <v>915</v>
      </c>
      <c r="F353" s="9" t="s">
        <v>27</v>
      </c>
      <c r="G353" s="9" t="s">
        <v>18</v>
      </c>
      <c r="H353" s="27" t="s">
        <v>98</v>
      </c>
      <c r="I353" s="54"/>
      <c r="J353" s="31"/>
      <c r="K353" s="11" t="s">
        <v>862</v>
      </c>
      <c r="L353" s="8"/>
      <c r="M353" s="15">
        <v>20.0</v>
      </c>
      <c r="N353" s="8"/>
      <c r="O353" s="8"/>
      <c r="P353" s="31"/>
      <c r="Q353" s="4"/>
      <c r="R353" s="4"/>
      <c r="S353" s="4"/>
      <c r="T353" s="4"/>
      <c r="U353" s="4"/>
      <c r="V353" s="4"/>
      <c r="W353" s="4"/>
      <c r="X353" s="4"/>
      <c r="Y353" s="4"/>
    </row>
    <row r="354">
      <c r="A354" s="5" t="s">
        <v>916</v>
      </c>
      <c r="B354" s="6">
        <v>1873.0</v>
      </c>
      <c r="C354" s="6" t="b">
        <v>0</v>
      </c>
      <c r="D354" s="8" t="str">
        <f>IFERROR(__xludf.DUMMYFUNCTION("GOOGLETRANSLATE(A354,""ar"", ""en"")"),"Green wood Turkish Versalite face 80*80")</f>
        <v>Green wood Turkish Versalite face 80*80</v>
      </c>
      <c r="E354" s="5" t="s">
        <v>917</v>
      </c>
      <c r="F354" s="9" t="s">
        <v>27</v>
      </c>
      <c r="G354" s="9" t="s">
        <v>18</v>
      </c>
      <c r="H354" s="27" t="s">
        <v>98</v>
      </c>
      <c r="I354" s="54"/>
      <c r="J354" s="29"/>
      <c r="K354" s="11" t="s">
        <v>862</v>
      </c>
      <c r="L354" s="8"/>
      <c r="M354" s="12">
        <v>30.0</v>
      </c>
      <c r="N354" s="8"/>
      <c r="O354" s="8"/>
      <c r="P354" s="29"/>
      <c r="Q354" s="4"/>
      <c r="R354" s="4"/>
      <c r="S354" s="4"/>
      <c r="T354" s="4"/>
      <c r="U354" s="4"/>
      <c r="V354" s="4"/>
      <c r="W354" s="4"/>
      <c r="X354" s="4"/>
      <c r="Y354" s="4"/>
    </row>
    <row r="355">
      <c r="A355" s="13" t="s">
        <v>918</v>
      </c>
      <c r="B355" s="6">
        <v>1874.0</v>
      </c>
      <c r="C355" s="6" t="b">
        <v>0</v>
      </c>
      <c r="D355" s="8" t="str">
        <f>IFERROR(__xludf.DUMMYFUNCTION("GOOGLETRANSLATE(A355,""ar"", ""en"")"),"PARKELETTO Turkish Versace Face 80*80")</f>
        <v>PARKELETTO Turkish Versace Face 80*80</v>
      </c>
      <c r="E355" s="13" t="s">
        <v>919</v>
      </c>
      <c r="F355" s="9" t="s">
        <v>27</v>
      </c>
      <c r="G355" s="9" t="s">
        <v>18</v>
      </c>
      <c r="H355" s="27" t="s">
        <v>98</v>
      </c>
      <c r="I355" s="53" t="s">
        <v>920</v>
      </c>
      <c r="J355" s="31"/>
      <c r="K355" s="11" t="s">
        <v>862</v>
      </c>
      <c r="L355" s="8"/>
      <c r="M355" s="15">
        <v>30.0</v>
      </c>
      <c r="N355" s="8"/>
      <c r="O355" s="8"/>
      <c r="P355" s="31"/>
      <c r="Q355" s="4"/>
      <c r="R355" s="4"/>
      <c r="S355" s="4"/>
      <c r="T355" s="4"/>
      <c r="U355" s="4"/>
      <c r="V355" s="4"/>
      <c r="W355" s="4"/>
      <c r="X355" s="4"/>
      <c r="Y355" s="4"/>
    </row>
    <row r="356">
      <c r="A356" s="5" t="s">
        <v>921</v>
      </c>
      <c r="B356" s="6">
        <v>1875.0</v>
      </c>
      <c r="C356" s="7" t="b">
        <v>1</v>
      </c>
      <c r="D356" s="8" t="str">
        <f>IFERROR(__xludf.DUMMYFUNCTION("GOOGLETRANSLATE(A356,""ar"", ""en"")"),"Riviera Turkish Versace Face 80*120")</f>
        <v>Riviera Turkish Versace Face 80*120</v>
      </c>
      <c r="E356" s="5" t="s">
        <v>922</v>
      </c>
      <c r="F356" s="9" t="s">
        <v>27</v>
      </c>
      <c r="G356" s="9" t="s">
        <v>18</v>
      </c>
      <c r="H356" s="27" t="s">
        <v>98</v>
      </c>
      <c r="I356" s="54"/>
      <c r="J356" s="29"/>
      <c r="K356" s="11" t="s">
        <v>862</v>
      </c>
      <c r="L356" s="8"/>
      <c r="M356" s="12">
        <v>24.0</v>
      </c>
      <c r="N356" s="8"/>
      <c r="O356" s="8"/>
      <c r="P356" s="29"/>
      <c r="Q356" s="4"/>
      <c r="R356" s="4"/>
      <c r="S356" s="4"/>
      <c r="T356" s="4"/>
      <c r="U356" s="4"/>
      <c r="V356" s="4"/>
      <c r="W356" s="4"/>
      <c r="X356" s="4"/>
      <c r="Y356" s="4"/>
    </row>
    <row r="357">
      <c r="A357" s="13" t="s">
        <v>923</v>
      </c>
      <c r="B357" s="6">
        <v>1876.0</v>
      </c>
      <c r="C357" s="7" t="b">
        <v>1</v>
      </c>
      <c r="D357" s="8" t="str">
        <f>IFERROR(__xludf.DUMMYFUNCTION("GOOGLETRANSLATE(A357,""ar"", ""en"")"),"Riviera Turkish Versace Face 80*140")</f>
        <v>Riviera Turkish Versace Face 80*140</v>
      </c>
      <c r="E357" s="13" t="s">
        <v>924</v>
      </c>
      <c r="F357" s="9" t="s">
        <v>27</v>
      </c>
      <c r="G357" s="9" t="s">
        <v>18</v>
      </c>
      <c r="H357" s="27" t="s">
        <v>98</v>
      </c>
      <c r="I357" s="54"/>
      <c r="J357" s="31"/>
      <c r="K357" s="11" t="s">
        <v>862</v>
      </c>
      <c r="L357" s="8"/>
      <c r="M357" s="15">
        <v>16.0</v>
      </c>
      <c r="N357" s="8"/>
      <c r="O357" s="8"/>
      <c r="P357" s="31"/>
      <c r="Q357" s="4"/>
      <c r="R357" s="4"/>
      <c r="S357" s="4"/>
      <c r="T357" s="4"/>
      <c r="U357" s="4"/>
      <c r="V357" s="4"/>
      <c r="W357" s="4"/>
      <c r="X357" s="4"/>
      <c r="Y357" s="4"/>
    </row>
    <row r="358">
      <c r="A358" s="5" t="s">
        <v>925</v>
      </c>
      <c r="B358" s="6">
        <v>1877.0</v>
      </c>
      <c r="C358" s="7" t="b">
        <v>1</v>
      </c>
      <c r="D358" s="8" t="str">
        <f>IFERROR(__xludf.DUMMYFUNCTION("GOOGLETRANSLATE(A358,""ar"", ""en"")"),"Riviera Turkish Versace Face 80*80")</f>
        <v>Riviera Turkish Versace Face 80*80</v>
      </c>
      <c r="E358" s="5" t="s">
        <v>926</v>
      </c>
      <c r="F358" s="9" t="s">
        <v>27</v>
      </c>
      <c r="G358" s="9" t="s">
        <v>18</v>
      </c>
      <c r="H358" s="27" t="s">
        <v>98</v>
      </c>
      <c r="I358" s="53" t="s">
        <v>927</v>
      </c>
      <c r="J358" s="29"/>
      <c r="K358" s="11" t="s">
        <v>862</v>
      </c>
      <c r="L358" s="8"/>
      <c r="M358" s="12">
        <v>30.0</v>
      </c>
      <c r="N358" s="8"/>
      <c r="O358" s="8"/>
      <c r="P358" s="29"/>
      <c r="Q358" s="4"/>
      <c r="R358" s="4"/>
      <c r="S358" s="4"/>
      <c r="T358" s="4"/>
      <c r="U358" s="4"/>
      <c r="V358" s="4"/>
      <c r="W358" s="4"/>
      <c r="X358" s="4"/>
      <c r="Y358" s="4"/>
    </row>
    <row r="359">
      <c r="A359" s="36" t="s">
        <v>928</v>
      </c>
      <c r="B359" s="47">
        <v>1878.0</v>
      </c>
      <c r="C359" s="38" t="b">
        <v>1</v>
      </c>
      <c r="D359" s="39" t="str">
        <f>IFERROR(__xludf.DUMMYFUNCTION("GOOGLETRANSLATE(A359,""ar"", ""en"")"),"BIANCO CARAR Turkish Versalite Face 60*60")</f>
        <v>BIANCO CARAR Turkish Versalite Face 60*60</v>
      </c>
      <c r="E359" s="36" t="s">
        <v>929</v>
      </c>
      <c r="F359" s="41" t="s">
        <v>27</v>
      </c>
      <c r="G359" s="41" t="s">
        <v>18</v>
      </c>
      <c r="H359" s="42" t="s">
        <v>98</v>
      </c>
      <c r="I359" s="55"/>
      <c r="J359" s="50"/>
      <c r="K359" s="44" t="s">
        <v>862</v>
      </c>
      <c r="L359" s="39"/>
      <c r="M359" s="45">
        <v>20.0</v>
      </c>
      <c r="N359" s="8"/>
      <c r="O359" s="8"/>
      <c r="P359" s="31"/>
      <c r="Q359" s="4"/>
      <c r="R359" s="4"/>
      <c r="S359" s="4"/>
      <c r="T359" s="4"/>
      <c r="U359" s="4"/>
      <c r="V359" s="4"/>
      <c r="W359" s="4"/>
      <c r="X359" s="4"/>
      <c r="Y359" s="4"/>
    </row>
    <row r="360">
      <c r="A360" s="36" t="s">
        <v>930</v>
      </c>
      <c r="B360" s="47">
        <v>1879.0</v>
      </c>
      <c r="C360" s="38" t="b">
        <v>1</v>
      </c>
      <c r="D360" s="39" t="str">
        <f>IFERROR(__xludf.DUMMYFUNCTION("GOOGLETRANSLATE(A360,""ar"", ""en"")"),"BIANCO CARAR Turkish Versalite Face 60 Round")</f>
        <v>BIANCO CARAR Turkish Versalite Face 60 Round</v>
      </c>
      <c r="E360" s="36" t="s">
        <v>931</v>
      </c>
      <c r="F360" s="41" t="s">
        <v>27</v>
      </c>
      <c r="G360" s="41" t="s">
        <v>18</v>
      </c>
      <c r="H360" s="42" t="s">
        <v>98</v>
      </c>
      <c r="I360" s="56" t="s">
        <v>932</v>
      </c>
      <c r="J360" s="50"/>
      <c r="K360" s="44" t="s">
        <v>862</v>
      </c>
      <c r="L360" s="39"/>
      <c r="M360" s="45">
        <v>24.0</v>
      </c>
      <c r="N360" s="8"/>
      <c r="O360" s="8"/>
      <c r="P360" s="29"/>
      <c r="Q360" s="4"/>
      <c r="R360" s="4"/>
      <c r="S360" s="4"/>
      <c r="T360" s="4"/>
      <c r="U360" s="4"/>
      <c r="V360" s="4"/>
      <c r="W360" s="4"/>
      <c r="X360" s="4"/>
      <c r="Y360" s="4"/>
    </row>
    <row r="361">
      <c r="A361" s="36" t="s">
        <v>933</v>
      </c>
      <c r="B361" s="47">
        <v>1880.0</v>
      </c>
      <c r="C361" s="38" t="b">
        <v>1</v>
      </c>
      <c r="D361" s="39" t="str">
        <f>IFERROR(__xludf.DUMMYFUNCTION("GOOGLETRANSLATE(A361,""ar"", ""en"")"),"BIANCO CARAR Turkish Versalite Face 70*70")</f>
        <v>BIANCO CARAR Turkish Versalite Face 70*70</v>
      </c>
      <c r="E361" s="36" t="s">
        <v>934</v>
      </c>
      <c r="F361" s="41" t="s">
        <v>27</v>
      </c>
      <c r="G361" s="41" t="s">
        <v>18</v>
      </c>
      <c r="H361" s="42" t="s">
        <v>98</v>
      </c>
      <c r="I361" s="38" t="s">
        <v>935</v>
      </c>
      <c r="J361" s="50"/>
      <c r="K361" s="44" t="s">
        <v>862</v>
      </c>
      <c r="L361" s="39"/>
      <c r="M361" s="45">
        <v>24.0</v>
      </c>
      <c r="N361" s="8"/>
      <c r="O361" s="8"/>
      <c r="P361" s="31"/>
      <c r="Q361" s="4"/>
      <c r="R361" s="4"/>
      <c r="S361" s="4"/>
      <c r="T361" s="4"/>
      <c r="U361" s="4"/>
      <c r="V361" s="4"/>
      <c r="W361" s="4"/>
      <c r="X361" s="4"/>
      <c r="Y361" s="4"/>
    </row>
    <row r="362">
      <c r="A362" s="36" t="s">
        <v>936</v>
      </c>
      <c r="B362" s="47">
        <v>1881.0</v>
      </c>
      <c r="C362" s="38" t="b">
        <v>1</v>
      </c>
      <c r="D362" s="39" t="str">
        <f>IFERROR(__xludf.DUMMYFUNCTION("GOOGLETRANSLATE(A362,""ar"", ""en"")"),"BIANCO CARAR Turkish Versalite face 70 round")</f>
        <v>BIANCO CARAR Turkish Versalite face 70 round</v>
      </c>
      <c r="E362" s="36" t="s">
        <v>937</v>
      </c>
      <c r="F362" s="41" t="s">
        <v>27</v>
      </c>
      <c r="G362" s="41" t="s">
        <v>18</v>
      </c>
      <c r="H362" s="42" t="s">
        <v>98</v>
      </c>
      <c r="I362" s="55"/>
      <c r="J362" s="50"/>
      <c r="K362" s="44" t="s">
        <v>862</v>
      </c>
      <c r="L362" s="39"/>
      <c r="M362" s="45">
        <v>14.0</v>
      </c>
      <c r="N362" s="8"/>
      <c r="O362" s="8"/>
      <c r="P362" s="29"/>
      <c r="Q362" s="4"/>
      <c r="R362" s="4"/>
      <c r="S362" s="4"/>
      <c r="T362" s="4"/>
      <c r="U362" s="4"/>
      <c r="V362" s="4"/>
      <c r="W362" s="4"/>
      <c r="X362" s="4"/>
      <c r="Y362" s="4"/>
    </row>
    <row r="363">
      <c r="A363" s="13" t="s">
        <v>938</v>
      </c>
      <c r="B363" s="6">
        <v>1882.0</v>
      </c>
      <c r="C363" s="6" t="b">
        <v>0</v>
      </c>
      <c r="D363" s="8" t="str">
        <f>IFERROR(__xludf.DUMMYFUNCTION("GOOGLETRANSLATE(A363,""ar"", ""en"")"),"BIANCO CARAR Turkish Versalite Face 80*120")</f>
        <v>BIANCO CARAR Turkish Versalite Face 80*120</v>
      </c>
      <c r="E363" s="13" t="s">
        <v>939</v>
      </c>
      <c r="F363" s="9" t="s">
        <v>27</v>
      </c>
      <c r="G363" s="9" t="s">
        <v>18</v>
      </c>
      <c r="H363" s="27" t="s">
        <v>98</v>
      </c>
      <c r="I363" s="54"/>
      <c r="J363" s="31"/>
      <c r="K363" s="11" t="s">
        <v>862</v>
      </c>
      <c r="L363" s="8"/>
      <c r="M363" s="15">
        <v>24.0</v>
      </c>
      <c r="N363" s="8"/>
      <c r="O363" s="8"/>
      <c r="P363" s="31"/>
      <c r="Q363" s="4"/>
      <c r="R363" s="4"/>
      <c r="S363" s="4"/>
      <c r="T363" s="4"/>
      <c r="U363" s="4"/>
      <c r="V363" s="4"/>
      <c r="W363" s="4"/>
      <c r="X363" s="4"/>
      <c r="Y363" s="4"/>
    </row>
    <row r="364">
      <c r="A364" s="5" t="s">
        <v>940</v>
      </c>
      <c r="B364" s="6">
        <v>1883.0</v>
      </c>
      <c r="C364" s="6" t="b">
        <v>0</v>
      </c>
      <c r="D364" s="8" t="str">
        <f>IFERROR(__xludf.DUMMYFUNCTION("GOOGLETRANSLATE(A364,""ar"", ""en"")"),"BIANCO CARAR Turkish Versalite Face 80*140")</f>
        <v>BIANCO CARAR Turkish Versalite Face 80*140</v>
      </c>
      <c r="E364" s="5" t="s">
        <v>941</v>
      </c>
      <c r="F364" s="9" t="s">
        <v>27</v>
      </c>
      <c r="G364" s="9" t="s">
        <v>18</v>
      </c>
      <c r="H364" s="27" t="s">
        <v>98</v>
      </c>
      <c r="I364" s="54"/>
      <c r="J364" s="29"/>
      <c r="K364" s="11" t="s">
        <v>862</v>
      </c>
      <c r="L364" s="8"/>
      <c r="M364" s="12">
        <v>20.0</v>
      </c>
      <c r="N364" s="8"/>
      <c r="O364" s="8"/>
      <c r="P364" s="29"/>
      <c r="Q364" s="4"/>
      <c r="R364" s="4"/>
      <c r="S364" s="4"/>
      <c r="T364" s="4"/>
      <c r="U364" s="4"/>
      <c r="V364" s="4"/>
      <c r="W364" s="4"/>
      <c r="X364" s="4"/>
      <c r="Y364" s="4"/>
    </row>
    <row r="365">
      <c r="A365" s="36" t="s">
        <v>942</v>
      </c>
      <c r="B365" s="47">
        <v>1884.0</v>
      </c>
      <c r="C365" s="38" t="b">
        <v>1</v>
      </c>
      <c r="D365" s="39" t="str">
        <f>IFERROR(__xludf.DUMMYFUNCTION("GOOGLETRANSLATE(A365,""ar"", ""en"")"),"BIANCO CARAR Turkish Versalite Face 80*80")</f>
        <v>BIANCO CARAR Turkish Versalite Face 80*80</v>
      </c>
      <c r="E365" s="36" t="s">
        <v>943</v>
      </c>
      <c r="F365" s="41" t="s">
        <v>27</v>
      </c>
      <c r="G365" s="41" t="s">
        <v>18</v>
      </c>
      <c r="H365" s="42" t="s">
        <v>98</v>
      </c>
      <c r="I365" s="55"/>
      <c r="J365" s="50"/>
      <c r="K365" s="44" t="s">
        <v>862</v>
      </c>
      <c r="L365" s="39"/>
      <c r="M365" s="45">
        <v>30.0</v>
      </c>
      <c r="N365" s="8"/>
      <c r="O365" s="8"/>
      <c r="P365" s="31"/>
      <c r="Q365" s="4"/>
      <c r="R365" s="4"/>
      <c r="S365" s="4"/>
      <c r="T365" s="4"/>
      <c r="U365" s="4"/>
      <c r="V365" s="4"/>
      <c r="W365" s="4"/>
      <c r="X365" s="4"/>
      <c r="Y365" s="4"/>
    </row>
    <row r="366">
      <c r="A366" s="36" t="s">
        <v>944</v>
      </c>
      <c r="B366" s="47">
        <v>1885.0</v>
      </c>
      <c r="C366" s="38" t="b">
        <v>1</v>
      </c>
      <c r="D366" s="39" t="str">
        <f>IFERROR(__xludf.DUMMYFUNCTION("GOOGLETRANSLATE(A366,""ar"", ""en"")"),"BIANCO CARAR Turkish Versalite Face 80 Round")</f>
        <v>BIANCO CARAR Turkish Versalite Face 80 Round</v>
      </c>
      <c r="E366" s="36" t="s">
        <v>945</v>
      </c>
      <c r="F366" s="41" t="s">
        <v>27</v>
      </c>
      <c r="G366" s="41" t="s">
        <v>18</v>
      </c>
      <c r="H366" s="42" t="s">
        <v>98</v>
      </c>
      <c r="I366" s="55"/>
      <c r="J366" s="50"/>
      <c r="K366" s="44" t="s">
        <v>862</v>
      </c>
      <c r="L366" s="39"/>
      <c r="M366" s="45">
        <v>14.0</v>
      </c>
      <c r="N366" s="8"/>
      <c r="O366" s="8"/>
      <c r="P366" s="29"/>
      <c r="Q366" s="4"/>
      <c r="R366" s="4"/>
      <c r="S366" s="4"/>
      <c r="T366" s="4"/>
      <c r="U366" s="4"/>
      <c r="V366" s="4"/>
      <c r="W366" s="4"/>
      <c r="X366" s="4"/>
      <c r="Y366" s="4"/>
    </row>
    <row r="367">
      <c r="A367" s="36" t="s">
        <v>946</v>
      </c>
      <c r="B367" s="47">
        <v>1886.0</v>
      </c>
      <c r="C367" s="38" t="b">
        <v>1</v>
      </c>
      <c r="D367" s="39" t="str">
        <f>IFERROR(__xludf.DUMMYFUNCTION("GOOGLETRANSLATE(A367,""ar"", ""en"")"),"BIANCO CARAR Turkish Versalite face 90 round")</f>
        <v>BIANCO CARAR Turkish Versalite face 90 round</v>
      </c>
      <c r="E367" s="36" t="s">
        <v>947</v>
      </c>
      <c r="F367" s="41" t="s">
        <v>27</v>
      </c>
      <c r="G367" s="41" t="s">
        <v>18</v>
      </c>
      <c r="H367" s="42" t="s">
        <v>98</v>
      </c>
      <c r="I367" s="55"/>
      <c r="J367" s="50"/>
      <c r="K367" s="44" t="s">
        <v>862</v>
      </c>
      <c r="L367" s="39"/>
      <c r="M367" s="45">
        <v>20.0</v>
      </c>
      <c r="N367" s="8"/>
      <c r="O367" s="8"/>
      <c r="P367" s="31"/>
      <c r="Q367" s="4"/>
      <c r="R367" s="4"/>
      <c r="S367" s="4"/>
      <c r="T367" s="4"/>
      <c r="U367" s="4"/>
      <c r="V367" s="4"/>
      <c r="W367" s="4"/>
      <c r="X367" s="4"/>
      <c r="Y367" s="4"/>
    </row>
    <row r="368">
      <c r="A368" s="36" t="s">
        <v>948</v>
      </c>
      <c r="B368" s="47">
        <v>1887.0</v>
      </c>
      <c r="C368" s="38" t="b">
        <v>1</v>
      </c>
      <c r="D368" s="39" t="str">
        <f>IFERROR(__xludf.DUMMYFUNCTION("GOOGLETRANSLATE(A368,""ar"", ""en"")"),"ROYAL MARBLE Turkish Versalite Face 60*60")</f>
        <v>ROYAL MARBLE Turkish Versalite Face 60*60</v>
      </c>
      <c r="E368" s="36" t="s">
        <v>949</v>
      </c>
      <c r="F368" s="41" t="s">
        <v>27</v>
      </c>
      <c r="G368" s="41" t="s">
        <v>18</v>
      </c>
      <c r="H368" s="42" t="s">
        <v>98</v>
      </c>
      <c r="I368" s="55"/>
      <c r="J368" s="50"/>
      <c r="K368" s="44" t="s">
        <v>862</v>
      </c>
      <c r="L368" s="39"/>
      <c r="M368" s="45">
        <v>20.0</v>
      </c>
      <c r="N368" s="8"/>
      <c r="O368" s="8"/>
      <c r="P368" s="29"/>
      <c r="Q368" s="4"/>
      <c r="R368" s="4"/>
      <c r="S368" s="4"/>
      <c r="T368" s="4"/>
      <c r="U368" s="4"/>
      <c r="V368" s="4"/>
      <c r="W368" s="4"/>
      <c r="X368" s="4"/>
      <c r="Y368" s="4"/>
    </row>
    <row r="369">
      <c r="A369" s="36" t="s">
        <v>950</v>
      </c>
      <c r="B369" s="47">
        <v>1888.0</v>
      </c>
      <c r="C369" s="38" t="b">
        <v>1</v>
      </c>
      <c r="D369" s="39" t="str">
        <f>IFERROR(__xludf.DUMMYFUNCTION("GOOGLETRANSLATE(A369,""ar"", ""en"")"),"ROYAL MARBLE 60mm round Turkish Versalite face")</f>
        <v>ROYAL MARBLE 60mm round Turkish Versalite face</v>
      </c>
      <c r="E369" s="36" t="s">
        <v>951</v>
      </c>
      <c r="F369" s="41" t="s">
        <v>27</v>
      </c>
      <c r="G369" s="41" t="s">
        <v>18</v>
      </c>
      <c r="H369" s="42" t="s">
        <v>98</v>
      </c>
      <c r="I369" s="55"/>
      <c r="J369" s="50"/>
      <c r="K369" s="44" t="s">
        <v>862</v>
      </c>
      <c r="L369" s="39"/>
      <c r="M369" s="45">
        <v>19.0</v>
      </c>
      <c r="N369" s="8"/>
      <c r="O369" s="8"/>
      <c r="P369" s="31"/>
      <c r="Q369" s="4"/>
      <c r="R369" s="4"/>
      <c r="S369" s="4"/>
      <c r="T369" s="4"/>
      <c r="U369" s="4"/>
      <c r="V369" s="4"/>
      <c r="W369" s="4"/>
      <c r="X369" s="4"/>
      <c r="Y369" s="4"/>
    </row>
    <row r="370">
      <c r="A370" s="5" t="s">
        <v>952</v>
      </c>
      <c r="B370" s="6">
        <v>1889.0</v>
      </c>
      <c r="C370" s="6" t="b">
        <v>0</v>
      </c>
      <c r="D370" s="8" t="str">
        <f>IFERROR(__xludf.DUMMYFUNCTION("GOOGLETRANSLATE(A370,""ar"", ""en"")"),"ROYAL MARBLE Turkish Versalite Face 70*120")</f>
        <v>ROYAL MARBLE Turkish Versalite Face 70*120</v>
      </c>
      <c r="E370" s="5" t="s">
        <v>953</v>
      </c>
      <c r="F370" s="9" t="s">
        <v>27</v>
      </c>
      <c r="G370" s="9" t="s">
        <v>18</v>
      </c>
      <c r="H370" s="27" t="s">
        <v>98</v>
      </c>
      <c r="I370" s="54"/>
      <c r="J370" s="29"/>
      <c r="K370" s="11" t="s">
        <v>862</v>
      </c>
      <c r="L370" s="8"/>
      <c r="M370" s="12">
        <v>20.0</v>
      </c>
      <c r="N370" s="8"/>
      <c r="O370" s="8"/>
      <c r="P370" s="29"/>
      <c r="Q370" s="4"/>
      <c r="R370" s="4"/>
      <c r="S370" s="4"/>
      <c r="T370" s="4"/>
      <c r="U370" s="4"/>
      <c r="V370" s="4"/>
      <c r="W370" s="4"/>
      <c r="X370" s="4"/>
      <c r="Y370" s="4"/>
    </row>
    <row r="371">
      <c r="A371" s="36" t="s">
        <v>954</v>
      </c>
      <c r="B371" s="47">
        <v>1890.0</v>
      </c>
      <c r="C371" s="38" t="b">
        <v>1</v>
      </c>
      <c r="D371" s="39" t="str">
        <f>IFERROR(__xludf.DUMMYFUNCTION("GOOGLETRANSLATE(A371,""ar"", ""en"")"),"ROYAL MARBLE Turkish Versalite Face 70*70")</f>
        <v>ROYAL MARBLE Turkish Versalite Face 70*70</v>
      </c>
      <c r="E371" s="36" t="s">
        <v>955</v>
      </c>
      <c r="F371" s="41" t="s">
        <v>27</v>
      </c>
      <c r="G371" s="41" t="s">
        <v>18</v>
      </c>
      <c r="H371" s="42" t="s">
        <v>98</v>
      </c>
      <c r="I371" s="38" t="s">
        <v>956</v>
      </c>
      <c r="J371" s="50"/>
      <c r="K371" s="44" t="s">
        <v>862</v>
      </c>
      <c r="L371" s="39"/>
      <c r="M371" s="45">
        <v>46.0</v>
      </c>
      <c r="N371" s="8"/>
      <c r="O371" s="8"/>
      <c r="P371" s="31"/>
      <c r="Q371" s="4"/>
      <c r="R371" s="4"/>
      <c r="S371" s="4"/>
      <c r="T371" s="4"/>
      <c r="U371" s="4"/>
      <c r="V371" s="4"/>
      <c r="W371" s="4"/>
      <c r="X371" s="4"/>
      <c r="Y371" s="4"/>
    </row>
    <row r="372">
      <c r="A372" s="36" t="s">
        <v>957</v>
      </c>
      <c r="B372" s="47">
        <v>1891.0</v>
      </c>
      <c r="C372" s="38" t="b">
        <v>1</v>
      </c>
      <c r="D372" s="39" t="str">
        <f>IFERROR(__xludf.DUMMYFUNCTION("GOOGLETRANSLATE(A372,""ar"", ""en"")"),"ROYAL MARBLE Turkish Versalite face 70 round")</f>
        <v>ROYAL MARBLE Turkish Versalite face 70 round</v>
      </c>
      <c r="E372" s="36" t="s">
        <v>958</v>
      </c>
      <c r="F372" s="41" t="s">
        <v>27</v>
      </c>
      <c r="G372" s="41" t="s">
        <v>18</v>
      </c>
      <c r="H372" s="42" t="s">
        <v>98</v>
      </c>
      <c r="I372" s="56" t="s">
        <v>959</v>
      </c>
      <c r="J372" s="50"/>
      <c r="K372" s="44" t="s">
        <v>862</v>
      </c>
      <c r="L372" s="39"/>
      <c r="M372" s="45">
        <v>37.0</v>
      </c>
      <c r="N372" s="8"/>
      <c r="O372" s="8"/>
      <c r="P372" s="29"/>
      <c r="Q372" s="4"/>
      <c r="R372" s="4"/>
      <c r="S372" s="4"/>
      <c r="T372" s="4"/>
      <c r="U372" s="4"/>
      <c r="V372" s="4"/>
      <c r="W372" s="4"/>
      <c r="X372" s="4"/>
      <c r="Y372" s="4"/>
    </row>
    <row r="373">
      <c r="A373" s="13" t="s">
        <v>960</v>
      </c>
      <c r="B373" s="6">
        <v>1892.0</v>
      </c>
      <c r="C373" s="6" t="b">
        <v>0</v>
      </c>
      <c r="D373" s="8" t="str">
        <f>IFERROR(__xludf.DUMMYFUNCTION("GOOGLETRANSLATE(A373,""ar"", ""en"")"),"ROYAL MARBLE Turkish Versalite Face 80*120")</f>
        <v>ROYAL MARBLE Turkish Versalite Face 80*120</v>
      </c>
      <c r="E373" s="13" t="s">
        <v>961</v>
      </c>
      <c r="F373" s="9" t="s">
        <v>27</v>
      </c>
      <c r="G373" s="9" t="s">
        <v>18</v>
      </c>
      <c r="H373" s="27" t="s">
        <v>98</v>
      </c>
      <c r="I373" s="54"/>
      <c r="J373" s="31"/>
      <c r="K373" s="11" t="s">
        <v>862</v>
      </c>
      <c r="L373" s="8"/>
      <c r="M373" s="15">
        <v>14.0</v>
      </c>
      <c r="N373" s="8"/>
      <c r="O373" s="8"/>
      <c r="P373" s="31"/>
      <c r="Q373" s="4"/>
      <c r="R373" s="4"/>
      <c r="S373" s="4"/>
      <c r="T373" s="4"/>
      <c r="U373" s="4"/>
      <c r="V373" s="4"/>
      <c r="W373" s="4"/>
      <c r="X373" s="4"/>
      <c r="Y373" s="4"/>
    </row>
    <row r="374">
      <c r="A374" s="5" t="s">
        <v>962</v>
      </c>
      <c r="B374" s="6">
        <v>1893.0</v>
      </c>
      <c r="C374" s="6" t="b">
        <v>0</v>
      </c>
      <c r="D374" s="8" t="str">
        <f>IFERROR(__xludf.DUMMYFUNCTION("GOOGLETRANSLATE(A374,""ar"", ""en"")"),"ROYAL MARBLE Turkish Versalite Face 80*140")</f>
        <v>ROYAL MARBLE Turkish Versalite Face 80*140</v>
      </c>
      <c r="E374" s="5" t="s">
        <v>963</v>
      </c>
      <c r="F374" s="9" t="s">
        <v>27</v>
      </c>
      <c r="G374" s="9" t="s">
        <v>18</v>
      </c>
      <c r="H374" s="27" t="s">
        <v>98</v>
      </c>
      <c r="I374" s="54"/>
      <c r="J374" s="29"/>
      <c r="K374" s="11" t="s">
        <v>862</v>
      </c>
      <c r="L374" s="8"/>
      <c r="M374" s="12">
        <v>20.0</v>
      </c>
      <c r="N374" s="8"/>
      <c r="O374" s="8"/>
      <c r="P374" s="29"/>
      <c r="Q374" s="4"/>
      <c r="R374" s="4"/>
      <c r="S374" s="4"/>
      <c r="T374" s="4"/>
      <c r="U374" s="4"/>
      <c r="V374" s="4"/>
      <c r="W374" s="4"/>
      <c r="X374" s="4"/>
      <c r="Y374" s="4"/>
    </row>
    <row r="375">
      <c r="A375" s="36" t="s">
        <v>964</v>
      </c>
      <c r="B375" s="47">
        <v>1894.0</v>
      </c>
      <c r="C375" s="38" t="b">
        <v>1</v>
      </c>
      <c r="D375" s="39" t="str">
        <f>IFERROR(__xludf.DUMMYFUNCTION("GOOGLETRANSLATE(A375,""ar"", ""en"")"),"ROYAL MARBLE Turkish Versalite Face 80*80")</f>
        <v>ROYAL MARBLE Turkish Versalite Face 80*80</v>
      </c>
      <c r="E375" s="36" t="s">
        <v>965</v>
      </c>
      <c r="F375" s="41" t="s">
        <v>27</v>
      </c>
      <c r="G375" s="41" t="s">
        <v>18</v>
      </c>
      <c r="H375" s="42" t="s">
        <v>98</v>
      </c>
      <c r="I375" s="55"/>
      <c r="J375" s="50"/>
      <c r="K375" s="44" t="s">
        <v>862</v>
      </c>
      <c r="L375" s="39"/>
      <c r="M375" s="45">
        <v>38.0</v>
      </c>
      <c r="N375" s="8"/>
      <c r="O375" s="8"/>
      <c r="P375" s="31"/>
      <c r="Q375" s="4"/>
      <c r="R375" s="4"/>
      <c r="S375" s="4"/>
      <c r="T375" s="4"/>
      <c r="U375" s="4"/>
      <c r="V375" s="4"/>
      <c r="W375" s="4"/>
      <c r="X375" s="4"/>
      <c r="Y375" s="4"/>
    </row>
    <row r="376">
      <c r="A376" s="36" t="s">
        <v>966</v>
      </c>
      <c r="B376" s="47">
        <v>1895.0</v>
      </c>
      <c r="C376" s="38" t="b">
        <v>1</v>
      </c>
      <c r="D376" s="39" t="str">
        <f>IFERROR(__xludf.DUMMYFUNCTION("GOOGLETRANSLATE(A376,""ar"", ""en"")"),"ROYAL MARBLE 80mm round Turkish Versalite face")</f>
        <v>ROYAL MARBLE 80mm round Turkish Versalite face</v>
      </c>
      <c r="E376" s="36" t="s">
        <v>967</v>
      </c>
      <c r="F376" s="41" t="s">
        <v>27</v>
      </c>
      <c r="G376" s="41" t="s">
        <v>18</v>
      </c>
      <c r="H376" s="42" t="s">
        <v>98</v>
      </c>
      <c r="I376" s="55"/>
      <c r="J376" s="50"/>
      <c r="K376" s="57" t="s">
        <v>862</v>
      </c>
      <c r="L376" s="39"/>
      <c r="M376" s="45">
        <v>11.0</v>
      </c>
      <c r="N376" s="8"/>
      <c r="O376" s="8"/>
      <c r="P376" s="29"/>
      <c r="Q376" s="4"/>
      <c r="R376" s="4"/>
      <c r="S376" s="4"/>
      <c r="T376" s="4"/>
      <c r="U376" s="4"/>
      <c r="V376" s="4"/>
      <c r="W376" s="4"/>
      <c r="X376" s="4"/>
      <c r="Y376" s="4"/>
    </row>
    <row r="377">
      <c r="A377" s="36" t="s">
        <v>968</v>
      </c>
      <c r="B377" s="47">
        <v>1896.0</v>
      </c>
      <c r="C377" s="38" t="b">
        <v>1</v>
      </c>
      <c r="D377" s="39" t="str">
        <f>IFERROR(__xludf.DUMMYFUNCTION("GOOGLETRANSLATE(A377,""ar"", ""en"")"),"DUGY Turkish Versalite Face 60*60")</f>
        <v>DUGY Turkish Versalite Face 60*60</v>
      </c>
      <c r="E377" s="36" t="s">
        <v>969</v>
      </c>
      <c r="F377" s="41" t="s">
        <v>27</v>
      </c>
      <c r="G377" s="41" t="s">
        <v>18</v>
      </c>
      <c r="H377" s="42" t="s">
        <v>98</v>
      </c>
      <c r="I377" s="38" t="s">
        <v>970</v>
      </c>
      <c r="J377" s="50"/>
      <c r="K377" s="44" t="s">
        <v>862</v>
      </c>
      <c r="L377" s="39"/>
      <c r="M377" s="45">
        <v>20.0</v>
      </c>
      <c r="N377" s="8"/>
      <c r="O377" s="8"/>
      <c r="P377" s="31"/>
      <c r="Q377" s="4"/>
      <c r="R377" s="4"/>
      <c r="S377" s="4"/>
      <c r="T377" s="4"/>
      <c r="U377" s="4"/>
      <c r="V377" s="4"/>
      <c r="W377" s="4"/>
      <c r="X377" s="4"/>
      <c r="Y377" s="4"/>
    </row>
    <row r="378">
      <c r="A378" s="36" t="s">
        <v>971</v>
      </c>
      <c r="B378" s="47">
        <v>1897.0</v>
      </c>
      <c r="C378" s="38" t="b">
        <v>1</v>
      </c>
      <c r="D378" s="39" t="str">
        <f>IFERROR(__xludf.DUMMYFUNCTION("GOOGLETRANSLATE(A378,""ar"", ""en"")"),"DUGY 60mm round Turkish Versalite face")</f>
        <v>DUGY 60mm round Turkish Versalite face</v>
      </c>
      <c r="E378" s="36" t="s">
        <v>972</v>
      </c>
      <c r="F378" s="41" t="s">
        <v>27</v>
      </c>
      <c r="G378" s="41" t="s">
        <v>18</v>
      </c>
      <c r="H378" s="42" t="s">
        <v>98</v>
      </c>
      <c r="I378" s="56" t="s">
        <v>973</v>
      </c>
      <c r="J378" s="50"/>
      <c r="K378" s="44" t="s">
        <v>862</v>
      </c>
      <c r="L378" s="39"/>
      <c r="M378" s="45">
        <v>20.0</v>
      </c>
      <c r="N378" s="8"/>
      <c r="O378" s="8"/>
      <c r="P378" s="29"/>
      <c r="Q378" s="4"/>
      <c r="R378" s="4"/>
      <c r="S378" s="4"/>
      <c r="T378" s="4"/>
      <c r="U378" s="4"/>
      <c r="V378" s="4"/>
      <c r="W378" s="4"/>
      <c r="X378" s="4"/>
      <c r="Y378" s="4"/>
    </row>
    <row r="379">
      <c r="A379" s="13" t="s">
        <v>974</v>
      </c>
      <c r="B379" s="6">
        <v>1898.0</v>
      </c>
      <c r="C379" s="6" t="b">
        <v>0</v>
      </c>
      <c r="D379" s="8" t="str">
        <f>IFERROR(__xludf.DUMMYFUNCTION("GOOGLETRANSLATE(A379,""ar"", ""en"")"),"DUGY Turkish Versalite Face 70*120")</f>
        <v>DUGY Turkish Versalite Face 70*120</v>
      </c>
      <c r="E379" s="13" t="s">
        <v>975</v>
      </c>
      <c r="F379" s="9" t="s">
        <v>27</v>
      </c>
      <c r="G379" s="9" t="s">
        <v>18</v>
      </c>
      <c r="H379" s="27" t="s">
        <v>98</v>
      </c>
      <c r="I379" s="54"/>
      <c r="J379" s="31"/>
      <c r="K379" s="11" t="s">
        <v>862</v>
      </c>
      <c r="L379" s="8"/>
      <c r="M379" s="15">
        <v>20.0</v>
      </c>
      <c r="N379" s="8"/>
      <c r="O379" s="8"/>
      <c r="P379" s="31"/>
      <c r="Q379" s="4"/>
      <c r="R379" s="4"/>
      <c r="S379" s="4"/>
      <c r="T379" s="4"/>
      <c r="U379" s="4"/>
      <c r="V379" s="4"/>
      <c r="W379" s="4"/>
      <c r="X379" s="4"/>
      <c r="Y379" s="4"/>
    </row>
    <row r="380">
      <c r="A380" s="36" t="s">
        <v>976</v>
      </c>
      <c r="B380" s="47">
        <v>1899.0</v>
      </c>
      <c r="C380" s="38" t="b">
        <v>1</v>
      </c>
      <c r="D380" s="39" t="str">
        <f>IFERROR(__xludf.DUMMYFUNCTION("GOOGLETRANSLATE(A380,""ar"", ""en"")"),"DUGY Turkish Versalite Face 70*70")</f>
        <v>DUGY Turkish Versalite Face 70*70</v>
      </c>
      <c r="E380" s="36" t="s">
        <v>977</v>
      </c>
      <c r="F380" s="41" t="s">
        <v>27</v>
      </c>
      <c r="G380" s="41" t="s">
        <v>18</v>
      </c>
      <c r="H380" s="42" t="s">
        <v>98</v>
      </c>
      <c r="I380" s="55"/>
      <c r="J380" s="50"/>
      <c r="K380" s="44" t="s">
        <v>862</v>
      </c>
      <c r="L380" s="39"/>
      <c r="M380" s="45">
        <v>30.0</v>
      </c>
      <c r="N380" s="8"/>
      <c r="O380" s="8"/>
      <c r="P380" s="29"/>
      <c r="Q380" s="4"/>
      <c r="R380" s="4"/>
      <c r="S380" s="4"/>
      <c r="T380" s="4"/>
      <c r="U380" s="4"/>
      <c r="V380" s="4"/>
      <c r="W380" s="4"/>
      <c r="X380" s="4"/>
      <c r="Y380" s="4"/>
    </row>
    <row r="381">
      <c r="A381" s="36" t="s">
        <v>978</v>
      </c>
      <c r="B381" s="47">
        <v>1900.0</v>
      </c>
      <c r="C381" s="38" t="b">
        <v>1</v>
      </c>
      <c r="D381" s="39" t="str">
        <f>IFERROR(__xludf.DUMMYFUNCTION("GOOGLETRANSLATE(A381,""ar"", ""en"")"),"DUGY 70mm round Turkish Versalite face")</f>
        <v>DUGY 70mm round Turkish Versalite face</v>
      </c>
      <c r="E381" s="36" t="s">
        <v>979</v>
      </c>
      <c r="F381" s="41" t="s">
        <v>27</v>
      </c>
      <c r="G381" s="41" t="s">
        <v>18</v>
      </c>
      <c r="H381" s="42" t="s">
        <v>98</v>
      </c>
      <c r="I381" s="55"/>
      <c r="J381" s="50"/>
      <c r="K381" s="44" t="s">
        <v>862</v>
      </c>
      <c r="L381" s="39"/>
      <c r="M381" s="45">
        <v>24.0</v>
      </c>
      <c r="N381" s="8"/>
      <c r="O381" s="8"/>
      <c r="P381" s="31"/>
      <c r="Q381" s="4"/>
      <c r="R381" s="4"/>
      <c r="S381" s="4"/>
      <c r="T381" s="4"/>
      <c r="U381" s="4"/>
      <c r="V381" s="4"/>
      <c r="W381" s="4"/>
      <c r="X381" s="4"/>
      <c r="Y381" s="4"/>
    </row>
    <row r="382">
      <c r="A382" s="5" t="s">
        <v>980</v>
      </c>
      <c r="B382" s="6">
        <v>1901.0</v>
      </c>
      <c r="C382" s="6" t="b">
        <v>0</v>
      </c>
      <c r="D382" s="8" t="str">
        <f>IFERROR(__xludf.DUMMYFUNCTION("GOOGLETRANSLATE(A382,""ar"", ""en"")"),"DUGY Turkish Versalite Face 80*120")</f>
        <v>DUGY Turkish Versalite Face 80*120</v>
      </c>
      <c r="E382" s="5" t="s">
        <v>981</v>
      </c>
      <c r="F382" s="9" t="s">
        <v>27</v>
      </c>
      <c r="G382" s="9" t="s">
        <v>18</v>
      </c>
      <c r="H382" s="27" t="s">
        <v>98</v>
      </c>
      <c r="I382" s="54"/>
      <c r="J382" s="29"/>
      <c r="K382" s="11" t="s">
        <v>862</v>
      </c>
      <c r="L382" s="8"/>
      <c r="M382" s="12">
        <v>13.0</v>
      </c>
      <c r="N382" s="8"/>
      <c r="O382" s="8"/>
      <c r="P382" s="29"/>
      <c r="Q382" s="4"/>
      <c r="R382" s="4"/>
      <c r="S382" s="4"/>
      <c r="T382" s="4"/>
      <c r="U382" s="4"/>
      <c r="V382" s="4"/>
      <c r="W382" s="4"/>
      <c r="X382" s="4"/>
      <c r="Y382" s="4"/>
    </row>
    <row r="383">
      <c r="A383" s="36" t="s">
        <v>982</v>
      </c>
      <c r="B383" s="47">
        <v>1902.0</v>
      </c>
      <c r="C383" s="38" t="b">
        <v>1</v>
      </c>
      <c r="D383" s="39" t="str">
        <f>IFERROR(__xludf.DUMMYFUNCTION("GOOGLETRANSLATE(A383,""ar"", ""en"")"),"DUGY Turkish Versalite Face 80*80")</f>
        <v>DUGY Turkish Versalite Face 80*80</v>
      </c>
      <c r="E383" s="36" t="s">
        <v>983</v>
      </c>
      <c r="F383" s="41" t="s">
        <v>27</v>
      </c>
      <c r="G383" s="41" t="s">
        <v>18</v>
      </c>
      <c r="H383" s="42" t="s">
        <v>98</v>
      </c>
      <c r="I383" s="55"/>
      <c r="J383" s="50"/>
      <c r="K383" s="44" t="s">
        <v>862</v>
      </c>
      <c r="L383" s="39"/>
      <c r="M383" s="45">
        <v>38.0</v>
      </c>
      <c r="N383" s="8"/>
      <c r="O383" s="8"/>
      <c r="P383" s="31"/>
      <c r="Q383" s="4"/>
      <c r="R383" s="4"/>
      <c r="S383" s="4"/>
      <c r="T383" s="4"/>
      <c r="U383" s="4"/>
      <c r="V383" s="4"/>
      <c r="W383" s="4"/>
      <c r="X383" s="4"/>
      <c r="Y383" s="4"/>
    </row>
    <row r="384">
      <c r="A384" s="36" t="s">
        <v>984</v>
      </c>
      <c r="B384" s="47">
        <v>1903.0</v>
      </c>
      <c r="C384" s="38" t="b">
        <v>1</v>
      </c>
      <c r="D384" s="39" t="str">
        <f>IFERROR(__xludf.DUMMYFUNCTION("GOOGLETRANSLATE(A384,""ar"", ""en"")"),"DUGY 80mm round Turkish Versalite face")</f>
        <v>DUGY 80mm round Turkish Versalite face</v>
      </c>
      <c r="E384" s="36" t="s">
        <v>985</v>
      </c>
      <c r="F384" s="41" t="s">
        <v>27</v>
      </c>
      <c r="G384" s="41" t="s">
        <v>18</v>
      </c>
      <c r="H384" s="42" t="s">
        <v>98</v>
      </c>
      <c r="I384" s="55"/>
      <c r="J384" s="50"/>
      <c r="K384" s="44" t="s">
        <v>862</v>
      </c>
      <c r="L384" s="39"/>
      <c r="M384" s="45">
        <v>24.0</v>
      </c>
      <c r="N384" s="8"/>
      <c r="O384" s="8"/>
      <c r="P384" s="29"/>
      <c r="Q384" s="4"/>
      <c r="R384" s="4"/>
      <c r="S384" s="4"/>
      <c r="T384" s="4"/>
      <c r="U384" s="4"/>
      <c r="V384" s="4"/>
      <c r="W384" s="4"/>
      <c r="X384" s="4"/>
      <c r="Y384" s="4"/>
    </row>
    <row r="385">
      <c r="A385" s="36" t="s">
        <v>986</v>
      </c>
      <c r="B385" s="47">
        <v>1904.0</v>
      </c>
      <c r="C385" s="38" t="b">
        <v>1</v>
      </c>
      <c r="D385" s="39" t="str">
        <f>IFERROR(__xludf.DUMMYFUNCTION("GOOGLETRANSLATE(A385,""ar"", ""en"")"),"DUGY 90' Round Turkish Versalite Face")</f>
        <v>DUGY 90' Round Turkish Versalite Face</v>
      </c>
      <c r="E385" s="36" t="s">
        <v>987</v>
      </c>
      <c r="F385" s="41" t="s">
        <v>27</v>
      </c>
      <c r="G385" s="41" t="s">
        <v>18</v>
      </c>
      <c r="H385" s="42" t="s">
        <v>98</v>
      </c>
      <c r="I385" s="55"/>
      <c r="J385" s="50"/>
      <c r="K385" s="44" t="s">
        <v>862</v>
      </c>
      <c r="L385" s="39"/>
      <c r="M385" s="45">
        <v>11.0</v>
      </c>
      <c r="N385" s="8"/>
      <c r="O385" s="8"/>
      <c r="P385" s="31"/>
      <c r="Q385" s="4"/>
      <c r="R385" s="4"/>
      <c r="S385" s="4"/>
      <c r="T385" s="4"/>
      <c r="U385" s="4"/>
      <c r="V385" s="4"/>
      <c r="W385" s="4"/>
      <c r="X385" s="4"/>
      <c r="Y385" s="4"/>
    </row>
    <row r="386">
      <c r="A386" s="36" t="s">
        <v>988</v>
      </c>
      <c r="B386" s="47">
        <v>1905.0</v>
      </c>
      <c r="C386" s="38" t="b">
        <v>1</v>
      </c>
      <c r="D386" s="39" t="str">
        <f>IFERROR(__xludf.DUMMYFUNCTION("GOOGLETRANSLATE(A386,""ar"", ""en"")"),"DIA 1- Turkish Versalite face 60*60")</f>
        <v>DIA 1- Turkish Versalite face 60*60</v>
      </c>
      <c r="E386" s="36" t="s">
        <v>989</v>
      </c>
      <c r="F386" s="41" t="s">
        <v>27</v>
      </c>
      <c r="G386" s="41" t="s">
        <v>18</v>
      </c>
      <c r="H386" s="42" t="s">
        <v>98</v>
      </c>
      <c r="I386" s="38" t="s">
        <v>990</v>
      </c>
      <c r="J386" s="50"/>
      <c r="K386" s="44" t="s">
        <v>862</v>
      </c>
      <c r="L386" s="39"/>
      <c r="M386" s="45">
        <v>20.0</v>
      </c>
      <c r="N386" s="8"/>
      <c r="O386" s="8"/>
      <c r="P386" s="29"/>
      <c r="Q386" s="4"/>
      <c r="R386" s="4"/>
      <c r="S386" s="4"/>
      <c r="T386" s="4"/>
      <c r="U386" s="4"/>
      <c r="V386" s="4"/>
      <c r="W386" s="4"/>
      <c r="X386" s="4"/>
      <c r="Y386" s="4"/>
    </row>
    <row r="387">
      <c r="A387" s="36" t="s">
        <v>991</v>
      </c>
      <c r="B387" s="47">
        <v>1906.0</v>
      </c>
      <c r="C387" s="38" t="b">
        <v>1</v>
      </c>
      <c r="D387" s="39" t="str">
        <f>IFERROR(__xludf.DUMMYFUNCTION("GOOGLETRANSLATE(A387,""ar"", ""en"")"),"DIA 1- Turkish Versalite face, 60 round")</f>
        <v>DIA 1- Turkish Versalite face, 60 round</v>
      </c>
      <c r="E387" s="36" t="s">
        <v>992</v>
      </c>
      <c r="F387" s="41" t="s">
        <v>27</v>
      </c>
      <c r="G387" s="41" t="s">
        <v>18</v>
      </c>
      <c r="H387" s="42" t="s">
        <v>98</v>
      </c>
      <c r="I387" s="56" t="s">
        <v>993</v>
      </c>
      <c r="J387" s="50"/>
      <c r="K387" s="44" t="s">
        <v>862</v>
      </c>
      <c r="L387" s="39"/>
      <c r="M387" s="45">
        <v>20.0</v>
      </c>
      <c r="N387" s="8"/>
      <c r="O387" s="8"/>
      <c r="P387" s="31"/>
      <c r="Q387" s="4"/>
      <c r="R387" s="4"/>
      <c r="S387" s="4"/>
      <c r="T387" s="4"/>
      <c r="U387" s="4"/>
      <c r="V387" s="4"/>
      <c r="W387" s="4"/>
      <c r="X387" s="4"/>
      <c r="Y387" s="4"/>
    </row>
    <row r="388">
      <c r="A388" s="5" t="s">
        <v>994</v>
      </c>
      <c r="B388" s="6">
        <v>1907.0</v>
      </c>
      <c r="C388" s="6" t="b">
        <v>0</v>
      </c>
      <c r="D388" s="8" t="str">
        <f>IFERROR(__xludf.DUMMYFUNCTION("GOOGLETRANSLATE(A388,""ar"", ""en"")"),"DIA 1-Turkish Versalite Face 70*120")</f>
        <v>DIA 1-Turkish Versalite Face 70*120</v>
      </c>
      <c r="E388" s="33" t="s">
        <v>995</v>
      </c>
      <c r="F388" s="9" t="s">
        <v>27</v>
      </c>
      <c r="G388" s="9" t="s">
        <v>18</v>
      </c>
      <c r="H388" s="27" t="s">
        <v>98</v>
      </c>
      <c r="I388" s="54"/>
      <c r="J388" s="29"/>
      <c r="K388" s="11" t="s">
        <v>862</v>
      </c>
      <c r="L388" s="8"/>
      <c r="M388" s="12">
        <v>20.0</v>
      </c>
      <c r="N388" s="8"/>
      <c r="O388" s="8"/>
      <c r="P388" s="29"/>
      <c r="Q388" s="4"/>
      <c r="R388" s="4"/>
      <c r="S388" s="4"/>
      <c r="T388" s="4"/>
      <c r="U388" s="4"/>
      <c r="V388" s="4"/>
      <c r="W388" s="4"/>
      <c r="X388" s="4"/>
      <c r="Y388" s="4"/>
    </row>
    <row r="389">
      <c r="A389" s="36" t="s">
        <v>996</v>
      </c>
      <c r="B389" s="47">
        <v>1908.0</v>
      </c>
      <c r="C389" s="38" t="b">
        <v>1</v>
      </c>
      <c r="D389" s="39" t="str">
        <f>IFERROR(__xludf.DUMMYFUNCTION("GOOGLETRANSLATE(A389,""ar"", ""en"")"),"DIA 1-Turkish Versalite Face 70*70")</f>
        <v>DIA 1-Turkish Versalite Face 70*70</v>
      </c>
      <c r="E389" s="36" t="s">
        <v>997</v>
      </c>
      <c r="F389" s="41" t="s">
        <v>27</v>
      </c>
      <c r="G389" s="41" t="s">
        <v>18</v>
      </c>
      <c r="H389" s="42" t="s">
        <v>98</v>
      </c>
      <c r="I389" s="55"/>
      <c r="J389" s="50"/>
      <c r="K389" s="44" t="s">
        <v>862</v>
      </c>
      <c r="L389" s="39"/>
      <c r="M389" s="45">
        <v>25.0</v>
      </c>
      <c r="N389" s="8"/>
      <c r="O389" s="8"/>
      <c r="P389" s="31"/>
      <c r="Q389" s="4"/>
      <c r="R389" s="4"/>
      <c r="S389" s="4"/>
      <c r="T389" s="4"/>
      <c r="U389" s="4"/>
      <c r="V389" s="4"/>
      <c r="W389" s="4"/>
      <c r="X389" s="4"/>
      <c r="Y389" s="4"/>
    </row>
    <row r="390">
      <c r="A390" s="36" t="s">
        <v>998</v>
      </c>
      <c r="B390" s="47">
        <v>1909.0</v>
      </c>
      <c r="C390" s="38" t="b">
        <v>1</v>
      </c>
      <c r="D390" s="39" t="str">
        <f>IFERROR(__xludf.DUMMYFUNCTION("GOOGLETRANSLATE(A390,""ar"", ""en"")"),"DIA 1- Turkish Versalite face 70 round")</f>
        <v>DIA 1- Turkish Versalite face 70 round</v>
      </c>
      <c r="E390" s="36" t="s">
        <v>999</v>
      </c>
      <c r="F390" s="41" t="s">
        <v>27</v>
      </c>
      <c r="G390" s="41" t="s">
        <v>18</v>
      </c>
      <c r="H390" s="42" t="s">
        <v>98</v>
      </c>
      <c r="I390" s="55"/>
      <c r="J390" s="50"/>
      <c r="K390" s="44" t="s">
        <v>862</v>
      </c>
      <c r="L390" s="39"/>
      <c r="M390" s="45">
        <v>22.0</v>
      </c>
      <c r="N390" s="8"/>
      <c r="O390" s="8"/>
      <c r="P390" s="29"/>
      <c r="Q390" s="4"/>
      <c r="R390" s="4"/>
      <c r="S390" s="4"/>
      <c r="T390" s="4"/>
      <c r="U390" s="4"/>
      <c r="V390" s="4"/>
      <c r="W390" s="4"/>
      <c r="X390" s="4"/>
      <c r="Y390" s="4"/>
    </row>
    <row r="391">
      <c r="A391" s="13" t="s">
        <v>1000</v>
      </c>
      <c r="B391" s="6">
        <v>1910.0</v>
      </c>
      <c r="C391" s="7" t="b">
        <v>1</v>
      </c>
      <c r="D391" s="8" t="str">
        <f>IFERROR(__xludf.DUMMYFUNCTION("GOOGLETRANSLATE(A391,""ar"", ""en"")"),"DIA 1- Turkish Versalite face 80*120")</f>
        <v>DIA 1- Turkish Versalite face 80*120</v>
      </c>
      <c r="E391" s="32" t="s">
        <v>1001</v>
      </c>
      <c r="F391" s="9" t="s">
        <v>27</v>
      </c>
      <c r="G391" s="9" t="s">
        <v>18</v>
      </c>
      <c r="H391" s="27" t="s">
        <v>98</v>
      </c>
      <c r="I391" s="54"/>
      <c r="J391" s="31"/>
      <c r="K391" s="11" t="s">
        <v>862</v>
      </c>
      <c r="L391" s="8"/>
      <c r="M391" s="15">
        <v>30.0</v>
      </c>
      <c r="N391" s="8"/>
      <c r="O391" s="8"/>
      <c r="P391" s="31"/>
      <c r="Q391" s="4"/>
      <c r="R391" s="4"/>
      <c r="S391" s="4"/>
      <c r="T391" s="4"/>
      <c r="U391" s="4"/>
      <c r="V391" s="4"/>
      <c r="W391" s="4"/>
      <c r="X391" s="4"/>
      <c r="Y391" s="4"/>
    </row>
    <row r="392">
      <c r="A392" s="5" t="s">
        <v>1002</v>
      </c>
      <c r="B392" s="6">
        <v>1911.0</v>
      </c>
      <c r="C392" s="7" t="b">
        <v>1</v>
      </c>
      <c r="D392" s="8" t="str">
        <f>IFERROR(__xludf.DUMMYFUNCTION("GOOGLETRANSLATE(A392,""ar"", ""en"")"),"DIA 1 - Turkish Versalite Face 80*140")</f>
        <v>DIA 1 - Turkish Versalite Face 80*140</v>
      </c>
      <c r="E392" s="33" t="s">
        <v>1003</v>
      </c>
      <c r="F392" s="9" t="s">
        <v>27</v>
      </c>
      <c r="G392" s="9" t="s">
        <v>18</v>
      </c>
      <c r="H392" s="27" t="s">
        <v>98</v>
      </c>
      <c r="I392" s="54"/>
      <c r="J392" s="29"/>
      <c r="K392" s="11" t="s">
        <v>862</v>
      </c>
      <c r="L392" s="8"/>
      <c r="M392" s="12">
        <v>20.0</v>
      </c>
      <c r="N392" s="8"/>
      <c r="O392" s="8"/>
      <c r="P392" s="29"/>
      <c r="Q392" s="4"/>
      <c r="R392" s="4"/>
      <c r="S392" s="4"/>
      <c r="T392" s="4"/>
      <c r="U392" s="4"/>
      <c r="V392" s="4"/>
      <c r="W392" s="4"/>
      <c r="X392" s="4"/>
      <c r="Y392" s="4"/>
    </row>
    <row r="393">
      <c r="A393" s="36" t="s">
        <v>1004</v>
      </c>
      <c r="B393" s="47">
        <v>1912.0</v>
      </c>
      <c r="C393" s="38" t="b">
        <v>1</v>
      </c>
      <c r="D393" s="39" t="str">
        <f>IFERROR(__xludf.DUMMYFUNCTION("GOOGLETRANSLATE(A393,""ar"", ""en"")"),"DIA 1- Turkish Versalite face 80*80")</f>
        <v>DIA 1- Turkish Versalite face 80*80</v>
      </c>
      <c r="E393" s="36" t="s">
        <v>1005</v>
      </c>
      <c r="F393" s="41" t="s">
        <v>27</v>
      </c>
      <c r="G393" s="41" t="s">
        <v>18</v>
      </c>
      <c r="H393" s="42" t="s">
        <v>98</v>
      </c>
      <c r="I393" s="55"/>
      <c r="J393" s="50"/>
      <c r="K393" s="44" t="s">
        <v>862</v>
      </c>
      <c r="L393" s="39"/>
      <c r="M393" s="45">
        <v>36.0</v>
      </c>
      <c r="N393" s="8"/>
      <c r="O393" s="8"/>
      <c r="P393" s="31"/>
      <c r="Q393" s="4"/>
      <c r="R393" s="4"/>
      <c r="S393" s="4"/>
      <c r="T393" s="4"/>
      <c r="U393" s="4"/>
      <c r="V393" s="4"/>
      <c r="W393" s="4"/>
      <c r="X393" s="4"/>
      <c r="Y393" s="4"/>
    </row>
    <row r="394">
      <c r="A394" s="36" t="s">
        <v>1006</v>
      </c>
      <c r="B394" s="47">
        <v>1913.0</v>
      </c>
      <c r="C394" s="38" t="b">
        <v>1</v>
      </c>
      <c r="D394" s="39" t="str">
        <f>IFERROR(__xludf.DUMMYFUNCTION("GOOGLETRANSLATE(A394,""ar"", ""en"")"),"DIA 1- Turkish Versalite face 80 round")</f>
        <v>DIA 1- Turkish Versalite face 80 round</v>
      </c>
      <c r="E394" s="36" t="s">
        <v>1007</v>
      </c>
      <c r="F394" s="41" t="s">
        <v>27</v>
      </c>
      <c r="G394" s="41" t="s">
        <v>18</v>
      </c>
      <c r="H394" s="42" t="s">
        <v>98</v>
      </c>
      <c r="I394" s="55"/>
      <c r="J394" s="50"/>
      <c r="K394" s="44" t="s">
        <v>862</v>
      </c>
      <c r="L394" s="39"/>
      <c r="M394" s="45">
        <v>24.0</v>
      </c>
      <c r="N394" s="8"/>
      <c r="O394" s="8"/>
      <c r="P394" s="29"/>
      <c r="Q394" s="4"/>
      <c r="R394" s="4"/>
      <c r="S394" s="4"/>
      <c r="T394" s="4"/>
      <c r="U394" s="4"/>
      <c r="V394" s="4"/>
      <c r="W394" s="4"/>
      <c r="X394" s="4"/>
      <c r="Y394" s="4"/>
    </row>
    <row r="395">
      <c r="A395" s="36" t="s">
        <v>1008</v>
      </c>
      <c r="B395" s="47">
        <v>1914.0</v>
      </c>
      <c r="C395" s="38" t="b">
        <v>1</v>
      </c>
      <c r="D395" s="39" t="str">
        <f>IFERROR(__xludf.DUMMYFUNCTION("GOOGLETRANSLATE(A395,""ar"", ""en"")"),"DIA 1- Turkish Versalite face 90 round")</f>
        <v>DIA 1- Turkish Versalite face 90 round</v>
      </c>
      <c r="E395" s="36" t="s">
        <v>1009</v>
      </c>
      <c r="F395" s="41" t="s">
        <v>27</v>
      </c>
      <c r="G395" s="41" t="s">
        <v>18</v>
      </c>
      <c r="H395" s="42" t="s">
        <v>98</v>
      </c>
      <c r="I395" s="55"/>
      <c r="J395" s="50"/>
      <c r="K395" s="44" t="s">
        <v>862</v>
      </c>
      <c r="L395" s="39"/>
      <c r="M395" s="45">
        <v>20.0</v>
      </c>
      <c r="N395" s="8"/>
      <c r="O395" s="8"/>
      <c r="P395" s="31"/>
      <c r="Q395" s="4"/>
      <c r="R395" s="4"/>
      <c r="S395" s="4"/>
      <c r="T395" s="4"/>
      <c r="U395" s="4"/>
      <c r="V395" s="4"/>
      <c r="W395" s="4"/>
      <c r="X395" s="4"/>
      <c r="Y395" s="4"/>
    </row>
    <row r="396">
      <c r="A396" s="36" t="s">
        <v>1010</v>
      </c>
      <c r="B396" s="47">
        <v>1915.0</v>
      </c>
      <c r="C396" s="38" t="b">
        <v>1</v>
      </c>
      <c r="D396" s="39" t="str">
        <f>IFERROR(__xludf.DUMMYFUNCTION("GOOGLETRANSLATE(A396,""ar"", ""en"")"),"DIA 2 Turkish Versalite Face 60*60")</f>
        <v>DIA 2 Turkish Versalite Face 60*60</v>
      </c>
      <c r="E396" s="36" t="s">
        <v>1011</v>
      </c>
      <c r="F396" s="41" t="s">
        <v>27</v>
      </c>
      <c r="G396" s="41" t="s">
        <v>18</v>
      </c>
      <c r="H396" s="42" t="s">
        <v>98</v>
      </c>
      <c r="I396" s="38" t="s">
        <v>1012</v>
      </c>
      <c r="J396" s="50"/>
      <c r="K396" s="44" t="s">
        <v>862</v>
      </c>
      <c r="L396" s="39"/>
      <c r="M396" s="45">
        <v>24.0</v>
      </c>
      <c r="N396" s="8"/>
      <c r="O396" s="8"/>
      <c r="P396" s="29"/>
      <c r="Q396" s="4"/>
      <c r="R396" s="4"/>
      <c r="S396" s="4"/>
      <c r="T396" s="4"/>
      <c r="U396" s="4"/>
      <c r="V396" s="4"/>
      <c r="W396" s="4"/>
      <c r="X396" s="4"/>
      <c r="Y396" s="4"/>
    </row>
    <row r="397">
      <c r="A397" s="36" t="s">
        <v>1013</v>
      </c>
      <c r="B397" s="47">
        <v>1916.0</v>
      </c>
      <c r="C397" s="38" t="b">
        <v>1</v>
      </c>
      <c r="D397" s="39" t="str">
        <f>IFERROR(__xludf.DUMMYFUNCTION("GOOGLETRANSLATE(A397,""ar"", ""en"")"),"DIA 2 Turkish Versalite face 60 round")</f>
        <v>DIA 2 Turkish Versalite face 60 round</v>
      </c>
      <c r="E397" s="36" t="s">
        <v>1014</v>
      </c>
      <c r="F397" s="41" t="s">
        <v>27</v>
      </c>
      <c r="G397" s="41" t="s">
        <v>18</v>
      </c>
      <c r="H397" s="42" t="s">
        <v>98</v>
      </c>
      <c r="I397" s="56" t="s">
        <v>1015</v>
      </c>
      <c r="J397" s="50"/>
      <c r="K397" s="44" t="s">
        <v>862</v>
      </c>
      <c r="L397" s="39"/>
      <c r="M397" s="45">
        <v>20.0</v>
      </c>
      <c r="N397" s="8"/>
      <c r="O397" s="8"/>
      <c r="P397" s="31"/>
      <c r="Q397" s="4"/>
      <c r="R397" s="4"/>
      <c r="S397" s="4"/>
      <c r="T397" s="4"/>
      <c r="U397" s="4"/>
      <c r="V397" s="4"/>
      <c r="W397" s="4"/>
      <c r="X397" s="4"/>
      <c r="Y397" s="4"/>
    </row>
    <row r="398">
      <c r="A398" s="5" t="s">
        <v>1016</v>
      </c>
      <c r="B398" s="6">
        <v>1917.0</v>
      </c>
      <c r="C398" s="6" t="b">
        <v>0</v>
      </c>
      <c r="D398" s="8" t="str">
        <f>IFERROR(__xludf.DUMMYFUNCTION("GOOGLETRANSLATE(A398,""ar"", ""en"")"),"DIA 2 Turkish Versalite Face 70*120")</f>
        <v>DIA 2 Turkish Versalite Face 70*120</v>
      </c>
      <c r="E398" s="5" t="s">
        <v>1017</v>
      </c>
      <c r="F398" s="9" t="s">
        <v>27</v>
      </c>
      <c r="G398" s="9" t="s">
        <v>18</v>
      </c>
      <c r="H398" s="27" t="s">
        <v>98</v>
      </c>
      <c r="I398" s="8"/>
      <c r="J398" s="29"/>
      <c r="K398" s="11" t="s">
        <v>862</v>
      </c>
      <c r="L398" s="8"/>
      <c r="M398" s="12">
        <v>18.0</v>
      </c>
      <c r="N398" s="8"/>
      <c r="O398" s="8"/>
      <c r="P398" s="29"/>
      <c r="Q398" s="4"/>
      <c r="R398" s="4"/>
      <c r="S398" s="4"/>
      <c r="T398" s="4"/>
      <c r="U398" s="4"/>
      <c r="V398" s="4"/>
      <c r="W398" s="4"/>
      <c r="X398" s="4"/>
      <c r="Y398" s="4"/>
    </row>
    <row r="399">
      <c r="A399" s="36" t="s">
        <v>1018</v>
      </c>
      <c r="B399" s="47">
        <v>1918.0</v>
      </c>
      <c r="C399" s="38" t="b">
        <v>1</v>
      </c>
      <c r="D399" s="39" t="str">
        <f>IFERROR(__xludf.DUMMYFUNCTION("GOOGLETRANSLATE(A399,""ar"", ""en"")"),"DIA 2 Turkish Versalite Face 70*70")</f>
        <v>DIA 2 Turkish Versalite Face 70*70</v>
      </c>
      <c r="E399" s="36" t="s">
        <v>1019</v>
      </c>
      <c r="F399" s="41" t="s">
        <v>27</v>
      </c>
      <c r="G399" s="41" t="s">
        <v>18</v>
      </c>
      <c r="H399" s="42" t="s">
        <v>98</v>
      </c>
      <c r="I399" s="39"/>
      <c r="J399" s="50"/>
      <c r="K399" s="44" t="s">
        <v>862</v>
      </c>
      <c r="L399" s="39"/>
      <c r="M399" s="45">
        <v>35.0</v>
      </c>
      <c r="N399" s="8"/>
      <c r="O399" s="8"/>
      <c r="P399" s="31"/>
      <c r="Q399" s="4"/>
      <c r="R399" s="4"/>
      <c r="S399" s="4"/>
      <c r="T399" s="4"/>
      <c r="U399" s="4"/>
      <c r="V399" s="4"/>
      <c r="W399" s="4"/>
      <c r="X399" s="4"/>
      <c r="Y399" s="4"/>
    </row>
    <row r="400">
      <c r="A400" s="36" t="s">
        <v>1020</v>
      </c>
      <c r="B400" s="47">
        <v>1919.0</v>
      </c>
      <c r="C400" s="38" t="b">
        <v>1</v>
      </c>
      <c r="D400" s="39" t="str">
        <f>IFERROR(__xludf.DUMMYFUNCTION("GOOGLETRANSLATE(A400,""ar"", ""en"")"),"DIA 2 Turkish Versalite face 70 round")</f>
        <v>DIA 2 Turkish Versalite face 70 round</v>
      </c>
      <c r="E400" s="36" t="s">
        <v>1021</v>
      </c>
      <c r="F400" s="41" t="s">
        <v>27</v>
      </c>
      <c r="G400" s="41" t="s">
        <v>18</v>
      </c>
      <c r="H400" s="42" t="s">
        <v>98</v>
      </c>
      <c r="I400" s="39"/>
      <c r="J400" s="50"/>
      <c r="K400" s="44" t="s">
        <v>862</v>
      </c>
      <c r="L400" s="39"/>
      <c r="M400" s="45">
        <v>24.0</v>
      </c>
      <c r="N400" s="8"/>
      <c r="O400" s="8"/>
      <c r="P400" s="29"/>
      <c r="Q400" s="4"/>
      <c r="R400" s="4"/>
      <c r="S400" s="4"/>
      <c r="T400" s="4"/>
      <c r="U400" s="4"/>
      <c r="V400" s="4"/>
      <c r="W400" s="4"/>
      <c r="X400" s="4"/>
      <c r="Y400" s="4"/>
    </row>
    <row r="401">
      <c r="A401" s="13" t="s">
        <v>1022</v>
      </c>
      <c r="B401" s="6">
        <v>1920.0</v>
      </c>
      <c r="C401" s="6" t="b">
        <v>0</v>
      </c>
      <c r="D401" s="8" t="str">
        <f>IFERROR(__xludf.DUMMYFUNCTION("GOOGLETRANSLATE(A401,""ar"", ""en"")"),"DIA 2 Turkish Versalite Face 80*120")</f>
        <v>DIA 2 Turkish Versalite Face 80*120</v>
      </c>
      <c r="E401" s="13" t="s">
        <v>1023</v>
      </c>
      <c r="F401" s="9" t="s">
        <v>27</v>
      </c>
      <c r="G401" s="9" t="s">
        <v>18</v>
      </c>
      <c r="H401" s="27" t="s">
        <v>98</v>
      </c>
      <c r="I401" s="8"/>
      <c r="J401" s="31"/>
      <c r="K401" s="11" t="s">
        <v>862</v>
      </c>
      <c r="L401" s="8"/>
      <c r="M401" s="15">
        <v>15.0</v>
      </c>
      <c r="N401" s="8"/>
      <c r="O401" s="8"/>
      <c r="P401" s="31"/>
      <c r="Q401" s="4"/>
      <c r="R401" s="4"/>
      <c r="S401" s="4"/>
      <c r="T401" s="4"/>
      <c r="U401" s="4"/>
      <c r="V401" s="4"/>
      <c r="W401" s="4"/>
      <c r="X401" s="4"/>
      <c r="Y401" s="4"/>
    </row>
    <row r="402">
      <c r="A402" s="5" t="s">
        <v>1024</v>
      </c>
      <c r="B402" s="6">
        <v>1921.0</v>
      </c>
      <c r="C402" s="6" t="b">
        <v>0</v>
      </c>
      <c r="D402" s="8" t="str">
        <f>IFERROR(__xludf.DUMMYFUNCTION("GOOGLETRANSLATE(A402,""ar"", ""en"")"),"DIA 2 Turkish Versalite Face 80*140")</f>
        <v>DIA 2 Turkish Versalite Face 80*140</v>
      </c>
      <c r="E402" s="5" t="s">
        <v>1025</v>
      </c>
      <c r="F402" s="9" t="s">
        <v>27</v>
      </c>
      <c r="G402" s="9" t="s">
        <v>18</v>
      </c>
      <c r="H402" s="27" t="s">
        <v>98</v>
      </c>
      <c r="I402" s="8"/>
      <c r="J402" s="29"/>
      <c r="K402" s="11" t="s">
        <v>862</v>
      </c>
      <c r="L402" s="8"/>
      <c r="M402" s="12">
        <v>20.0</v>
      </c>
      <c r="N402" s="8"/>
      <c r="O402" s="8"/>
      <c r="P402" s="29"/>
      <c r="Q402" s="4"/>
      <c r="R402" s="4"/>
      <c r="S402" s="4"/>
      <c r="T402" s="4"/>
      <c r="U402" s="4"/>
      <c r="V402" s="4"/>
      <c r="W402" s="4"/>
      <c r="X402" s="4"/>
      <c r="Y402" s="4"/>
    </row>
    <row r="403">
      <c r="A403" s="36" t="s">
        <v>1026</v>
      </c>
      <c r="B403" s="47">
        <v>1922.0</v>
      </c>
      <c r="C403" s="38" t="b">
        <v>1</v>
      </c>
      <c r="D403" s="39" t="str">
        <f>IFERROR(__xludf.DUMMYFUNCTION("GOOGLETRANSLATE(A403,""ar"", ""en"")"),"DIA 2 Turkish Versalite Face 80*80")</f>
        <v>DIA 2 Turkish Versalite Face 80*80</v>
      </c>
      <c r="E403" s="36" t="s">
        <v>1027</v>
      </c>
      <c r="F403" s="41" t="s">
        <v>27</v>
      </c>
      <c r="G403" s="41" t="s">
        <v>18</v>
      </c>
      <c r="H403" s="42" t="s">
        <v>98</v>
      </c>
      <c r="I403" s="39"/>
      <c r="J403" s="50"/>
      <c r="K403" s="44" t="s">
        <v>862</v>
      </c>
      <c r="L403" s="39"/>
      <c r="M403" s="45">
        <v>21.0</v>
      </c>
      <c r="N403" s="8"/>
      <c r="O403" s="8"/>
      <c r="P403" s="31"/>
      <c r="Q403" s="4"/>
      <c r="R403" s="4"/>
      <c r="S403" s="4"/>
      <c r="T403" s="4"/>
      <c r="U403" s="4"/>
      <c r="V403" s="4"/>
      <c r="W403" s="4"/>
      <c r="X403" s="4"/>
      <c r="Y403" s="4"/>
    </row>
    <row r="404">
      <c r="A404" s="36" t="s">
        <v>1028</v>
      </c>
      <c r="B404" s="47">
        <v>1923.0</v>
      </c>
      <c r="C404" s="38" t="b">
        <v>1</v>
      </c>
      <c r="D404" s="39" t="str">
        <f>IFERROR(__xludf.DUMMYFUNCTION("GOOGLETRANSLATE(A404,""ar"", ""en"")"),"DIA 2 Turkish Versalite face 80 round")</f>
        <v>DIA 2 Turkish Versalite face 80 round</v>
      </c>
      <c r="E404" s="36" t="s">
        <v>1029</v>
      </c>
      <c r="F404" s="41" t="s">
        <v>27</v>
      </c>
      <c r="G404" s="41" t="s">
        <v>18</v>
      </c>
      <c r="H404" s="42" t="s">
        <v>98</v>
      </c>
      <c r="I404" s="39"/>
      <c r="J404" s="50"/>
      <c r="K404" s="44" t="s">
        <v>862</v>
      </c>
      <c r="L404" s="39"/>
      <c r="M404" s="45">
        <v>24.0</v>
      </c>
      <c r="N404" s="8"/>
      <c r="O404" s="8"/>
      <c r="P404" s="29"/>
      <c r="Q404" s="4"/>
      <c r="R404" s="4"/>
      <c r="S404" s="4"/>
      <c r="T404" s="4"/>
      <c r="U404" s="4"/>
      <c r="V404" s="4"/>
      <c r="W404" s="4"/>
      <c r="X404" s="4"/>
      <c r="Y404" s="4"/>
    </row>
    <row r="405">
      <c r="A405" s="36" t="s">
        <v>1030</v>
      </c>
      <c r="B405" s="47">
        <v>1924.0</v>
      </c>
      <c r="C405" s="38" t="b">
        <v>1</v>
      </c>
      <c r="D405" s="39" t="str">
        <f>IFERROR(__xludf.DUMMYFUNCTION("GOOGLETRANSLATE(A405,""ar"", ""en"")"),"TERAMO Turkish Versalite Face 60*60")</f>
        <v>TERAMO Turkish Versalite Face 60*60</v>
      </c>
      <c r="E405" s="36" t="s">
        <v>1031</v>
      </c>
      <c r="F405" s="41" t="s">
        <v>27</v>
      </c>
      <c r="G405" s="41" t="s">
        <v>18</v>
      </c>
      <c r="H405" s="42" t="s">
        <v>98</v>
      </c>
      <c r="I405" s="38" t="s">
        <v>1032</v>
      </c>
      <c r="J405" s="50"/>
      <c r="K405" s="44" t="s">
        <v>862</v>
      </c>
      <c r="L405" s="39"/>
      <c r="M405" s="45">
        <v>19.0</v>
      </c>
      <c r="N405" s="8"/>
      <c r="O405" s="8"/>
      <c r="P405" s="31"/>
      <c r="Q405" s="4"/>
      <c r="R405" s="4"/>
      <c r="S405" s="4"/>
      <c r="T405" s="4"/>
      <c r="U405" s="4"/>
      <c r="V405" s="4"/>
      <c r="W405" s="4"/>
      <c r="X405" s="4"/>
      <c r="Y405" s="4"/>
    </row>
    <row r="406">
      <c r="A406" s="36" t="s">
        <v>1033</v>
      </c>
      <c r="B406" s="47">
        <v>1925.0</v>
      </c>
      <c r="C406" s="38" t="b">
        <v>1</v>
      </c>
      <c r="D406" s="39" t="str">
        <f>IFERROR(__xludf.DUMMYFUNCTION("GOOGLETRANSLATE(A406,""ar"", ""en"")"),"TERAMO Turkish Versalite Face 60 Round")</f>
        <v>TERAMO Turkish Versalite Face 60 Round</v>
      </c>
      <c r="E406" s="36" t="s">
        <v>1034</v>
      </c>
      <c r="F406" s="41" t="s">
        <v>27</v>
      </c>
      <c r="G406" s="41" t="s">
        <v>18</v>
      </c>
      <c r="H406" s="42" t="s">
        <v>98</v>
      </c>
      <c r="I406" s="56" t="s">
        <v>1035</v>
      </c>
      <c r="J406" s="50"/>
      <c r="K406" s="44" t="s">
        <v>862</v>
      </c>
      <c r="L406" s="39"/>
      <c r="M406" s="45">
        <v>20.0</v>
      </c>
      <c r="N406" s="8"/>
      <c r="O406" s="8"/>
      <c r="P406" s="29"/>
      <c r="Q406" s="4"/>
      <c r="R406" s="4"/>
      <c r="S406" s="4"/>
      <c r="T406" s="4"/>
      <c r="U406" s="4"/>
      <c r="V406" s="4"/>
      <c r="W406" s="4"/>
      <c r="X406" s="4"/>
      <c r="Y406" s="4"/>
    </row>
    <row r="407">
      <c r="A407" s="13" t="s">
        <v>1036</v>
      </c>
      <c r="B407" s="6">
        <v>1926.0</v>
      </c>
      <c r="C407" s="6" t="b">
        <v>0</v>
      </c>
      <c r="D407" s="8" t="str">
        <f>IFERROR(__xludf.DUMMYFUNCTION("GOOGLETRANSLATE(A407,""ar"", ""en"")"),"TERAMO Turkish Versalite Face 70*120")</f>
        <v>TERAMO Turkish Versalite Face 70*120</v>
      </c>
      <c r="E407" s="13" t="s">
        <v>1037</v>
      </c>
      <c r="F407" s="9" t="s">
        <v>27</v>
      </c>
      <c r="G407" s="9" t="s">
        <v>18</v>
      </c>
      <c r="H407" s="27" t="s">
        <v>98</v>
      </c>
      <c r="I407" s="8"/>
      <c r="J407" s="31"/>
      <c r="K407" s="11" t="s">
        <v>862</v>
      </c>
      <c r="L407" s="8"/>
      <c r="M407" s="15">
        <v>20.0</v>
      </c>
      <c r="N407" s="8"/>
      <c r="O407" s="8"/>
      <c r="P407" s="31"/>
      <c r="Q407" s="4"/>
      <c r="R407" s="4"/>
      <c r="S407" s="4"/>
      <c r="T407" s="4"/>
      <c r="U407" s="4"/>
      <c r="V407" s="4"/>
      <c r="W407" s="4"/>
      <c r="X407" s="4"/>
      <c r="Y407" s="4"/>
    </row>
    <row r="408">
      <c r="A408" s="36" t="s">
        <v>1038</v>
      </c>
      <c r="B408" s="47">
        <v>1927.0</v>
      </c>
      <c r="C408" s="38" t="b">
        <v>1</v>
      </c>
      <c r="D408" s="39" t="str">
        <f>IFERROR(__xludf.DUMMYFUNCTION("GOOGLETRANSLATE(A408,""ar"", ""en"")"),"TERAMO Turkish Versalite Face 70*70")</f>
        <v>TERAMO Turkish Versalite Face 70*70</v>
      </c>
      <c r="E408" s="36" t="s">
        <v>1039</v>
      </c>
      <c r="F408" s="41" t="s">
        <v>27</v>
      </c>
      <c r="G408" s="41" t="s">
        <v>18</v>
      </c>
      <c r="H408" s="42" t="s">
        <v>98</v>
      </c>
      <c r="I408" s="39"/>
      <c r="J408" s="50"/>
      <c r="K408" s="44" t="s">
        <v>862</v>
      </c>
      <c r="L408" s="39"/>
      <c r="M408" s="45">
        <v>30.0</v>
      </c>
      <c r="N408" s="8"/>
      <c r="O408" s="8"/>
      <c r="P408" s="29"/>
      <c r="Q408" s="4"/>
      <c r="R408" s="4"/>
      <c r="S408" s="4"/>
      <c r="T408" s="4"/>
      <c r="U408" s="4"/>
      <c r="V408" s="4"/>
      <c r="W408" s="4"/>
      <c r="X408" s="4"/>
      <c r="Y408" s="4"/>
    </row>
    <row r="409">
      <c r="A409" s="36" t="s">
        <v>1040</v>
      </c>
      <c r="B409" s="47">
        <v>1928.0</v>
      </c>
      <c r="C409" s="38" t="b">
        <v>1</v>
      </c>
      <c r="D409" s="39" t="str">
        <f>IFERROR(__xludf.DUMMYFUNCTION("GOOGLETRANSLATE(A409,""ar"", ""en"")"),"TERAMO Turkish Versalite Face 70 Round")</f>
        <v>TERAMO Turkish Versalite Face 70 Round</v>
      </c>
      <c r="E409" s="36" t="s">
        <v>1041</v>
      </c>
      <c r="F409" s="41" t="s">
        <v>27</v>
      </c>
      <c r="G409" s="41" t="s">
        <v>18</v>
      </c>
      <c r="H409" s="42" t="s">
        <v>98</v>
      </c>
      <c r="I409" s="39"/>
      <c r="J409" s="50"/>
      <c r="K409" s="44" t="s">
        <v>862</v>
      </c>
      <c r="L409" s="39"/>
      <c r="M409" s="45">
        <v>24.0</v>
      </c>
      <c r="N409" s="8"/>
      <c r="O409" s="8"/>
      <c r="P409" s="31"/>
      <c r="Q409" s="4"/>
      <c r="R409" s="4"/>
      <c r="S409" s="4"/>
      <c r="T409" s="4"/>
      <c r="U409" s="4"/>
      <c r="V409" s="4"/>
      <c r="W409" s="4"/>
      <c r="X409" s="4"/>
      <c r="Y409" s="4"/>
    </row>
    <row r="410">
      <c r="A410" s="5" t="s">
        <v>1042</v>
      </c>
      <c r="B410" s="6">
        <v>1929.0</v>
      </c>
      <c r="C410" s="6" t="b">
        <v>0</v>
      </c>
      <c r="D410" s="8" t="str">
        <f>IFERROR(__xludf.DUMMYFUNCTION("GOOGLETRANSLATE(A410,""ar"", ""en"")"),"TERAMO Turkish Versalite Face 80*120")</f>
        <v>TERAMO Turkish Versalite Face 80*120</v>
      </c>
      <c r="E410" s="5" t="s">
        <v>1043</v>
      </c>
      <c r="F410" s="9" t="s">
        <v>27</v>
      </c>
      <c r="G410" s="9" t="s">
        <v>18</v>
      </c>
      <c r="H410" s="27" t="s">
        <v>98</v>
      </c>
      <c r="I410" s="8"/>
      <c r="J410" s="29"/>
      <c r="K410" s="11" t="s">
        <v>862</v>
      </c>
      <c r="L410" s="8"/>
      <c r="M410" s="12">
        <v>30.0</v>
      </c>
      <c r="N410" s="8"/>
      <c r="O410" s="8"/>
      <c r="P410" s="29"/>
      <c r="Q410" s="4"/>
      <c r="R410" s="4"/>
      <c r="S410" s="4"/>
      <c r="T410" s="4"/>
      <c r="U410" s="4"/>
      <c r="V410" s="4"/>
      <c r="W410" s="4"/>
      <c r="X410" s="4"/>
      <c r="Y410" s="4"/>
    </row>
    <row r="411">
      <c r="A411" s="36" t="s">
        <v>1044</v>
      </c>
      <c r="B411" s="47">
        <v>1930.0</v>
      </c>
      <c r="C411" s="38" t="b">
        <v>1</v>
      </c>
      <c r="D411" s="39" t="str">
        <f>IFERROR(__xludf.DUMMYFUNCTION("GOOGLETRANSLATE(A411,""ar"", ""en"")"),"TERAMO Turkish Versalite Face 80*80")</f>
        <v>TERAMO Turkish Versalite Face 80*80</v>
      </c>
      <c r="E411" s="36" t="s">
        <v>1045</v>
      </c>
      <c r="F411" s="41" t="s">
        <v>27</v>
      </c>
      <c r="G411" s="41" t="s">
        <v>18</v>
      </c>
      <c r="H411" s="42" t="s">
        <v>98</v>
      </c>
      <c r="I411" s="39"/>
      <c r="J411" s="50"/>
      <c r="K411" s="44" t="s">
        <v>862</v>
      </c>
      <c r="L411" s="39"/>
      <c r="M411" s="45">
        <v>40.0</v>
      </c>
      <c r="N411" s="8"/>
      <c r="O411" s="8"/>
      <c r="P411" s="31"/>
      <c r="Q411" s="4"/>
      <c r="R411" s="4"/>
      <c r="S411" s="4"/>
      <c r="T411" s="4"/>
      <c r="U411" s="4"/>
      <c r="V411" s="4"/>
      <c r="W411" s="4"/>
      <c r="X411" s="4"/>
      <c r="Y411" s="4"/>
    </row>
    <row r="412">
      <c r="A412" s="36" t="s">
        <v>1046</v>
      </c>
      <c r="B412" s="47">
        <v>1931.0</v>
      </c>
      <c r="C412" s="38" t="b">
        <v>1</v>
      </c>
      <c r="D412" s="39" t="str">
        <f>IFERROR(__xludf.DUMMYFUNCTION("GOOGLETRANSLATE(A412,""ar"", ""en"")"),"TERAMO Turkish Versalite Face 80 Round")</f>
        <v>TERAMO Turkish Versalite Face 80 Round</v>
      </c>
      <c r="E412" s="36" t="s">
        <v>1047</v>
      </c>
      <c r="F412" s="41" t="s">
        <v>27</v>
      </c>
      <c r="G412" s="41" t="s">
        <v>18</v>
      </c>
      <c r="H412" s="42" t="s">
        <v>98</v>
      </c>
      <c r="I412" s="39"/>
      <c r="J412" s="50"/>
      <c r="K412" s="44" t="s">
        <v>862</v>
      </c>
      <c r="L412" s="39"/>
      <c r="M412" s="45">
        <v>24.0</v>
      </c>
      <c r="N412" s="8"/>
      <c r="O412" s="8"/>
      <c r="P412" s="29"/>
      <c r="Q412" s="4"/>
      <c r="R412" s="4"/>
      <c r="S412" s="4"/>
      <c r="T412" s="4"/>
      <c r="U412" s="4"/>
      <c r="V412" s="4"/>
      <c r="W412" s="4"/>
      <c r="X412" s="4"/>
      <c r="Y412" s="4"/>
    </row>
    <row r="413">
      <c r="A413" s="36" t="s">
        <v>1048</v>
      </c>
      <c r="B413" s="47">
        <v>1932.0</v>
      </c>
      <c r="C413" s="38" t="b">
        <v>1</v>
      </c>
      <c r="D413" s="39" t="str">
        <f>IFERROR(__xludf.DUMMYFUNCTION("GOOGLETRANSLATE(A413,""ar"", ""en"")"),"TERAMO Turkish Versalite Face 90 Round")</f>
        <v>TERAMO Turkish Versalite Face 90 Round</v>
      </c>
      <c r="E413" s="36" t="s">
        <v>1049</v>
      </c>
      <c r="F413" s="41" t="s">
        <v>27</v>
      </c>
      <c r="G413" s="41" t="s">
        <v>18</v>
      </c>
      <c r="H413" s="42" t="s">
        <v>98</v>
      </c>
      <c r="I413" s="39"/>
      <c r="J413" s="50"/>
      <c r="K413" s="44" t="s">
        <v>862</v>
      </c>
      <c r="L413" s="39"/>
      <c r="M413" s="45">
        <v>20.0</v>
      </c>
      <c r="N413" s="8"/>
      <c r="O413" s="8"/>
      <c r="P413" s="31"/>
      <c r="Q413" s="4"/>
      <c r="R413" s="4"/>
      <c r="S413" s="4"/>
      <c r="T413" s="4"/>
      <c r="U413" s="4"/>
      <c r="V413" s="4"/>
      <c r="W413" s="4"/>
      <c r="X413" s="4"/>
      <c r="Y413" s="4"/>
    </row>
    <row r="414">
      <c r="A414" s="17" t="s">
        <v>1050</v>
      </c>
      <c r="B414" s="18">
        <v>1943.0</v>
      </c>
      <c r="C414" s="19" t="b">
        <v>1</v>
      </c>
      <c r="D414" s="20" t="str">
        <f>IFERROR(__xludf.DUMMYFUNCTION("GOOGLETRANSLATE(A414,""ar"", ""en"")"),"Arabic")</f>
        <v>Arabic</v>
      </c>
      <c r="E414" s="28" t="s">
        <v>1051</v>
      </c>
      <c r="F414" s="9" t="s">
        <v>18</v>
      </c>
      <c r="G414" s="9"/>
      <c r="H414" s="8"/>
      <c r="I414" s="8"/>
      <c r="J414" s="31"/>
      <c r="K414" s="11" t="s">
        <v>1052</v>
      </c>
      <c r="L414" s="8"/>
      <c r="M414" s="15">
        <v>2.0</v>
      </c>
      <c r="N414" s="8"/>
      <c r="O414" s="8"/>
      <c r="P414" s="31"/>
      <c r="Q414" s="4"/>
      <c r="R414" s="4"/>
      <c r="S414" s="4"/>
      <c r="T414" s="4"/>
      <c r="U414" s="4"/>
      <c r="V414" s="4"/>
      <c r="W414" s="4"/>
      <c r="X414" s="4"/>
      <c r="Y414" s="4"/>
    </row>
    <row r="415">
      <c r="A415" s="17" t="s">
        <v>1053</v>
      </c>
      <c r="B415" s="18">
        <v>1952.0</v>
      </c>
      <c r="C415" s="19" t="b">
        <v>1</v>
      </c>
      <c r="D415" s="20" t="str">
        <f>IFERROR(__xludf.DUMMYFUNCTION("GOOGLETRANSLATE(A415,""ar"", ""en"")"),"Manivelle 3m umbrella")</f>
        <v>Manivelle 3m umbrella</v>
      </c>
      <c r="E415" s="28" t="s">
        <v>1054</v>
      </c>
      <c r="F415" s="9" t="s">
        <v>28</v>
      </c>
      <c r="G415" s="9"/>
      <c r="H415" s="16" t="s">
        <v>285</v>
      </c>
      <c r="I415" s="8"/>
      <c r="J415" s="10">
        <v>0.0</v>
      </c>
      <c r="K415" s="11" t="s">
        <v>1055</v>
      </c>
      <c r="L415" s="8"/>
      <c r="M415" s="12">
        <v>3.0</v>
      </c>
      <c r="N415" s="8"/>
      <c r="O415" s="8"/>
      <c r="P415" s="10">
        <v>0.0</v>
      </c>
      <c r="Q415" s="4"/>
      <c r="R415" s="4"/>
      <c r="S415" s="4"/>
      <c r="T415" s="4"/>
      <c r="U415" s="4"/>
      <c r="V415" s="4"/>
      <c r="W415" s="4"/>
      <c r="X415" s="4"/>
      <c r="Y415" s="4"/>
    </row>
    <row r="416">
      <c r="A416" s="17" t="s">
        <v>1056</v>
      </c>
      <c r="B416" s="18">
        <v>1956.0</v>
      </c>
      <c r="C416" s="19" t="b">
        <v>1</v>
      </c>
      <c r="D416" s="20" t="str">
        <f>IFERROR(__xludf.DUMMYFUNCTION("GOOGLETRANSLATE(A416,""ar"", ""en"")"),"350 cm umbrella")</f>
        <v>350 cm umbrella</v>
      </c>
      <c r="E416" s="28" t="s">
        <v>1057</v>
      </c>
      <c r="F416" s="9" t="s">
        <v>28</v>
      </c>
      <c r="G416" s="9"/>
      <c r="H416" s="16" t="s">
        <v>285</v>
      </c>
      <c r="I416" s="8"/>
      <c r="J416" s="10">
        <v>0.0</v>
      </c>
      <c r="K416" s="11" t="s">
        <v>1058</v>
      </c>
      <c r="L416" s="8"/>
      <c r="M416" s="12">
        <v>10.0</v>
      </c>
      <c r="N416" s="8"/>
      <c r="O416" s="8"/>
      <c r="P416" s="10">
        <v>0.0</v>
      </c>
      <c r="Q416" s="4"/>
      <c r="R416" s="4"/>
      <c r="S416" s="4"/>
      <c r="T416" s="4"/>
      <c r="U416" s="4"/>
      <c r="V416" s="4"/>
      <c r="W416" s="4"/>
      <c r="X416" s="4"/>
      <c r="Y416" s="4"/>
    </row>
    <row r="417">
      <c r="A417" s="13" t="s">
        <v>1059</v>
      </c>
      <c r="B417" s="6">
        <v>1957.0</v>
      </c>
      <c r="C417" s="6" t="b">
        <v>0</v>
      </c>
      <c r="D417" s="8" t="str">
        <f>IFERROR(__xludf.DUMMYFUNCTION("GOOGLETRANSLATE(A417,""ar"", ""en"")"),"35 kg marble base")</f>
        <v>35 kg marble base</v>
      </c>
      <c r="E417" s="13" t="s">
        <v>1060</v>
      </c>
      <c r="F417" s="9" t="s">
        <v>28</v>
      </c>
      <c r="G417" s="9"/>
      <c r="H417" s="16" t="s">
        <v>285</v>
      </c>
      <c r="I417" s="8"/>
      <c r="J417" s="31"/>
      <c r="K417" s="11" t="s">
        <v>1061</v>
      </c>
      <c r="L417" s="8"/>
      <c r="M417" s="15">
        <v>131.0</v>
      </c>
      <c r="N417" s="8"/>
      <c r="O417" s="8"/>
      <c r="P417" s="31"/>
      <c r="Q417" s="4"/>
      <c r="R417" s="4"/>
      <c r="S417" s="4"/>
      <c r="T417" s="4"/>
      <c r="U417" s="4"/>
      <c r="V417" s="4"/>
      <c r="W417" s="4"/>
      <c r="X417" s="4"/>
      <c r="Y417" s="4"/>
    </row>
    <row r="418">
      <c r="A418" s="17" t="s">
        <v>1062</v>
      </c>
      <c r="B418" s="18">
        <v>1958.0</v>
      </c>
      <c r="C418" s="19" t="b">
        <v>1</v>
      </c>
      <c r="D418" s="20" t="str">
        <f>IFERROR(__xludf.DUMMYFUNCTION("GOOGLETRANSLATE(A418,""ar"", ""en"")"),"25 kg stone base")</f>
        <v>25 kg stone base</v>
      </c>
      <c r="E418" s="28" t="s">
        <v>1063</v>
      </c>
      <c r="F418" s="9" t="s">
        <v>28</v>
      </c>
      <c r="G418" s="9"/>
      <c r="H418" s="16" t="s">
        <v>285</v>
      </c>
      <c r="I418" s="8"/>
      <c r="J418" s="29"/>
      <c r="K418" s="11" t="s">
        <v>1064</v>
      </c>
      <c r="L418" s="8"/>
      <c r="M418" s="12">
        <v>7.0</v>
      </c>
      <c r="N418" s="8"/>
      <c r="O418" s="8"/>
      <c r="P418" s="29"/>
      <c r="Q418" s="4"/>
      <c r="R418" s="4"/>
      <c r="S418" s="4"/>
      <c r="T418" s="4"/>
      <c r="U418" s="4"/>
      <c r="V418" s="4"/>
      <c r="W418" s="4"/>
      <c r="X418" s="4"/>
      <c r="Y418" s="4"/>
    </row>
    <row r="419">
      <c r="A419" s="17" t="s">
        <v>1065</v>
      </c>
      <c r="B419" s="18">
        <v>1959.0</v>
      </c>
      <c r="C419" s="19" t="b">
        <v>1</v>
      </c>
      <c r="D419" s="20" t="str">
        <f>IFERROR(__xludf.DUMMYFUNCTION("GOOGLETRANSLATE(A419,""ar"", ""en"")"),"MARBLE BASE /2021")</f>
        <v>MARBLE BASE /2021</v>
      </c>
      <c r="E419" s="28" t="s">
        <v>1066</v>
      </c>
      <c r="F419" s="9" t="s">
        <v>28</v>
      </c>
      <c r="G419" s="9"/>
      <c r="H419" s="16" t="s">
        <v>285</v>
      </c>
      <c r="I419" s="8"/>
      <c r="J419" s="31"/>
      <c r="K419" s="11" t="s">
        <v>1067</v>
      </c>
      <c r="L419" s="8"/>
      <c r="M419" s="15">
        <v>108.0</v>
      </c>
      <c r="N419" s="8"/>
      <c r="O419" s="8"/>
      <c r="P419" s="31"/>
      <c r="Q419" s="4"/>
      <c r="R419" s="4"/>
      <c r="S419" s="4"/>
      <c r="T419" s="4"/>
      <c r="U419" s="4"/>
      <c r="V419" s="4"/>
      <c r="W419" s="4"/>
      <c r="X419" s="4"/>
      <c r="Y419" s="4"/>
    </row>
    <row r="420">
      <c r="A420" s="17" t="s">
        <v>1068</v>
      </c>
      <c r="B420" s="18">
        <v>1960.0</v>
      </c>
      <c r="C420" s="19" t="b">
        <v>1</v>
      </c>
      <c r="D420" s="20" t="str">
        <f>IFERROR(__xludf.DUMMYFUNCTION("GOOGLETRANSLATE(A420,""ar"", ""en"")"),"30 kg marble base cabinet")</f>
        <v>30 kg marble base cabinet</v>
      </c>
      <c r="E420" s="28" t="s">
        <v>1069</v>
      </c>
      <c r="F420" s="9" t="s">
        <v>28</v>
      </c>
      <c r="G420" s="9"/>
      <c r="H420" s="16" t="s">
        <v>285</v>
      </c>
      <c r="I420" s="8"/>
      <c r="J420" s="29"/>
      <c r="K420" s="11" t="s">
        <v>1070</v>
      </c>
      <c r="L420" s="8"/>
      <c r="M420" s="12">
        <v>12.0</v>
      </c>
      <c r="N420" s="8"/>
      <c r="O420" s="8"/>
      <c r="P420" s="29"/>
      <c r="Q420" s="4"/>
      <c r="R420" s="4"/>
      <c r="S420" s="4"/>
      <c r="T420" s="4"/>
      <c r="U420" s="4"/>
      <c r="V420" s="4"/>
      <c r="W420" s="4"/>
      <c r="X420" s="4"/>
      <c r="Y420" s="4"/>
    </row>
    <row r="421">
      <c r="A421" s="13" t="s">
        <v>1071</v>
      </c>
      <c r="B421" s="6">
        <v>1961.0</v>
      </c>
      <c r="C421" s="6" t="b">
        <v>0</v>
      </c>
      <c r="D421" s="8" t="str">
        <f>IFERROR(__xludf.DUMMYFUNCTION("GOOGLETRANSLATE(A421,""ar"", ""en"")"),"50 kg concrete base")</f>
        <v>50 kg concrete base</v>
      </c>
      <c r="E421" s="13" t="s">
        <v>1072</v>
      </c>
      <c r="F421" s="9" t="s">
        <v>28</v>
      </c>
      <c r="G421" s="9"/>
      <c r="H421" s="16" t="s">
        <v>285</v>
      </c>
      <c r="I421" s="8"/>
      <c r="J421" s="31"/>
      <c r="K421" s="11" t="s">
        <v>1073</v>
      </c>
      <c r="L421" s="8"/>
      <c r="M421" s="15">
        <v>54.0</v>
      </c>
      <c r="N421" s="8"/>
      <c r="O421" s="8"/>
      <c r="P421" s="31"/>
      <c r="Q421" s="4"/>
      <c r="R421" s="4"/>
      <c r="S421" s="4"/>
      <c r="T421" s="4"/>
      <c r="U421" s="4"/>
      <c r="V421" s="4"/>
      <c r="W421" s="4"/>
      <c r="X421" s="4"/>
      <c r="Y421" s="4"/>
    </row>
    <row r="422">
      <c r="A422" s="5" t="s">
        <v>1074</v>
      </c>
      <c r="B422" s="6">
        <v>1962.0</v>
      </c>
      <c r="C422" s="6" t="b">
        <v>0</v>
      </c>
      <c r="D422" s="8" t="str">
        <f>IFERROR(__xludf.DUMMYFUNCTION("GOOGLETRANSLATE(A422,""ar"", ""en"")"),"solar base")</f>
        <v>solar base</v>
      </c>
      <c r="E422" s="5" t="s">
        <v>1075</v>
      </c>
      <c r="F422" s="9" t="s">
        <v>28</v>
      </c>
      <c r="G422" s="9"/>
      <c r="H422" s="16" t="s">
        <v>285</v>
      </c>
      <c r="I422" s="8"/>
      <c r="J422" s="29"/>
      <c r="K422" s="11" t="s">
        <v>1076</v>
      </c>
      <c r="L422" s="8"/>
      <c r="M422" s="12">
        <v>60.0</v>
      </c>
      <c r="N422" s="8"/>
      <c r="O422" s="8"/>
      <c r="P422" s="29"/>
      <c r="Q422" s="4"/>
      <c r="R422" s="4"/>
      <c r="S422" s="4"/>
      <c r="T422" s="4"/>
      <c r="U422" s="4"/>
      <c r="V422" s="4"/>
      <c r="W422" s="4"/>
      <c r="X422" s="4"/>
      <c r="Y422" s="4"/>
    </row>
    <row r="423">
      <c r="A423" s="13" t="s">
        <v>1077</v>
      </c>
      <c r="B423" s="6">
        <v>1963.0</v>
      </c>
      <c r="C423" s="6" t="b">
        <v>0</v>
      </c>
      <c r="D423" s="8" t="str">
        <f>IFERROR(__xludf.DUMMYFUNCTION("GOOGLETRANSLATE(A423,""ar"", ""en"")"),"Rectangular sun base")</f>
        <v>Rectangular sun base</v>
      </c>
      <c r="E423" s="13" t="s">
        <v>1078</v>
      </c>
      <c r="F423" s="9" t="s">
        <v>28</v>
      </c>
      <c r="G423" s="9"/>
      <c r="H423" s="16" t="s">
        <v>285</v>
      </c>
      <c r="I423" s="8"/>
      <c r="J423" s="31"/>
      <c r="K423" s="11" t="s">
        <v>1079</v>
      </c>
      <c r="L423" s="8"/>
      <c r="M423" s="15">
        <v>98.0</v>
      </c>
      <c r="N423" s="8"/>
      <c r="O423" s="8"/>
      <c r="P423" s="31"/>
      <c r="Q423" s="4"/>
      <c r="R423" s="4"/>
      <c r="S423" s="4"/>
      <c r="T423" s="4"/>
      <c r="U423" s="4"/>
      <c r="V423" s="4"/>
      <c r="W423" s="4"/>
      <c r="X423" s="4"/>
      <c r="Y423" s="4"/>
    </row>
    <row r="424">
      <c r="A424" s="17" t="s">
        <v>1080</v>
      </c>
      <c r="B424" s="18">
        <v>1964.0</v>
      </c>
      <c r="C424" s="19" t="b">
        <v>1</v>
      </c>
      <c r="D424" s="20" t="str">
        <f>IFERROR(__xludf.DUMMYFUNCTION("GOOGLETRANSLATE(A424,""ar"", ""en"")"),"3m round manifold parasol")</f>
        <v>3m round manifold parasol</v>
      </c>
      <c r="E424" s="28" t="s">
        <v>1081</v>
      </c>
      <c r="F424" s="9" t="s">
        <v>28</v>
      </c>
      <c r="G424" s="9"/>
      <c r="H424" s="16" t="s">
        <v>285</v>
      </c>
      <c r="I424" s="8"/>
      <c r="J424" s="29"/>
      <c r="K424" s="11" t="s">
        <v>1082</v>
      </c>
      <c r="L424" s="8"/>
      <c r="M424" s="12">
        <v>11.0</v>
      </c>
      <c r="N424" s="8"/>
      <c r="O424" s="8"/>
      <c r="P424" s="29"/>
      <c r="Q424" s="4"/>
      <c r="R424" s="4"/>
      <c r="S424" s="4"/>
      <c r="T424" s="4"/>
      <c r="U424" s="4"/>
      <c r="V424" s="4"/>
      <c r="W424" s="4"/>
      <c r="X424" s="4"/>
      <c r="Y424" s="4"/>
    </row>
    <row r="425">
      <c r="A425" s="17" t="s">
        <v>1083</v>
      </c>
      <c r="B425" s="18">
        <v>1965.0</v>
      </c>
      <c r="C425" s="19" t="b">
        <v>1</v>
      </c>
      <c r="D425" s="20" t="str">
        <f>IFERROR(__xludf.DUMMYFUNCTION("GOOGLETRANSLATE(A425,""ar"", ""en"")"),"3*3 Manivel umbrella")</f>
        <v>3*3 Manivel umbrella</v>
      </c>
      <c r="E425" s="28" t="s">
        <v>1084</v>
      </c>
      <c r="F425" s="9" t="s">
        <v>28</v>
      </c>
      <c r="G425" s="9"/>
      <c r="H425" s="16" t="s">
        <v>285</v>
      </c>
      <c r="I425" s="8"/>
      <c r="J425" s="31"/>
      <c r="K425" s="11" t="s">
        <v>1085</v>
      </c>
      <c r="L425" s="8"/>
      <c r="M425" s="15">
        <v>6.0</v>
      </c>
      <c r="N425" s="8"/>
      <c r="O425" s="8"/>
      <c r="P425" s="31"/>
      <c r="Q425" s="4"/>
      <c r="R425" s="4"/>
      <c r="S425" s="4"/>
      <c r="T425" s="4"/>
      <c r="U425" s="4"/>
      <c r="V425" s="4"/>
      <c r="W425" s="4"/>
      <c r="X425" s="4"/>
      <c r="Y425" s="4"/>
    </row>
    <row r="426">
      <c r="A426" s="5" t="s">
        <v>1086</v>
      </c>
      <c r="B426" s="6">
        <v>1988.0</v>
      </c>
      <c r="C426" s="6" t="b">
        <v>0</v>
      </c>
      <c r="D426" s="8" t="str">
        <f>IFERROR(__xludf.DUMMYFUNCTION("GOOGLETRANSLATE(A426,""ar"", ""en"")"),"ROMAN 3*3 Elbow Parasol Without Ruffle with Base")</f>
        <v>ROMAN 3*3 Elbow Parasol Without Ruffle with Base</v>
      </c>
      <c r="E426" s="5" t="s">
        <v>1087</v>
      </c>
      <c r="F426" s="9" t="s">
        <v>28</v>
      </c>
      <c r="G426" s="9"/>
      <c r="H426" s="16" t="s">
        <v>285</v>
      </c>
      <c r="I426" s="8"/>
      <c r="J426" s="29"/>
      <c r="K426" s="11" t="s">
        <v>1088</v>
      </c>
      <c r="L426" s="8"/>
      <c r="M426" s="12">
        <v>48.0</v>
      </c>
      <c r="N426" s="8"/>
      <c r="O426" s="8"/>
      <c r="P426" s="29"/>
      <c r="Q426" s="4"/>
      <c r="R426" s="4"/>
      <c r="S426" s="4"/>
      <c r="T426" s="4"/>
      <c r="U426" s="4"/>
      <c r="V426" s="4"/>
      <c r="W426" s="4"/>
      <c r="X426" s="4"/>
      <c r="Y426" s="4"/>
    </row>
    <row r="427">
      <c r="A427" s="5" t="s">
        <v>1089</v>
      </c>
      <c r="B427" s="6">
        <v>1990.0</v>
      </c>
      <c r="C427" s="6" t="b">
        <v>0</v>
      </c>
      <c r="D427" s="8" t="str">
        <f>IFERROR(__xludf.DUMMYFUNCTION("GOOGLETRANSLATE(A427,""ar"", ""en"")"),"SOLAR UMB")</f>
        <v>SOLAR UMB</v>
      </c>
      <c r="E427" s="33" t="s">
        <v>1090</v>
      </c>
      <c r="F427" s="9" t="s">
        <v>28</v>
      </c>
      <c r="G427" s="9"/>
      <c r="H427" s="16" t="s">
        <v>285</v>
      </c>
      <c r="I427" s="8"/>
      <c r="J427" s="29"/>
      <c r="K427" s="11" t="s">
        <v>1091</v>
      </c>
      <c r="L427" s="8"/>
      <c r="M427" s="12">
        <v>2.0</v>
      </c>
      <c r="N427" s="8"/>
      <c r="O427" s="8"/>
      <c r="P427" s="29"/>
      <c r="Q427" s="4"/>
      <c r="R427" s="4"/>
      <c r="S427" s="4"/>
      <c r="T427" s="4"/>
      <c r="U427" s="4"/>
      <c r="V427" s="4"/>
      <c r="W427" s="4"/>
      <c r="X427" s="4"/>
      <c r="Y427" s="4"/>
    </row>
    <row r="428">
      <c r="A428" s="5" t="s">
        <v>1092</v>
      </c>
      <c r="B428" s="6">
        <v>1992.0</v>
      </c>
      <c r="C428" s="6" t="b">
        <v>0</v>
      </c>
      <c r="D428" s="8" t="str">
        <f>IFERROR(__xludf.DUMMYFUNCTION("GOOGLETRANSLATE(A428,""ar"", ""en"")"),"Double Head Umbrella 3m")</f>
        <v>Double Head Umbrella 3m</v>
      </c>
      <c r="E428" s="5" t="s">
        <v>1093</v>
      </c>
      <c r="F428" s="9" t="s">
        <v>28</v>
      </c>
      <c r="G428" s="9"/>
      <c r="H428" s="16" t="s">
        <v>285</v>
      </c>
      <c r="I428" s="8"/>
      <c r="J428" s="29"/>
      <c r="K428" s="11" t="s">
        <v>1094</v>
      </c>
      <c r="L428" s="8"/>
      <c r="M428" s="12">
        <v>11.0</v>
      </c>
      <c r="N428" s="8"/>
      <c r="O428" s="8"/>
      <c r="P428" s="29"/>
      <c r="Q428" s="4"/>
      <c r="R428" s="4"/>
      <c r="S428" s="4"/>
      <c r="T428" s="4"/>
      <c r="U428" s="4"/>
      <c r="V428" s="4"/>
      <c r="W428" s="4"/>
      <c r="X428" s="4"/>
      <c r="Y428" s="4"/>
    </row>
    <row r="429">
      <c r="A429" s="5" t="s">
        <v>1095</v>
      </c>
      <c r="B429" s="6">
        <v>1994.0</v>
      </c>
      <c r="C429" s="6" t="b">
        <v>0</v>
      </c>
      <c r="D429" s="8" t="str">
        <f>IFERROR(__xludf.DUMMYFUNCTION("GOOGLETRANSLATE(A429,""ar"", ""en"")"),"3*3 elbow umbrella with base")</f>
        <v>3*3 elbow umbrella with base</v>
      </c>
      <c r="E429" s="5" t="s">
        <v>1096</v>
      </c>
      <c r="F429" s="9" t="s">
        <v>28</v>
      </c>
      <c r="G429" s="9"/>
      <c r="H429" s="16" t="s">
        <v>285</v>
      </c>
      <c r="I429" s="8"/>
      <c r="J429" s="29"/>
      <c r="K429" s="11" t="s">
        <v>1097</v>
      </c>
      <c r="L429" s="8"/>
      <c r="M429" s="12">
        <v>15.0</v>
      </c>
      <c r="N429" s="8"/>
      <c r="O429" s="8"/>
      <c r="P429" s="29"/>
      <c r="Q429" s="4"/>
      <c r="R429" s="4"/>
      <c r="S429" s="4"/>
      <c r="T429" s="4"/>
      <c r="U429" s="4"/>
      <c r="V429" s="4"/>
      <c r="W429" s="4"/>
      <c r="X429" s="4"/>
      <c r="Y429" s="4"/>
    </row>
    <row r="430">
      <c r="A430" s="13" t="s">
        <v>1098</v>
      </c>
      <c r="B430" s="6">
        <v>1995.0</v>
      </c>
      <c r="C430" s="7" t="b">
        <v>1</v>
      </c>
      <c r="D430" s="8" t="str">
        <f>IFERROR(__xludf.DUMMYFUNCTION("GOOGLETRANSLATE(A430,""ar"", ""en"")"),"Round stone sun base")</f>
        <v>Round stone sun base</v>
      </c>
      <c r="E430" s="13" t="s">
        <v>1099</v>
      </c>
      <c r="F430" s="9" t="s">
        <v>28</v>
      </c>
      <c r="G430" s="9"/>
      <c r="H430" s="16" t="s">
        <v>285</v>
      </c>
      <c r="I430" s="8"/>
      <c r="J430" s="31"/>
      <c r="K430" s="11" t="s">
        <v>1100</v>
      </c>
      <c r="L430" s="8"/>
      <c r="M430" s="15">
        <v>148.0</v>
      </c>
      <c r="N430" s="8"/>
      <c r="O430" s="8"/>
      <c r="P430" s="31"/>
      <c r="Q430" s="4"/>
      <c r="R430" s="4"/>
      <c r="S430" s="4"/>
      <c r="T430" s="4"/>
      <c r="U430" s="4"/>
      <c r="V430" s="4"/>
      <c r="W430" s="4"/>
      <c r="X430" s="4"/>
      <c r="Y430" s="4"/>
    </row>
    <row r="431">
      <c r="A431" s="5" t="s">
        <v>1101</v>
      </c>
      <c r="B431" s="6">
        <v>1996.0</v>
      </c>
      <c r="C431" s="6" t="b">
        <v>0</v>
      </c>
      <c r="D431" s="8" t="str">
        <f>IFERROR(__xludf.DUMMYFUNCTION("GOOGLETRANSLATE(A431,""ar"", ""en"")"),"ROMAN solar base")</f>
        <v>ROMAN solar base</v>
      </c>
      <c r="E431" s="5" t="s">
        <v>1102</v>
      </c>
      <c r="F431" s="9" t="s">
        <v>28</v>
      </c>
      <c r="G431" s="9"/>
      <c r="H431" s="16" t="s">
        <v>285</v>
      </c>
      <c r="I431" s="8"/>
      <c r="J431" s="29"/>
      <c r="K431" s="11" t="s">
        <v>1103</v>
      </c>
      <c r="L431" s="8"/>
      <c r="M431" s="12">
        <v>50.0</v>
      </c>
      <c r="N431" s="8"/>
      <c r="O431" s="8"/>
      <c r="P431" s="29"/>
      <c r="Q431" s="4"/>
      <c r="R431" s="4"/>
      <c r="S431" s="4"/>
      <c r="T431" s="4"/>
      <c r="U431" s="4"/>
      <c r="V431" s="4"/>
      <c r="W431" s="4"/>
      <c r="X431" s="4"/>
      <c r="Y431" s="4"/>
    </row>
    <row r="432">
      <c r="A432" s="13" t="s">
        <v>1104</v>
      </c>
      <c r="B432" s="6">
        <v>1997.0</v>
      </c>
      <c r="C432" s="6" t="b">
        <v>0</v>
      </c>
      <c r="D432" s="8" t="str">
        <f>IFERROR(__xludf.DUMMYFUNCTION("GOOGLETRANSLATE(A432,""ar"", ""en"")"),"270 cm Manivelle parasol")</f>
        <v>270 cm Manivelle parasol</v>
      </c>
      <c r="E432" s="13" t="s">
        <v>1105</v>
      </c>
      <c r="F432" s="9" t="s">
        <v>28</v>
      </c>
      <c r="G432" s="9"/>
      <c r="H432" s="16" t="s">
        <v>285</v>
      </c>
      <c r="I432" s="8"/>
      <c r="J432" s="31"/>
      <c r="K432" s="11" t="s">
        <v>1106</v>
      </c>
      <c r="L432" s="8"/>
      <c r="M432" s="15">
        <v>176.0</v>
      </c>
      <c r="N432" s="8"/>
      <c r="O432" s="8"/>
      <c r="P432" s="31"/>
      <c r="Q432" s="4"/>
      <c r="R432" s="4"/>
      <c r="S432" s="4"/>
      <c r="T432" s="4"/>
      <c r="U432" s="4"/>
      <c r="V432" s="4"/>
      <c r="W432" s="4"/>
      <c r="X432" s="4"/>
      <c r="Y432" s="4"/>
    </row>
    <row r="433">
      <c r="A433" s="5" t="s">
        <v>1107</v>
      </c>
      <c r="B433" s="6">
        <v>1998.0</v>
      </c>
      <c r="C433" s="6" t="b">
        <v>0</v>
      </c>
      <c r="D433" s="8" t="str">
        <f>IFERROR(__xludf.DUMMYFUNCTION("GOOGLETRANSLATE(A433,""ar"", ""en"")"),"270 cm umbrella with base")</f>
        <v>270 cm umbrella with base</v>
      </c>
      <c r="E433" s="5" t="s">
        <v>1108</v>
      </c>
      <c r="F433" s="9" t="s">
        <v>28</v>
      </c>
      <c r="G433" s="9"/>
      <c r="H433" s="16" t="s">
        <v>285</v>
      </c>
      <c r="I433" s="8"/>
      <c r="J433" s="29"/>
      <c r="K433" s="11" t="s">
        <v>1109</v>
      </c>
      <c r="L433" s="8"/>
      <c r="M433" s="12">
        <v>4.0</v>
      </c>
      <c r="N433" s="8"/>
      <c r="O433" s="8"/>
      <c r="P433" s="29"/>
      <c r="Q433" s="4"/>
      <c r="R433" s="4"/>
      <c r="S433" s="4"/>
      <c r="T433" s="4"/>
      <c r="U433" s="4"/>
      <c r="V433" s="4"/>
      <c r="W433" s="4"/>
      <c r="X433" s="4"/>
      <c r="Y433" s="4"/>
    </row>
    <row r="434">
      <c r="A434" s="13" t="s">
        <v>1110</v>
      </c>
      <c r="B434" s="6">
        <v>1999.0</v>
      </c>
      <c r="C434" s="6" t="b">
        <v>0</v>
      </c>
      <c r="D434" s="8" t="str">
        <f>IFERROR(__xludf.DUMMYFUNCTION("GOOGLETRANSLATE(A434,""ar"", ""en"")"),"KAKI-BANANA 3m Round Elbow Parasol with Base")</f>
        <v>KAKI-BANANA 3m Round Elbow Parasol with Base</v>
      </c>
      <c r="E434" s="13" t="s">
        <v>1111</v>
      </c>
      <c r="F434" s="9" t="s">
        <v>28</v>
      </c>
      <c r="G434" s="9"/>
      <c r="H434" s="16" t="s">
        <v>285</v>
      </c>
      <c r="I434" s="8"/>
      <c r="J434" s="31"/>
      <c r="K434" s="11" t="s">
        <v>1112</v>
      </c>
      <c r="L434" s="8"/>
      <c r="M434" s="15">
        <v>65.0</v>
      </c>
      <c r="N434" s="8"/>
      <c r="O434" s="8"/>
      <c r="P434" s="31"/>
      <c r="Q434" s="4"/>
      <c r="R434" s="4"/>
      <c r="S434" s="4"/>
      <c r="T434" s="4"/>
      <c r="U434" s="4"/>
      <c r="V434" s="4"/>
      <c r="W434" s="4"/>
      <c r="X434" s="4"/>
      <c r="Y434" s="4"/>
    </row>
    <row r="435">
      <c r="A435" s="5" t="s">
        <v>1113</v>
      </c>
      <c r="B435" s="6">
        <v>2000.0</v>
      </c>
      <c r="C435" s="6" t="b">
        <v>0</v>
      </c>
      <c r="D435" s="8" t="str">
        <f>IFERROR(__xludf.DUMMYFUNCTION("GOOGLETRANSLATE(A435,""ar"", ""en"")"),"BEIGE-BANANA 3m Round Elbow Parasol with Base")</f>
        <v>BEIGE-BANANA 3m Round Elbow Parasol with Base</v>
      </c>
      <c r="E435" s="33" t="s">
        <v>1114</v>
      </c>
      <c r="F435" s="9" t="s">
        <v>28</v>
      </c>
      <c r="G435" s="9"/>
      <c r="H435" s="16" t="s">
        <v>285</v>
      </c>
      <c r="I435" s="8"/>
      <c r="J435" s="29"/>
      <c r="K435" s="11" t="s">
        <v>1115</v>
      </c>
      <c r="L435" s="8"/>
      <c r="M435" s="12">
        <v>24.0</v>
      </c>
      <c r="N435" s="8"/>
      <c r="O435" s="8"/>
      <c r="P435" s="29"/>
      <c r="Q435" s="4"/>
      <c r="R435" s="4"/>
      <c r="S435" s="4"/>
      <c r="T435" s="4"/>
      <c r="U435" s="4"/>
      <c r="V435" s="4"/>
      <c r="W435" s="4"/>
      <c r="X435" s="4"/>
      <c r="Y435" s="4"/>
    </row>
    <row r="436">
      <c r="A436" s="5" t="s">
        <v>1116</v>
      </c>
      <c r="B436" s="6">
        <v>2002.0</v>
      </c>
      <c r="C436" s="6" t="b">
        <v>0</v>
      </c>
      <c r="D436" s="8" t="str">
        <f>IFERROR(__xludf.DUMMYFUNCTION("GOOGLETRANSLATE(A436,""ar"", ""en"")"),"GREY-BANANA 3m Round Elbow Umbrella with Base")</f>
        <v>GREY-BANANA 3m Round Elbow Umbrella with Base</v>
      </c>
      <c r="E436" s="5" t="s">
        <v>1117</v>
      </c>
      <c r="F436" s="9" t="s">
        <v>28</v>
      </c>
      <c r="G436" s="9"/>
      <c r="H436" s="16" t="s">
        <v>285</v>
      </c>
      <c r="I436" s="8"/>
      <c r="J436" s="29"/>
      <c r="K436" s="11" t="s">
        <v>1118</v>
      </c>
      <c r="L436" s="8"/>
      <c r="M436" s="12">
        <v>11.0</v>
      </c>
      <c r="N436" s="8"/>
      <c r="O436" s="8"/>
      <c r="P436" s="29"/>
      <c r="Q436" s="4"/>
      <c r="R436" s="4"/>
      <c r="S436" s="4"/>
      <c r="T436" s="4"/>
      <c r="U436" s="4"/>
      <c r="V436" s="4"/>
      <c r="W436" s="4"/>
      <c r="X436" s="4"/>
      <c r="Y436" s="4"/>
    </row>
    <row r="437">
      <c r="A437" s="5" t="s">
        <v>1119</v>
      </c>
      <c r="B437" s="6">
        <v>2008.0</v>
      </c>
      <c r="C437" s="6" t="b">
        <v>0</v>
      </c>
      <c r="D437" s="8" t="str">
        <f>IFERROR(__xludf.DUMMYFUNCTION("GOOGLETRANSLATE(A437,""ar"", ""en"")"),"270 cm wooden parasol")</f>
        <v>270 cm wooden parasol</v>
      </c>
      <c r="E437" s="5" t="s">
        <v>1120</v>
      </c>
      <c r="F437" s="9" t="s">
        <v>28</v>
      </c>
      <c r="G437" s="9"/>
      <c r="H437" s="16" t="s">
        <v>285</v>
      </c>
      <c r="I437" s="8"/>
      <c r="J437" s="10">
        <v>2421.92</v>
      </c>
      <c r="K437" s="11" t="s">
        <v>1121</v>
      </c>
      <c r="L437" s="8"/>
      <c r="M437" s="12">
        <v>178.0</v>
      </c>
      <c r="N437" s="8"/>
      <c r="O437" s="8"/>
      <c r="P437" s="10">
        <v>13.61</v>
      </c>
      <c r="Q437" s="4"/>
      <c r="R437" s="4"/>
      <c r="S437" s="4"/>
      <c r="T437" s="4"/>
      <c r="U437" s="4"/>
      <c r="V437" s="4"/>
      <c r="W437" s="4"/>
      <c r="X437" s="4"/>
      <c r="Y437" s="4"/>
    </row>
    <row r="438">
      <c r="A438" s="13" t="s">
        <v>1122</v>
      </c>
      <c r="B438" s="6">
        <v>2009.0</v>
      </c>
      <c r="C438" s="6" t="b">
        <v>0</v>
      </c>
      <c r="D438" s="8" t="str">
        <f>IFERROR(__xludf.DUMMYFUNCTION("GOOGLETRANSLATE(A438,""ar"", ""en"")"),"EXTRA 270 cm umbrella with a manifold pole")</f>
        <v>EXTRA 270 cm umbrella with a manifold pole</v>
      </c>
      <c r="E438" s="13" t="s">
        <v>1123</v>
      </c>
      <c r="F438" s="9" t="s">
        <v>28</v>
      </c>
      <c r="G438" s="9"/>
      <c r="H438" s="16" t="s">
        <v>285</v>
      </c>
      <c r="I438" s="8"/>
      <c r="J438" s="31"/>
      <c r="K438" s="11" t="s">
        <v>1124</v>
      </c>
      <c r="L438" s="8"/>
      <c r="M438" s="15">
        <v>247.0</v>
      </c>
      <c r="N438" s="8"/>
      <c r="O438" s="8"/>
      <c r="P438" s="31"/>
      <c r="Q438" s="4"/>
      <c r="R438" s="4"/>
      <c r="S438" s="4"/>
      <c r="T438" s="4"/>
      <c r="U438" s="4"/>
      <c r="V438" s="4"/>
      <c r="W438" s="4"/>
      <c r="X438" s="4"/>
      <c r="Y438" s="4"/>
    </row>
    <row r="439">
      <c r="A439" s="5" t="s">
        <v>1125</v>
      </c>
      <c r="B439" s="6">
        <v>2010.0</v>
      </c>
      <c r="C439" s="6" t="b">
        <v>0</v>
      </c>
      <c r="D439" s="8" t="str">
        <f>IFERROR(__xludf.DUMMYFUNCTION("GOOGLETRANSLATE(A439,""ar"", ""en"")"),"2*2 heavy duty aluminum umbrella, gray")</f>
        <v>2*2 heavy duty aluminum umbrella, gray</v>
      </c>
      <c r="E439" s="5" t="s">
        <v>1126</v>
      </c>
      <c r="F439" s="9" t="s">
        <v>28</v>
      </c>
      <c r="G439" s="9"/>
      <c r="H439" s="16" t="s">
        <v>285</v>
      </c>
      <c r="I439" s="8"/>
      <c r="J439" s="29"/>
      <c r="K439" s="11" t="s">
        <v>1127</v>
      </c>
      <c r="L439" s="8"/>
      <c r="M439" s="12">
        <v>84.0</v>
      </c>
      <c r="N439" s="8"/>
      <c r="O439" s="8"/>
      <c r="P439" s="29"/>
      <c r="Q439" s="4"/>
      <c r="R439" s="4"/>
      <c r="S439" s="4"/>
      <c r="T439" s="4"/>
      <c r="U439" s="4"/>
      <c r="V439" s="4"/>
      <c r="W439" s="4"/>
      <c r="X439" s="4"/>
      <c r="Y439" s="4"/>
    </row>
    <row r="440">
      <c r="A440" s="13" t="s">
        <v>1128</v>
      </c>
      <c r="B440" s="6">
        <v>2011.0</v>
      </c>
      <c r="C440" s="6" t="b">
        <v>0</v>
      </c>
      <c r="D440" s="8" t="str">
        <f>IFERROR(__xludf.DUMMYFUNCTION("GOOGLETRANSLATE(A440,""ar"", ""en"")"),"3m round heavy duty aluminum umbrella grey")</f>
        <v>3m round heavy duty aluminum umbrella grey</v>
      </c>
      <c r="E440" s="13" t="s">
        <v>1129</v>
      </c>
      <c r="F440" s="9" t="s">
        <v>28</v>
      </c>
      <c r="G440" s="9"/>
      <c r="H440" s="16" t="s">
        <v>285</v>
      </c>
      <c r="I440" s="8"/>
      <c r="J440" s="31"/>
      <c r="K440" s="11" t="s">
        <v>1130</v>
      </c>
      <c r="L440" s="8"/>
      <c r="M440" s="15">
        <v>87.0</v>
      </c>
      <c r="N440" s="8"/>
      <c r="O440" s="8"/>
      <c r="P440" s="31"/>
      <c r="Q440" s="4"/>
      <c r="R440" s="4"/>
      <c r="S440" s="4"/>
      <c r="T440" s="4"/>
      <c r="U440" s="4"/>
      <c r="V440" s="4"/>
      <c r="W440" s="4"/>
      <c r="X440" s="4"/>
      <c r="Y440" s="4"/>
    </row>
    <row r="441">
      <c r="A441" s="5" t="s">
        <v>1131</v>
      </c>
      <c r="B441" s="6">
        <v>2012.0</v>
      </c>
      <c r="C441" s="6" t="b">
        <v>0</v>
      </c>
      <c r="D441" s="8" t="str">
        <f>IFERROR(__xludf.DUMMYFUNCTION("GOOGLETRANSLATE(A441,""ar"", ""en"")"),"Half circle bag")</f>
        <v>Half circle bag</v>
      </c>
      <c r="E441" s="5" t="s">
        <v>1132</v>
      </c>
      <c r="F441" s="9" t="s">
        <v>18</v>
      </c>
      <c r="G441" s="9"/>
      <c r="H441" s="8"/>
      <c r="I441" s="8"/>
      <c r="J441" s="29"/>
      <c r="K441" s="11" t="s">
        <v>1133</v>
      </c>
      <c r="L441" s="8"/>
      <c r="M441" s="12">
        <v>171.0</v>
      </c>
      <c r="N441" s="8"/>
      <c r="O441" s="8"/>
      <c r="P441" s="29"/>
      <c r="Q441" s="4"/>
      <c r="R441" s="4"/>
      <c r="S441" s="4"/>
      <c r="T441" s="4"/>
      <c r="U441" s="4"/>
      <c r="V441" s="4"/>
      <c r="W441" s="4"/>
      <c r="X441" s="4"/>
      <c r="Y441" s="4"/>
    </row>
    <row r="442">
      <c r="A442" s="13" t="s">
        <v>1134</v>
      </c>
      <c r="B442" s="6">
        <v>2013.0</v>
      </c>
      <c r="C442" s="6" t="b">
        <v>0</v>
      </c>
      <c r="D442" s="8" t="str">
        <f>IFERROR(__xludf.DUMMYFUNCTION("GOOGLETRANSLATE(A442,""ar"", ""en"")"),"Futai sea cloth")</f>
        <v>Futai sea cloth</v>
      </c>
      <c r="E442" s="32" t="s">
        <v>1135</v>
      </c>
      <c r="F442" s="9" t="s">
        <v>28</v>
      </c>
      <c r="G442" s="9"/>
      <c r="H442" s="8"/>
      <c r="I442" s="8"/>
      <c r="J442" s="31"/>
      <c r="K442" s="11" t="s">
        <v>1136</v>
      </c>
      <c r="L442" s="8"/>
      <c r="M442" s="15">
        <v>65.0</v>
      </c>
      <c r="N442" s="8"/>
      <c r="O442" s="8"/>
      <c r="P442" s="31"/>
      <c r="Q442" s="4"/>
      <c r="R442" s="4"/>
      <c r="S442" s="4"/>
      <c r="T442" s="4"/>
      <c r="U442" s="4"/>
      <c r="V442" s="4"/>
      <c r="W442" s="4"/>
      <c r="X442" s="4"/>
      <c r="Y442" s="4"/>
    </row>
    <row r="443">
      <c r="A443" s="5" t="s">
        <v>1137</v>
      </c>
      <c r="B443" s="6">
        <v>2014.0</v>
      </c>
      <c r="C443" s="6" t="b">
        <v>0</v>
      </c>
      <c r="D443" s="8" t="str">
        <f>IFERROR(__xludf.DUMMYFUNCTION("GOOGLETRANSLATE(A443,""ar"", ""en"")"),"WTR PRF Futai Bahr")</f>
        <v>WTR PRF Futai Bahr</v>
      </c>
      <c r="E443" s="33" t="s">
        <v>1138</v>
      </c>
      <c r="F443" s="9" t="s">
        <v>28</v>
      </c>
      <c r="G443" s="9"/>
      <c r="H443" s="8"/>
      <c r="I443" s="8"/>
      <c r="J443" s="29"/>
      <c r="K443" s="11" t="s">
        <v>1139</v>
      </c>
      <c r="L443" s="8"/>
      <c r="M443" s="12">
        <v>74.0</v>
      </c>
      <c r="N443" s="8"/>
      <c r="O443" s="8"/>
      <c r="P443" s="29"/>
      <c r="Q443" s="4"/>
      <c r="R443" s="4"/>
      <c r="S443" s="4"/>
      <c r="T443" s="4"/>
      <c r="U443" s="4"/>
      <c r="V443" s="4"/>
      <c r="W443" s="4"/>
      <c r="X443" s="4"/>
      <c r="Y443" s="4"/>
    </row>
    <row r="444">
      <c r="A444" s="13" t="s">
        <v>1140</v>
      </c>
      <c r="B444" s="6">
        <v>2015.0</v>
      </c>
      <c r="C444" s="6" t="b">
        <v>0</v>
      </c>
      <c r="D444" s="8" t="str">
        <f>IFERROR(__xludf.DUMMYFUNCTION("GOOGLETRANSLATE(A444,""ar"", ""en"")"),"Beach chaise longue bag")</f>
        <v>Beach chaise longue bag</v>
      </c>
      <c r="E444" s="32" t="s">
        <v>1141</v>
      </c>
      <c r="F444" s="9" t="s">
        <v>28</v>
      </c>
      <c r="G444" s="9"/>
      <c r="H444" s="8"/>
      <c r="I444" s="8"/>
      <c r="J444" s="31"/>
      <c r="K444" s="11" t="s">
        <v>1142</v>
      </c>
      <c r="L444" s="8"/>
      <c r="M444" s="15">
        <v>42.0</v>
      </c>
      <c r="N444" s="8"/>
      <c r="O444" s="8"/>
      <c r="P444" s="31"/>
      <c r="Q444" s="4"/>
      <c r="R444" s="4"/>
      <c r="S444" s="4"/>
      <c r="T444" s="4"/>
      <c r="U444" s="4"/>
      <c r="V444" s="4"/>
      <c r="W444" s="4"/>
      <c r="X444" s="4"/>
      <c r="Y444" s="4"/>
    </row>
    <row r="445">
      <c r="A445" s="5" t="s">
        <v>1143</v>
      </c>
      <c r="B445" s="6">
        <v>2016.0</v>
      </c>
      <c r="C445" s="6" t="b">
        <v>0</v>
      </c>
      <c r="D445" s="8" t="str">
        <f>IFERROR(__xludf.DUMMYFUNCTION("GOOGLETRANSLATE(A445,""ar"", ""en"")"),"Triangular bag")</f>
        <v>Triangular bag</v>
      </c>
      <c r="E445" s="34" t="s">
        <v>1144</v>
      </c>
      <c r="F445" s="9" t="s">
        <v>18</v>
      </c>
      <c r="G445" s="9"/>
      <c r="H445" s="8"/>
      <c r="I445" s="8"/>
      <c r="J445" s="29"/>
      <c r="K445" s="11" t="s">
        <v>1145</v>
      </c>
      <c r="L445" s="8"/>
      <c r="M445" s="12">
        <v>88.0</v>
      </c>
      <c r="N445" s="8"/>
      <c r="O445" s="8"/>
      <c r="P445" s="29"/>
      <c r="Q445" s="4"/>
      <c r="R445" s="4"/>
      <c r="S445" s="4"/>
      <c r="T445" s="4"/>
      <c r="U445" s="4"/>
      <c r="V445" s="4"/>
      <c r="W445" s="4"/>
      <c r="X445" s="4"/>
      <c r="Y445" s="4"/>
    </row>
    <row r="446">
      <c r="A446" s="13" t="s">
        <v>1146</v>
      </c>
      <c r="B446" s="6">
        <v>2017.0</v>
      </c>
      <c r="C446" s="6" t="b">
        <v>0</v>
      </c>
      <c r="D446" s="8" t="str">
        <f>IFERROR(__xludf.DUMMYFUNCTION("GOOGLETRANSLATE(A446,""ar"", ""en"")"),"balloon bubble")</f>
        <v>balloon bubble</v>
      </c>
      <c r="E446" s="13" t="s">
        <v>1147</v>
      </c>
      <c r="F446" s="9" t="s">
        <v>18</v>
      </c>
      <c r="G446" s="9"/>
      <c r="H446" s="8"/>
      <c r="I446" s="8"/>
      <c r="J446" s="31"/>
      <c r="K446" s="11" t="s">
        <v>1148</v>
      </c>
      <c r="L446" s="8"/>
      <c r="M446" s="15">
        <v>20.0</v>
      </c>
      <c r="N446" s="8"/>
      <c r="O446" s="8"/>
      <c r="P446" s="31"/>
      <c r="Q446" s="4"/>
      <c r="R446" s="4"/>
      <c r="S446" s="4"/>
      <c r="T446" s="4"/>
      <c r="U446" s="4"/>
      <c r="V446" s="4"/>
      <c r="W446" s="4"/>
      <c r="X446" s="4"/>
      <c r="Y446" s="4"/>
    </row>
    <row r="447">
      <c r="A447" s="13" t="s">
        <v>1149</v>
      </c>
      <c r="B447" s="6">
        <v>2021.0</v>
      </c>
      <c r="C447" s="6" t="b">
        <v>0</v>
      </c>
      <c r="D447" s="8" t="str">
        <f>IFERROR(__xludf.DUMMYFUNCTION("GOOGLETRANSLATE(A447,""ar"", ""en"")"),"GAMING CHAIR")</f>
        <v>GAMING CHAIR</v>
      </c>
      <c r="E447" s="13" t="s">
        <v>1150</v>
      </c>
      <c r="F447" s="9" t="s">
        <v>18</v>
      </c>
      <c r="G447" s="9"/>
      <c r="H447" s="16" t="s">
        <v>1151</v>
      </c>
      <c r="I447" s="8"/>
      <c r="J447" s="31"/>
      <c r="K447" s="11" t="s">
        <v>1152</v>
      </c>
      <c r="L447" s="8"/>
      <c r="M447" s="15">
        <v>29.0</v>
      </c>
      <c r="N447" s="8"/>
      <c r="O447" s="8"/>
      <c r="P447" s="31"/>
      <c r="Q447" s="4"/>
      <c r="R447" s="4"/>
      <c r="S447" s="4"/>
      <c r="T447" s="4"/>
      <c r="U447" s="4"/>
      <c r="V447" s="4"/>
      <c r="W447" s="4"/>
      <c r="X447" s="4"/>
      <c r="Y447" s="4"/>
    </row>
    <row r="448">
      <c r="A448" s="5" t="s">
        <v>1153</v>
      </c>
      <c r="B448" s="6">
        <v>2028.0</v>
      </c>
      <c r="C448" s="6" t="b">
        <v>0</v>
      </c>
      <c r="D448" s="8" t="str">
        <f>IFERROR(__xludf.DUMMYFUNCTION("GOOGLETRANSLATE(A448,""ar"", ""en"")"),"Colorful Starbucks Chair")</f>
        <v>Colorful Starbucks Chair</v>
      </c>
      <c r="E448" s="5" t="s">
        <v>1154</v>
      </c>
      <c r="F448" s="9" t="s">
        <v>27</v>
      </c>
      <c r="G448" s="9" t="s">
        <v>28</v>
      </c>
      <c r="H448" s="16" t="s">
        <v>29</v>
      </c>
      <c r="I448" s="8"/>
      <c r="J448" s="29"/>
      <c r="K448" s="11" t="s">
        <v>1155</v>
      </c>
      <c r="L448" s="8"/>
      <c r="M448" s="12">
        <v>92.0</v>
      </c>
      <c r="N448" s="8"/>
      <c r="O448" s="8"/>
      <c r="P448" s="29"/>
      <c r="Q448" s="4"/>
      <c r="R448" s="4"/>
      <c r="S448" s="4"/>
      <c r="T448" s="4"/>
      <c r="U448" s="4"/>
      <c r="V448" s="4"/>
      <c r="W448" s="4"/>
      <c r="X448" s="4"/>
      <c r="Y448" s="4"/>
    </row>
    <row r="449">
      <c r="A449" s="13" t="s">
        <v>1156</v>
      </c>
      <c r="B449" s="6">
        <v>2029.0</v>
      </c>
      <c r="C449" s="6" t="b">
        <v>0</v>
      </c>
      <c r="D449" s="8" t="str">
        <f>IFERROR(__xludf.DUMMYFUNCTION("GOOGLETRANSLATE(A449,""ar"", ""en"")"),"MIX resin chair")</f>
        <v>MIX resin chair</v>
      </c>
      <c r="E449" s="13" t="s">
        <v>1157</v>
      </c>
      <c r="F449" s="9" t="s">
        <v>28</v>
      </c>
      <c r="G449" s="9"/>
      <c r="H449" s="16" t="s">
        <v>29</v>
      </c>
      <c r="I449" s="8"/>
      <c r="J449" s="31"/>
      <c r="K449" s="11" t="s">
        <v>1158</v>
      </c>
      <c r="L449" s="8"/>
      <c r="M449" s="15">
        <v>74.0</v>
      </c>
      <c r="N449" s="8"/>
      <c r="O449" s="8"/>
      <c r="P449" s="31"/>
      <c r="Q449" s="4"/>
      <c r="R449" s="4"/>
      <c r="S449" s="4"/>
      <c r="T449" s="4"/>
      <c r="U449" s="4"/>
      <c r="V449" s="4"/>
      <c r="W449" s="4"/>
      <c r="X449" s="4"/>
      <c r="Y449" s="4"/>
    </row>
    <row r="450">
      <c r="A450" s="13" t="s">
        <v>1159</v>
      </c>
      <c r="B450" s="6">
        <v>2030.0</v>
      </c>
      <c r="C450" s="7" t="b">
        <v>1</v>
      </c>
      <c r="D450" s="8" t="str">
        <f>IFERROR(__xludf.DUMMYFUNCTION("GOOGLETRANSLATE(A450,""ar"", ""en"")"),"LILI Plastic Striped Chair")</f>
        <v>LILI Plastic Striped Chair</v>
      </c>
      <c r="E450" s="13" t="s">
        <v>1160</v>
      </c>
      <c r="F450" s="9" t="s">
        <v>18</v>
      </c>
      <c r="G450" s="9"/>
      <c r="H450" s="16" t="s">
        <v>43</v>
      </c>
      <c r="I450" s="16" t="s">
        <v>1161</v>
      </c>
      <c r="J450" s="31"/>
      <c r="K450" s="11" t="s">
        <v>1162</v>
      </c>
      <c r="L450" s="8"/>
      <c r="M450" s="15">
        <v>73.0</v>
      </c>
      <c r="N450" s="8"/>
      <c r="O450" s="8"/>
      <c r="P450" s="31"/>
      <c r="Q450" s="4"/>
      <c r="R450" s="4"/>
      <c r="S450" s="4"/>
      <c r="T450" s="4"/>
      <c r="U450" s="4"/>
      <c r="V450" s="4"/>
      <c r="W450" s="4"/>
      <c r="X450" s="4"/>
      <c r="Y450" s="4"/>
    </row>
    <row r="451">
      <c r="A451" s="5" t="s">
        <v>1159</v>
      </c>
      <c r="B451" s="6">
        <v>2031.0</v>
      </c>
      <c r="C451" s="7" t="b">
        <v>1</v>
      </c>
      <c r="D451" s="8" t="str">
        <f>IFERROR(__xludf.DUMMYFUNCTION("GOOGLETRANSLATE(A451,""ar"", ""en"")"),"LILI Plastic Striped Chair")</f>
        <v>LILI Plastic Striped Chair</v>
      </c>
      <c r="E451" s="5" t="s">
        <v>1163</v>
      </c>
      <c r="F451" s="9" t="s">
        <v>18</v>
      </c>
      <c r="G451" s="9"/>
      <c r="H451" s="16" t="s">
        <v>43</v>
      </c>
      <c r="I451" s="8"/>
      <c r="J451" s="29"/>
      <c r="K451" s="11" t="s">
        <v>1162</v>
      </c>
      <c r="L451" s="8"/>
      <c r="M451" s="12">
        <v>16.0</v>
      </c>
      <c r="N451" s="8"/>
      <c r="O451" s="8"/>
      <c r="P451" s="29"/>
      <c r="Q451" s="4"/>
      <c r="R451" s="4"/>
      <c r="S451" s="4"/>
      <c r="T451" s="4"/>
      <c r="U451" s="4"/>
      <c r="V451" s="4"/>
      <c r="W451" s="4"/>
      <c r="X451" s="4"/>
      <c r="Y451" s="4"/>
    </row>
    <row r="452">
      <c r="A452" s="13" t="s">
        <v>1159</v>
      </c>
      <c r="B452" s="6">
        <v>2032.0</v>
      </c>
      <c r="C452" s="7" t="b">
        <v>1</v>
      </c>
      <c r="D452" s="8" t="str">
        <f>IFERROR(__xludf.DUMMYFUNCTION("GOOGLETRANSLATE(A452,""ar"", ""en"")"),"LILI Plastic Striped Chair")</f>
        <v>LILI Plastic Striped Chair</v>
      </c>
      <c r="E452" s="13" t="s">
        <v>1164</v>
      </c>
      <c r="F452" s="9" t="s">
        <v>18</v>
      </c>
      <c r="G452" s="9"/>
      <c r="H452" s="16" t="s">
        <v>43</v>
      </c>
      <c r="I452" s="8"/>
      <c r="J452" s="31"/>
      <c r="K452" s="11" t="s">
        <v>1162</v>
      </c>
      <c r="L452" s="8"/>
      <c r="M452" s="15">
        <v>30.0</v>
      </c>
      <c r="N452" s="8"/>
      <c r="O452" s="8"/>
      <c r="P452" s="31"/>
      <c r="Q452" s="4"/>
      <c r="R452" s="4"/>
      <c r="S452" s="4"/>
      <c r="T452" s="4"/>
      <c r="U452" s="4"/>
      <c r="V452" s="4"/>
      <c r="W452" s="4"/>
      <c r="X452" s="4"/>
      <c r="Y452" s="4"/>
    </row>
    <row r="453">
      <c r="A453" s="5" t="s">
        <v>1159</v>
      </c>
      <c r="B453" s="6">
        <v>2033.0</v>
      </c>
      <c r="C453" s="7" t="b">
        <v>1</v>
      </c>
      <c r="D453" s="8" t="str">
        <f>IFERROR(__xludf.DUMMYFUNCTION("GOOGLETRANSLATE(A453,""ar"", ""en"")"),"LILI Plastic Striped Chair")</f>
        <v>LILI Plastic Striped Chair</v>
      </c>
      <c r="E453" s="5" t="s">
        <v>1165</v>
      </c>
      <c r="F453" s="9" t="s">
        <v>18</v>
      </c>
      <c r="G453" s="9"/>
      <c r="H453" s="16" t="s">
        <v>43</v>
      </c>
      <c r="I453" s="8"/>
      <c r="J453" s="29"/>
      <c r="K453" s="11" t="s">
        <v>1162</v>
      </c>
      <c r="L453" s="8"/>
      <c r="M453" s="12">
        <v>4.0</v>
      </c>
      <c r="N453" s="8"/>
      <c r="O453" s="8"/>
      <c r="P453" s="29"/>
      <c r="Q453" s="4"/>
      <c r="R453" s="4"/>
      <c r="S453" s="4"/>
      <c r="T453" s="4"/>
      <c r="U453" s="4"/>
      <c r="V453" s="4"/>
      <c r="W453" s="4"/>
      <c r="X453" s="4"/>
      <c r="Y453" s="4"/>
    </row>
    <row r="454">
      <c r="A454" s="13" t="s">
        <v>1159</v>
      </c>
      <c r="B454" s="6">
        <v>2034.0</v>
      </c>
      <c r="C454" s="7" t="b">
        <v>1</v>
      </c>
      <c r="D454" s="8" t="str">
        <f>IFERROR(__xludf.DUMMYFUNCTION("GOOGLETRANSLATE(A454,""ar"", ""en"")"),"LILI Plastic Striped Chair")</f>
        <v>LILI Plastic Striped Chair</v>
      </c>
      <c r="E454" s="13" t="s">
        <v>1166</v>
      </c>
      <c r="F454" s="9" t="s">
        <v>18</v>
      </c>
      <c r="G454" s="9"/>
      <c r="H454" s="16" t="s">
        <v>43</v>
      </c>
      <c r="I454" s="8"/>
      <c r="J454" s="31"/>
      <c r="K454" s="11" t="s">
        <v>1162</v>
      </c>
      <c r="L454" s="8"/>
      <c r="M454" s="15">
        <v>9.0</v>
      </c>
      <c r="N454" s="8"/>
      <c r="O454" s="8"/>
      <c r="P454" s="31"/>
      <c r="Q454" s="4"/>
      <c r="R454" s="4"/>
      <c r="S454" s="4"/>
      <c r="T454" s="4"/>
      <c r="U454" s="4"/>
      <c r="V454" s="4"/>
      <c r="W454" s="4"/>
      <c r="X454" s="4"/>
      <c r="Y454" s="4"/>
    </row>
    <row r="455">
      <c r="A455" s="13" t="s">
        <v>1167</v>
      </c>
      <c r="B455" s="6">
        <v>2043.0</v>
      </c>
      <c r="C455" s="6" t="b">
        <v>0</v>
      </c>
      <c r="D455" s="8" t="str">
        <f>IFERROR(__xludf.DUMMYFUNCTION("GOOGLETRANSLATE(A455,""ar"", ""en"")"),"Kwan Chair")</f>
        <v>Kwan Chair</v>
      </c>
      <c r="E455" s="13" t="s">
        <v>1168</v>
      </c>
      <c r="F455" s="9" t="s">
        <v>18</v>
      </c>
      <c r="G455" s="9"/>
      <c r="H455" s="16" t="s">
        <v>1169</v>
      </c>
      <c r="I455" s="8"/>
      <c r="J455" s="31"/>
      <c r="K455" s="11" t="s">
        <v>1170</v>
      </c>
      <c r="L455" s="8"/>
      <c r="M455" s="15">
        <v>96.0</v>
      </c>
      <c r="N455" s="8"/>
      <c r="O455" s="8"/>
      <c r="P455" s="31"/>
      <c r="Q455" s="4"/>
      <c r="R455" s="4"/>
      <c r="S455" s="4"/>
      <c r="T455" s="4"/>
      <c r="U455" s="4"/>
      <c r="V455" s="4"/>
      <c r="W455" s="4"/>
      <c r="X455" s="4"/>
      <c r="Y455" s="4"/>
    </row>
    <row r="456">
      <c r="A456" s="5" t="s">
        <v>1171</v>
      </c>
      <c r="B456" s="6">
        <v>2044.0</v>
      </c>
      <c r="C456" s="6" t="b">
        <v>0</v>
      </c>
      <c r="D456" s="8" t="str">
        <f>IFERROR(__xludf.DUMMYFUNCTION("GOOGLETRANSLATE(A456,""ar"", ""en"")"),"Iron chair with fabric")</f>
        <v>Iron chair with fabric</v>
      </c>
      <c r="E456" s="5" t="s">
        <v>1172</v>
      </c>
      <c r="F456" s="9" t="s">
        <v>18</v>
      </c>
      <c r="G456" s="9"/>
      <c r="H456" s="16" t="s">
        <v>72</v>
      </c>
      <c r="I456" s="8"/>
      <c r="J456" s="29"/>
      <c r="K456" s="11" t="s">
        <v>1173</v>
      </c>
      <c r="L456" s="8"/>
      <c r="M456" s="12">
        <v>31.0</v>
      </c>
      <c r="N456" s="8"/>
      <c r="O456" s="8"/>
      <c r="P456" s="29"/>
      <c r="Q456" s="4"/>
      <c r="R456" s="4"/>
      <c r="S456" s="4"/>
      <c r="T456" s="4"/>
      <c r="U456" s="4"/>
      <c r="V456" s="4"/>
      <c r="W456" s="4"/>
      <c r="X456" s="4"/>
      <c r="Y456" s="4"/>
    </row>
    <row r="457">
      <c r="A457" s="13" t="s">
        <v>1174</v>
      </c>
      <c r="B457" s="6">
        <v>2045.0</v>
      </c>
      <c r="C457" s="6" t="b">
        <v>0</v>
      </c>
      <c r="D457" s="8" t="str">
        <f>IFERROR(__xludf.DUMMYFUNCTION("GOOGLETRANSLATE(A457,""ar"", ""en"")"),"LILI plastic mesh chair")</f>
        <v>LILI plastic mesh chair</v>
      </c>
      <c r="E457" s="13" t="s">
        <v>1175</v>
      </c>
      <c r="F457" s="9" t="s">
        <v>18</v>
      </c>
      <c r="G457" s="9"/>
      <c r="H457" s="16" t="s">
        <v>43</v>
      </c>
      <c r="I457" s="16" t="s">
        <v>1176</v>
      </c>
      <c r="J457" s="31"/>
      <c r="K457" s="11" t="s">
        <v>1177</v>
      </c>
      <c r="L457" s="8"/>
      <c r="M457" s="15">
        <v>28.0</v>
      </c>
      <c r="N457" s="8"/>
      <c r="O457" s="8"/>
      <c r="P457" s="31"/>
      <c r="Q457" s="4"/>
      <c r="R457" s="4"/>
      <c r="S457" s="4"/>
      <c r="T457" s="4"/>
      <c r="U457" s="4"/>
      <c r="V457" s="4"/>
      <c r="W457" s="4"/>
      <c r="X457" s="4"/>
      <c r="Y457" s="4"/>
    </row>
    <row r="458">
      <c r="A458" s="5" t="s">
        <v>1174</v>
      </c>
      <c r="B458" s="6">
        <v>2046.0</v>
      </c>
      <c r="C458" s="6" t="b">
        <v>0</v>
      </c>
      <c r="D458" s="8" t="str">
        <f>IFERROR(__xludf.DUMMYFUNCTION("GOOGLETRANSLATE(A458,""ar"", ""en"")"),"LILI plastic mesh chair")</f>
        <v>LILI plastic mesh chair</v>
      </c>
      <c r="E458" s="5" t="s">
        <v>1178</v>
      </c>
      <c r="F458" s="9" t="s">
        <v>18</v>
      </c>
      <c r="G458" s="9"/>
      <c r="H458" s="16" t="s">
        <v>43</v>
      </c>
      <c r="I458" s="8"/>
      <c r="J458" s="29"/>
      <c r="K458" s="11" t="s">
        <v>1177</v>
      </c>
      <c r="L458" s="8"/>
      <c r="M458" s="12">
        <v>15.0</v>
      </c>
      <c r="N458" s="8"/>
      <c r="O458" s="8"/>
      <c r="P458" s="29"/>
      <c r="Q458" s="4"/>
      <c r="R458" s="4"/>
      <c r="S458" s="4"/>
      <c r="T458" s="4"/>
      <c r="U458" s="4"/>
      <c r="V458" s="4"/>
      <c r="W458" s="4"/>
      <c r="X458" s="4"/>
      <c r="Y458" s="4"/>
    </row>
    <row r="459">
      <c r="A459" s="13" t="s">
        <v>1174</v>
      </c>
      <c r="B459" s="6">
        <v>2047.0</v>
      </c>
      <c r="C459" s="6" t="b">
        <v>0</v>
      </c>
      <c r="D459" s="8" t="str">
        <f>IFERROR(__xludf.DUMMYFUNCTION("GOOGLETRANSLATE(A459,""ar"", ""en"")"),"LILI plastic mesh chair")</f>
        <v>LILI plastic mesh chair</v>
      </c>
      <c r="E459" s="13" t="s">
        <v>1179</v>
      </c>
      <c r="F459" s="9" t="s">
        <v>18</v>
      </c>
      <c r="G459" s="9"/>
      <c r="H459" s="16" t="s">
        <v>43</v>
      </c>
      <c r="I459" s="8"/>
      <c r="J459" s="31"/>
      <c r="K459" s="11" t="s">
        <v>1177</v>
      </c>
      <c r="L459" s="8"/>
      <c r="M459" s="15">
        <v>39.0</v>
      </c>
      <c r="N459" s="8"/>
      <c r="O459" s="8"/>
      <c r="P459" s="31"/>
      <c r="Q459" s="4"/>
      <c r="R459" s="4"/>
      <c r="S459" s="4"/>
      <c r="T459" s="4"/>
      <c r="U459" s="4"/>
      <c r="V459" s="4"/>
      <c r="W459" s="4"/>
      <c r="X459" s="4"/>
      <c r="Y459" s="4"/>
    </row>
    <row r="460">
      <c r="A460" s="5" t="s">
        <v>1174</v>
      </c>
      <c r="B460" s="6">
        <v>2048.0</v>
      </c>
      <c r="C460" s="6" t="b">
        <v>0</v>
      </c>
      <c r="D460" s="8" t="str">
        <f>IFERROR(__xludf.DUMMYFUNCTION("GOOGLETRANSLATE(A460,""ar"", ""en"")"),"LILI plastic mesh chair")</f>
        <v>LILI plastic mesh chair</v>
      </c>
      <c r="E460" s="5" t="s">
        <v>1180</v>
      </c>
      <c r="F460" s="9" t="s">
        <v>18</v>
      </c>
      <c r="G460" s="9"/>
      <c r="H460" s="16" t="s">
        <v>43</v>
      </c>
      <c r="I460" s="8"/>
      <c r="J460" s="29"/>
      <c r="K460" s="11" t="s">
        <v>1177</v>
      </c>
      <c r="L460" s="8"/>
      <c r="M460" s="12">
        <v>29.0</v>
      </c>
      <c r="N460" s="8"/>
      <c r="O460" s="8"/>
      <c r="P460" s="29"/>
      <c r="Q460" s="4"/>
      <c r="R460" s="4"/>
      <c r="S460" s="4"/>
      <c r="T460" s="4"/>
      <c r="U460" s="4"/>
      <c r="V460" s="4"/>
      <c r="W460" s="4"/>
      <c r="X460" s="4"/>
      <c r="Y460" s="4"/>
    </row>
    <row r="461">
      <c r="A461" s="13" t="s">
        <v>1174</v>
      </c>
      <c r="B461" s="6">
        <v>2049.0</v>
      </c>
      <c r="C461" s="6" t="b">
        <v>0</v>
      </c>
      <c r="D461" s="8" t="str">
        <f>IFERROR(__xludf.DUMMYFUNCTION("GOOGLETRANSLATE(A461,""ar"", ""en"")"),"LILI plastic mesh chair")</f>
        <v>LILI plastic mesh chair</v>
      </c>
      <c r="E461" s="13" t="s">
        <v>1181</v>
      </c>
      <c r="F461" s="9" t="s">
        <v>18</v>
      </c>
      <c r="G461" s="9"/>
      <c r="H461" s="16" t="s">
        <v>43</v>
      </c>
      <c r="I461" s="8"/>
      <c r="J461" s="31"/>
      <c r="K461" s="11" t="s">
        <v>1177</v>
      </c>
      <c r="L461" s="8"/>
      <c r="M461" s="15">
        <v>14.0</v>
      </c>
      <c r="N461" s="8"/>
      <c r="O461" s="8"/>
      <c r="P461" s="31"/>
      <c r="Q461" s="4"/>
      <c r="R461" s="4"/>
      <c r="S461" s="4"/>
      <c r="T461" s="4"/>
      <c r="U461" s="4"/>
      <c r="V461" s="4"/>
      <c r="W461" s="4"/>
      <c r="X461" s="4"/>
      <c r="Y461" s="4"/>
    </row>
    <row r="462">
      <c r="A462" s="5" t="s">
        <v>1174</v>
      </c>
      <c r="B462" s="6">
        <v>2050.0</v>
      </c>
      <c r="C462" s="6" t="b">
        <v>0</v>
      </c>
      <c r="D462" s="8" t="str">
        <f>IFERROR(__xludf.DUMMYFUNCTION("GOOGLETRANSLATE(A462,""ar"", ""en"")"),"LILI plastic mesh chair")</f>
        <v>LILI plastic mesh chair</v>
      </c>
      <c r="E462" s="5" t="s">
        <v>1182</v>
      </c>
      <c r="F462" s="9" t="s">
        <v>18</v>
      </c>
      <c r="G462" s="9"/>
      <c r="H462" s="16" t="s">
        <v>43</v>
      </c>
      <c r="I462" s="8"/>
      <c r="J462" s="29"/>
      <c r="K462" s="11" t="s">
        <v>1177</v>
      </c>
      <c r="L462" s="8"/>
      <c r="M462" s="12">
        <v>29.0</v>
      </c>
      <c r="N462" s="8"/>
      <c r="O462" s="8"/>
      <c r="P462" s="29"/>
      <c r="Q462" s="4"/>
      <c r="R462" s="4"/>
      <c r="S462" s="4"/>
      <c r="T462" s="4"/>
      <c r="U462" s="4"/>
      <c r="V462" s="4"/>
      <c r="W462" s="4"/>
      <c r="X462" s="4"/>
      <c r="Y462" s="4"/>
    </row>
    <row r="463">
      <c r="A463" s="36" t="s">
        <v>1183</v>
      </c>
      <c r="B463" s="37">
        <v>2051.0</v>
      </c>
      <c r="C463" s="38" t="b">
        <v>1</v>
      </c>
      <c r="D463" s="39" t="str">
        <f>IFERROR(__xludf.DUMMYFUNCTION("GOOGLETRANSLATE(A463,""ar"", ""en"")"),"GREY office chair")</f>
        <v>GREY office chair</v>
      </c>
      <c r="E463" s="36" t="s">
        <v>1184</v>
      </c>
      <c r="F463" s="41" t="s">
        <v>18</v>
      </c>
      <c r="G463" s="41"/>
      <c r="H463" s="46" t="s">
        <v>1151</v>
      </c>
      <c r="I463" s="39"/>
      <c r="J463" s="50"/>
      <c r="K463" s="44" t="s">
        <v>1185</v>
      </c>
      <c r="L463" s="39"/>
      <c r="M463" s="45">
        <v>25.0</v>
      </c>
      <c r="N463" s="8"/>
      <c r="O463" s="8"/>
      <c r="P463" s="31"/>
      <c r="Q463" s="4"/>
      <c r="R463" s="4"/>
      <c r="S463" s="4"/>
      <c r="T463" s="4"/>
      <c r="U463" s="4"/>
      <c r="V463" s="4"/>
      <c r="W463" s="4"/>
      <c r="X463" s="4"/>
      <c r="Y463" s="4"/>
    </row>
    <row r="464">
      <c r="A464" s="13" t="s">
        <v>1186</v>
      </c>
      <c r="B464" s="6">
        <v>2052.0</v>
      </c>
      <c r="C464" s="6" t="b">
        <v>0</v>
      </c>
      <c r="D464" s="8" t="str">
        <f>IFERROR(__xludf.DUMMYFUNCTION("GOOGLETRANSLATE(A464,""ar"", ""en"")"),"office chair")</f>
        <v>office chair</v>
      </c>
      <c r="E464" s="13" t="s">
        <v>1187</v>
      </c>
      <c r="F464" s="9" t="s">
        <v>18</v>
      </c>
      <c r="G464" s="9"/>
      <c r="H464" s="16" t="s">
        <v>1151</v>
      </c>
      <c r="I464" s="8"/>
      <c r="J464" s="31"/>
      <c r="K464" s="11" t="s">
        <v>1188</v>
      </c>
      <c r="L464" s="8"/>
      <c r="M464" s="15">
        <v>21.0</v>
      </c>
      <c r="N464" s="8"/>
      <c r="O464" s="8"/>
      <c r="P464" s="31"/>
      <c r="Q464" s="4"/>
      <c r="R464" s="4"/>
      <c r="S464" s="4"/>
      <c r="T464" s="4"/>
      <c r="U464" s="4"/>
      <c r="V464" s="4"/>
      <c r="W464" s="4"/>
      <c r="X464" s="4"/>
      <c r="Y464" s="4"/>
    </row>
    <row r="465">
      <c r="A465" s="36" t="s">
        <v>1186</v>
      </c>
      <c r="B465" s="37">
        <v>2055.0</v>
      </c>
      <c r="C465" s="38" t="b">
        <v>1</v>
      </c>
      <c r="D465" s="39" t="str">
        <f>IFERROR(__xludf.DUMMYFUNCTION("GOOGLETRANSLATE(A465,""ar"", ""en"")"),"office chair")</f>
        <v>office chair</v>
      </c>
      <c r="E465" s="36" t="s">
        <v>1189</v>
      </c>
      <c r="F465" s="41" t="s">
        <v>18</v>
      </c>
      <c r="G465" s="41"/>
      <c r="H465" s="46" t="s">
        <v>1151</v>
      </c>
      <c r="I465" s="39"/>
      <c r="J465" s="50"/>
      <c r="K465" s="44" t="s">
        <v>1188</v>
      </c>
      <c r="L465" s="39"/>
      <c r="M465" s="45">
        <v>2.0</v>
      </c>
      <c r="N465" s="8"/>
      <c r="O465" s="8"/>
      <c r="P465" s="29"/>
      <c r="Q465" s="4"/>
      <c r="R465" s="4"/>
      <c r="S465" s="4"/>
      <c r="T465" s="4"/>
      <c r="U465" s="4"/>
      <c r="V465" s="4"/>
      <c r="W465" s="4"/>
      <c r="X465" s="4"/>
      <c r="Y465" s="4"/>
    </row>
    <row r="466">
      <c r="A466" s="13" t="s">
        <v>1190</v>
      </c>
      <c r="B466" s="6">
        <v>2061.0</v>
      </c>
      <c r="C466" s="6" t="b">
        <v>0</v>
      </c>
      <c r="D466" s="8" t="str">
        <f>IFERROR(__xludf.DUMMYFUNCTION("GOOGLETRANSLATE(A466,""ar"", ""en"")"),"aluminum chair")</f>
        <v>aluminum chair</v>
      </c>
      <c r="E466" s="13" t="s">
        <v>1191</v>
      </c>
      <c r="F466" s="9" t="s">
        <v>28</v>
      </c>
      <c r="G466" s="9"/>
      <c r="H466" s="16" t="s">
        <v>29</v>
      </c>
      <c r="I466" s="8"/>
      <c r="J466" s="31"/>
      <c r="K466" s="11" t="s">
        <v>1192</v>
      </c>
      <c r="L466" s="8"/>
      <c r="M466" s="15">
        <v>111.0</v>
      </c>
      <c r="N466" s="8"/>
      <c r="O466" s="8"/>
      <c r="P466" s="31"/>
      <c r="Q466" s="4"/>
      <c r="R466" s="4"/>
      <c r="S466" s="4"/>
      <c r="T466" s="4"/>
      <c r="U466" s="4"/>
      <c r="V466" s="4"/>
      <c r="W466" s="4"/>
      <c r="X466" s="4"/>
      <c r="Y466" s="4"/>
    </row>
    <row r="467">
      <c r="A467" s="5" t="s">
        <v>1193</v>
      </c>
      <c r="B467" s="6">
        <v>2062.0</v>
      </c>
      <c r="C467" s="6" t="b">
        <v>0</v>
      </c>
      <c r="D467" s="8" t="str">
        <f>IFERROR(__xludf.DUMMYFUNCTION("GOOGLETRANSLATE(A467,""ar"", ""en"")"),"BLK Plastic Chair Without Handles")</f>
        <v>BLK Plastic Chair Without Handles</v>
      </c>
      <c r="E467" s="5" t="s">
        <v>1194</v>
      </c>
      <c r="F467" s="9" t="s">
        <v>28</v>
      </c>
      <c r="G467" s="9"/>
      <c r="H467" s="16" t="s">
        <v>43</v>
      </c>
      <c r="I467" s="8"/>
      <c r="J467" s="29"/>
      <c r="K467" s="11" t="s">
        <v>1195</v>
      </c>
      <c r="L467" s="8"/>
      <c r="M467" s="12">
        <v>40.0</v>
      </c>
      <c r="N467" s="8"/>
      <c r="O467" s="8"/>
      <c r="P467" s="29"/>
      <c r="Q467" s="4"/>
      <c r="R467" s="4"/>
      <c r="S467" s="4"/>
      <c r="T467" s="4"/>
      <c r="U467" s="4"/>
      <c r="V467" s="4"/>
      <c r="W467" s="4"/>
      <c r="X467" s="4"/>
      <c r="Y467" s="4"/>
    </row>
    <row r="468">
      <c r="A468" s="36" t="s">
        <v>1186</v>
      </c>
      <c r="B468" s="37">
        <v>2079.0</v>
      </c>
      <c r="C468" s="38" t="b">
        <v>1</v>
      </c>
      <c r="D468" s="39" t="str">
        <f>IFERROR(__xludf.DUMMYFUNCTION("GOOGLETRANSLATE(A468,""ar"", ""en"")"),"office chair")</f>
        <v>office chair</v>
      </c>
      <c r="E468" s="36" t="s">
        <v>1196</v>
      </c>
      <c r="F468" s="41" t="s">
        <v>18</v>
      </c>
      <c r="G468" s="41"/>
      <c r="H468" s="46" t="s">
        <v>1151</v>
      </c>
      <c r="I468" s="39"/>
      <c r="J468" s="50"/>
      <c r="K468" s="44" t="s">
        <v>1188</v>
      </c>
      <c r="L468" s="39"/>
      <c r="M468" s="45">
        <v>19.0</v>
      </c>
      <c r="N468" s="8"/>
      <c r="O468" s="8"/>
      <c r="P468" s="29"/>
      <c r="Q468" s="4"/>
      <c r="R468" s="4"/>
      <c r="S468" s="4"/>
      <c r="T468" s="4"/>
      <c r="U468" s="4"/>
      <c r="V468" s="4"/>
      <c r="W468" s="4"/>
      <c r="X468" s="4"/>
      <c r="Y468" s="4"/>
    </row>
    <row r="469">
      <c r="A469" s="36" t="s">
        <v>1197</v>
      </c>
      <c r="B469" s="37">
        <v>2080.0</v>
      </c>
      <c r="C469" s="38" t="b">
        <v>1</v>
      </c>
      <c r="D469" s="39" t="str">
        <f>IFERROR(__xludf.DUMMYFUNCTION("GOOGLETRANSLATE(A469,""ar"", ""en"")"),"Fixed office chair")</f>
        <v>Fixed office chair</v>
      </c>
      <c r="E469" s="36" t="s">
        <v>1198</v>
      </c>
      <c r="F469" s="41" t="s">
        <v>18</v>
      </c>
      <c r="G469" s="41"/>
      <c r="H469" s="46" t="s">
        <v>1151</v>
      </c>
      <c r="I469" s="39"/>
      <c r="J469" s="50"/>
      <c r="K469" s="44" t="s">
        <v>1199</v>
      </c>
      <c r="L469" s="39"/>
      <c r="M469" s="45">
        <v>18.0</v>
      </c>
      <c r="N469" s="8"/>
      <c r="O469" s="8"/>
      <c r="P469" s="31"/>
      <c r="Q469" s="4"/>
      <c r="R469" s="4"/>
      <c r="S469" s="4"/>
      <c r="T469" s="4"/>
      <c r="U469" s="4"/>
      <c r="V469" s="4"/>
      <c r="W469" s="4"/>
      <c r="X469" s="4"/>
      <c r="Y469" s="4"/>
    </row>
    <row r="470">
      <c r="A470" s="5" t="s">
        <v>1200</v>
      </c>
      <c r="B470" s="6">
        <v>2081.0</v>
      </c>
      <c r="C470" s="6" t="b">
        <v>0</v>
      </c>
      <c r="D470" s="8" t="str">
        <f>IFERROR(__xludf.DUMMYFUNCTION("GOOGLETRANSLATE(A470,""ar"", ""en"")"),"Plastic rose chair without handles")</f>
        <v>Plastic rose chair without handles</v>
      </c>
      <c r="E470" s="5" t="s">
        <v>1201</v>
      </c>
      <c r="F470" s="9" t="s">
        <v>27</v>
      </c>
      <c r="G470" s="9" t="s">
        <v>28</v>
      </c>
      <c r="H470" s="16" t="s">
        <v>43</v>
      </c>
      <c r="I470" s="8"/>
      <c r="J470" s="29"/>
      <c r="K470" s="11" t="s">
        <v>1202</v>
      </c>
      <c r="L470" s="8"/>
      <c r="M470" s="12">
        <v>160.0</v>
      </c>
      <c r="N470" s="8"/>
      <c r="O470" s="8"/>
      <c r="P470" s="29"/>
      <c r="Q470" s="4"/>
      <c r="R470" s="4"/>
      <c r="S470" s="4"/>
      <c r="T470" s="4"/>
      <c r="U470" s="4"/>
      <c r="V470" s="4"/>
      <c r="W470" s="4"/>
      <c r="X470" s="4"/>
      <c r="Y470" s="4"/>
    </row>
    <row r="471">
      <c r="A471" s="13" t="s">
        <v>1203</v>
      </c>
      <c r="B471" s="6">
        <v>2084.0</v>
      </c>
      <c r="C471" s="6" t="b">
        <v>0</v>
      </c>
      <c r="D471" s="8" t="str">
        <f>IFERROR(__xludf.DUMMYFUNCTION("GOOGLETRANSLATE(A471,""ar"", ""en"")"),"PLEXI chair with handle")</f>
        <v>PLEXI chair with handle</v>
      </c>
      <c r="E471" s="13" t="s">
        <v>1204</v>
      </c>
      <c r="F471" s="9" t="s">
        <v>28</v>
      </c>
      <c r="G471" s="9"/>
      <c r="H471" s="16" t="s">
        <v>43</v>
      </c>
      <c r="I471" s="8"/>
      <c r="J471" s="31"/>
      <c r="K471" s="11" t="s">
        <v>1205</v>
      </c>
      <c r="L471" s="8"/>
      <c r="M471" s="15">
        <v>45.0</v>
      </c>
      <c r="N471" s="8"/>
      <c r="O471" s="8"/>
      <c r="P471" s="31"/>
      <c r="Q471" s="4"/>
      <c r="R471" s="4"/>
      <c r="S471" s="4"/>
      <c r="T471" s="4"/>
      <c r="U471" s="4"/>
      <c r="V471" s="4"/>
      <c r="W471" s="4"/>
      <c r="X471" s="4"/>
      <c r="Y471" s="4"/>
    </row>
    <row r="472">
      <c r="A472" s="13" t="s">
        <v>174</v>
      </c>
      <c r="B472" s="6">
        <v>2088.0</v>
      </c>
      <c r="C472" s="6" t="b">
        <v>0</v>
      </c>
      <c r="D472" s="8" t="str">
        <f>IFERROR(__xludf.DUMMYFUNCTION("GOOGLETRANSLATE(A472,""ar"", ""en"")"),"plastic chair")</f>
        <v>plastic chair</v>
      </c>
      <c r="E472" s="13" t="s">
        <v>1206</v>
      </c>
      <c r="F472" s="9" t="s">
        <v>27</v>
      </c>
      <c r="G472" s="9" t="s">
        <v>28</v>
      </c>
      <c r="H472" s="16" t="s">
        <v>43</v>
      </c>
      <c r="I472" s="8"/>
      <c r="J472" s="31"/>
      <c r="K472" s="11" t="s">
        <v>176</v>
      </c>
      <c r="L472" s="8"/>
      <c r="M472" s="15">
        <v>60.0</v>
      </c>
      <c r="N472" s="8"/>
      <c r="O472" s="8"/>
      <c r="P472" s="31"/>
      <c r="Q472" s="4"/>
      <c r="R472" s="4"/>
      <c r="S472" s="4"/>
      <c r="T472" s="4"/>
      <c r="U472" s="4"/>
      <c r="V472" s="4"/>
      <c r="W472" s="4"/>
      <c r="X472" s="4"/>
      <c r="Y472" s="4"/>
    </row>
    <row r="473">
      <c r="A473" s="5" t="s">
        <v>174</v>
      </c>
      <c r="B473" s="6">
        <v>2089.0</v>
      </c>
      <c r="C473" s="6" t="b">
        <v>0</v>
      </c>
      <c r="D473" s="8" t="str">
        <f>IFERROR(__xludf.DUMMYFUNCTION("GOOGLETRANSLATE(A473,""ar"", ""en"")"),"plastic chair")</f>
        <v>plastic chair</v>
      </c>
      <c r="E473" s="5" t="s">
        <v>1207</v>
      </c>
      <c r="F473" s="9" t="s">
        <v>27</v>
      </c>
      <c r="G473" s="9" t="s">
        <v>28</v>
      </c>
      <c r="H473" s="16" t="s">
        <v>43</v>
      </c>
      <c r="I473" s="8"/>
      <c r="J473" s="29"/>
      <c r="K473" s="11" t="s">
        <v>176</v>
      </c>
      <c r="L473" s="8"/>
      <c r="M473" s="12">
        <v>40.0</v>
      </c>
      <c r="N473" s="8"/>
      <c r="O473" s="8"/>
      <c r="P473" s="29"/>
      <c r="Q473" s="4"/>
      <c r="R473" s="4"/>
      <c r="S473" s="4"/>
      <c r="T473" s="4"/>
      <c r="U473" s="4"/>
      <c r="V473" s="4"/>
      <c r="W473" s="4"/>
      <c r="X473" s="4"/>
      <c r="Y473" s="4"/>
    </row>
    <row r="474">
      <c r="A474" s="5" t="s">
        <v>1186</v>
      </c>
      <c r="B474" s="6">
        <v>2091.0</v>
      </c>
      <c r="C474" s="6" t="b">
        <v>0</v>
      </c>
      <c r="D474" s="8" t="str">
        <f>IFERROR(__xludf.DUMMYFUNCTION("GOOGLETRANSLATE(A474,""ar"", ""en"")"),"office chair")</f>
        <v>office chair</v>
      </c>
      <c r="E474" s="5" t="s">
        <v>1208</v>
      </c>
      <c r="F474" s="9" t="s">
        <v>18</v>
      </c>
      <c r="G474" s="9"/>
      <c r="H474" s="16" t="s">
        <v>1151</v>
      </c>
      <c r="I474" s="8"/>
      <c r="J474" s="29"/>
      <c r="K474" s="11" t="s">
        <v>1188</v>
      </c>
      <c r="L474" s="8"/>
      <c r="M474" s="12">
        <v>25.0</v>
      </c>
      <c r="N474" s="8"/>
      <c r="O474" s="8"/>
      <c r="P474" s="29"/>
      <c r="Q474" s="4"/>
      <c r="R474" s="4"/>
      <c r="S474" s="4"/>
      <c r="T474" s="4"/>
      <c r="U474" s="4"/>
      <c r="V474" s="4"/>
      <c r="W474" s="4"/>
      <c r="X474" s="4"/>
      <c r="Y474" s="4"/>
    </row>
    <row r="475">
      <c r="A475" s="13" t="s">
        <v>1209</v>
      </c>
      <c r="B475" s="6">
        <v>2104.0</v>
      </c>
      <c r="C475" s="6" t="b">
        <v>0</v>
      </c>
      <c r="D475" s="8" t="str">
        <f>IFERROR(__xludf.DUMMYFUNCTION("GOOGLETRANSLATE(A475,""ar"", ""en"")"),"Plastic table with wood 80*120")</f>
        <v>Plastic table with wood 80*120</v>
      </c>
      <c r="E475" s="32" t="s">
        <v>1210</v>
      </c>
      <c r="F475" s="9" t="s">
        <v>18</v>
      </c>
      <c r="G475" s="9"/>
      <c r="H475" s="8"/>
      <c r="I475" s="8"/>
      <c r="J475" s="31"/>
      <c r="K475" s="11" t="s">
        <v>1211</v>
      </c>
      <c r="L475" s="8"/>
      <c r="M475" s="15">
        <v>16.0</v>
      </c>
      <c r="N475" s="8"/>
      <c r="O475" s="8"/>
      <c r="P475" s="31"/>
      <c r="Q475" s="4"/>
      <c r="R475" s="4"/>
      <c r="S475" s="4"/>
      <c r="T475" s="4"/>
      <c r="U475" s="4"/>
      <c r="V475" s="4"/>
      <c r="W475" s="4"/>
      <c r="X475" s="4"/>
      <c r="Y475" s="4"/>
    </row>
    <row r="476">
      <c r="A476" s="5" t="s">
        <v>1212</v>
      </c>
      <c r="B476" s="6">
        <v>2107.0</v>
      </c>
      <c r="C476" s="6" t="b">
        <v>0</v>
      </c>
      <c r="D476" s="8" t="str">
        <f>IFERROR(__xludf.DUMMYFUNCTION("GOOGLETRANSLATE(A476,""ar"", ""en"")"),"Plastic table with wood 80*80")</f>
        <v>Plastic table with wood 80*80</v>
      </c>
      <c r="E476" s="5" t="s">
        <v>1213</v>
      </c>
      <c r="F476" s="9" t="s">
        <v>18</v>
      </c>
      <c r="G476" s="9"/>
      <c r="H476" s="8"/>
      <c r="I476" s="8"/>
      <c r="J476" s="29"/>
      <c r="K476" s="11" t="s">
        <v>1214</v>
      </c>
      <c r="L476" s="8"/>
      <c r="M476" s="12">
        <v>15.0</v>
      </c>
      <c r="N476" s="8"/>
      <c r="O476" s="8"/>
      <c r="P476" s="29"/>
      <c r="Q476" s="4"/>
      <c r="R476" s="4"/>
      <c r="S476" s="4"/>
      <c r="T476" s="4"/>
      <c r="U476" s="4"/>
      <c r="V476" s="4"/>
      <c r="W476" s="4"/>
      <c r="X476" s="4"/>
      <c r="Y476" s="4"/>
    </row>
    <row r="477">
      <c r="A477" s="5" t="s">
        <v>1215</v>
      </c>
      <c r="B477" s="6">
        <v>2139.0</v>
      </c>
      <c r="C477" s="6" t="b">
        <v>0</v>
      </c>
      <c r="D477" s="8" t="str">
        <f>IFERROR(__xludf.DUMMYFUNCTION("GOOGLETRANSLATE(A477,""ar"", ""en"")"),"180 cm round wooden table")</f>
        <v>180 cm round wooden table</v>
      </c>
      <c r="E477" s="33" t="s">
        <v>1216</v>
      </c>
      <c r="F477" s="9" t="s">
        <v>27</v>
      </c>
      <c r="G477" s="9" t="s">
        <v>18</v>
      </c>
      <c r="H477" s="16" t="s">
        <v>1217</v>
      </c>
      <c r="I477" s="8"/>
      <c r="J477" s="10">
        <v>0.0</v>
      </c>
      <c r="K477" s="11" t="s">
        <v>1218</v>
      </c>
      <c r="L477" s="8"/>
      <c r="M477" s="12">
        <v>5.0</v>
      </c>
      <c r="N477" s="8"/>
      <c r="O477" s="8"/>
      <c r="P477" s="10">
        <v>0.0</v>
      </c>
      <c r="Q477" s="4"/>
      <c r="R477" s="4"/>
      <c r="S477" s="4"/>
      <c r="T477" s="4"/>
      <c r="U477" s="4"/>
      <c r="V477" s="4"/>
      <c r="W477" s="4"/>
      <c r="X477" s="4"/>
      <c r="Y477" s="4"/>
    </row>
    <row r="478">
      <c r="A478" s="13" t="s">
        <v>1219</v>
      </c>
      <c r="B478" s="6">
        <v>2140.0</v>
      </c>
      <c r="C478" s="6" t="b">
        <v>0</v>
      </c>
      <c r="D478" s="8" t="str">
        <f>IFERROR(__xludf.DUMMYFUNCTION("GOOGLETRANSLATE(A478,""ar"", ""en"")"),"BLK Bar Table 60cm Round")</f>
        <v>BLK Bar Table 60cm Round</v>
      </c>
      <c r="E478" s="13" t="s">
        <v>1220</v>
      </c>
      <c r="F478" s="9" t="s">
        <v>27</v>
      </c>
      <c r="G478" s="9" t="s">
        <v>28</v>
      </c>
      <c r="H478" s="16" t="s">
        <v>62</v>
      </c>
      <c r="I478" s="8"/>
      <c r="J478" s="31"/>
      <c r="K478" s="11" t="s">
        <v>1221</v>
      </c>
      <c r="L478" s="8"/>
      <c r="M478" s="15">
        <v>10.0</v>
      </c>
      <c r="N478" s="8"/>
      <c r="O478" s="8"/>
      <c r="P478" s="31"/>
      <c r="Q478" s="4"/>
      <c r="R478" s="4"/>
      <c r="S478" s="4"/>
      <c r="T478" s="4"/>
      <c r="U478" s="4"/>
      <c r="V478" s="4"/>
      <c r="W478" s="4"/>
      <c r="X478" s="4"/>
      <c r="Y478" s="4"/>
    </row>
    <row r="479">
      <c r="A479" s="5" t="s">
        <v>1222</v>
      </c>
      <c r="B479" s="6">
        <v>2141.0</v>
      </c>
      <c r="C479" s="6" t="b">
        <v>0</v>
      </c>
      <c r="D479" s="8" t="str">
        <f>IFERROR(__xludf.DUMMYFUNCTION("GOOGLETRANSLATE(A479,""ar"", ""en"")"),"BLK&amp;GRY 60cm Round Bar Table")</f>
        <v>BLK&amp;GRY 60cm Round Bar Table</v>
      </c>
      <c r="E479" s="33" t="s">
        <v>1223</v>
      </c>
      <c r="F479" s="9" t="s">
        <v>27</v>
      </c>
      <c r="G479" s="9" t="s">
        <v>28</v>
      </c>
      <c r="H479" s="16" t="s">
        <v>62</v>
      </c>
      <c r="I479" s="8"/>
      <c r="J479" s="29"/>
      <c r="K479" s="11" t="s">
        <v>1224</v>
      </c>
      <c r="L479" s="8"/>
      <c r="M479" s="12">
        <v>11.0</v>
      </c>
      <c r="N479" s="8"/>
      <c r="O479" s="8"/>
      <c r="P479" s="29"/>
      <c r="Q479" s="4"/>
      <c r="R479" s="4"/>
      <c r="S479" s="4"/>
      <c r="T479" s="4"/>
      <c r="U479" s="4"/>
      <c r="V479" s="4"/>
      <c r="W479" s="4"/>
      <c r="X479" s="4"/>
      <c r="Y479" s="4"/>
    </row>
    <row r="480">
      <c r="A480" s="13" t="s">
        <v>1225</v>
      </c>
      <c r="B480" s="6">
        <v>2144.0</v>
      </c>
      <c r="C480" s="6" t="b">
        <v>0</v>
      </c>
      <c r="D480" s="8" t="str">
        <f>IFERROR(__xludf.DUMMYFUNCTION("GOOGLETRANSLATE(A480,""ar"", ""en"")"),"BLK 80 cm round table")</f>
        <v>BLK 80 cm round table</v>
      </c>
      <c r="E480" s="32" t="s">
        <v>1226</v>
      </c>
      <c r="F480" s="9" t="s">
        <v>27</v>
      </c>
      <c r="G480" s="9" t="s">
        <v>28</v>
      </c>
      <c r="H480" s="16" t="s">
        <v>1217</v>
      </c>
      <c r="I480" s="8"/>
      <c r="J480" s="31"/>
      <c r="K480" s="11" t="s">
        <v>1227</v>
      </c>
      <c r="L480" s="8"/>
      <c r="M480" s="15">
        <v>14.0</v>
      </c>
      <c r="N480" s="8"/>
      <c r="O480" s="8"/>
      <c r="P480" s="31"/>
      <c r="Q480" s="4"/>
      <c r="R480" s="4"/>
      <c r="S480" s="4"/>
      <c r="T480" s="4"/>
      <c r="U480" s="4"/>
      <c r="V480" s="4"/>
      <c r="W480" s="4"/>
      <c r="X480" s="4"/>
      <c r="Y480" s="4"/>
    </row>
    <row r="481">
      <c r="A481" s="5" t="s">
        <v>1228</v>
      </c>
      <c r="B481" s="6">
        <v>2147.0</v>
      </c>
      <c r="C481" s="6" t="b">
        <v>0</v>
      </c>
      <c r="D481" s="8" t="str">
        <f>IFERROR(__xludf.DUMMYFUNCTION("GOOGLETRANSLATE(A481,""ar"", ""en"")"),"Wooden fabric chair without handle")</f>
        <v>Wooden fabric chair without handle</v>
      </c>
      <c r="E481" s="5" t="s">
        <v>1229</v>
      </c>
      <c r="F481" s="9" t="s">
        <v>18</v>
      </c>
      <c r="G481" s="9"/>
      <c r="H481" s="16" t="s">
        <v>1169</v>
      </c>
      <c r="I481" s="8"/>
      <c r="J481" s="29"/>
      <c r="K481" s="11" t="s">
        <v>1230</v>
      </c>
      <c r="L481" s="8"/>
      <c r="M481" s="12">
        <v>44.0</v>
      </c>
      <c r="N481" s="8"/>
      <c r="O481" s="8"/>
      <c r="P481" s="29"/>
      <c r="Q481" s="4"/>
      <c r="R481" s="4"/>
      <c r="S481" s="4"/>
      <c r="T481" s="4"/>
      <c r="U481" s="4"/>
      <c r="V481" s="4"/>
      <c r="W481" s="4"/>
      <c r="X481" s="4"/>
      <c r="Y481" s="4"/>
    </row>
    <row r="482">
      <c r="A482" s="5" t="s">
        <v>1231</v>
      </c>
      <c r="B482" s="6">
        <v>2151.0</v>
      </c>
      <c r="C482" s="6" t="b">
        <v>0</v>
      </c>
      <c r="D482" s="8" t="str">
        <f>IFERROR(__xludf.DUMMYFUNCTION("GOOGLETRANSLATE(A482,""ar"", ""en"")"),"Wide leather dining chair with handle")</f>
        <v>Wide leather dining chair with handle</v>
      </c>
      <c r="E482" s="5" t="s">
        <v>1232</v>
      </c>
      <c r="F482" s="9" t="s">
        <v>18</v>
      </c>
      <c r="G482" s="9"/>
      <c r="H482" s="16" t="s">
        <v>1169</v>
      </c>
      <c r="I482" s="8"/>
      <c r="J482" s="29"/>
      <c r="K482" s="11" t="s">
        <v>1233</v>
      </c>
      <c r="L482" s="8"/>
      <c r="M482" s="12">
        <v>94.0</v>
      </c>
      <c r="N482" s="8"/>
      <c r="O482" s="8"/>
      <c r="P482" s="29"/>
      <c r="Q482" s="4"/>
      <c r="R482" s="4"/>
      <c r="S482" s="4"/>
      <c r="T482" s="4"/>
      <c r="U482" s="4"/>
      <c r="V482" s="4"/>
      <c r="W482" s="4"/>
      <c r="X482" s="4"/>
      <c r="Y482" s="4"/>
    </row>
    <row r="483">
      <c r="A483" s="5" t="s">
        <v>1234</v>
      </c>
      <c r="B483" s="6">
        <v>2158.0</v>
      </c>
      <c r="C483" s="6" t="b">
        <v>0</v>
      </c>
      <c r="D483" s="8" t="str">
        <f>IFERROR(__xludf.DUMMYFUNCTION("GOOGLETRANSLATE(A483,""ar"", ""en"")"),"Original 80*80 aluminum face")</f>
        <v>Original 80*80 aluminum face</v>
      </c>
      <c r="E483" s="5" t="s">
        <v>1235</v>
      </c>
      <c r="F483" s="9" t="s">
        <v>27</v>
      </c>
      <c r="G483" s="9" t="s">
        <v>28</v>
      </c>
      <c r="H483" s="27" t="s">
        <v>98</v>
      </c>
      <c r="I483" s="8"/>
      <c r="J483" s="10">
        <v>0.0</v>
      </c>
      <c r="K483" s="11" t="s">
        <v>1236</v>
      </c>
      <c r="L483" s="8"/>
      <c r="M483" s="12">
        <v>16.0</v>
      </c>
      <c r="N483" s="8"/>
      <c r="O483" s="8"/>
      <c r="P483" s="10">
        <v>0.0</v>
      </c>
      <c r="Q483" s="4"/>
      <c r="R483" s="4"/>
      <c r="S483" s="4"/>
      <c r="T483" s="4"/>
      <c r="U483" s="4"/>
      <c r="V483" s="4"/>
      <c r="W483" s="4"/>
      <c r="X483" s="4"/>
      <c r="Y483" s="4"/>
    </row>
    <row r="484">
      <c r="A484" s="13" t="s">
        <v>1237</v>
      </c>
      <c r="B484" s="6">
        <v>2159.0</v>
      </c>
      <c r="C484" s="6" t="b">
        <v>0</v>
      </c>
      <c r="D484" s="8" t="str">
        <f>IFERROR(__xludf.DUMMYFUNCTION("GOOGLETRANSLATE(A484,""ar"", ""en"")"),"Stainless steel base")</f>
        <v>Stainless steel base</v>
      </c>
      <c r="E484" s="13" t="s">
        <v>1238</v>
      </c>
      <c r="F484" s="9" t="s">
        <v>27</v>
      </c>
      <c r="G484" s="9" t="s">
        <v>28</v>
      </c>
      <c r="H484" s="16" t="s">
        <v>186</v>
      </c>
      <c r="I484" s="8"/>
      <c r="J484" s="31"/>
      <c r="K484" s="11" t="s">
        <v>1239</v>
      </c>
      <c r="L484" s="8"/>
      <c r="M484" s="15">
        <v>32.0</v>
      </c>
      <c r="N484" s="8"/>
      <c r="O484" s="8"/>
      <c r="P484" s="31"/>
      <c r="Q484" s="4"/>
      <c r="R484" s="4"/>
      <c r="S484" s="4"/>
      <c r="T484" s="4"/>
      <c r="U484" s="4"/>
      <c r="V484" s="4"/>
      <c r="W484" s="4"/>
      <c r="X484" s="4"/>
      <c r="Y484" s="4"/>
    </row>
    <row r="485">
      <c r="A485" s="5" t="s">
        <v>1240</v>
      </c>
      <c r="B485" s="6">
        <v>2161.0</v>
      </c>
      <c r="C485" s="6" t="b">
        <v>0</v>
      </c>
      <c r="D485" s="8" t="str">
        <f>IFERROR(__xludf.DUMMYFUNCTION("GOOGLETRANSLATE(A485,""ar"", ""en"")"),"120*80 table top")</f>
        <v>120*80 table top</v>
      </c>
      <c r="E485" s="5" t="s">
        <v>1241</v>
      </c>
      <c r="F485" s="9" t="s">
        <v>27</v>
      </c>
      <c r="G485" s="9" t="s">
        <v>28</v>
      </c>
      <c r="H485" s="27" t="s">
        <v>98</v>
      </c>
      <c r="I485" s="8"/>
      <c r="J485" s="29"/>
      <c r="K485" s="11" t="s">
        <v>1242</v>
      </c>
      <c r="L485" s="8"/>
      <c r="M485" s="12">
        <v>49.0</v>
      </c>
      <c r="N485" s="8"/>
      <c r="O485" s="8"/>
      <c r="P485" s="29"/>
      <c r="Q485" s="4"/>
      <c r="R485" s="4"/>
      <c r="S485" s="4"/>
      <c r="T485" s="4"/>
      <c r="U485" s="4"/>
      <c r="V485" s="4"/>
      <c r="W485" s="4"/>
      <c r="X485" s="4"/>
      <c r="Y485" s="4"/>
    </row>
    <row r="486">
      <c r="A486" s="13" t="s">
        <v>629</v>
      </c>
      <c r="B486" s="6">
        <v>2162.0</v>
      </c>
      <c r="C486" s="6" t="b">
        <v>0</v>
      </c>
      <c r="D486" s="8" t="str">
        <f>IFERROR(__xludf.DUMMYFUNCTION("GOOGLETRANSLATE(A486,""ar"", ""en"")"),"80*80 table top")</f>
        <v>80*80 table top</v>
      </c>
      <c r="E486" s="13" t="s">
        <v>1243</v>
      </c>
      <c r="F486" s="9" t="s">
        <v>27</v>
      </c>
      <c r="G486" s="9" t="s">
        <v>28</v>
      </c>
      <c r="H486" s="27" t="s">
        <v>98</v>
      </c>
      <c r="I486" s="16" t="s">
        <v>1244</v>
      </c>
      <c r="J486" s="31"/>
      <c r="K486" s="11" t="s">
        <v>1245</v>
      </c>
      <c r="L486" s="8"/>
      <c r="M486" s="15">
        <v>20.0</v>
      </c>
      <c r="N486" s="8"/>
      <c r="O486" s="8"/>
      <c r="P486" s="31"/>
      <c r="Q486" s="4"/>
      <c r="R486" s="4"/>
      <c r="S486" s="4"/>
      <c r="T486" s="4"/>
      <c r="U486" s="4"/>
      <c r="V486" s="4"/>
      <c r="W486" s="4"/>
      <c r="X486" s="4"/>
      <c r="Y486" s="4"/>
    </row>
    <row r="487">
      <c r="A487" s="5" t="s">
        <v>1240</v>
      </c>
      <c r="B487" s="6">
        <v>2165.0</v>
      </c>
      <c r="C487" s="6" t="b">
        <v>0</v>
      </c>
      <c r="D487" s="8" t="str">
        <f>IFERROR(__xludf.DUMMYFUNCTION("GOOGLETRANSLATE(A487,""ar"", ""en"")"),"120*80 table top")</f>
        <v>120*80 table top</v>
      </c>
      <c r="E487" s="5" t="s">
        <v>1246</v>
      </c>
      <c r="F487" s="9" t="s">
        <v>27</v>
      </c>
      <c r="G487" s="9" t="s">
        <v>28</v>
      </c>
      <c r="H487" s="27" t="s">
        <v>98</v>
      </c>
      <c r="I487" s="8"/>
      <c r="J487" s="10">
        <v>0.0</v>
      </c>
      <c r="K487" s="11" t="s">
        <v>1242</v>
      </c>
      <c r="L487" s="8"/>
      <c r="M487" s="12">
        <v>48.0</v>
      </c>
      <c r="N487" s="8"/>
      <c r="O487" s="8"/>
      <c r="P487" s="10">
        <v>0.0</v>
      </c>
      <c r="Q487" s="4"/>
      <c r="R487" s="4"/>
      <c r="S487" s="4"/>
      <c r="T487" s="4"/>
      <c r="U487" s="4"/>
      <c r="V487" s="4"/>
      <c r="W487" s="4"/>
      <c r="X487" s="4"/>
      <c r="Y487" s="4"/>
    </row>
    <row r="488">
      <c r="A488" s="13" t="s">
        <v>621</v>
      </c>
      <c r="B488" s="6">
        <v>2166.0</v>
      </c>
      <c r="C488" s="6" t="b">
        <v>0</v>
      </c>
      <c r="D488" s="8" t="str">
        <f>IFERROR(__xludf.DUMMYFUNCTION("GOOGLETRANSLATE(A488,""ar"", ""en"")"),"60*60 table top")</f>
        <v>60*60 table top</v>
      </c>
      <c r="E488" s="13" t="s">
        <v>1247</v>
      </c>
      <c r="F488" s="9" t="s">
        <v>27</v>
      </c>
      <c r="G488" s="9" t="s">
        <v>28</v>
      </c>
      <c r="H488" s="27" t="s">
        <v>98</v>
      </c>
      <c r="I488" s="8"/>
      <c r="J488" s="14">
        <v>0.0</v>
      </c>
      <c r="K488" s="11" t="s">
        <v>1248</v>
      </c>
      <c r="L488" s="8"/>
      <c r="M488" s="15">
        <v>96.0</v>
      </c>
      <c r="N488" s="8"/>
      <c r="O488" s="8"/>
      <c r="P488" s="14">
        <v>0.0</v>
      </c>
      <c r="Q488" s="4"/>
      <c r="R488" s="4"/>
      <c r="S488" s="4"/>
      <c r="T488" s="4"/>
      <c r="U488" s="4"/>
      <c r="V488" s="4"/>
      <c r="W488" s="4"/>
      <c r="X488" s="4"/>
      <c r="Y488" s="4"/>
    </row>
    <row r="489">
      <c r="A489" s="13" t="s">
        <v>621</v>
      </c>
      <c r="B489" s="6">
        <v>2168.0</v>
      </c>
      <c r="C489" s="6" t="b">
        <v>0</v>
      </c>
      <c r="D489" s="8" t="str">
        <f>IFERROR(__xludf.DUMMYFUNCTION("GOOGLETRANSLATE(A489,""ar"", ""en"")"),"60*60 table top")</f>
        <v>60*60 table top</v>
      </c>
      <c r="E489" s="13" t="s">
        <v>1249</v>
      </c>
      <c r="F489" s="9" t="s">
        <v>27</v>
      </c>
      <c r="G489" s="9" t="s">
        <v>28</v>
      </c>
      <c r="H489" s="27" t="s">
        <v>98</v>
      </c>
      <c r="I489" s="16" t="s">
        <v>1250</v>
      </c>
      <c r="J489" s="14">
        <v>0.0</v>
      </c>
      <c r="K489" s="11" t="s">
        <v>1248</v>
      </c>
      <c r="L489" s="8"/>
      <c r="M489" s="15">
        <v>15.0</v>
      </c>
      <c r="N489" s="8"/>
      <c r="O489" s="8"/>
      <c r="P489" s="14">
        <v>0.0</v>
      </c>
      <c r="Q489" s="4"/>
      <c r="R489" s="4"/>
      <c r="S489" s="4"/>
      <c r="T489" s="4"/>
      <c r="U489" s="4"/>
      <c r="V489" s="4"/>
      <c r="W489" s="4"/>
      <c r="X489" s="4"/>
      <c r="Y489" s="4"/>
    </row>
    <row r="490">
      <c r="A490" s="5" t="s">
        <v>625</v>
      </c>
      <c r="B490" s="6">
        <v>2169.0</v>
      </c>
      <c r="C490" s="6" t="b">
        <v>0</v>
      </c>
      <c r="D490" s="8" t="str">
        <f>IFERROR(__xludf.DUMMYFUNCTION("GOOGLETRANSLATE(A490,""ar"", ""en"")"),"70*70 table top")</f>
        <v>70*70 table top</v>
      </c>
      <c r="E490" s="5" t="s">
        <v>1251</v>
      </c>
      <c r="F490" s="9" t="s">
        <v>27</v>
      </c>
      <c r="G490" s="9" t="s">
        <v>28</v>
      </c>
      <c r="H490" s="27" t="s">
        <v>98</v>
      </c>
      <c r="I490" s="8"/>
      <c r="J490" s="10">
        <v>0.0</v>
      </c>
      <c r="K490" s="11" t="s">
        <v>1252</v>
      </c>
      <c r="L490" s="8"/>
      <c r="M490" s="12">
        <v>14.0</v>
      </c>
      <c r="N490" s="8"/>
      <c r="O490" s="8"/>
      <c r="P490" s="10">
        <v>0.0</v>
      </c>
      <c r="Q490" s="4"/>
      <c r="R490" s="4"/>
      <c r="S490" s="4"/>
      <c r="T490" s="4"/>
      <c r="U490" s="4"/>
      <c r="V490" s="4"/>
      <c r="W490" s="4"/>
      <c r="X490" s="4"/>
      <c r="Y490" s="4"/>
    </row>
    <row r="491">
      <c r="A491" s="13" t="s">
        <v>850</v>
      </c>
      <c r="B491" s="6">
        <v>2170.0</v>
      </c>
      <c r="C491" s="6" t="b">
        <v>0</v>
      </c>
      <c r="D491" s="8" t="str">
        <f>IFERROR(__xludf.DUMMYFUNCTION("GOOGLETRANSLATE(A491,""ar"", ""en"")"),"Stainless steel bar base")</f>
        <v>Stainless steel bar base</v>
      </c>
      <c r="E491" s="13" t="s">
        <v>1253</v>
      </c>
      <c r="F491" s="9" t="s">
        <v>27</v>
      </c>
      <c r="G491" s="9" t="s">
        <v>28</v>
      </c>
      <c r="H491" s="16" t="s">
        <v>186</v>
      </c>
      <c r="I491" s="8"/>
      <c r="J491" s="14">
        <v>0.0</v>
      </c>
      <c r="K491" s="11" t="s">
        <v>852</v>
      </c>
      <c r="L491" s="8"/>
      <c r="M491" s="15">
        <v>11.0</v>
      </c>
      <c r="N491" s="8"/>
      <c r="O491" s="8"/>
      <c r="P491" s="14">
        <v>0.0</v>
      </c>
      <c r="Q491" s="4"/>
      <c r="R491" s="4"/>
      <c r="S491" s="4"/>
      <c r="T491" s="4"/>
      <c r="U491" s="4"/>
      <c r="V491" s="4"/>
      <c r="W491" s="4"/>
      <c r="X491" s="4"/>
      <c r="Y491" s="4"/>
    </row>
    <row r="492">
      <c r="A492" s="5" t="s">
        <v>627</v>
      </c>
      <c r="B492" s="6">
        <v>2171.0</v>
      </c>
      <c r="C492" s="6" t="b">
        <v>0</v>
      </c>
      <c r="D492" s="8" t="str">
        <f>IFERROR(__xludf.DUMMYFUNCTION("GOOGLETRANSLATE(A492,""ar"", ""en"")"),"80*120 table top")</f>
        <v>80*120 table top</v>
      </c>
      <c r="E492" s="5" t="s">
        <v>1254</v>
      </c>
      <c r="F492" s="9" t="s">
        <v>27</v>
      </c>
      <c r="G492" s="9" t="s">
        <v>28</v>
      </c>
      <c r="H492" s="27" t="s">
        <v>98</v>
      </c>
      <c r="I492" s="8"/>
      <c r="J492" s="29"/>
      <c r="K492" s="11" t="s">
        <v>1255</v>
      </c>
      <c r="L492" s="8"/>
      <c r="M492" s="12">
        <v>24.0</v>
      </c>
      <c r="N492" s="8"/>
      <c r="O492" s="8"/>
      <c r="P492" s="29"/>
      <c r="Q492" s="4"/>
      <c r="R492" s="4"/>
      <c r="S492" s="4"/>
      <c r="T492" s="4"/>
      <c r="U492" s="4"/>
      <c r="V492" s="4"/>
      <c r="W492" s="4"/>
      <c r="X492" s="4"/>
      <c r="Y492" s="4"/>
    </row>
    <row r="493">
      <c r="A493" s="13" t="s">
        <v>625</v>
      </c>
      <c r="B493" s="6">
        <v>2172.0</v>
      </c>
      <c r="C493" s="6" t="b">
        <v>0</v>
      </c>
      <c r="D493" s="8" t="str">
        <f>IFERROR(__xludf.DUMMYFUNCTION("GOOGLETRANSLATE(A493,""ar"", ""en"")"),"70*70 table top")</f>
        <v>70*70 table top</v>
      </c>
      <c r="E493" s="13" t="s">
        <v>1256</v>
      </c>
      <c r="F493" s="9" t="s">
        <v>27</v>
      </c>
      <c r="G493" s="9" t="s">
        <v>28</v>
      </c>
      <c r="H493" s="27" t="s">
        <v>98</v>
      </c>
      <c r="I493" s="16" t="s">
        <v>1257</v>
      </c>
      <c r="J493" s="31"/>
      <c r="K493" s="11" t="s">
        <v>1252</v>
      </c>
      <c r="L493" s="8"/>
      <c r="M493" s="15">
        <v>6.0</v>
      </c>
      <c r="N493" s="8"/>
      <c r="O493" s="8"/>
      <c r="P493" s="31"/>
      <c r="Q493" s="4"/>
      <c r="R493" s="4"/>
      <c r="S493" s="4"/>
      <c r="T493" s="4"/>
      <c r="U493" s="4"/>
      <c r="V493" s="4"/>
      <c r="W493" s="4"/>
      <c r="X493" s="4"/>
      <c r="Y493" s="4"/>
    </row>
    <row r="494">
      <c r="A494" s="5" t="s">
        <v>1258</v>
      </c>
      <c r="B494" s="6">
        <v>2173.0</v>
      </c>
      <c r="C494" s="6" t="b">
        <v>0</v>
      </c>
      <c r="D494" s="8" t="str">
        <f>IFERROR(__xludf.DUMMYFUNCTION("GOOGLETRANSLATE(A494,""ar"", ""en"")"),"Resin face 60*60")</f>
        <v>Resin face 60*60</v>
      </c>
      <c r="E494" s="5" t="s">
        <v>1259</v>
      </c>
      <c r="F494" s="9" t="s">
        <v>27</v>
      </c>
      <c r="G494" s="9" t="s">
        <v>28</v>
      </c>
      <c r="H494" s="27" t="s">
        <v>98</v>
      </c>
      <c r="I494" s="16" t="s">
        <v>1260</v>
      </c>
      <c r="J494" s="29"/>
      <c r="K494" s="11" t="s">
        <v>1261</v>
      </c>
      <c r="L494" s="8"/>
      <c r="M494" s="12">
        <v>20.0</v>
      </c>
      <c r="N494" s="8"/>
      <c r="O494" s="8"/>
      <c r="P494" s="29"/>
      <c r="Q494" s="4"/>
      <c r="R494" s="4"/>
      <c r="S494" s="4"/>
      <c r="T494" s="4"/>
      <c r="U494" s="4"/>
      <c r="V494" s="4"/>
      <c r="W494" s="4"/>
      <c r="X494" s="4"/>
      <c r="Y494" s="4"/>
    </row>
    <row r="495">
      <c r="A495" s="13" t="s">
        <v>1262</v>
      </c>
      <c r="B495" s="6">
        <v>2174.0</v>
      </c>
      <c r="C495" s="6" t="b">
        <v>0</v>
      </c>
      <c r="D495" s="8" t="str">
        <f>IFERROR(__xludf.DUMMYFUNCTION("GOOGLETRANSLATE(A495,""ar"", ""en"")"),"Resin face 70*70")</f>
        <v>Resin face 70*70</v>
      </c>
      <c r="E495" s="13" t="s">
        <v>1263</v>
      </c>
      <c r="F495" s="9" t="s">
        <v>27</v>
      </c>
      <c r="G495" s="9" t="s">
        <v>28</v>
      </c>
      <c r="H495" s="27" t="s">
        <v>98</v>
      </c>
      <c r="I495" s="8"/>
      <c r="J495" s="31"/>
      <c r="K495" s="11" t="s">
        <v>1264</v>
      </c>
      <c r="L495" s="8"/>
      <c r="M495" s="15">
        <v>39.0</v>
      </c>
      <c r="N495" s="8"/>
      <c r="O495" s="8"/>
      <c r="P495" s="31"/>
      <c r="Q495" s="4"/>
      <c r="R495" s="4"/>
      <c r="S495" s="4"/>
      <c r="T495" s="4"/>
      <c r="U495" s="4"/>
      <c r="V495" s="4"/>
      <c r="W495" s="4"/>
      <c r="X495" s="4"/>
      <c r="Y495" s="4"/>
    </row>
    <row r="496">
      <c r="A496" s="5" t="s">
        <v>1265</v>
      </c>
      <c r="B496" s="6">
        <v>2175.0</v>
      </c>
      <c r="C496" s="6" t="b">
        <v>0</v>
      </c>
      <c r="D496" s="8" t="str">
        <f>IFERROR(__xludf.DUMMYFUNCTION("GOOGLETRANSLATE(A496,""ar"", ""en"")"),"Resin face 80*80")</f>
        <v>Resin face 80*80</v>
      </c>
      <c r="E496" s="5" t="s">
        <v>1266</v>
      </c>
      <c r="F496" s="9" t="s">
        <v>27</v>
      </c>
      <c r="G496" s="9" t="s">
        <v>28</v>
      </c>
      <c r="H496" s="27" t="s">
        <v>98</v>
      </c>
      <c r="I496" s="8"/>
      <c r="J496" s="29"/>
      <c r="K496" s="11" t="s">
        <v>1267</v>
      </c>
      <c r="L496" s="8"/>
      <c r="M496" s="12">
        <v>59.0</v>
      </c>
      <c r="N496" s="8"/>
      <c r="O496" s="8"/>
      <c r="P496" s="29"/>
      <c r="Q496" s="4"/>
      <c r="R496" s="4"/>
      <c r="S496" s="4"/>
      <c r="T496" s="4"/>
      <c r="U496" s="4"/>
      <c r="V496" s="4"/>
      <c r="W496" s="4"/>
      <c r="X496" s="4"/>
      <c r="Y496" s="4"/>
    </row>
    <row r="497">
      <c r="A497" s="13" t="s">
        <v>1268</v>
      </c>
      <c r="B497" s="6">
        <v>2176.0</v>
      </c>
      <c r="C497" s="6" t="b">
        <v>0</v>
      </c>
      <c r="D497" s="8" t="str">
        <f>IFERROR(__xludf.DUMMYFUNCTION("GOOGLETRANSLATE(A497,""ar"", ""en"")"),"Resin face 70*120")</f>
        <v>Resin face 70*120</v>
      </c>
      <c r="E497" s="13" t="s">
        <v>1269</v>
      </c>
      <c r="F497" s="9" t="s">
        <v>27</v>
      </c>
      <c r="G497" s="9" t="s">
        <v>28</v>
      </c>
      <c r="H497" s="27" t="s">
        <v>98</v>
      </c>
      <c r="I497" s="8"/>
      <c r="J497" s="31"/>
      <c r="K497" s="11" t="s">
        <v>1270</v>
      </c>
      <c r="L497" s="8"/>
      <c r="M497" s="15">
        <v>50.0</v>
      </c>
      <c r="N497" s="8"/>
      <c r="O497" s="8"/>
      <c r="P497" s="31"/>
      <c r="Q497" s="4"/>
      <c r="R497" s="4"/>
      <c r="S497" s="4"/>
      <c r="T497" s="4"/>
      <c r="U497" s="4"/>
      <c r="V497" s="4"/>
      <c r="W497" s="4"/>
      <c r="X497" s="4"/>
      <c r="Y497" s="4"/>
    </row>
    <row r="498">
      <c r="A498" s="5" t="s">
        <v>1271</v>
      </c>
      <c r="B498" s="6">
        <v>2177.0</v>
      </c>
      <c r="C498" s="6" t="b">
        <v>0</v>
      </c>
      <c r="D498" s="8" t="str">
        <f>IFERROR(__xludf.DUMMYFUNCTION("GOOGLETRANSLATE(A498,""ar"", ""en"")"),"Resin face 80*130")</f>
        <v>Resin face 80*130</v>
      </c>
      <c r="E498" s="5" t="s">
        <v>1272</v>
      </c>
      <c r="F498" s="9" t="s">
        <v>27</v>
      </c>
      <c r="G498" s="9" t="s">
        <v>28</v>
      </c>
      <c r="H498" s="27" t="s">
        <v>98</v>
      </c>
      <c r="I498" s="8"/>
      <c r="J498" s="29"/>
      <c r="K498" s="11" t="s">
        <v>1273</v>
      </c>
      <c r="L498" s="8"/>
      <c r="M498" s="12">
        <v>30.0</v>
      </c>
      <c r="N498" s="8"/>
      <c r="O498" s="8"/>
      <c r="P498" s="29"/>
      <c r="Q498" s="4"/>
      <c r="R498" s="4"/>
      <c r="S498" s="4"/>
      <c r="T498" s="4"/>
      <c r="U498" s="4"/>
      <c r="V498" s="4"/>
      <c r="W498" s="4"/>
      <c r="X498" s="4"/>
      <c r="Y498" s="4"/>
    </row>
    <row r="499">
      <c r="A499" s="13" t="s">
        <v>621</v>
      </c>
      <c r="B499" s="6">
        <v>2178.0</v>
      </c>
      <c r="C499" s="6" t="b">
        <v>0</v>
      </c>
      <c r="D499" s="8" t="str">
        <f>IFERROR(__xludf.DUMMYFUNCTION("GOOGLETRANSLATE(A499,""ar"", ""en"")"),"60*60 table top")</f>
        <v>60*60 table top</v>
      </c>
      <c r="E499" s="13" t="s">
        <v>1274</v>
      </c>
      <c r="F499" s="9" t="s">
        <v>27</v>
      </c>
      <c r="G499" s="9" t="s">
        <v>28</v>
      </c>
      <c r="H499" s="27" t="s">
        <v>98</v>
      </c>
      <c r="I499" s="16" t="s">
        <v>1275</v>
      </c>
      <c r="J499" s="31"/>
      <c r="K499" s="11" t="s">
        <v>1248</v>
      </c>
      <c r="L499" s="8"/>
      <c r="M499" s="15">
        <v>34.0</v>
      </c>
      <c r="N499" s="8"/>
      <c r="O499" s="8"/>
      <c r="P499" s="31"/>
      <c r="Q499" s="4"/>
      <c r="R499" s="4"/>
      <c r="S499" s="4"/>
      <c r="T499" s="4"/>
      <c r="U499" s="4"/>
      <c r="V499" s="4"/>
      <c r="W499" s="4"/>
      <c r="X499" s="4"/>
      <c r="Y499" s="4"/>
    </row>
    <row r="500">
      <c r="A500" s="5" t="s">
        <v>625</v>
      </c>
      <c r="B500" s="6">
        <v>2179.0</v>
      </c>
      <c r="C500" s="6" t="b">
        <v>0</v>
      </c>
      <c r="D500" s="8" t="str">
        <f>IFERROR(__xludf.DUMMYFUNCTION("GOOGLETRANSLATE(A500,""ar"", ""en"")"),"70*70 table top")</f>
        <v>70*70 table top</v>
      </c>
      <c r="E500" s="5" t="s">
        <v>1276</v>
      </c>
      <c r="F500" s="9" t="s">
        <v>27</v>
      </c>
      <c r="G500" s="9" t="s">
        <v>28</v>
      </c>
      <c r="H500" s="27" t="s">
        <v>98</v>
      </c>
      <c r="I500" s="8"/>
      <c r="J500" s="10">
        <v>0.0</v>
      </c>
      <c r="K500" s="11" t="s">
        <v>1252</v>
      </c>
      <c r="L500" s="8"/>
      <c r="M500" s="12">
        <v>23.0</v>
      </c>
      <c r="N500" s="8"/>
      <c r="O500" s="8"/>
      <c r="P500" s="10">
        <v>0.0</v>
      </c>
      <c r="Q500" s="4"/>
      <c r="R500" s="4"/>
      <c r="S500" s="4"/>
      <c r="T500" s="4"/>
      <c r="U500" s="4"/>
      <c r="V500" s="4"/>
      <c r="W500" s="4"/>
      <c r="X500" s="4"/>
      <c r="Y500" s="4"/>
    </row>
    <row r="501">
      <c r="A501" s="13" t="s">
        <v>629</v>
      </c>
      <c r="B501" s="6">
        <v>2180.0</v>
      </c>
      <c r="C501" s="6" t="b">
        <v>0</v>
      </c>
      <c r="D501" s="8" t="str">
        <f>IFERROR(__xludf.DUMMYFUNCTION("GOOGLETRANSLATE(A501,""ar"", ""en"")"),"80*80 table top")</f>
        <v>80*80 table top</v>
      </c>
      <c r="E501" s="13" t="s">
        <v>1277</v>
      </c>
      <c r="F501" s="9" t="s">
        <v>27</v>
      </c>
      <c r="G501" s="9" t="s">
        <v>28</v>
      </c>
      <c r="H501" s="27" t="s">
        <v>98</v>
      </c>
      <c r="I501" s="8"/>
      <c r="J501" s="14">
        <v>0.0</v>
      </c>
      <c r="K501" s="11" t="s">
        <v>1245</v>
      </c>
      <c r="L501" s="8"/>
      <c r="M501" s="15">
        <v>49.0</v>
      </c>
      <c r="N501" s="8"/>
      <c r="O501" s="8"/>
      <c r="P501" s="14">
        <v>0.0</v>
      </c>
      <c r="Q501" s="4"/>
      <c r="R501" s="4"/>
      <c r="S501" s="4"/>
      <c r="T501" s="4"/>
      <c r="U501" s="4"/>
      <c r="V501" s="4"/>
      <c r="W501" s="4"/>
      <c r="X501" s="4"/>
      <c r="Y501" s="4"/>
    </row>
    <row r="502">
      <c r="A502" s="5" t="s">
        <v>1278</v>
      </c>
      <c r="B502" s="6">
        <v>2181.0</v>
      </c>
      <c r="C502" s="6" t="b">
        <v>0</v>
      </c>
      <c r="D502" s="8" t="str">
        <f>IFERROR(__xludf.DUMMYFUNCTION("GOOGLETRANSLATE(A502,""ar"", ""en"")"),"90*90 table top")</f>
        <v>90*90 table top</v>
      </c>
      <c r="E502" s="5" t="s">
        <v>1279</v>
      </c>
      <c r="F502" s="9" t="s">
        <v>27</v>
      </c>
      <c r="G502" s="9" t="s">
        <v>28</v>
      </c>
      <c r="H502" s="27" t="s">
        <v>98</v>
      </c>
      <c r="I502" s="8"/>
      <c r="J502" s="10">
        <v>0.0</v>
      </c>
      <c r="K502" s="11" t="s">
        <v>1280</v>
      </c>
      <c r="L502" s="8"/>
      <c r="M502" s="12">
        <v>8.0</v>
      </c>
      <c r="N502" s="8"/>
      <c r="O502" s="8"/>
      <c r="P502" s="10">
        <v>0.0</v>
      </c>
      <c r="Q502" s="4"/>
      <c r="R502" s="4"/>
      <c r="S502" s="4"/>
      <c r="T502" s="4"/>
      <c r="U502" s="4"/>
      <c r="V502" s="4"/>
      <c r="W502" s="4"/>
      <c r="X502" s="4"/>
      <c r="Y502" s="4"/>
    </row>
    <row r="503">
      <c r="A503" s="5" t="s">
        <v>738</v>
      </c>
      <c r="B503" s="6">
        <v>2183.0</v>
      </c>
      <c r="C503" s="6" t="b">
        <v>0</v>
      </c>
      <c r="D503" s="8" t="str">
        <f>IFERROR(__xludf.DUMMYFUNCTION("GOOGLETRANSLATE(A503,""ar"", ""en"")"),"Resin table 80*80")</f>
        <v>Resin table 80*80</v>
      </c>
      <c r="E503" s="5" t="s">
        <v>1281</v>
      </c>
      <c r="F503" s="9" t="s">
        <v>27</v>
      </c>
      <c r="G503" s="9" t="s">
        <v>28</v>
      </c>
      <c r="H503" s="8"/>
      <c r="I503" s="8"/>
      <c r="J503" s="29"/>
      <c r="K503" s="11" t="s">
        <v>740</v>
      </c>
      <c r="L503" s="8"/>
      <c r="M503" s="12">
        <v>7.0</v>
      </c>
      <c r="N503" s="8"/>
      <c r="O503" s="8"/>
      <c r="P503" s="29"/>
      <c r="Q503" s="4"/>
      <c r="R503" s="4"/>
      <c r="S503" s="4"/>
      <c r="T503" s="4"/>
      <c r="U503" s="4"/>
      <c r="V503" s="4"/>
      <c r="W503" s="4"/>
      <c r="X503" s="4"/>
      <c r="Y503" s="4"/>
    </row>
    <row r="504">
      <c r="A504" s="5" t="s">
        <v>738</v>
      </c>
      <c r="B504" s="6">
        <v>2185.0</v>
      </c>
      <c r="C504" s="6" t="b">
        <v>0</v>
      </c>
      <c r="D504" s="8" t="str">
        <f>IFERROR(__xludf.DUMMYFUNCTION("GOOGLETRANSLATE(A504,""ar"", ""en"")"),"Resin table 80*80")</f>
        <v>Resin table 80*80</v>
      </c>
      <c r="E504" s="5" t="s">
        <v>1282</v>
      </c>
      <c r="F504" s="9" t="s">
        <v>27</v>
      </c>
      <c r="G504" s="9" t="s">
        <v>28</v>
      </c>
      <c r="H504" s="8"/>
      <c r="I504" s="8"/>
      <c r="J504" s="29"/>
      <c r="K504" s="11" t="s">
        <v>740</v>
      </c>
      <c r="L504" s="8"/>
      <c r="M504" s="58">
        <v>40.0</v>
      </c>
      <c r="N504" s="8"/>
      <c r="O504" s="8"/>
      <c r="P504" s="29"/>
      <c r="Q504" s="4"/>
      <c r="R504" s="4"/>
      <c r="S504" s="4"/>
      <c r="T504" s="4"/>
      <c r="U504" s="4"/>
      <c r="V504" s="4"/>
      <c r="W504" s="4"/>
      <c r="X504" s="4"/>
      <c r="Y504" s="4"/>
    </row>
    <row r="505">
      <c r="A505" s="5" t="s">
        <v>1283</v>
      </c>
      <c r="B505" s="6">
        <v>2186.0</v>
      </c>
      <c r="C505" s="6" t="b">
        <v>0</v>
      </c>
      <c r="D505" s="8" t="str">
        <f>IFERROR(__xludf.DUMMYFUNCTION("GOOGLETRANSLATE(A505,""ar"", ""en"")"),"Grey two-seat resin set")</f>
        <v>Grey two-seat resin set</v>
      </c>
      <c r="E505" s="5" t="s">
        <v>1284</v>
      </c>
      <c r="F505" s="9" t="s">
        <v>28</v>
      </c>
      <c r="G505" s="9"/>
      <c r="H505" s="16" t="s">
        <v>519</v>
      </c>
      <c r="I505" s="8"/>
      <c r="J505" s="29"/>
      <c r="K505" s="11" t="s">
        <v>1285</v>
      </c>
      <c r="L505" s="8"/>
      <c r="M505" s="12">
        <v>30.0</v>
      </c>
      <c r="N505" s="8"/>
      <c r="O505" s="8"/>
      <c r="P505" s="29"/>
      <c r="Q505" s="4"/>
      <c r="R505" s="4"/>
      <c r="S505" s="4"/>
      <c r="T505" s="4"/>
      <c r="U505" s="4"/>
      <c r="V505" s="4"/>
      <c r="W505" s="4"/>
      <c r="X505" s="4"/>
      <c r="Y505" s="4"/>
    </row>
    <row r="506">
      <c r="A506" s="13" t="s">
        <v>738</v>
      </c>
      <c r="B506" s="6">
        <v>2187.0</v>
      </c>
      <c r="C506" s="6" t="b">
        <v>0</v>
      </c>
      <c r="D506" s="8" t="str">
        <f>IFERROR(__xludf.DUMMYFUNCTION("GOOGLETRANSLATE(A506,""ar"", ""en"")"),"Resin table 80*80")</f>
        <v>Resin table 80*80</v>
      </c>
      <c r="E506" s="13" t="s">
        <v>1286</v>
      </c>
      <c r="F506" s="9" t="s">
        <v>28</v>
      </c>
      <c r="G506" s="9"/>
      <c r="H506" s="8"/>
      <c r="I506" s="8"/>
      <c r="J506" s="14">
        <v>0.0</v>
      </c>
      <c r="K506" s="11" t="s">
        <v>740</v>
      </c>
      <c r="L506" s="8"/>
      <c r="M506" s="15">
        <v>8.0</v>
      </c>
      <c r="N506" s="8"/>
      <c r="O506" s="8"/>
      <c r="P506" s="14">
        <v>0.0</v>
      </c>
      <c r="Q506" s="4"/>
      <c r="R506" s="4"/>
      <c r="S506" s="4"/>
      <c r="T506" s="4"/>
      <c r="U506" s="4"/>
      <c r="V506" s="4"/>
      <c r="W506" s="4"/>
      <c r="X506" s="4"/>
      <c r="Y506" s="4"/>
    </row>
    <row r="507">
      <c r="A507" s="5" t="s">
        <v>1287</v>
      </c>
      <c r="B507" s="6">
        <v>2194.0</v>
      </c>
      <c r="C507" s="6" t="b">
        <v>0</v>
      </c>
      <c r="D507" s="8" t="str">
        <f>IFERROR(__xludf.DUMMYFUNCTION("GOOGLETRANSLATE(A507,""ar"", ""en"")"),"Original 80*120 stainless steel table top")</f>
        <v>Original 80*120 stainless steel table top</v>
      </c>
      <c r="E507" s="5" t="s">
        <v>1288</v>
      </c>
      <c r="F507" s="9" t="s">
        <v>27</v>
      </c>
      <c r="G507" s="9" t="s">
        <v>28</v>
      </c>
      <c r="H507" s="27" t="s">
        <v>98</v>
      </c>
      <c r="I507" s="16"/>
      <c r="J507" s="29"/>
      <c r="K507" s="11" t="s">
        <v>1289</v>
      </c>
      <c r="L507" s="8"/>
      <c r="M507" s="12">
        <v>41.0</v>
      </c>
      <c r="N507" s="8"/>
      <c r="O507" s="8"/>
      <c r="P507" s="29"/>
      <c r="Q507" s="4"/>
      <c r="R507" s="4"/>
      <c r="S507" s="4"/>
      <c r="T507" s="4"/>
      <c r="U507" s="4"/>
      <c r="V507" s="4"/>
      <c r="W507" s="4"/>
      <c r="X507" s="4"/>
      <c r="Y507" s="4"/>
    </row>
    <row r="508">
      <c r="A508" s="13" t="s">
        <v>1290</v>
      </c>
      <c r="B508" s="6">
        <v>2195.0</v>
      </c>
      <c r="C508" s="6" t="b">
        <v>0</v>
      </c>
      <c r="D508" s="8" t="str">
        <f>IFERROR(__xludf.DUMMYFUNCTION("GOOGLETRANSLATE(A508,""ar"", ""en"")"),"Original 60 round stainless steel table top")</f>
        <v>Original 60 round stainless steel table top</v>
      </c>
      <c r="E508" s="13" t="s">
        <v>1291</v>
      </c>
      <c r="F508" s="9" t="s">
        <v>27</v>
      </c>
      <c r="G508" s="9" t="s">
        <v>28</v>
      </c>
      <c r="H508" s="27" t="s">
        <v>98</v>
      </c>
      <c r="I508" s="16" t="s">
        <v>1292</v>
      </c>
      <c r="J508" s="31"/>
      <c r="K508" s="11" t="s">
        <v>1293</v>
      </c>
      <c r="L508" s="8"/>
      <c r="M508" s="15">
        <v>74.0</v>
      </c>
      <c r="N508" s="8"/>
      <c r="O508" s="8"/>
      <c r="P508" s="31"/>
      <c r="Q508" s="4"/>
      <c r="R508" s="4"/>
      <c r="S508" s="4"/>
      <c r="T508" s="4"/>
      <c r="U508" s="4"/>
      <c r="V508" s="4"/>
      <c r="W508" s="4"/>
      <c r="X508" s="4"/>
      <c r="Y508" s="4"/>
    </row>
    <row r="509">
      <c r="A509" s="5" t="s">
        <v>1294</v>
      </c>
      <c r="B509" s="6">
        <v>2196.0</v>
      </c>
      <c r="C509" s="6" t="b">
        <v>0</v>
      </c>
      <c r="D509" s="8" t="str">
        <f>IFERROR(__xludf.DUMMYFUNCTION("GOOGLETRANSLATE(A509,""ar"", ""en"")"),"Original 70*70 stainless steel table top")</f>
        <v>Original 70*70 stainless steel table top</v>
      </c>
      <c r="E509" s="5" t="s">
        <v>1295</v>
      </c>
      <c r="F509" s="9" t="s">
        <v>27</v>
      </c>
      <c r="G509" s="9" t="s">
        <v>28</v>
      </c>
      <c r="H509" s="27" t="s">
        <v>98</v>
      </c>
      <c r="I509" s="16" t="s">
        <v>1296</v>
      </c>
      <c r="J509" s="29"/>
      <c r="K509" s="11" t="s">
        <v>1297</v>
      </c>
      <c r="L509" s="8"/>
      <c r="M509" s="12">
        <v>87.0</v>
      </c>
      <c r="N509" s="8"/>
      <c r="O509" s="8"/>
      <c r="P509" s="29"/>
      <c r="Q509" s="4"/>
      <c r="R509" s="4"/>
      <c r="S509" s="4"/>
      <c r="T509" s="4"/>
      <c r="U509" s="4"/>
      <c r="V509" s="4"/>
      <c r="W509" s="4"/>
      <c r="X509" s="4"/>
      <c r="Y509" s="4"/>
    </row>
    <row r="510">
      <c r="A510" s="13" t="s">
        <v>1298</v>
      </c>
      <c r="B510" s="6">
        <v>2197.0</v>
      </c>
      <c r="C510" s="6" t="b">
        <v>0</v>
      </c>
      <c r="D510" s="8" t="str">
        <f>IFERROR(__xludf.DUMMYFUNCTION("GOOGLETRANSLATE(A510,""ar"", ""en"")"),"Original round 70 stainless steel table top")</f>
        <v>Original round 70 stainless steel table top</v>
      </c>
      <c r="E510" s="13" t="s">
        <v>1299</v>
      </c>
      <c r="F510" s="9" t="s">
        <v>27</v>
      </c>
      <c r="G510" s="9" t="s">
        <v>28</v>
      </c>
      <c r="H510" s="27" t="s">
        <v>98</v>
      </c>
      <c r="I510" s="8"/>
      <c r="J510" s="31"/>
      <c r="K510" s="11" t="s">
        <v>1300</v>
      </c>
      <c r="L510" s="8"/>
      <c r="M510" s="15">
        <v>107.0</v>
      </c>
      <c r="N510" s="8"/>
      <c r="O510" s="8"/>
      <c r="P510" s="31"/>
      <c r="Q510" s="4"/>
      <c r="R510" s="4"/>
      <c r="S510" s="4"/>
      <c r="T510" s="4"/>
      <c r="U510" s="4"/>
      <c r="V510" s="4"/>
      <c r="W510" s="4"/>
      <c r="X510" s="4"/>
      <c r="Y510" s="4"/>
    </row>
    <row r="511">
      <c r="A511" s="5" t="s">
        <v>1301</v>
      </c>
      <c r="B511" s="6">
        <v>2198.0</v>
      </c>
      <c r="C511" s="6" t="b">
        <v>0</v>
      </c>
      <c r="D511" s="8" t="str">
        <f>IFERROR(__xludf.DUMMYFUNCTION("GOOGLETRANSLATE(A511,""ar"", ""en"")"),"Long square two-story shoes")</f>
        <v>Long square two-story shoes</v>
      </c>
      <c r="E511" s="5" t="s">
        <v>1302</v>
      </c>
      <c r="F511" s="9" t="s">
        <v>18</v>
      </c>
      <c r="G511" s="9"/>
      <c r="H511" s="16" t="s">
        <v>1303</v>
      </c>
      <c r="I511" s="8"/>
      <c r="J511" s="10">
        <v>0.0</v>
      </c>
      <c r="K511" s="11" t="s">
        <v>1304</v>
      </c>
      <c r="L511" s="8"/>
      <c r="M511" s="12">
        <v>161.0</v>
      </c>
      <c r="N511" s="8"/>
      <c r="O511" s="8"/>
      <c r="P511" s="10">
        <v>0.0</v>
      </c>
      <c r="Q511" s="4"/>
      <c r="R511" s="4"/>
      <c r="S511" s="4"/>
      <c r="T511" s="4"/>
      <c r="U511" s="4"/>
      <c r="V511" s="4"/>
      <c r="W511" s="4"/>
      <c r="X511" s="4"/>
      <c r="Y511" s="4"/>
    </row>
    <row r="512">
      <c r="A512" s="13" t="s">
        <v>1305</v>
      </c>
      <c r="B512" s="6">
        <v>2203.0</v>
      </c>
      <c r="C512" s="6" t="b">
        <v>0</v>
      </c>
      <c r="D512" s="8" t="str">
        <f>IFERROR(__xludf.DUMMYFUNCTION("GOOGLETRANSLATE(A512,""ar"", ""en"")"),"Heavy duty 4-legged aluminum base")</f>
        <v>Heavy duty 4-legged aluminum base</v>
      </c>
      <c r="E512" s="13" t="s">
        <v>1306</v>
      </c>
      <c r="F512" s="9" t="s">
        <v>27</v>
      </c>
      <c r="G512" s="9" t="s">
        <v>28</v>
      </c>
      <c r="H512" s="16" t="s">
        <v>186</v>
      </c>
      <c r="I512" s="8"/>
      <c r="J512" s="31"/>
      <c r="K512" s="11" t="s">
        <v>1307</v>
      </c>
      <c r="L512" s="8"/>
      <c r="M512" s="15">
        <v>56.0</v>
      </c>
      <c r="N512" s="8"/>
      <c r="O512" s="8"/>
      <c r="P512" s="31"/>
      <c r="Q512" s="4"/>
      <c r="R512" s="4"/>
      <c r="S512" s="4"/>
      <c r="T512" s="4"/>
      <c r="U512" s="4"/>
      <c r="V512" s="4"/>
      <c r="W512" s="4"/>
      <c r="X512" s="4"/>
      <c r="Y512" s="4"/>
    </row>
    <row r="513">
      <c r="A513" s="13" t="s">
        <v>1308</v>
      </c>
      <c r="B513" s="6">
        <v>2207.0</v>
      </c>
      <c r="C513" s="6" t="b">
        <v>0</v>
      </c>
      <c r="D513" s="8" t="str">
        <f>IFERROR(__xludf.DUMMYFUNCTION("GOOGLETRANSLATE(A513,""ar"", ""en"")"),"Large X Stainless Base")</f>
        <v>Large X Stainless Base</v>
      </c>
      <c r="E513" s="13" t="s">
        <v>1309</v>
      </c>
      <c r="F513" s="9" t="s">
        <v>27</v>
      </c>
      <c r="G513" s="9" t="s">
        <v>28</v>
      </c>
      <c r="H513" s="16" t="s">
        <v>186</v>
      </c>
      <c r="I513" s="8"/>
      <c r="J513" s="31"/>
      <c r="K513" s="11" t="s">
        <v>1310</v>
      </c>
      <c r="L513" s="8"/>
      <c r="M513" s="15">
        <v>39.0</v>
      </c>
      <c r="N513" s="8"/>
      <c r="O513" s="8"/>
      <c r="P513" s="31"/>
      <c r="Q513" s="4"/>
      <c r="R513" s="4"/>
      <c r="S513" s="4"/>
      <c r="T513" s="4"/>
      <c r="U513" s="4"/>
      <c r="V513" s="4"/>
      <c r="W513" s="4"/>
      <c r="X513" s="4"/>
      <c r="Y513" s="4"/>
    </row>
    <row r="514">
      <c r="A514" s="5" t="s">
        <v>1311</v>
      </c>
      <c r="B514" s="6">
        <v>2208.0</v>
      </c>
      <c r="C514" s="6" t="b">
        <v>0</v>
      </c>
      <c r="D514" s="8" t="str">
        <f>IFERROR(__xludf.DUMMYFUNCTION("GOOGLETRANSLATE(A514,""ar"", ""en"")"),"Small X Stainless Base")</f>
        <v>Small X Stainless Base</v>
      </c>
      <c r="E514" s="5" t="s">
        <v>1312</v>
      </c>
      <c r="F514" s="9" t="s">
        <v>27</v>
      </c>
      <c r="G514" s="9" t="s">
        <v>28</v>
      </c>
      <c r="H514" s="16" t="s">
        <v>186</v>
      </c>
      <c r="I514" s="8"/>
      <c r="J514" s="29"/>
      <c r="K514" s="11" t="s">
        <v>1313</v>
      </c>
      <c r="L514" s="8"/>
      <c r="M514" s="12">
        <v>88.0</v>
      </c>
      <c r="N514" s="8"/>
      <c r="O514" s="8"/>
      <c r="P514" s="29"/>
      <c r="Q514" s="4"/>
      <c r="R514" s="4"/>
      <c r="S514" s="4"/>
      <c r="T514" s="4"/>
      <c r="U514" s="4"/>
      <c r="V514" s="4"/>
      <c r="W514" s="4"/>
      <c r="X514" s="4"/>
      <c r="Y514" s="4"/>
    </row>
    <row r="515">
      <c r="A515" s="13" t="s">
        <v>1314</v>
      </c>
      <c r="B515" s="6">
        <v>2211.0</v>
      </c>
      <c r="C515" s="6" t="b">
        <v>0</v>
      </c>
      <c r="D515" s="8" t="str">
        <f>IFERROR(__xludf.DUMMYFUNCTION("GOOGLETRANSLATE(A515,""ar"", ""en"")"),"Versalite rectangular table top 80*120")</f>
        <v>Versalite rectangular table top 80*120</v>
      </c>
      <c r="E515" s="13" t="s">
        <v>1315</v>
      </c>
      <c r="F515" s="9" t="s">
        <v>27</v>
      </c>
      <c r="G515" s="9" t="s">
        <v>28</v>
      </c>
      <c r="H515" s="16" t="s">
        <v>98</v>
      </c>
      <c r="I515" s="16" t="s">
        <v>1316</v>
      </c>
      <c r="J515" s="31"/>
      <c r="K515" s="11" t="s">
        <v>1317</v>
      </c>
      <c r="L515" s="8"/>
      <c r="M515" s="15">
        <v>17.0</v>
      </c>
      <c r="N515" s="8"/>
      <c r="O515" s="8"/>
      <c r="P515" s="31"/>
      <c r="Q515" s="4"/>
      <c r="R515" s="4"/>
      <c r="S515" s="4"/>
      <c r="T515" s="4"/>
      <c r="U515" s="4"/>
      <c r="V515" s="4"/>
      <c r="W515" s="4"/>
      <c r="X515" s="4"/>
      <c r="Y515" s="4"/>
    </row>
    <row r="516">
      <c r="A516" s="13" t="s">
        <v>1318</v>
      </c>
      <c r="B516" s="6">
        <v>2213.0</v>
      </c>
      <c r="C516" s="6" t="b">
        <v>0</v>
      </c>
      <c r="D516" s="8" t="str">
        <f>IFERROR(__xludf.DUMMYFUNCTION("GOOGLETRANSLATE(A516,""ar"", ""en"")"),"Versalite 60 round table top")</f>
        <v>Versalite 60 round table top</v>
      </c>
      <c r="E516" s="13" t="s">
        <v>1319</v>
      </c>
      <c r="F516" s="9" t="s">
        <v>27</v>
      </c>
      <c r="G516" s="9" t="s">
        <v>18</v>
      </c>
      <c r="H516" s="27" t="s">
        <v>98</v>
      </c>
      <c r="I516" s="16" t="s">
        <v>1320</v>
      </c>
      <c r="J516" s="31"/>
      <c r="K516" s="11" t="s">
        <v>1321</v>
      </c>
      <c r="L516" s="8"/>
      <c r="M516" s="15">
        <v>5.0</v>
      </c>
      <c r="N516" s="8"/>
      <c r="O516" s="8"/>
      <c r="P516" s="31"/>
      <c r="Q516" s="4"/>
      <c r="R516" s="4"/>
      <c r="S516" s="4"/>
      <c r="T516" s="4"/>
      <c r="U516" s="4"/>
      <c r="V516" s="4"/>
      <c r="W516" s="4"/>
      <c r="X516" s="4"/>
      <c r="Y516" s="4"/>
    </row>
    <row r="517">
      <c r="A517" s="5" t="s">
        <v>1322</v>
      </c>
      <c r="B517" s="6">
        <v>2214.0</v>
      </c>
      <c r="C517" s="6" t="b">
        <v>0</v>
      </c>
      <c r="D517" s="8" t="str">
        <f>IFERROR(__xludf.DUMMYFUNCTION("GOOGLETRANSLATE(A517,""ar"", ""en"")"),"Heavy wood face 60*60")</f>
        <v>Heavy wood face 60*60</v>
      </c>
      <c r="E517" s="5" t="s">
        <v>1323</v>
      </c>
      <c r="F517" s="9" t="s">
        <v>27</v>
      </c>
      <c r="G517" s="9" t="s">
        <v>18</v>
      </c>
      <c r="H517" s="27" t="s">
        <v>98</v>
      </c>
      <c r="I517" s="8"/>
      <c r="J517" s="29"/>
      <c r="K517" s="11" t="s">
        <v>1324</v>
      </c>
      <c r="L517" s="8"/>
      <c r="M517" s="12">
        <v>19.0</v>
      </c>
      <c r="N517" s="8"/>
      <c r="O517" s="8"/>
      <c r="P517" s="29"/>
      <c r="Q517" s="4"/>
      <c r="R517" s="4"/>
      <c r="S517" s="4"/>
      <c r="T517" s="4"/>
      <c r="U517" s="4"/>
      <c r="V517" s="4"/>
      <c r="W517" s="4"/>
      <c r="X517" s="4"/>
      <c r="Y517" s="4"/>
    </row>
    <row r="518">
      <c r="A518" s="13" t="s">
        <v>1325</v>
      </c>
      <c r="B518" s="6">
        <v>2217.0</v>
      </c>
      <c r="C518" s="6" t="b">
        <v>0</v>
      </c>
      <c r="D518" s="8" t="str">
        <f>IFERROR(__xludf.DUMMYFUNCTION("GOOGLETRANSLATE(A518,""ar"", ""en"")"),"Heavy wood face 90*90")</f>
        <v>Heavy wood face 90*90</v>
      </c>
      <c r="E518" s="13" t="s">
        <v>1326</v>
      </c>
      <c r="F518" s="9" t="s">
        <v>27</v>
      </c>
      <c r="G518" s="9" t="s">
        <v>18</v>
      </c>
      <c r="H518" s="27" t="s">
        <v>98</v>
      </c>
      <c r="I518" s="8"/>
      <c r="J518" s="31"/>
      <c r="K518" s="11" t="s">
        <v>1327</v>
      </c>
      <c r="L518" s="8"/>
      <c r="M518" s="15">
        <v>39.0</v>
      </c>
      <c r="N518" s="8"/>
      <c r="O518" s="8"/>
      <c r="P518" s="31"/>
      <c r="Q518" s="4"/>
      <c r="R518" s="4"/>
      <c r="S518" s="4"/>
      <c r="T518" s="4"/>
      <c r="U518" s="4"/>
      <c r="V518" s="4"/>
      <c r="W518" s="4"/>
      <c r="X518" s="4"/>
      <c r="Y518" s="4"/>
    </row>
    <row r="519">
      <c r="A519" s="5" t="s">
        <v>1328</v>
      </c>
      <c r="B519" s="6">
        <v>2220.0</v>
      </c>
      <c r="C519" s="6" t="b">
        <v>0</v>
      </c>
      <c r="D519" s="8" t="str">
        <f>IFERROR(__xludf.DUMMYFUNCTION("GOOGLETRANSLATE(A519,""ar"", ""en"")"),"70*70 square versalite table top")</f>
        <v>70*70 square versalite table top</v>
      </c>
      <c r="E519" s="5" t="s">
        <v>1329</v>
      </c>
      <c r="F519" s="9" t="s">
        <v>27</v>
      </c>
      <c r="G519" s="9" t="s">
        <v>28</v>
      </c>
      <c r="H519" s="27" t="s">
        <v>98</v>
      </c>
      <c r="I519" s="8"/>
      <c r="J519" s="29"/>
      <c r="K519" s="11" t="s">
        <v>1330</v>
      </c>
      <c r="L519" s="8"/>
      <c r="M519" s="12">
        <v>19.0</v>
      </c>
      <c r="N519" s="8"/>
      <c r="O519" s="8"/>
      <c r="P519" s="29"/>
      <c r="Q519" s="4"/>
      <c r="R519" s="4"/>
      <c r="S519" s="4"/>
      <c r="T519" s="4"/>
      <c r="U519" s="4"/>
      <c r="V519" s="4"/>
      <c r="W519" s="4"/>
      <c r="X519" s="4"/>
      <c r="Y519" s="4"/>
    </row>
    <row r="520">
      <c r="A520" s="13" t="s">
        <v>1331</v>
      </c>
      <c r="B520" s="6">
        <v>2221.0</v>
      </c>
      <c r="C520" s="6" t="b">
        <v>0</v>
      </c>
      <c r="D520" s="8" t="str">
        <f>IFERROR(__xludf.DUMMYFUNCTION("GOOGLETRANSLATE(A520,""ar"", ""en"")"),"Versalite 70 round table top")</f>
        <v>Versalite 70 round table top</v>
      </c>
      <c r="E520" s="13" t="s">
        <v>1332</v>
      </c>
      <c r="F520" s="9" t="s">
        <v>27</v>
      </c>
      <c r="G520" s="9" t="s">
        <v>28</v>
      </c>
      <c r="H520" s="27" t="s">
        <v>98</v>
      </c>
      <c r="I520" s="8"/>
      <c r="J520" s="31"/>
      <c r="K520" s="11" t="s">
        <v>1333</v>
      </c>
      <c r="L520" s="8"/>
      <c r="M520" s="15">
        <v>30.0</v>
      </c>
      <c r="N520" s="8"/>
      <c r="O520" s="8"/>
      <c r="P520" s="31"/>
      <c r="Q520" s="4"/>
      <c r="R520" s="4"/>
      <c r="S520" s="4"/>
      <c r="T520" s="4"/>
      <c r="U520" s="4"/>
      <c r="V520" s="4"/>
      <c r="W520" s="4"/>
      <c r="X520" s="4"/>
      <c r="Y520" s="4"/>
    </row>
    <row r="521">
      <c r="A521" s="13" t="s">
        <v>1334</v>
      </c>
      <c r="B521" s="6">
        <v>2223.0</v>
      </c>
      <c r="C521" s="6" t="b">
        <v>0</v>
      </c>
      <c r="D521" s="8" t="str">
        <f>IFERROR(__xludf.DUMMYFUNCTION("GOOGLETRANSLATE(A521,""ar"", ""en"")"),"80*80 square versalite table top")</f>
        <v>80*80 square versalite table top</v>
      </c>
      <c r="E521" s="13" t="s">
        <v>1335</v>
      </c>
      <c r="F521" s="9" t="s">
        <v>27</v>
      </c>
      <c r="G521" s="9" t="s">
        <v>28</v>
      </c>
      <c r="H521" s="27" t="s">
        <v>98</v>
      </c>
      <c r="I521" s="8"/>
      <c r="J521" s="31"/>
      <c r="K521" s="11" t="s">
        <v>1336</v>
      </c>
      <c r="L521" s="8"/>
      <c r="M521" s="15">
        <v>13.0</v>
      </c>
      <c r="N521" s="8"/>
      <c r="O521" s="8"/>
      <c r="P521" s="31"/>
      <c r="Q521" s="4"/>
      <c r="R521" s="4"/>
      <c r="S521" s="4"/>
      <c r="T521" s="4"/>
      <c r="U521" s="4"/>
      <c r="V521" s="4"/>
      <c r="W521" s="4"/>
      <c r="X521" s="4"/>
      <c r="Y521" s="4"/>
    </row>
    <row r="522">
      <c r="A522" s="13" t="s">
        <v>1337</v>
      </c>
      <c r="B522" s="6">
        <v>2225.0</v>
      </c>
      <c r="C522" s="6" t="b">
        <v>0</v>
      </c>
      <c r="D522" s="8" t="str">
        <f>IFERROR(__xludf.DUMMYFUNCTION("GOOGLETRANSLATE(A522,""ar"", ""en"")"),"Natural wood table top 80*80")</f>
        <v>Natural wood table top 80*80</v>
      </c>
      <c r="E522" s="13" t="s">
        <v>1338</v>
      </c>
      <c r="F522" s="9" t="s">
        <v>27</v>
      </c>
      <c r="G522" s="9" t="s">
        <v>18</v>
      </c>
      <c r="H522" s="27" t="s">
        <v>98</v>
      </c>
      <c r="I522" s="8"/>
      <c r="J522" s="31"/>
      <c r="K522" s="11" t="s">
        <v>1339</v>
      </c>
      <c r="L522" s="8"/>
      <c r="M522" s="15">
        <v>100.0</v>
      </c>
      <c r="N522" s="8"/>
      <c r="O522" s="8"/>
      <c r="P522" s="31"/>
      <c r="Q522" s="4"/>
      <c r="R522" s="4"/>
      <c r="S522" s="4"/>
      <c r="T522" s="4"/>
      <c r="U522" s="4"/>
      <c r="V522" s="4"/>
      <c r="W522" s="4"/>
      <c r="X522" s="4"/>
      <c r="Y522" s="4"/>
    </row>
    <row r="523">
      <c r="A523" s="5" t="s">
        <v>1340</v>
      </c>
      <c r="B523" s="6">
        <v>2227.0</v>
      </c>
      <c r="C523" s="6" t="b">
        <v>0</v>
      </c>
      <c r="D523" s="8" t="str">
        <f>IFERROR(__xludf.DUMMYFUNCTION("GOOGLETRANSLATE(A523,""ar"", ""en"")"),"Wood perfume")</f>
        <v>Wood perfume</v>
      </c>
      <c r="E523" s="5" t="s">
        <v>1341</v>
      </c>
      <c r="F523" s="9" t="s">
        <v>18</v>
      </c>
      <c r="G523" s="9"/>
      <c r="H523" s="8"/>
      <c r="I523" s="8"/>
      <c r="J523" s="29"/>
      <c r="K523" s="11" t="s">
        <v>1342</v>
      </c>
      <c r="L523" s="8"/>
      <c r="M523" s="12">
        <v>24.0</v>
      </c>
      <c r="N523" s="8"/>
      <c r="O523" s="8"/>
      <c r="P523" s="29"/>
      <c r="Q523" s="4"/>
      <c r="R523" s="4"/>
      <c r="S523" s="4"/>
      <c r="T523" s="4"/>
      <c r="U523" s="4"/>
      <c r="V523" s="4"/>
      <c r="W523" s="4"/>
      <c r="X523" s="4"/>
      <c r="Y523" s="4"/>
    </row>
    <row r="524">
      <c r="A524" s="13" t="s">
        <v>1343</v>
      </c>
      <c r="B524" s="6">
        <v>2228.0</v>
      </c>
      <c r="C524" s="6" t="b">
        <v>0</v>
      </c>
      <c r="D524" s="8" t="str">
        <f>IFERROR(__xludf.DUMMYFUNCTION("GOOGLETRANSLATE(A524,""ar"", ""en"")"),"Solid aluminum face")</f>
        <v>Solid aluminum face</v>
      </c>
      <c r="E524" s="13" t="s">
        <v>1344</v>
      </c>
      <c r="F524" s="9" t="s">
        <v>27</v>
      </c>
      <c r="G524" s="9" t="s">
        <v>28</v>
      </c>
      <c r="H524" s="27" t="s">
        <v>98</v>
      </c>
      <c r="I524" s="8"/>
      <c r="J524" s="14">
        <v>0.0</v>
      </c>
      <c r="K524" s="11" t="s">
        <v>1345</v>
      </c>
      <c r="L524" s="8"/>
      <c r="M524" s="15">
        <v>8.0</v>
      </c>
      <c r="N524" s="8"/>
      <c r="O524" s="8"/>
      <c r="P524" s="14">
        <v>0.0</v>
      </c>
      <c r="Q524" s="4"/>
      <c r="R524" s="4"/>
      <c r="S524" s="4"/>
      <c r="T524" s="4"/>
      <c r="U524" s="4"/>
      <c r="V524" s="4"/>
      <c r="W524" s="4"/>
      <c r="X524" s="4"/>
      <c r="Y524" s="4"/>
    </row>
    <row r="525">
      <c r="A525" s="5" t="s">
        <v>1346</v>
      </c>
      <c r="B525" s="6">
        <v>2236.0</v>
      </c>
      <c r="C525" s="6" t="b">
        <v>0</v>
      </c>
      <c r="D525" s="8" t="str">
        <f>IFERROR(__xludf.DUMMYFUNCTION("GOOGLETRANSLATE(A525,""ar"", ""en"")"),"Perfume - 1000")</f>
        <v>Perfume - 1000</v>
      </c>
      <c r="E525" s="5" t="s">
        <v>1347</v>
      </c>
      <c r="F525" s="9" t="s">
        <v>18</v>
      </c>
      <c r="G525" s="9"/>
      <c r="H525" s="8"/>
      <c r="I525" s="8"/>
      <c r="J525" s="29"/>
      <c r="K525" s="11" t="s">
        <v>1348</v>
      </c>
      <c r="L525" s="8"/>
      <c r="M525" s="12">
        <v>16.0</v>
      </c>
      <c r="N525" s="8"/>
      <c r="O525" s="8"/>
      <c r="P525" s="29"/>
      <c r="Q525" s="4"/>
      <c r="R525" s="4"/>
      <c r="S525" s="4"/>
      <c r="T525" s="4"/>
      <c r="U525" s="4"/>
      <c r="V525" s="4"/>
      <c r="W525" s="4"/>
      <c r="X525" s="4"/>
      <c r="Y525" s="4"/>
    </row>
    <row r="526">
      <c r="A526" s="59" t="s">
        <v>1349</v>
      </c>
      <c r="B526" s="60">
        <v>2251.0</v>
      </c>
      <c r="C526" s="60" t="b">
        <v>0</v>
      </c>
      <c r="D526" s="60" t="str">
        <f>IFERROR(__xludf.DUMMYFUNCTION("GOOGLETRANSLATE(A526,""ar"", ""en"")"),"GAMING CHAIR 1 BLK + 9 BLK&amp;GREY")</f>
        <v>GAMING CHAIR 1 BLK + 9 BLK&amp;GREY</v>
      </c>
      <c r="E526" s="59" t="s">
        <v>1150</v>
      </c>
      <c r="F526" s="9" t="s">
        <v>18</v>
      </c>
      <c r="G526" s="9"/>
      <c r="H526" s="16"/>
      <c r="I526" s="8"/>
      <c r="J526" s="12"/>
      <c r="K526" s="8"/>
      <c r="L526" s="8"/>
      <c r="M526" s="61">
        <v>10.0</v>
      </c>
      <c r="N526" s="8"/>
      <c r="O526" s="8"/>
      <c r="P526" s="62"/>
      <c r="Q526" s="4"/>
      <c r="R526" s="4"/>
      <c r="S526" s="4"/>
      <c r="T526" s="4"/>
      <c r="U526" s="4"/>
      <c r="V526" s="4"/>
      <c r="W526" s="4"/>
      <c r="X526" s="4"/>
      <c r="Y526" s="4"/>
    </row>
    <row r="527">
      <c r="A527" s="63" t="s">
        <v>1350</v>
      </c>
      <c r="B527" s="60">
        <v>2252.0</v>
      </c>
      <c r="C527" s="60" t="b">
        <v>0</v>
      </c>
      <c r="D527" s="60" t="str">
        <f>IFERROR(__xludf.DUMMYFUNCTION("GOOGLETRANSLATE(A527,""ar"", ""en"")"),"BLK Iron Hotel Chair Matt Black Fabric")</f>
        <v>BLK Iron Hotel Chair Matt Black Fabric</v>
      </c>
      <c r="E527" s="59" t="s">
        <v>1351</v>
      </c>
      <c r="F527" s="9" t="s">
        <v>18</v>
      </c>
      <c r="G527" s="9"/>
      <c r="H527" s="16"/>
      <c r="I527" s="8"/>
      <c r="J527" s="12"/>
      <c r="K527" s="8"/>
      <c r="L527" s="8"/>
      <c r="M527" s="61">
        <v>255.0</v>
      </c>
      <c r="N527" s="8"/>
      <c r="O527" s="8"/>
      <c r="P527" s="62"/>
      <c r="Q527" s="4"/>
      <c r="R527" s="4"/>
      <c r="S527" s="4"/>
      <c r="T527" s="4"/>
      <c r="U527" s="4"/>
      <c r="V527" s="4"/>
      <c r="W527" s="4"/>
      <c r="X527" s="4"/>
      <c r="Y527" s="4"/>
    </row>
    <row r="528">
      <c r="A528" s="63" t="s">
        <v>1352</v>
      </c>
      <c r="B528" s="60">
        <v>2253.0</v>
      </c>
      <c r="C528" s="60" t="b">
        <v>0</v>
      </c>
      <c r="D528" s="60" t="str">
        <f>IFERROR(__xludf.DUMMYFUNCTION("GOOGLETRANSLATE(A528,""ar"", ""en"")"),"GOLD+ RED Hotel Chair Iron Fabric 68+153")</f>
        <v>GOLD+ RED Hotel Chair Iron Fabric 68+153</v>
      </c>
      <c r="E528" s="59" t="s">
        <v>1353</v>
      </c>
      <c r="F528" s="9" t="s">
        <v>18</v>
      </c>
      <c r="G528" s="9"/>
      <c r="H528" s="8"/>
      <c r="I528" s="8"/>
      <c r="J528" s="12"/>
      <c r="K528" s="8"/>
      <c r="L528" s="8"/>
      <c r="M528" s="61">
        <v>221.0</v>
      </c>
      <c r="N528" s="8"/>
      <c r="O528" s="8"/>
      <c r="P528" s="62"/>
      <c r="Q528" s="4"/>
      <c r="R528" s="4"/>
      <c r="S528" s="4"/>
      <c r="T528" s="4"/>
      <c r="U528" s="4"/>
      <c r="V528" s="4"/>
      <c r="W528" s="4"/>
      <c r="X528" s="4"/>
      <c r="Y528" s="4"/>
    </row>
    <row r="529">
      <c r="A529" s="63" t="s">
        <v>1354</v>
      </c>
      <c r="B529" s="60">
        <v>2254.0</v>
      </c>
      <c r="C529" s="60" t="b">
        <v>0</v>
      </c>
      <c r="D529" s="60" t="str">
        <f>IFERROR(__xludf.DUMMYFUNCTION("GOOGLETRANSLATE(A529,""ar"", ""en"")"),"335/72 Font Base Permitted")</f>
        <v>335/72 Font Base Permitted</v>
      </c>
      <c r="E529" s="59" t="s">
        <v>827</v>
      </c>
      <c r="F529" s="9" t="s">
        <v>27</v>
      </c>
      <c r="G529" s="9" t="s">
        <v>28</v>
      </c>
      <c r="H529" s="16" t="s">
        <v>186</v>
      </c>
      <c r="I529" s="8"/>
      <c r="J529" s="12"/>
      <c r="K529" s="8"/>
      <c r="L529" s="8"/>
      <c r="M529" s="61">
        <v>60.0</v>
      </c>
      <c r="N529" s="8"/>
      <c r="O529" s="8"/>
      <c r="P529" s="62"/>
      <c r="Q529" s="4"/>
      <c r="R529" s="4"/>
      <c r="S529" s="4"/>
      <c r="T529" s="4"/>
      <c r="U529" s="4"/>
      <c r="V529" s="4"/>
      <c r="W529" s="4"/>
      <c r="X529" s="4"/>
      <c r="Y529" s="4"/>
    </row>
    <row r="530">
      <c r="A530" s="63" t="s">
        <v>1355</v>
      </c>
      <c r="B530" s="60">
        <v>2256.0</v>
      </c>
      <c r="C530" s="60" t="b">
        <v>0</v>
      </c>
      <c r="D530" s="60" t="str">
        <f>IFERROR(__xludf.DUMMYFUNCTION("GOOGLETRANSLATE(A530,""ar"", ""en"")"),"H 64 base font allowed")</f>
        <v>H 64 base font allowed</v>
      </c>
      <c r="E530" s="59" t="s">
        <v>1356</v>
      </c>
      <c r="F530" s="9" t="s">
        <v>27</v>
      </c>
      <c r="G530" s="9" t="s">
        <v>28</v>
      </c>
      <c r="H530" s="16" t="s">
        <v>186</v>
      </c>
      <c r="I530" s="8"/>
      <c r="J530" s="12"/>
      <c r="K530" s="8"/>
      <c r="L530" s="8"/>
      <c r="M530" s="61">
        <v>60.0</v>
      </c>
      <c r="N530" s="8"/>
      <c r="O530" s="8"/>
      <c r="P530" s="62"/>
      <c r="Q530" s="4"/>
      <c r="R530" s="4"/>
      <c r="S530" s="4"/>
      <c r="T530" s="4"/>
      <c r="U530" s="4"/>
      <c r="V530" s="4"/>
      <c r="W530" s="4"/>
      <c r="X530" s="4"/>
      <c r="Y530" s="4"/>
    </row>
    <row r="531">
      <c r="A531" s="59" t="s">
        <v>1357</v>
      </c>
      <c r="B531" s="60">
        <v>2257.0</v>
      </c>
      <c r="C531" s="60" t="b">
        <v>0</v>
      </c>
      <c r="D531" s="60" t="str">
        <f>IFERROR(__xludf.DUMMYFUNCTION("GOOGLETRANSLATE(A531,""ar"", ""en"")"),"AUSTRLIAN SND STN ceramic face 80*130")</f>
        <v>AUSTRLIAN SND STN ceramic face 80*130</v>
      </c>
      <c r="E531" s="59" t="s">
        <v>1358</v>
      </c>
      <c r="F531" s="9" t="s">
        <v>27</v>
      </c>
      <c r="G531" s="9" t="s">
        <v>28</v>
      </c>
      <c r="H531" s="16" t="s">
        <v>98</v>
      </c>
      <c r="I531" s="8"/>
      <c r="J531" s="12"/>
      <c r="K531" s="8"/>
      <c r="L531" s="8"/>
      <c r="M531" s="61">
        <v>24.0</v>
      </c>
      <c r="N531" s="8"/>
      <c r="O531" s="8"/>
      <c r="P531" s="62"/>
      <c r="Q531" s="4"/>
      <c r="R531" s="4"/>
      <c r="S531" s="4"/>
      <c r="T531" s="4"/>
      <c r="U531" s="4"/>
      <c r="V531" s="4"/>
      <c r="W531" s="4"/>
      <c r="X531" s="4"/>
      <c r="Y531" s="4"/>
    </row>
    <row r="532">
      <c r="A532" s="36" t="s">
        <v>1359</v>
      </c>
      <c r="B532" s="47">
        <v>2258.0</v>
      </c>
      <c r="C532" s="38" t="b">
        <v>1</v>
      </c>
      <c r="D532" s="39" t="str">
        <f>IFERROR(__xludf.DUMMYFUNCTION("GOOGLETRANSLATE(A532,""ar"", ""en"")"),"ARMANI GREY 60mm round ceramic face")</f>
        <v>ARMANI GREY 60mm round ceramic face</v>
      </c>
      <c r="E532" s="36" t="s">
        <v>1360</v>
      </c>
      <c r="F532" s="41" t="s">
        <v>27</v>
      </c>
      <c r="G532" s="41" t="s">
        <v>28</v>
      </c>
      <c r="H532" s="46" t="s">
        <v>98</v>
      </c>
      <c r="I532" s="64"/>
      <c r="J532" s="50"/>
      <c r="K532" s="65" t="s">
        <v>1361</v>
      </c>
      <c r="L532" s="39"/>
      <c r="M532" s="45">
        <v>40.0</v>
      </c>
      <c r="N532" s="8"/>
      <c r="O532" s="8"/>
      <c r="P532" s="62"/>
      <c r="Q532" s="4"/>
      <c r="R532" s="4"/>
      <c r="S532" s="4"/>
      <c r="T532" s="4"/>
      <c r="U532" s="4"/>
      <c r="V532" s="4"/>
      <c r="W532" s="4"/>
      <c r="X532" s="4"/>
      <c r="Y532" s="4"/>
    </row>
    <row r="533">
      <c r="A533" s="36" t="s">
        <v>1362</v>
      </c>
      <c r="B533" s="47">
        <v>2259.0</v>
      </c>
      <c r="C533" s="38" t="b">
        <v>1</v>
      </c>
      <c r="D533" s="39" t="str">
        <f>IFERROR(__xludf.DUMMYFUNCTION("GOOGLETRANSLATE(A533,""ar"", ""en"")"),"ARMANI GREY Ceramic Face 70 Round")</f>
        <v>ARMANI GREY Ceramic Face 70 Round</v>
      </c>
      <c r="E533" s="36" t="s">
        <v>1363</v>
      </c>
      <c r="F533" s="41" t="s">
        <v>27</v>
      </c>
      <c r="G533" s="41" t="s">
        <v>28</v>
      </c>
      <c r="H533" s="46" t="s">
        <v>98</v>
      </c>
      <c r="I533" s="64"/>
      <c r="J533" s="50"/>
      <c r="K533" s="39" t="s">
        <v>1364</v>
      </c>
      <c r="L533" s="39"/>
      <c r="M533" s="45">
        <v>40.0</v>
      </c>
      <c r="N533" s="8"/>
      <c r="O533" s="8"/>
      <c r="P533" s="62"/>
      <c r="Q533" s="4"/>
      <c r="R533" s="4"/>
      <c r="S533" s="4"/>
      <c r="T533" s="4"/>
      <c r="U533" s="4"/>
      <c r="V533" s="4"/>
      <c r="W533" s="4"/>
      <c r="X533" s="4"/>
      <c r="Y533" s="4"/>
    </row>
    <row r="534">
      <c r="A534" s="36" t="s">
        <v>1365</v>
      </c>
      <c r="B534" s="47">
        <v>2260.0</v>
      </c>
      <c r="C534" s="38" t="b">
        <v>1</v>
      </c>
      <c r="D534" s="39" t="str">
        <f>IFERROR(__xludf.DUMMYFUNCTION("GOOGLETRANSLATE(A534,""ar"", ""en"")"),"ARMANI GREY ceramic face 80*130")</f>
        <v>ARMANI GREY ceramic face 80*130</v>
      </c>
      <c r="E534" s="36" t="s">
        <v>1366</v>
      </c>
      <c r="F534" s="41" t="s">
        <v>27</v>
      </c>
      <c r="G534" s="41" t="s">
        <v>28</v>
      </c>
      <c r="H534" s="46" t="s">
        <v>98</v>
      </c>
      <c r="I534" s="64"/>
      <c r="J534" s="50"/>
      <c r="K534" s="39" t="s">
        <v>1367</v>
      </c>
      <c r="L534" s="39"/>
      <c r="M534" s="45">
        <v>30.0</v>
      </c>
      <c r="N534" s="8"/>
      <c r="O534" s="8"/>
      <c r="P534" s="62"/>
      <c r="Q534" s="4"/>
      <c r="R534" s="4"/>
      <c r="S534" s="4"/>
      <c r="T534" s="4"/>
      <c r="U534" s="4"/>
      <c r="V534" s="4"/>
      <c r="W534" s="4"/>
      <c r="X534" s="4"/>
      <c r="Y534" s="4"/>
    </row>
    <row r="535">
      <c r="A535" s="36" t="s">
        <v>1368</v>
      </c>
      <c r="B535" s="47">
        <v>2261.0</v>
      </c>
      <c r="C535" s="38" t="b">
        <v>1</v>
      </c>
      <c r="D535" s="39" t="str">
        <f>IFERROR(__xludf.DUMMYFUNCTION("GOOGLETRANSLATE(A535,""ar"", ""en"")"),"ARMANI GREY ceramic face 70*120")</f>
        <v>ARMANI GREY ceramic face 70*120</v>
      </c>
      <c r="E535" s="36" t="s">
        <v>1369</v>
      </c>
      <c r="F535" s="41" t="s">
        <v>27</v>
      </c>
      <c r="G535" s="41" t="s">
        <v>28</v>
      </c>
      <c r="H535" s="46" t="s">
        <v>98</v>
      </c>
      <c r="I535" s="64"/>
      <c r="J535" s="50"/>
      <c r="K535" s="39" t="s">
        <v>1370</v>
      </c>
      <c r="L535" s="39"/>
      <c r="M535" s="45">
        <v>20.0</v>
      </c>
      <c r="N535" s="8"/>
      <c r="O535" s="8"/>
      <c r="P535" s="62"/>
      <c r="Q535" s="4"/>
      <c r="R535" s="4"/>
      <c r="S535" s="4"/>
      <c r="T535" s="4"/>
      <c r="U535" s="4"/>
      <c r="V535" s="4"/>
      <c r="W535" s="4"/>
      <c r="X535" s="4"/>
      <c r="Y535" s="4"/>
    </row>
    <row r="536">
      <c r="A536" s="36" t="s">
        <v>1371</v>
      </c>
      <c r="B536" s="47">
        <v>2262.0</v>
      </c>
      <c r="C536" s="38" t="b">
        <v>1</v>
      </c>
      <c r="D536" s="39" t="str">
        <f>IFERROR(__xludf.DUMMYFUNCTION("GOOGLETRANSLATE(A536,""ar"", ""en"")"),"ARMANI GREY ceramic face 90*160")</f>
        <v>ARMANI GREY ceramic face 90*160</v>
      </c>
      <c r="E536" s="36" t="s">
        <v>1372</v>
      </c>
      <c r="F536" s="41" t="s">
        <v>27</v>
      </c>
      <c r="G536" s="41" t="s">
        <v>28</v>
      </c>
      <c r="H536" s="46" t="s">
        <v>98</v>
      </c>
      <c r="I536" s="64"/>
      <c r="J536" s="50"/>
      <c r="K536" s="66" t="s">
        <v>1373</v>
      </c>
      <c r="L536" s="39"/>
      <c r="M536" s="45">
        <v>20.0</v>
      </c>
      <c r="N536" s="8"/>
      <c r="O536" s="8"/>
      <c r="P536" s="62"/>
      <c r="Q536" s="4"/>
      <c r="R536" s="4"/>
      <c r="S536" s="4"/>
      <c r="T536" s="4"/>
      <c r="U536" s="4"/>
      <c r="V536" s="4"/>
      <c r="W536" s="4"/>
      <c r="X536" s="4"/>
      <c r="Y536" s="4"/>
    </row>
    <row r="537">
      <c r="A537" s="36" t="s">
        <v>1374</v>
      </c>
      <c r="B537" s="47">
        <v>2263.0</v>
      </c>
      <c r="C537" s="38" t="b">
        <v>1</v>
      </c>
      <c r="D537" s="39" t="str">
        <f>IFERROR(__xludf.DUMMYFUNCTION("GOOGLETRANSLATE(A537,""ar"", ""en"")"),"LAUREN BLK GOLD Ceramic Face 70 Round")</f>
        <v>LAUREN BLK GOLD Ceramic Face 70 Round</v>
      </c>
      <c r="E537" s="36" t="s">
        <v>1375</v>
      </c>
      <c r="F537" s="41" t="s">
        <v>27</v>
      </c>
      <c r="G537" s="41" t="s">
        <v>28</v>
      </c>
      <c r="H537" s="46" t="s">
        <v>98</v>
      </c>
      <c r="I537" s="64"/>
      <c r="J537" s="50"/>
      <c r="K537" s="66" t="s">
        <v>1376</v>
      </c>
      <c r="L537" s="39"/>
      <c r="M537" s="45">
        <v>40.0</v>
      </c>
      <c r="N537" s="8"/>
      <c r="O537" s="8"/>
      <c r="P537" s="62"/>
      <c r="Q537" s="4"/>
      <c r="R537" s="4"/>
      <c r="S537" s="4"/>
      <c r="T537" s="4"/>
      <c r="U537" s="4"/>
      <c r="V537" s="4"/>
      <c r="W537" s="4"/>
      <c r="X537" s="4"/>
      <c r="Y537" s="4"/>
    </row>
    <row r="538">
      <c r="A538" s="36" t="s">
        <v>1377</v>
      </c>
      <c r="B538" s="47">
        <v>2264.0</v>
      </c>
      <c r="C538" s="38" t="b">
        <v>1</v>
      </c>
      <c r="D538" s="39" t="str">
        <f>IFERROR(__xludf.DUMMYFUNCTION("GOOGLETRANSLATE(A538,""ar"", ""en"")"),"LAUREN BLK GOLD Ceramic Face 80*130")</f>
        <v>LAUREN BLK GOLD Ceramic Face 80*130</v>
      </c>
      <c r="E538" s="36" t="s">
        <v>1378</v>
      </c>
      <c r="F538" s="41" t="s">
        <v>27</v>
      </c>
      <c r="G538" s="41" t="s">
        <v>28</v>
      </c>
      <c r="H538" s="46" t="s">
        <v>98</v>
      </c>
      <c r="I538" s="64"/>
      <c r="J538" s="50"/>
      <c r="K538" s="39" t="s">
        <v>1379</v>
      </c>
      <c r="L538" s="39"/>
      <c r="M538" s="45">
        <v>30.0</v>
      </c>
      <c r="N538" s="8"/>
      <c r="O538" s="8"/>
      <c r="P538" s="62"/>
      <c r="Q538" s="4"/>
      <c r="R538" s="4"/>
      <c r="S538" s="4"/>
      <c r="T538" s="4"/>
      <c r="U538" s="4"/>
      <c r="V538" s="4"/>
      <c r="W538" s="4"/>
      <c r="X538" s="4"/>
      <c r="Y538" s="4"/>
    </row>
    <row r="539">
      <c r="A539" s="36" t="s">
        <v>1380</v>
      </c>
      <c r="B539" s="47">
        <v>2265.0</v>
      </c>
      <c r="C539" s="38" t="b">
        <v>1</v>
      </c>
      <c r="D539" s="39" t="str">
        <f>IFERROR(__xludf.DUMMYFUNCTION("GOOGLETRANSLATE(A539,""ar"", ""en"")"),"LAUREN BLK GOLD Ceramic Face 70*120")</f>
        <v>LAUREN BLK GOLD Ceramic Face 70*120</v>
      </c>
      <c r="E539" s="36" t="s">
        <v>1381</v>
      </c>
      <c r="F539" s="41" t="s">
        <v>27</v>
      </c>
      <c r="G539" s="41" t="s">
        <v>28</v>
      </c>
      <c r="H539" s="46" t="s">
        <v>98</v>
      </c>
      <c r="I539" s="64"/>
      <c r="J539" s="50"/>
      <c r="K539" s="39" t="s">
        <v>1382</v>
      </c>
      <c r="L539" s="39"/>
      <c r="M539" s="45">
        <v>20.0</v>
      </c>
      <c r="N539" s="8"/>
      <c r="O539" s="8"/>
      <c r="P539" s="62"/>
      <c r="Q539" s="4"/>
      <c r="R539" s="4"/>
      <c r="S539" s="4"/>
      <c r="T539" s="4"/>
      <c r="U539" s="4"/>
      <c r="V539" s="4"/>
      <c r="W539" s="4"/>
      <c r="X539" s="4"/>
      <c r="Y539" s="4"/>
    </row>
    <row r="540">
      <c r="A540" s="36" t="s">
        <v>1383</v>
      </c>
      <c r="B540" s="47">
        <v>2266.0</v>
      </c>
      <c r="C540" s="38" t="b">
        <v>1</v>
      </c>
      <c r="D540" s="39" t="str">
        <f>IFERROR(__xludf.DUMMYFUNCTION("GOOGLETRANSLATE(A540,""ar"", ""en"")"),"LAUREN BLK GOLD Ceramic Face 90*160")</f>
        <v>LAUREN BLK GOLD Ceramic Face 90*160</v>
      </c>
      <c r="E540" s="36" t="s">
        <v>1384</v>
      </c>
      <c r="F540" s="41" t="s">
        <v>27</v>
      </c>
      <c r="G540" s="41" t="s">
        <v>28</v>
      </c>
      <c r="H540" s="46" t="s">
        <v>98</v>
      </c>
      <c r="I540" s="64"/>
      <c r="J540" s="50"/>
      <c r="K540" s="39" t="s">
        <v>1385</v>
      </c>
      <c r="L540" s="39"/>
      <c r="M540" s="45">
        <v>20.0</v>
      </c>
      <c r="N540" s="8"/>
      <c r="O540" s="8"/>
      <c r="P540" s="62"/>
      <c r="Q540" s="4"/>
      <c r="R540" s="4"/>
      <c r="S540" s="4"/>
      <c r="T540" s="4"/>
      <c r="U540" s="4"/>
      <c r="V540" s="4"/>
      <c r="W540" s="4"/>
      <c r="X540" s="4"/>
      <c r="Y540" s="4"/>
    </row>
    <row r="541">
      <c r="A541" s="36" t="s">
        <v>1386</v>
      </c>
      <c r="B541" s="47">
        <v>2267.0</v>
      </c>
      <c r="C541" s="38" t="b">
        <v>1</v>
      </c>
      <c r="D541" s="39" t="str">
        <f>IFERROR(__xludf.DUMMYFUNCTION("GOOGLETRANSLATE(A541,""ar"", ""en"")"),"SNOW MWNTN WHITE MAT 60 Round Ceramic Face")</f>
        <v>SNOW MWNTN WHITE MAT 60 Round Ceramic Face</v>
      </c>
      <c r="E541" s="36" t="s">
        <v>1387</v>
      </c>
      <c r="F541" s="41" t="s">
        <v>27</v>
      </c>
      <c r="G541" s="41" t="s">
        <v>28</v>
      </c>
      <c r="H541" s="46" t="s">
        <v>98</v>
      </c>
      <c r="I541" s="64"/>
      <c r="J541" s="50"/>
      <c r="K541" s="39" t="s">
        <v>1388</v>
      </c>
      <c r="L541" s="39"/>
      <c r="M541" s="45">
        <v>40.0</v>
      </c>
      <c r="N541" s="8"/>
      <c r="O541" s="8"/>
      <c r="P541" s="62"/>
      <c r="Q541" s="4"/>
      <c r="R541" s="4"/>
      <c r="S541" s="4"/>
      <c r="T541" s="4"/>
      <c r="U541" s="4"/>
      <c r="V541" s="4"/>
      <c r="W541" s="4"/>
      <c r="X541" s="4"/>
      <c r="Y541" s="4"/>
    </row>
    <row r="542">
      <c r="A542" s="36" t="s">
        <v>1389</v>
      </c>
      <c r="B542" s="37">
        <v>2268.0</v>
      </c>
      <c r="C542" s="38" t="b">
        <v>1</v>
      </c>
      <c r="D542" s="39" t="str">
        <f>IFERROR(__xludf.DUMMYFUNCTION("GOOGLETRANSLATE(A542,""ar"", ""en"")"),"SNOW MWNTN WHITE MAT Ceramic Face 80*130")</f>
        <v>SNOW MWNTN WHITE MAT Ceramic Face 80*130</v>
      </c>
      <c r="E542" s="36" t="s">
        <v>1390</v>
      </c>
      <c r="F542" s="41" t="s">
        <v>27</v>
      </c>
      <c r="G542" s="41" t="s">
        <v>28</v>
      </c>
      <c r="H542" s="46" t="s">
        <v>98</v>
      </c>
      <c r="I542" s="64"/>
      <c r="J542" s="50"/>
      <c r="K542" s="65" t="s">
        <v>1391</v>
      </c>
      <c r="L542" s="39"/>
      <c r="M542" s="45">
        <v>30.0</v>
      </c>
      <c r="N542" s="8"/>
      <c r="O542" s="8"/>
      <c r="P542" s="62"/>
      <c r="Q542" s="4"/>
      <c r="R542" s="4"/>
      <c r="S542" s="4"/>
      <c r="T542" s="4"/>
      <c r="U542" s="4"/>
      <c r="V542" s="4"/>
      <c r="W542" s="4"/>
      <c r="X542" s="4"/>
      <c r="Y542" s="4"/>
    </row>
    <row r="543">
      <c r="A543" s="63" t="s">
        <v>1392</v>
      </c>
      <c r="B543" s="60">
        <v>2282.0</v>
      </c>
      <c r="C543" s="60" t="b">
        <v>0</v>
      </c>
      <c r="D543" s="60" t="str">
        <f>IFERROR(__xludf.DUMMYFUNCTION("GOOGLETRANSLATE(A543,""ar"", ""en"")"),"Ceramic table 90*180")</f>
        <v>Ceramic table 90*180</v>
      </c>
      <c r="E543" s="59" t="s">
        <v>1393</v>
      </c>
      <c r="F543" s="9" t="s">
        <v>18</v>
      </c>
      <c r="G543" s="9"/>
      <c r="H543" s="16" t="s">
        <v>1217</v>
      </c>
      <c r="J543" s="12"/>
      <c r="K543" s="8"/>
      <c r="L543" s="8"/>
      <c r="M543" s="61">
        <v>4.0</v>
      </c>
      <c r="N543" s="8"/>
      <c r="O543" s="8"/>
      <c r="P543" s="62"/>
      <c r="Q543" s="4"/>
      <c r="R543" s="4"/>
      <c r="S543" s="4"/>
      <c r="T543" s="4"/>
      <c r="U543" s="4"/>
      <c r="V543" s="4"/>
      <c r="W543" s="4"/>
      <c r="X543" s="4"/>
      <c r="Y543" s="4"/>
    </row>
    <row r="544">
      <c r="A544" s="63" t="s">
        <v>1394</v>
      </c>
      <c r="B544" s="60">
        <v>2283.0</v>
      </c>
      <c r="C544" s="60" t="b">
        <v>0</v>
      </c>
      <c r="D544" s="60" t="str">
        <f>IFERROR(__xludf.DUMMYFUNCTION("GOOGLETRANSLATE(A544,""ar"", ""en"")"),"Font base 4 legs slim tube")</f>
        <v>Font base 4 legs slim tube</v>
      </c>
      <c r="E544" s="59" t="s">
        <v>1395</v>
      </c>
      <c r="F544" s="9" t="s">
        <v>27</v>
      </c>
      <c r="G544" s="9" t="s">
        <v>28</v>
      </c>
      <c r="H544" s="16" t="s">
        <v>186</v>
      </c>
      <c r="J544" s="12"/>
      <c r="K544" s="8"/>
      <c r="L544" s="8"/>
      <c r="M544" s="61">
        <v>200.0</v>
      </c>
      <c r="N544" s="8"/>
      <c r="O544" s="8"/>
      <c r="P544" s="62"/>
      <c r="Q544" s="4"/>
      <c r="R544" s="4"/>
      <c r="S544" s="4"/>
      <c r="T544" s="4"/>
      <c r="U544" s="4"/>
      <c r="V544" s="4"/>
      <c r="W544" s="4"/>
      <c r="X544" s="4"/>
      <c r="Y544" s="4"/>
    </row>
    <row r="545">
      <c r="A545" s="63" t="s">
        <v>189</v>
      </c>
      <c r="B545" s="60">
        <v>2284.0</v>
      </c>
      <c r="C545" s="60" t="b">
        <v>0</v>
      </c>
      <c r="D545" s="60" t="str">
        <f>IFERROR(__xludf.DUMMYFUNCTION("GOOGLETRANSLATE(A545,""ar"", ""en"")"),"45cm Black Square Capsule Base")</f>
        <v>45cm Black Square Capsule Base</v>
      </c>
      <c r="E545" s="59" t="s">
        <v>190</v>
      </c>
      <c r="F545" s="9" t="s">
        <v>27</v>
      </c>
      <c r="G545" s="9" t="s">
        <v>18</v>
      </c>
      <c r="H545" s="16" t="s">
        <v>186</v>
      </c>
      <c r="J545" s="12"/>
      <c r="K545" s="8"/>
      <c r="L545" s="8"/>
      <c r="M545" s="61">
        <v>150.0</v>
      </c>
      <c r="N545" s="8"/>
      <c r="O545" s="8"/>
      <c r="P545" s="62"/>
      <c r="Q545" s="4"/>
      <c r="R545" s="4"/>
      <c r="S545" s="4"/>
      <c r="T545" s="4"/>
      <c r="U545" s="4"/>
      <c r="V545" s="4"/>
      <c r="W545" s="4"/>
      <c r="X545" s="4"/>
      <c r="Y545" s="4"/>
    </row>
    <row r="546">
      <c r="A546" s="63" t="s">
        <v>1186</v>
      </c>
      <c r="B546" s="60">
        <v>2286.0</v>
      </c>
      <c r="C546" s="60" t="b">
        <v>0</v>
      </c>
      <c r="D546" s="60" t="str">
        <f>IFERROR(__xludf.DUMMYFUNCTION("GOOGLETRANSLATE(A546,""ar"", ""en"")"),"office chair")</f>
        <v>office chair</v>
      </c>
      <c r="E546" s="59" t="s">
        <v>1196</v>
      </c>
      <c r="F546" s="9" t="s">
        <v>18</v>
      </c>
      <c r="G546" s="9"/>
      <c r="H546" s="8"/>
      <c r="J546" s="12"/>
      <c r="K546" s="8"/>
      <c r="L546" s="8"/>
      <c r="M546" s="61">
        <v>54.0</v>
      </c>
      <c r="N546" s="8"/>
      <c r="O546" s="8"/>
      <c r="P546" s="62"/>
      <c r="Q546" s="4"/>
      <c r="R546" s="4"/>
      <c r="S546" s="4"/>
      <c r="T546" s="4"/>
      <c r="U546" s="4"/>
      <c r="V546" s="4"/>
      <c r="W546" s="4"/>
      <c r="X546" s="4"/>
      <c r="Y546" s="4"/>
    </row>
    <row r="547">
      <c r="A547" s="63" t="s">
        <v>1186</v>
      </c>
      <c r="B547" s="60">
        <v>2287.0</v>
      </c>
      <c r="C547" s="60" t="b">
        <v>0</v>
      </c>
      <c r="D547" s="60" t="str">
        <f>IFERROR(__xludf.DUMMYFUNCTION("GOOGLETRANSLATE(A547,""ar"", ""en"")"),"office chair")</f>
        <v>office chair</v>
      </c>
      <c r="E547" s="59" t="s">
        <v>1396</v>
      </c>
      <c r="F547" s="9" t="s">
        <v>18</v>
      </c>
      <c r="G547" s="9"/>
      <c r="H547" s="8"/>
      <c r="J547" s="12"/>
      <c r="K547" s="8"/>
      <c r="L547" s="8"/>
      <c r="M547" s="61">
        <v>32.0</v>
      </c>
      <c r="N547" s="8"/>
      <c r="O547" s="8"/>
      <c r="P547" s="62"/>
      <c r="Q547" s="4"/>
      <c r="R547" s="4"/>
      <c r="S547" s="4"/>
      <c r="T547" s="4"/>
      <c r="U547" s="4"/>
      <c r="V547" s="4"/>
      <c r="W547" s="4"/>
      <c r="X547" s="4"/>
      <c r="Y547" s="4"/>
    </row>
    <row r="548">
      <c r="A548" s="36" t="s">
        <v>1397</v>
      </c>
      <c r="B548" s="37">
        <v>2288.0</v>
      </c>
      <c r="C548" s="38" t="b">
        <v>1</v>
      </c>
      <c r="D548" s="39" t="str">
        <f>IFERROR(__xludf.DUMMYFUNCTION("GOOGLETRANSLATE(A548,""ar"", ""en"")"),"AUSTRLIAN SND STN Ceramic Face 60 Round")</f>
        <v>AUSTRLIAN SND STN Ceramic Face 60 Round</v>
      </c>
      <c r="E548" s="36" t="s">
        <v>1398</v>
      </c>
      <c r="F548" s="41" t="s">
        <v>27</v>
      </c>
      <c r="G548" s="41" t="s">
        <v>28</v>
      </c>
      <c r="H548" s="46" t="s">
        <v>98</v>
      </c>
      <c r="I548" s="64"/>
      <c r="J548" s="50"/>
      <c r="K548" s="65" t="s">
        <v>1399</v>
      </c>
      <c r="L548" s="39"/>
      <c r="M548" s="45">
        <v>30.0</v>
      </c>
      <c r="N548" s="8"/>
      <c r="O548" s="8"/>
      <c r="P548" s="62"/>
      <c r="Q548" s="4"/>
      <c r="R548" s="4"/>
      <c r="S548" s="4"/>
      <c r="T548" s="4"/>
      <c r="U548" s="4"/>
      <c r="V548" s="4"/>
      <c r="W548" s="4"/>
      <c r="X548" s="4"/>
      <c r="Y548" s="4"/>
    </row>
    <row r="549">
      <c r="A549" s="36" t="s">
        <v>1400</v>
      </c>
      <c r="B549" s="47">
        <v>2289.0</v>
      </c>
      <c r="C549" s="38" t="b">
        <v>1</v>
      </c>
      <c r="D549" s="39" t="str">
        <f>IFERROR(__xludf.DUMMYFUNCTION("GOOGLETRANSLATE(A549,""ar"", ""en"")"),"AUSTRLIAN SND STN ceramic face 60*60")</f>
        <v>AUSTRLIAN SND STN ceramic face 60*60</v>
      </c>
      <c r="E549" s="36" t="s">
        <v>1401</v>
      </c>
      <c r="F549" s="41" t="s">
        <v>27</v>
      </c>
      <c r="G549" s="41" t="s">
        <v>28</v>
      </c>
      <c r="H549" s="46" t="s">
        <v>98</v>
      </c>
      <c r="I549" s="64"/>
      <c r="J549" s="50"/>
      <c r="K549" s="39" t="s">
        <v>1402</v>
      </c>
      <c r="L549" s="39"/>
      <c r="M549" s="45">
        <v>30.0</v>
      </c>
      <c r="N549" s="8"/>
      <c r="O549" s="8"/>
      <c r="P549" s="62"/>
      <c r="Q549" s="4"/>
      <c r="R549" s="4"/>
      <c r="S549" s="4"/>
      <c r="T549" s="4"/>
      <c r="U549" s="4"/>
      <c r="V549" s="4"/>
      <c r="W549" s="4"/>
      <c r="X549" s="4"/>
      <c r="Y549" s="4"/>
    </row>
    <row r="550">
      <c r="A550" s="36" t="s">
        <v>1403</v>
      </c>
      <c r="B550" s="47">
        <v>2290.0</v>
      </c>
      <c r="C550" s="38" t="b">
        <v>1</v>
      </c>
      <c r="D550" s="39" t="str">
        <f>IFERROR(__xludf.DUMMYFUNCTION("GOOGLETRANSLATE(A550,""ar"", ""en"")"),"AUSTRLIAN SND STN ceramic face 80*80")</f>
        <v>AUSTRLIAN SND STN ceramic face 80*80</v>
      </c>
      <c r="E550" s="36" t="s">
        <v>1404</v>
      </c>
      <c r="F550" s="41" t="s">
        <v>27</v>
      </c>
      <c r="G550" s="41" t="s">
        <v>28</v>
      </c>
      <c r="H550" s="46" t="s">
        <v>98</v>
      </c>
      <c r="I550" s="64"/>
      <c r="J550" s="50"/>
      <c r="K550" s="39" t="s">
        <v>1405</v>
      </c>
      <c r="L550" s="39"/>
      <c r="M550" s="45">
        <v>40.0</v>
      </c>
      <c r="N550" s="8"/>
      <c r="O550" s="8"/>
      <c r="P550" s="62"/>
      <c r="Q550" s="4"/>
      <c r="R550" s="4"/>
      <c r="S550" s="4"/>
      <c r="T550" s="4"/>
      <c r="U550" s="4"/>
      <c r="V550" s="4"/>
      <c r="W550" s="4"/>
      <c r="X550" s="4"/>
      <c r="Y550" s="4"/>
    </row>
    <row r="551">
      <c r="A551" s="36" t="s">
        <v>1406</v>
      </c>
      <c r="B551" s="47">
        <v>2291.0</v>
      </c>
      <c r="C551" s="38" t="b">
        <v>1</v>
      </c>
      <c r="D551" s="39" t="str">
        <f>IFERROR(__xludf.DUMMYFUNCTION("GOOGLETRANSLATE(A551,""ar"", ""en"")"),"AUSTRLIAN SND STN ceramic face 90*90")</f>
        <v>AUSTRLIAN SND STN ceramic face 90*90</v>
      </c>
      <c r="E551" s="36" t="s">
        <v>1407</v>
      </c>
      <c r="F551" s="41" t="s">
        <v>27</v>
      </c>
      <c r="G551" s="41" t="s">
        <v>28</v>
      </c>
      <c r="H551" s="46" t="s">
        <v>98</v>
      </c>
      <c r="I551" s="64"/>
      <c r="J551" s="50"/>
      <c r="K551" s="39" t="s">
        <v>1408</v>
      </c>
      <c r="L551" s="39"/>
      <c r="M551" s="45">
        <v>24.0</v>
      </c>
      <c r="N551" s="8"/>
      <c r="O551" s="8"/>
      <c r="P551" s="62"/>
      <c r="Q551" s="4"/>
      <c r="R551" s="4"/>
      <c r="S551" s="4"/>
      <c r="T551" s="4"/>
      <c r="U551" s="4"/>
      <c r="V551" s="4"/>
      <c r="W551" s="4"/>
      <c r="X551" s="4"/>
      <c r="Y551" s="4"/>
    </row>
    <row r="552">
      <c r="A552" s="36" t="s">
        <v>1409</v>
      </c>
      <c r="B552" s="47">
        <v>2292.0</v>
      </c>
      <c r="C552" s="38" t="b">
        <v>1</v>
      </c>
      <c r="D552" s="39" t="str">
        <f>IFERROR(__xludf.DUMMYFUNCTION("GOOGLETRANSLATE(A552,""ar"", ""en"")"),"ARMANI GREY ceramic face 60*60")</f>
        <v>ARMANI GREY ceramic face 60*60</v>
      </c>
      <c r="E552" s="36" t="s">
        <v>1410</v>
      </c>
      <c r="F552" s="41" t="s">
        <v>27</v>
      </c>
      <c r="G552" s="41" t="s">
        <v>28</v>
      </c>
      <c r="H552" s="46" t="s">
        <v>98</v>
      </c>
      <c r="I552" s="64"/>
      <c r="J552" s="50"/>
      <c r="K552" s="39" t="s">
        <v>1411</v>
      </c>
      <c r="L552" s="39"/>
      <c r="M552" s="45">
        <v>40.0</v>
      </c>
      <c r="N552" s="8"/>
      <c r="O552" s="8"/>
      <c r="P552" s="62"/>
      <c r="Q552" s="4"/>
      <c r="R552" s="4"/>
      <c r="S552" s="4"/>
      <c r="T552" s="4"/>
      <c r="U552" s="4"/>
      <c r="V552" s="4"/>
      <c r="W552" s="4"/>
      <c r="X552" s="4"/>
      <c r="Y552" s="4"/>
    </row>
    <row r="553">
      <c r="A553" s="36" t="s">
        <v>1412</v>
      </c>
      <c r="B553" s="47">
        <v>2293.0</v>
      </c>
      <c r="C553" s="38" t="b">
        <v>1</v>
      </c>
      <c r="D553" s="39" t="str">
        <f>IFERROR(__xludf.DUMMYFUNCTION("GOOGLETRANSLATE(A553,""ar"", ""en"")"),"ARMANI GREY ceramic face 70*70")</f>
        <v>ARMANI GREY ceramic face 70*70</v>
      </c>
      <c r="E553" s="36" t="s">
        <v>1413</v>
      </c>
      <c r="F553" s="41" t="s">
        <v>27</v>
      </c>
      <c r="G553" s="41" t="s">
        <v>28</v>
      </c>
      <c r="H553" s="46" t="s">
        <v>98</v>
      </c>
      <c r="I553" s="64"/>
      <c r="J553" s="50"/>
      <c r="K553" s="39" t="s">
        <v>1414</v>
      </c>
      <c r="L553" s="39"/>
      <c r="M553" s="45">
        <v>40.0</v>
      </c>
      <c r="N553" s="8"/>
      <c r="O553" s="8"/>
      <c r="P553" s="62"/>
      <c r="Q553" s="4"/>
      <c r="R553" s="4"/>
      <c r="S553" s="4"/>
      <c r="T553" s="4"/>
      <c r="U553" s="4"/>
      <c r="V553" s="4"/>
      <c r="W553" s="4"/>
      <c r="X553" s="4"/>
      <c r="Y553" s="4"/>
    </row>
    <row r="554">
      <c r="A554" s="36" t="s">
        <v>1415</v>
      </c>
      <c r="B554" s="47">
        <v>2294.0</v>
      </c>
      <c r="C554" s="38" t="b">
        <v>1</v>
      </c>
      <c r="D554" s="39" t="str">
        <f>IFERROR(__xludf.DUMMYFUNCTION("GOOGLETRANSLATE(A554,""ar"", ""en"")"),"ARMANI GREY ceramic face 80*80")</f>
        <v>ARMANI GREY ceramic face 80*80</v>
      </c>
      <c r="E554" s="36" t="s">
        <v>1416</v>
      </c>
      <c r="F554" s="41" t="s">
        <v>27</v>
      </c>
      <c r="G554" s="41" t="s">
        <v>28</v>
      </c>
      <c r="H554" s="46" t="s">
        <v>98</v>
      </c>
      <c r="I554" s="64"/>
      <c r="J554" s="50"/>
      <c r="K554" s="39" t="s">
        <v>1417</v>
      </c>
      <c r="L554" s="39"/>
      <c r="M554" s="45">
        <v>40.0</v>
      </c>
      <c r="N554" s="8"/>
      <c r="O554" s="8"/>
      <c r="P554" s="62"/>
      <c r="Q554" s="4"/>
      <c r="R554" s="4"/>
      <c r="S554" s="4"/>
      <c r="T554" s="4"/>
      <c r="U554" s="4"/>
      <c r="V554" s="4"/>
      <c r="W554" s="4"/>
      <c r="X554" s="4"/>
      <c r="Y554" s="4"/>
    </row>
    <row r="555">
      <c r="A555" s="36" t="s">
        <v>1418</v>
      </c>
      <c r="B555" s="47">
        <v>2295.0</v>
      </c>
      <c r="C555" s="38" t="b">
        <v>1</v>
      </c>
      <c r="D555" s="39" t="str">
        <f>IFERROR(__xludf.DUMMYFUNCTION("GOOGLETRANSLATE(A555,""ar"", ""en"")"),"ARMANI GREY ceramic face 90*90")</f>
        <v>ARMANI GREY ceramic face 90*90</v>
      </c>
      <c r="E555" s="36" t="s">
        <v>1419</v>
      </c>
      <c r="F555" s="41" t="s">
        <v>27</v>
      </c>
      <c r="G555" s="41" t="s">
        <v>28</v>
      </c>
      <c r="H555" s="46" t="s">
        <v>98</v>
      </c>
      <c r="I555" s="64"/>
      <c r="J555" s="50"/>
      <c r="K555" s="39" t="s">
        <v>1420</v>
      </c>
      <c r="L555" s="39"/>
      <c r="M555" s="45">
        <v>30.0</v>
      </c>
      <c r="N555" s="8"/>
      <c r="O555" s="8"/>
      <c r="P555" s="62"/>
      <c r="Q555" s="4"/>
      <c r="R555" s="4"/>
      <c r="S555" s="4"/>
      <c r="T555" s="4"/>
      <c r="U555" s="4"/>
      <c r="V555" s="4"/>
      <c r="W555" s="4"/>
      <c r="X555" s="4"/>
      <c r="Y555" s="4"/>
    </row>
    <row r="556">
      <c r="A556" s="36" t="s">
        <v>1421</v>
      </c>
      <c r="B556" s="47">
        <v>2296.0</v>
      </c>
      <c r="C556" s="38" t="b">
        <v>1</v>
      </c>
      <c r="D556" s="39" t="str">
        <f>IFERROR(__xludf.DUMMYFUNCTION("GOOGLETRANSLATE(A556,""ar"", ""en"")"),"LAUREN BLK GOLD Ceramic Face 60 Round")</f>
        <v>LAUREN BLK GOLD Ceramic Face 60 Round</v>
      </c>
      <c r="E556" s="36" t="s">
        <v>1422</v>
      </c>
      <c r="F556" s="41" t="s">
        <v>27</v>
      </c>
      <c r="G556" s="41" t="s">
        <v>28</v>
      </c>
      <c r="H556" s="46" t="s">
        <v>98</v>
      </c>
      <c r="I556" s="64"/>
      <c r="J556" s="50"/>
      <c r="K556" s="39" t="s">
        <v>1423</v>
      </c>
      <c r="L556" s="39"/>
      <c r="M556" s="45">
        <v>40.0</v>
      </c>
      <c r="N556" s="39"/>
      <c r="O556" s="39"/>
      <c r="P556" s="67"/>
      <c r="Q556" s="4"/>
      <c r="R556" s="4"/>
      <c r="S556" s="4"/>
      <c r="T556" s="4"/>
      <c r="U556" s="4"/>
      <c r="V556" s="4"/>
      <c r="W556" s="4"/>
      <c r="X556" s="4"/>
      <c r="Y556" s="4"/>
    </row>
    <row r="557">
      <c r="A557" s="36" t="s">
        <v>1424</v>
      </c>
      <c r="B557" s="47">
        <v>2297.0</v>
      </c>
      <c r="C557" s="38" t="b">
        <v>1</v>
      </c>
      <c r="D557" s="39" t="str">
        <f>IFERROR(__xludf.DUMMYFUNCTION("GOOGLETRANSLATE(A557,""ar"", ""en"")"),"LAUREN BLK GOLD Ceramic Face 60*60")</f>
        <v>LAUREN BLK GOLD Ceramic Face 60*60</v>
      </c>
      <c r="E557" s="36" t="s">
        <v>1425</v>
      </c>
      <c r="F557" s="41" t="s">
        <v>27</v>
      </c>
      <c r="G557" s="41" t="s">
        <v>28</v>
      </c>
      <c r="H557" s="46" t="s">
        <v>98</v>
      </c>
      <c r="I557" s="64"/>
      <c r="J557" s="50"/>
      <c r="K557" s="39" t="s">
        <v>1426</v>
      </c>
      <c r="L557" s="39"/>
      <c r="M557" s="45">
        <v>40.0</v>
      </c>
      <c r="N557" s="8"/>
      <c r="O557" s="8"/>
      <c r="P557" s="62"/>
      <c r="Q557" s="4"/>
      <c r="R557" s="4"/>
      <c r="S557" s="4"/>
      <c r="T557" s="4"/>
      <c r="U557" s="4"/>
      <c r="V557" s="4"/>
      <c r="W557" s="4"/>
      <c r="X557" s="4"/>
      <c r="Y557" s="4"/>
    </row>
    <row r="558">
      <c r="A558" s="36" t="s">
        <v>1427</v>
      </c>
      <c r="B558" s="47">
        <v>2298.0</v>
      </c>
      <c r="C558" s="38" t="b">
        <v>1</v>
      </c>
      <c r="D558" s="39" t="str">
        <f>IFERROR(__xludf.DUMMYFUNCTION("GOOGLETRANSLATE(A558,""ar"", ""en"")"),"LAUREN BLK GOLD Ceramic Face 70*70")</f>
        <v>LAUREN BLK GOLD Ceramic Face 70*70</v>
      </c>
      <c r="E558" s="36" t="s">
        <v>1428</v>
      </c>
      <c r="F558" s="41" t="s">
        <v>27</v>
      </c>
      <c r="G558" s="41" t="s">
        <v>28</v>
      </c>
      <c r="H558" s="46" t="s">
        <v>98</v>
      </c>
      <c r="I558" s="64"/>
      <c r="J558" s="50"/>
      <c r="K558" s="66" t="s">
        <v>1429</v>
      </c>
      <c r="L558" s="39"/>
      <c r="M558" s="45">
        <v>40.0</v>
      </c>
      <c r="N558" s="8"/>
      <c r="O558" s="8"/>
      <c r="P558" s="62"/>
      <c r="Q558" s="4"/>
      <c r="R558" s="4"/>
      <c r="S558" s="4"/>
      <c r="T558" s="4"/>
      <c r="U558" s="4"/>
      <c r="V558" s="4"/>
      <c r="W558" s="4"/>
      <c r="X558" s="4"/>
      <c r="Y558" s="4"/>
    </row>
    <row r="559">
      <c r="A559" s="36" t="s">
        <v>1430</v>
      </c>
      <c r="B559" s="47">
        <v>2299.0</v>
      </c>
      <c r="C559" s="38" t="b">
        <v>1</v>
      </c>
      <c r="D559" s="39" t="str">
        <f>IFERROR(__xludf.DUMMYFUNCTION("GOOGLETRANSLATE(A559,""ar"", ""en"")"),"LAUREN BLK GOLD Ceramic Face 80*80")</f>
        <v>LAUREN BLK GOLD Ceramic Face 80*80</v>
      </c>
      <c r="E559" s="36" t="s">
        <v>1431</v>
      </c>
      <c r="F559" s="41" t="s">
        <v>27</v>
      </c>
      <c r="G559" s="41" t="s">
        <v>28</v>
      </c>
      <c r="H559" s="46" t="s">
        <v>98</v>
      </c>
      <c r="I559" s="64"/>
      <c r="J559" s="50"/>
      <c r="K559" s="39" t="s">
        <v>1432</v>
      </c>
      <c r="L559" s="39"/>
      <c r="M559" s="45">
        <v>40.0</v>
      </c>
      <c r="N559" s="8"/>
      <c r="O559" s="8"/>
      <c r="P559" s="62"/>
      <c r="Q559" s="4"/>
      <c r="R559" s="4"/>
      <c r="S559" s="4"/>
      <c r="T559" s="4"/>
      <c r="U559" s="4"/>
      <c r="V559" s="4"/>
      <c r="W559" s="4"/>
      <c r="X559" s="4"/>
      <c r="Y559" s="4"/>
    </row>
    <row r="560">
      <c r="A560" s="36" t="s">
        <v>1433</v>
      </c>
      <c r="B560" s="47">
        <v>2300.0</v>
      </c>
      <c r="C560" s="38" t="b">
        <v>1</v>
      </c>
      <c r="D560" s="39" t="str">
        <f>IFERROR(__xludf.DUMMYFUNCTION("GOOGLETRANSLATE(A560,""ar"", ""en"")"),"LAUREN BLK GOLD Ceramic Face 90*90")</f>
        <v>LAUREN BLK GOLD Ceramic Face 90*90</v>
      </c>
      <c r="E560" s="36" t="s">
        <v>1434</v>
      </c>
      <c r="F560" s="41" t="s">
        <v>27</v>
      </c>
      <c r="G560" s="41" t="s">
        <v>28</v>
      </c>
      <c r="H560" s="46" t="s">
        <v>98</v>
      </c>
      <c r="I560" s="64"/>
      <c r="J560" s="50"/>
      <c r="K560" s="39" t="s">
        <v>1435</v>
      </c>
      <c r="L560" s="39"/>
      <c r="M560" s="45">
        <v>30.0</v>
      </c>
      <c r="N560" s="8"/>
      <c r="O560" s="8"/>
      <c r="P560" s="62"/>
      <c r="Q560" s="4"/>
      <c r="R560" s="4"/>
      <c r="S560" s="4"/>
      <c r="T560" s="4"/>
      <c r="U560" s="4"/>
      <c r="V560" s="4"/>
      <c r="W560" s="4"/>
      <c r="X560" s="4"/>
      <c r="Y560" s="4"/>
    </row>
    <row r="561">
      <c r="A561" s="36" t="s">
        <v>1436</v>
      </c>
      <c r="B561" s="47">
        <v>2301.0</v>
      </c>
      <c r="C561" s="38" t="b">
        <v>1</v>
      </c>
      <c r="D561" s="39" t="str">
        <f>IFERROR(__xludf.DUMMYFUNCTION("GOOGLETRANSLATE(A561,""ar"", ""en"")"),"SNOW MWNTN WHITE MAT Ceramic Face 60*60")</f>
        <v>SNOW MWNTN WHITE MAT Ceramic Face 60*60</v>
      </c>
      <c r="E561" s="36" t="s">
        <v>1437</v>
      </c>
      <c r="F561" s="41" t="s">
        <v>27</v>
      </c>
      <c r="G561" s="41" t="s">
        <v>28</v>
      </c>
      <c r="H561" s="46" t="s">
        <v>98</v>
      </c>
      <c r="I561" s="64"/>
      <c r="J561" s="50"/>
      <c r="K561" s="39" t="s">
        <v>1438</v>
      </c>
      <c r="L561" s="39"/>
      <c r="M561" s="45">
        <v>40.0</v>
      </c>
      <c r="N561" s="8"/>
      <c r="O561" s="8"/>
      <c r="P561" s="62"/>
      <c r="Q561" s="4"/>
      <c r="R561" s="4"/>
      <c r="S561" s="4"/>
      <c r="T561" s="4"/>
      <c r="U561" s="4"/>
      <c r="V561" s="4"/>
      <c r="W561" s="4"/>
      <c r="X561" s="4"/>
      <c r="Y561" s="4"/>
    </row>
    <row r="562">
      <c r="A562" s="36" t="s">
        <v>1439</v>
      </c>
      <c r="B562" s="47">
        <v>2302.0</v>
      </c>
      <c r="C562" s="38" t="b">
        <v>1</v>
      </c>
      <c r="D562" s="39" t="str">
        <f>IFERROR(__xludf.DUMMYFUNCTION("GOOGLETRANSLATE(A562,""ar"", ""en"")"),"SNOW MWNTN WHITE MAT Ceramic Face 70 Round")</f>
        <v>SNOW MWNTN WHITE MAT Ceramic Face 70 Round</v>
      </c>
      <c r="E562" s="36" t="s">
        <v>1440</v>
      </c>
      <c r="F562" s="41" t="s">
        <v>27</v>
      </c>
      <c r="G562" s="41" t="s">
        <v>28</v>
      </c>
      <c r="H562" s="46" t="s">
        <v>98</v>
      </c>
      <c r="I562" s="64"/>
      <c r="J562" s="50"/>
      <c r="K562" s="39" t="s">
        <v>1441</v>
      </c>
      <c r="L562" s="39"/>
      <c r="M562" s="45">
        <v>30.0</v>
      </c>
      <c r="N562" s="39"/>
      <c r="O562" s="39"/>
      <c r="P562" s="67"/>
      <c r="Q562" s="4"/>
      <c r="R562" s="4"/>
      <c r="S562" s="4"/>
      <c r="T562" s="4"/>
      <c r="U562" s="4"/>
      <c r="V562" s="4"/>
      <c r="W562" s="4"/>
      <c r="X562" s="4"/>
      <c r="Y562" s="4"/>
    </row>
    <row r="563">
      <c r="A563" s="36" t="s">
        <v>1442</v>
      </c>
      <c r="B563" s="47">
        <v>2303.0</v>
      </c>
      <c r="C563" s="38" t="b">
        <v>1</v>
      </c>
      <c r="D563" s="39" t="str">
        <f>IFERROR(__xludf.DUMMYFUNCTION("GOOGLETRANSLATE(A563,""ar"", ""en"")"),"SNOW MWNTN WHITE MAT Ceramic Face 70*70")</f>
        <v>SNOW MWNTN WHITE MAT Ceramic Face 70*70</v>
      </c>
      <c r="E563" s="36" t="s">
        <v>1443</v>
      </c>
      <c r="F563" s="41" t="s">
        <v>27</v>
      </c>
      <c r="G563" s="41" t="s">
        <v>28</v>
      </c>
      <c r="H563" s="46" t="s">
        <v>98</v>
      </c>
      <c r="I563" s="64"/>
      <c r="J563" s="50"/>
      <c r="K563" s="39" t="s">
        <v>1444</v>
      </c>
      <c r="L563" s="39"/>
      <c r="M563" s="45">
        <v>40.0</v>
      </c>
      <c r="N563" s="8"/>
      <c r="O563" s="8"/>
      <c r="P563" s="62"/>
      <c r="Q563" s="4"/>
      <c r="R563" s="4"/>
      <c r="S563" s="4"/>
      <c r="T563" s="4"/>
      <c r="U563" s="4"/>
      <c r="V563" s="4"/>
      <c r="W563" s="4"/>
      <c r="X563" s="4"/>
      <c r="Y563" s="4"/>
    </row>
    <row r="564">
      <c r="A564" s="36" t="s">
        <v>1445</v>
      </c>
      <c r="B564" s="47">
        <v>2304.0</v>
      </c>
      <c r="C564" s="38" t="b">
        <v>1</v>
      </c>
      <c r="D564" s="39" t="str">
        <f>IFERROR(__xludf.DUMMYFUNCTION("GOOGLETRANSLATE(A564,""ar"", ""en"")"),"SNOW MWNTN WHITE MAT Ceramic Face 80 Round")</f>
        <v>SNOW MWNTN WHITE MAT Ceramic Face 80 Round</v>
      </c>
      <c r="E564" s="36" t="s">
        <v>1446</v>
      </c>
      <c r="F564" s="41" t="s">
        <v>27</v>
      </c>
      <c r="G564" s="41" t="s">
        <v>28</v>
      </c>
      <c r="H564" s="46" t="s">
        <v>98</v>
      </c>
      <c r="I564" s="64"/>
      <c r="J564" s="50"/>
      <c r="K564" s="39" t="s">
        <v>1447</v>
      </c>
      <c r="L564" s="39"/>
      <c r="M564" s="45">
        <v>30.0</v>
      </c>
      <c r="N564" s="39"/>
      <c r="O564" s="39"/>
      <c r="P564" s="67"/>
      <c r="Q564" s="4"/>
      <c r="R564" s="4"/>
      <c r="S564" s="4"/>
      <c r="T564" s="4"/>
      <c r="U564" s="4"/>
      <c r="V564" s="4"/>
      <c r="W564" s="4"/>
      <c r="X564" s="4"/>
      <c r="Y564" s="4"/>
    </row>
    <row r="565">
      <c r="A565" s="36" t="s">
        <v>1448</v>
      </c>
      <c r="B565" s="47">
        <v>2305.0</v>
      </c>
      <c r="C565" s="38" t="b">
        <v>1</v>
      </c>
      <c r="D565" s="39" t="str">
        <f>IFERROR(__xludf.DUMMYFUNCTION("GOOGLETRANSLATE(A565,""ar"", ""en"")"),"SNOW MWNTN WHITE MAT Ceramic Face 80*80")</f>
        <v>SNOW MWNTN WHITE MAT Ceramic Face 80*80</v>
      </c>
      <c r="E565" s="36" t="s">
        <v>1449</v>
      </c>
      <c r="F565" s="41" t="s">
        <v>27</v>
      </c>
      <c r="G565" s="41" t="s">
        <v>28</v>
      </c>
      <c r="H565" s="46" t="s">
        <v>98</v>
      </c>
      <c r="I565" s="64"/>
      <c r="J565" s="50"/>
      <c r="K565" s="39" t="s">
        <v>1450</v>
      </c>
      <c r="L565" s="39"/>
      <c r="M565" s="45">
        <v>50.0</v>
      </c>
      <c r="N565" s="8"/>
      <c r="O565" s="8"/>
      <c r="P565" s="62"/>
      <c r="Q565" s="4"/>
      <c r="R565" s="4"/>
      <c r="S565" s="4"/>
      <c r="T565" s="4"/>
      <c r="U565" s="4"/>
      <c r="V565" s="4"/>
      <c r="W565" s="4"/>
      <c r="X565" s="4"/>
      <c r="Y565" s="4"/>
    </row>
    <row r="566">
      <c r="A566" s="63" t="s">
        <v>1451</v>
      </c>
      <c r="B566" s="60">
        <v>2308.0</v>
      </c>
      <c r="C566" s="60" t="b">
        <v>0</v>
      </c>
      <c r="D566" s="60" t="str">
        <f>IFERROR(__xludf.DUMMYFUNCTION("GOOGLETRANSLATE(A566,""ar"", ""en"")"),"GREY leather dining chair")</f>
        <v>GREY leather dining chair</v>
      </c>
      <c r="E566" s="59" t="s">
        <v>1452</v>
      </c>
      <c r="F566" s="9" t="s">
        <v>18</v>
      </c>
      <c r="G566" s="9"/>
      <c r="H566" s="8"/>
      <c r="I566" s="8"/>
      <c r="J566" s="12"/>
      <c r="K566" s="8"/>
      <c r="L566" s="8"/>
      <c r="M566" s="61">
        <v>32.0</v>
      </c>
      <c r="N566" s="8"/>
      <c r="O566" s="8"/>
      <c r="P566" s="62"/>
      <c r="Q566" s="4"/>
      <c r="R566" s="4"/>
      <c r="S566" s="4"/>
      <c r="T566" s="4"/>
      <c r="U566" s="4"/>
      <c r="V566" s="4"/>
      <c r="W566" s="4"/>
      <c r="X566" s="4"/>
      <c r="Y566" s="4"/>
    </row>
    <row r="567">
      <c r="A567" s="68" t="s">
        <v>1453</v>
      </c>
      <c r="B567" s="60">
        <v>2316.0</v>
      </c>
      <c r="C567" s="60" t="b">
        <v>0</v>
      </c>
      <c r="D567" s="60" t="str">
        <f>IFERROR(__xludf.DUMMYFUNCTION("GOOGLETRANSLATE(A567,""ar"", ""en"")"),"plastic chair without handles")</f>
        <v>plastic chair without handles</v>
      </c>
      <c r="E567" s="69" t="s">
        <v>1454</v>
      </c>
      <c r="F567" s="9" t="s">
        <v>27</v>
      </c>
      <c r="G567" s="9" t="s">
        <v>28</v>
      </c>
      <c r="H567" s="16" t="s">
        <v>43</v>
      </c>
      <c r="I567" s="8"/>
      <c r="J567" s="12"/>
      <c r="K567" s="8"/>
      <c r="L567" s="8"/>
      <c r="M567" s="70">
        <v>145.0</v>
      </c>
      <c r="N567" s="8"/>
      <c r="O567" s="8"/>
      <c r="P567" s="62"/>
      <c r="Q567" s="4"/>
      <c r="R567" s="4"/>
      <c r="S567" s="4"/>
      <c r="T567" s="4"/>
      <c r="U567" s="4"/>
      <c r="V567" s="4"/>
      <c r="W567" s="4"/>
      <c r="X567" s="4"/>
      <c r="Y567" s="4"/>
    </row>
    <row r="568">
      <c r="A568" s="68" t="s">
        <v>1455</v>
      </c>
      <c r="B568" s="60">
        <v>2319.0</v>
      </c>
      <c r="C568" s="60" t="b">
        <v>0</v>
      </c>
      <c r="D568" s="60" t="str">
        <f>IFERROR(__xludf.DUMMYFUNCTION("GOOGLETRANSLATE(A568,""ar"", ""en"")"),"GREY plastic chair")</f>
        <v>GREY plastic chair</v>
      </c>
      <c r="E568" s="69" t="s">
        <v>1456</v>
      </c>
      <c r="F568" s="9" t="s">
        <v>27</v>
      </c>
      <c r="G568" s="9" t="s">
        <v>28</v>
      </c>
      <c r="H568" s="16" t="s">
        <v>43</v>
      </c>
      <c r="I568" s="8"/>
      <c r="J568" s="12"/>
      <c r="K568" s="8"/>
      <c r="L568" s="8"/>
      <c r="M568" s="70">
        <v>80.0</v>
      </c>
      <c r="N568" s="8"/>
      <c r="O568" s="8"/>
      <c r="P568" s="62"/>
      <c r="Q568" s="4"/>
      <c r="R568" s="4"/>
      <c r="S568" s="4"/>
      <c r="T568" s="4"/>
      <c r="U568" s="4"/>
      <c r="V568" s="4"/>
      <c r="W568" s="4"/>
      <c r="X568" s="4"/>
      <c r="Y568" s="4"/>
    </row>
    <row r="569">
      <c r="A569" s="68" t="s">
        <v>1457</v>
      </c>
      <c r="B569" s="60">
        <v>2321.0</v>
      </c>
      <c r="C569" s="60" t="b">
        <v>0</v>
      </c>
      <c r="D569" s="60" t="str">
        <f>IFERROR(__xludf.DUMMYFUNCTION("GOOGLETRANSLATE(A569,""ar"", ""en"")"),"BLK Wide Plastic Chair")</f>
        <v>BLK Wide Plastic Chair</v>
      </c>
      <c r="E569" s="69" t="s">
        <v>1458</v>
      </c>
      <c r="F569" s="9" t="s">
        <v>27</v>
      </c>
      <c r="G569" s="9" t="s">
        <v>28</v>
      </c>
      <c r="H569" s="16" t="s">
        <v>43</v>
      </c>
      <c r="I569" s="8"/>
      <c r="J569" s="12"/>
      <c r="K569" s="8"/>
      <c r="L569" s="8"/>
      <c r="M569" s="70">
        <v>156.0</v>
      </c>
      <c r="N569" s="8"/>
      <c r="O569" s="8"/>
      <c r="P569" s="62"/>
      <c r="Q569" s="4"/>
      <c r="R569" s="4"/>
      <c r="S569" s="4"/>
      <c r="T569" s="4"/>
      <c r="U569" s="4"/>
      <c r="V569" s="4"/>
      <c r="W569" s="4"/>
      <c r="X569" s="4"/>
      <c r="Y569" s="4"/>
    </row>
    <row r="570">
      <c r="A570" s="68" t="s">
        <v>1453</v>
      </c>
      <c r="B570" s="60">
        <v>2324.0</v>
      </c>
      <c r="C570" s="60" t="b">
        <v>0</v>
      </c>
      <c r="D570" s="60" t="str">
        <f>IFERROR(__xludf.DUMMYFUNCTION("GOOGLETRANSLATE(A570,""ar"", ""en"")"),"plastic chair without handles")</f>
        <v>plastic chair without handles</v>
      </c>
      <c r="E570" s="69" t="s">
        <v>1459</v>
      </c>
      <c r="F570" s="9" t="s">
        <v>27</v>
      </c>
      <c r="G570" s="9" t="s">
        <v>28</v>
      </c>
      <c r="H570" s="16" t="s">
        <v>43</v>
      </c>
      <c r="I570" s="8"/>
      <c r="J570" s="12"/>
      <c r="K570" s="8"/>
      <c r="L570" s="8"/>
      <c r="M570" s="70">
        <v>81.0</v>
      </c>
      <c r="N570" s="8"/>
      <c r="O570" s="8"/>
      <c r="P570" s="62"/>
      <c r="Q570" s="4"/>
      <c r="R570" s="4"/>
      <c r="S570" s="4"/>
      <c r="T570" s="4"/>
      <c r="U570" s="4"/>
      <c r="V570" s="4"/>
      <c r="W570" s="4"/>
      <c r="X570" s="4"/>
      <c r="Y570" s="4"/>
    </row>
    <row r="571">
      <c r="A571" s="68" t="s">
        <v>1460</v>
      </c>
      <c r="B571" s="60">
        <v>2325.0</v>
      </c>
      <c r="C571" s="60" t="b">
        <v>0</v>
      </c>
      <c r="D571" s="60" t="str">
        <f>IFERROR(__xludf.DUMMYFUNCTION("GOOGLETRANSLATE(A571,""ar"", ""en"")"),"BLK X Plastic Chair")</f>
        <v>BLK X Plastic Chair</v>
      </c>
      <c r="E571" s="69" t="s">
        <v>1461</v>
      </c>
      <c r="F571" s="9" t="s">
        <v>27</v>
      </c>
      <c r="G571" s="9" t="s">
        <v>28</v>
      </c>
      <c r="H571" s="16" t="s">
        <v>43</v>
      </c>
      <c r="I571" s="8"/>
      <c r="J571" s="12"/>
      <c r="K571" s="8"/>
      <c r="L571" s="8"/>
      <c r="M571" s="70">
        <v>143.0</v>
      </c>
      <c r="N571" s="8"/>
      <c r="O571" s="8"/>
      <c r="P571" s="62"/>
      <c r="Q571" s="4"/>
      <c r="R571" s="4"/>
      <c r="S571" s="4"/>
      <c r="T571" s="4"/>
      <c r="U571" s="4"/>
      <c r="V571" s="4"/>
      <c r="W571" s="4"/>
      <c r="X571" s="4"/>
      <c r="Y571" s="4"/>
    </row>
    <row r="572">
      <c r="A572" s="68" t="s">
        <v>1462</v>
      </c>
      <c r="B572" s="60">
        <v>2326.0</v>
      </c>
      <c r="C572" s="60" t="b">
        <v>0</v>
      </c>
      <c r="D572" s="60" t="str">
        <f>IFERROR(__xludf.DUMMYFUNCTION("GOOGLETRANSLATE(A572,""ar"", ""en"")"),"306/Large Wide X 4 Leg Font Base")</f>
        <v>306/Large Wide X 4 Leg Font Base</v>
      </c>
      <c r="E572" s="69" t="s">
        <v>1463</v>
      </c>
      <c r="F572" s="9" t="s">
        <v>27</v>
      </c>
      <c r="G572" s="9" t="s">
        <v>28</v>
      </c>
      <c r="H572" s="16" t="s">
        <v>186</v>
      </c>
      <c r="I572" s="8"/>
      <c r="J572" s="12"/>
      <c r="K572" s="8"/>
      <c r="L572" s="8"/>
      <c r="M572" s="70">
        <v>150.0</v>
      </c>
      <c r="N572" s="8"/>
      <c r="O572" s="8"/>
      <c r="P572" s="62"/>
      <c r="Q572" s="4"/>
      <c r="R572" s="4"/>
      <c r="S572" s="4"/>
      <c r="T572" s="4"/>
      <c r="U572" s="4"/>
      <c r="V572" s="4"/>
      <c r="W572" s="4"/>
      <c r="X572" s="4"/>
      <c r="Y572" s="4"/>
    </row>
    <row r="573">
      <c r="A573" s="68" t="s">
        <v>1464</v>
      </c>
      <c r="B573" s="60">
        <v>2327.0</v>
      </c>
      <c r="C573" s="60" t="b">
        <v>0</v>
      </c>
      <c r="D573" s="60" t="str">
        <f>IFERROR(__xludf.DUMMYFUNCTION("GOOGLETRANSLATE(A573,""ar"", ""en"")"),"H 108CM/50 square font parmeless base")</f>
        <v>H 108CM/50 square font parmeless base</v>
      </c>
      <c r="E573" s="69" t="s">
        <v>1465</v>
      </c>
      <c r="F573" s="9" t="s">
        <v>27</v>
      </c>
      <c r="G573" s="9" t="s">
        <v>28</v>
      </c>
      <c r="H573" s="16" t="s">
        <v>186</v>
      </c>
      <c r="I573" s="8"/>
      <c r="J573" s="12"/>
      <c r="K573" s="8"/>
      <c r="L573" s="8"/>
      <c r="M573" s="70">
        <v>130.0</v>
      </c>
      <c r="N573" s="8"/>
      <c r="O573" s="8"/>
      <c r="P573" s="62"/>
      <c r="Q573" s="4"/>
      <c r="R573" s="4"/>
      <c r="S573" s="4"/>
      <c r="T573" s="4"/>
      <c r="U573" s="4"/>
      <c r="V573" s="4"/>
      <c r="W573" s="4"/>
      <c r="X573" s="4"/>
      <c r="Y573" s="4"/>
    </row>
    <row r="574">
      <c r="A574" s="68" t="s">
        <v>1466</v>
      </c>
      <c r="B574" s="60">
        <v>2329.0</v>
      </c>
      <c r="C574" s="60" t="b">
        <v>0</v>
      </c>
      <c r="D574" s="60" t="str">
        <f>IFERROR(__xludf.DUMMYFUNCTION("GOOGLETRANSLATE(A574,""ar"", ""en"")"),"306 Wide Small X 4 Leg Font Base")</f>
        <v>306 Wide Small X 4 Leg Font Base</v>
      </c>
      <c r="E574" s="69" t="s">
        <v>1467</v>
      </c>
      <c r="F574" s="9" t="s">
        <v>27</v>
      </c>
      <c r="G574" s="9" t="s">
        <v>28</v>
      </c>
      <c r="H574" s="16" t="s">
        <v>186</v>
      </c>
      <c r="I574" s="8"/>
      <c r="J574" s="12"/>
      <c r="K574" s="8"/>
      <c r="L574" s="8"/>
      <c r="M574" s="70">
        <v>200.0</v>
      </c>
      <c r="N574" s="8"/>
      <c r="O574" s="8"/>
      <c r="P574" s="62"/>
      <c r="Q574" s="4"/>
      <c r="R574" s="4"/>
      <c r="S574" s="4"/>
      <c r="T574" s="4"/>
      <c r="U574" s="4"/>
      <c r="V574" s="4"/>
      <c r="W574" s="4"/>
      <c r="X574" s="4"/>
      <c r="Y574" s="4"/>
    </row>
    <row r="575">
      <c r="A575" s="68" t="s">
        <v>1468</v>
      </c>
      <c r="B575" s="60">
        <v>2330.0</v>
      </c>
      <c r="C575" s="60" t="b">
        <v>0</v>
      </c>
      <c r="D575" s="60" t="str">
        <f>IFERROR(__xludf.DUMMYFUNCTION("GOOGLETRANSLATE(A575,""ar"", ""en"")"),"Small 3-legged font base")</f>
        <v>Small 3-legged font base</v>
      </c>
      <c r="E575" s="69" t="s">
        <v>1469</v>
      </c>
      <c r="F575" s="9" t="s">
        <v>27</v>
      </c>
      <c r="G575" s="9" t="s">
        <v>28</v>
      </c>
      <c r="H575" s="16" t="s">
        <v>186</v>
      </c>
      <c r="I575" s="8"/>
      <c r="J575" s="12"/>
      <c r="K575" s="8"/>
      <c r="L575" s="8"/>
      <c r="M575" s="70">
        <v>40.0</v>
      </c>
      <c r="N575" s="8"/>
      <c r="O575" s="8"/>
      <c r="P575" s="62"/>
      <c r="Q575" s="4"/>
      <c r="R575" s="4"/>
      <c r="S575" s="4"/>
      <c r="T575" s="4"/>
      <c r="U575" s="4"/>
      <c r="V575" s="4"/>
      <c r="W575" s="4"/>
      <c r="X575" s="4"/>
      <c r="Y575" s="4"/>
    </row>
    <row r="576">
      <c r="A576" s="68" t="s">
        <v>1470</v>
      </c>
      <c r="B576" s="60">
        <v>2331.0</v>
      </c>
      <c r="C576" s="60" t="b">
        <v>0</v>
      </c>
      <c r="D576" s="60" t="str">
        <f>IFERROR(__xludf.DUMMYFUNCTION("GOOGLETRANSLATE(A576,""ar"", ""en"")"),"Small 4-legged font base")</f>
        <v>Small 4-legged font base</v>
      </c>
      <c r="E576" s="69" t="s">
        <v>1471</v>
      </c>
      <c r="F576" s="9" t="s">
        <v>27</v>
      </c>
      <c r="G576" s="9" t="s">
        <v>28</v>
      </c>
      <c r="H576" s="16" t="s">
        <v>186</v>
      </c>
      <c r="I576" s="8"/>
      <c r="J576" s="12"/>
      <c r="K576" s="8"/>
      <c r="L576" s="8"/>
      <c r="M576" s="70">
        <v>80.0</v>
      </c>
      <c r="N576" s="8"/>
      <c r="O576" s="8"/>
      <c r="P576" s="62"/>
      <c r="Q576" s="4"/>
      <c r="R576" s="4"/>
      <c r="S576" s="4"/>
      <c r="T576" s="4"/>
      <c r="U576" s="4"/>
      <c r="V576" s="4"/>
      <c r="W576" s="4"/>
      <c r="X576" s="4"/>
      <c r="Y576" s="4"/>
    </row>
    <row r="577">
      <c r="R577" s="4"/>
      <c r="S577" s="4"/>
      <c r="T577" s="4"/>
      <c r="U577" s="4"/>
      <c r="V577" s="4"/>
      <c r="W577" s="4"/>
      <c r="X577" s="4"/>
      <c r="Y577" s="4"/>
    </row>
    <row r="578">
      <c r="R578" s="4"/>
      <c r="S578" s="4"/>
      <c r="T578" s="4"/>
      <c r="U578" s="4"/>
      <c r="V578" s="4"/>
      <c r="W578" s="4"/>
      <c r="X578" s="4"/>
      <c r="Y578" s="4"/>
    </row>
    <row r="579">
      <c r="R579" s="4"/>
      <c r="S579" s="4"/>
      <c r="T579" s="4"/>
      <c r="U579" s="4"/>
      <c r="V579" s="4"/>
      <c r="W579" s="4"/>
      <c r="X579" s="4"/>
      <c r="Y579" s="4"/>
    </row>
    <row r="580">
      <c r="R580" s="4"/>
      <c r="S580" s="4"/>
      <c r="T580" s="4"/>
      <c r="U580" s="4"/>
      <c r="V580" s="4"/>
      <c r="W580" s="4"/>
      <c r="X580" s="4"/>
      <c r="Y580" s="4"/>
    </row>
    <row r="581">
      <c r="R581" s="4"/>
      <c r="S581" s="4"/>
      <c r="T581" s="4"/>
      <c r="U581" s="4"/>
      <c r="V581" s="4"/>
      <c r="W581" s="4"/>
      <c r="X581" s="4"/>
      <c r="Y581" s="4"/>
    </row>
    <row r="582">
      <c r="R582" s="4"/>
      <c r="S582" s="4"/>
      <c r="T582" s="4"/>
      <c r="U582" s="4"/>
      <c r="V582" s="4"/>
      <c r="W582" s="4"/>
      <c r="X582" s="4"/>
      <c r="Y582" s="4"/>
    </row>
    <row r="583">
      <c r="R583" s="4"/>
      <c r="S583" s="4"/>
      <c r="T583" s="4"/>
      <c r="U583" s="4"/>
      <c r="V583" s="4"/>
      <c r="W583" s="4"/>
      <c r="X583" s="4"/>
      <c r="Y583" s="4"/>
    </row>
    <row r="584">
      <c r="R584" s="4"/>
      <c r="S584" s="4"/>
      <c r="T584" s="4"/>
      <c r="U584" s="4"/>
      <c r="V584" s="4"/>
      <c r="W584" s="4"/>
      <c r="X584" s="4"/>
      <c r="Y584" s="4"/>
    </row>
    <row r="585">
      <c r="R585" s="4"/>
      <c r="S585" s="4"/>
      <c r="T585" s="4"/>
      <c r="U585" s="4"/>
      <c r="V585" s="4"/>
      <c r="W585" s="4"/>
      <c r="X585" s="4"/>
      <c r="Y585" s="4"/>
    </row>
    <row r="586">
      <c r="R586" s="4"/>
      <c r="S586" s="4"/>
      <c r="T586" s="4"/>
      <c r="U586" s="4"/>
      <c r="V586" s="4"/>
      <c r="W586" s="4"/>
      <c r="X586" s="4"/>
      <c r="Y586" s="4"/>
    </row>
    <row r="587">
      <c r="R587" s="4"/>
      <c r="S587" s="4"/>
      <c r="T587" s="4"/>
      <c r="U587" s="4"/>
      <c r="V587" s="4"/>
      <c r="W587" s="4"/>
      <c r="X587" s="4"/>
      <c r="Y587" s="4"/>
    </row>
    <row r="588">
      <c r="R588" s="4"/>
      <c r="S588" s="4"/>
      <c r="T588" s="4"/>
      <c r="U588" s="4"/>
      <c r="V588" s="4"/>
      <c r="W588" s="4"/>
      <c r="X588" s="4"/>
      <c r="Y588" s="4"/>
    </row>
    <row r="589">
      <c r="R589" s="4"/>
      <c r="S589" s="4"/>
      <c r="T589" s="4"/>
      <c r="U589" s="4"/>
      <c r="V589" s="4"/>
      <c r="W589" s="4"/>
      <c r="X589" s="4"/>
      <c r="Y589" s="4"/>
    </row>
    <row r="590">
      <c r="R590" s="4"/>
      <c r="S590" s="4"/>
      <c r="T590" s="4"/>
      <c r="U590" s="4"/>
      <c r="V590" s="4"/>
      <c r="W590" s="4"/>
      <c r="X590" s="4"/>
      <c r="Y590" s="4"/>
    </row>
    <row r="591">
      <c r="R591" s="4"/>
      <c r="S591" s="4"/>
      <c r="T591" s="4"/>
      <c r="U591" s="4"/>
      <c r="V591" s="4"/>
      <c r="W591" s="4"/>
      <c r="X591" s="4"/>
      <c r="Y591" s="4"/>
    </row>
    <row r="592">
      <c r="R592" s="4"/>
      <c r="S592" s="4"/>
      <c r="T592" s="4"/>
      <c r="U592" s="4"/>
      <c r="V592" s="4"/>
      <c r="W592" s="4"/>
      <c r="X592" s="4"/>
      <c r="Y592" s="4"/>
    </row>
    <row r="593">
      <c r="R593" s="4"/>
      <c r="S593" s="4"/>
      <c r="T593" s="4"/>
      <c r="U593" s="4"/>
      <c r="V593" s="4"/>
      <c r="W593" s="4"/>
      <c r="X593" s="4"/>
      <c r="Y593" s="4"/>
    </row>
    <row r="594">
      <c r="R594" s="4"/>
      <c r="S594" s="4"/>
      <c r="T594" s="4"/>
      <c r="U594" s="4"/>
      <c r="V594" s="4"/>
      <c r="W594" s="4"/>
      <c r="X594" s="4"/>
      <c r="Y594" s="4"/>
    </row>
    <row r="595">
      <c r="R595" s="4"/>
      <c r="S595" s="4"/>
      <c r="T595" s="4"/>
      <c r="U595" s="4"/>
      <c r="V595" s="4"/>
      <c r="W595" s="4"/>
      <c r="X595" s="4"/>
      <c r="Y595" s="4"/>
    </row>
    <row r="596">
      <c r="R596" s="4"/>
      <c r="S596" s="4"/>
      <c r="T596" s="4"/>
      <c r="U596" s="4"/>
      <c r="V596" s="4"/>
      <c r="W596" s="4"/>
      <c r="X596" s="4"/>
      <c r="Y596" s="4"/>
    </row>
    <row r="597">
      <c r="R597" s="4"/>
      <c r="S597" s="4"/>
      <c r="T597" s="4"/>
      <c r="U597" s="4"/>
      <c r="V597" s="4"/>
      <c r="W597" s="4"/>
      <c r="X597" s="4"/>
      <c r="Y597" s="4"/>
    </row>
    <row r="598">
      <c r="R598" s="4"/>
      <c r="S598" s="4"/>
      <c r="T598" s="4"/>
      <c r="U598" s="4"/>
      <c r="V598" s="4"/>
      <c r="W598" s="4"/>
      <c r="X598" s="4"/>
      <c r="Y598" s="4"/>
    </row>
    <row r="599">
      <c r="R599" s="4"/>
      <c r="S599" s="4"/>
      <c r="T599" s="4"/>
      <c r="U599" s="4"/>
      <c r="V599" s="4"/>
      <c r="W599" s="4"/>
      <c r="X599" s="4"/>
      <c r="Y599" s="4"/>
    </row>
    <row r="600">
      <c r="R600" s="4"/>
      <c r="S600" s="4"/>
      <c r="T600" s="4"/>
      <c r="U600" s="4"/>
      <c r="V600" s="4"/>
      <c r="W600" s="4"/>
      <c r="X600" s="4"/>
      <c r="Y600" s="4"/>
    </row>
    <row r="601">
      <c r="R601" s="4"/>
      <c r="S601" s="4"/>
      <c r="T601" s="4"/>
      <c r="U601" s="4"/>
      <c r="V601" s="4"/>
      <c r="W601" s="4"/>
      <c r="X601" s="4"/>
      <c r="Y601" s="4"/>
    </row>
    <row r="602">
      <c r="R602" s="4"/>
      <c r="S602" s="4"/>
      <c r="T602" s="4"/>
      <c r="U602" s="4"/>
      <c r="V602" s="4"/>
      <c r="W602" s="4"/>
      <c r="X602" s="4"/>
      <c r="Y602" s="4"/>
    </row>
    <row r="603">
      <c r="R603" s="4"/>
      <c r="S603" s="4"/>
      <c r="T603" s="4"/>
      <c r="U603" s="4"/>
      <c r="V603" s="4"/>
      <c r="W603" s="4"/>
      <c r="X603" s="4"/>
      <c r="Y603" s="4"/>
    </row>
    <row r="604">
      <c r="R604" s="4"/>
      <c r="S604" s="4"/>
      <c r="T604" s="4"/>
      <c r="U604" s="4"/>
      <c r="V604" s="4"/>
      <c r="W604" s="4"/>
      <c r="X604" s="4"/>
      <c r="Y604" s="4"/>
    </row>
    <row r="605">
      <c r="R605" s="4"/>
      <c r="S605" s="4"/>
      <c r="T605" s="4"/>
      <c r="U605" s="4"/>
      <c r="V605" s="4"/>
      <c r="W605" s="4"/>
      <c r="X605" s="4"/>
      <c r="Y605" s="4"/>
    </row>
    <row r="606">
      <c r="R606" s="4"/>
      <c r="S606" s="4"/>
      <c r="T606" s="4"/>
      <c r="U606" s="4"/>
      <c r="V606" s="4"/>
      <c r="W606" s="4"/>
      <c r="X606" s="4"/>
      <c r="Y606" s="4"/>
    </row>
    <row r="607">
      <c r="R607" s="4"/>
      <c r="S607" s="4"/>
      <c r="T607" s="4"/>
      <c r="U607" s="4"/>
      <c r="V607" s="4"/>
      <c r="W607" s="4"/>
      <c r="X607" s="4"/>
      <c r="Y607" s="4"/>
    </row>
    <row r="608">
      <c r="R608" s="4"/>
      <c r="S608" s="4"/>
      <c r="T608" s="4"/>
      <c r="U608" s="4"/>
      <c r="V608" s="4"/>
      <c r="W608" s="4"/>
      <c r="X608" s="4"/>
      <c r="Y608" s="4"/>
    </row>
    <row r="609">
      <c r="R609" s="4"/>
      <c r="S609" s="4"/>
      <c r="T609" s="4"/>
      <c r="U609" s="4"/>
      <c r="V609" s="4"/>
      <c r="W609" s="4"/>
      <c r="X609" s="4"/>
      <c r="Y609" s="4"/>
    </row>
    <row r="610">
      <c r="R610" s="4"/>
      <c r="S610" s="4"/>
      <c r="T610" s="4"/>
      <c r="U610" s="4"/>
      <c r="V610" s="4"/>
      <c r="W610" s="4"/>
      <c r="X610" s="4"/>
      <c r="Y610" s="4"/>
    </row>
    <row r="611">
      <c r="R611" s="4"/>
      <c r="S611" s="4"/>
      <c r="T611" s="4"/>
      <c r="U611" s="4"/>
      <c r="V611" s="4"/>
      <c r="W611" s="4"/>
      <c r="X611" s="4"/>
      <c r="Y611" s="4"/>
    </row>
    <row r="612">
      <c r="R612" s="4"/>
      <c r="S612" s="4"/>
      <c r="T612" s="4"/>
      <c r="U612" s="4"/>
      <c r="V612" s="4"/>
      <c r="W612" s="4"/>
      <c r="X612" s="4"/>
      <c r="Y612" s="4"/>
    </row>
    <row r="613">
      <c r="R613" s="4"/>
      <c r="S613" s="4"/>
      <c r="T613" s="4"/>
      <c r="U613" s="4"/>
      <c r="V613" s="4"/>
      <c r="W613" s="4"/>
      <c r="X613" s="4"/>
      <c r="Y613" s="4"/>
    </row>
    <row r="614">
      <c r="R614" s="4"/>
      <c r="S614" s="4"/>
      <c r="T614" s="4"/>
      <c r="U614" s="4"/>
      <c r="V614" s="4"/>
      <c r="W614" s="4"/>
      <c r="X614" s="4"/>
      <c r="Y614" s="4"/>
    </row>
    <row r="615">
      <c r="R615" s="4"/>
      <c r="S615" s="4"/>
      <c r="T615" s="4"/>
      <c r="U615" s="4"/>
      <c r="V615" s="4"/>
      <c r="W615" s="4"/>
      <c r="X615" s="4"/>
      <c r="Y615" s="4"/>
    </row>
    <row r="616">
      <c r="R616" s="4"/>
      <c r="S616" s="4"/>
      <c r="T616" s="4"/>
      <c r="U616" s="4"/>
      <c r="V616" s="4"/>
      <c r="W616" s="4"/>
      <c r="X616" s="4"/>
      <c r="Y616" s="4"/>
    </row>
    <row r="617">
      <c r="R617" s="4"/>
      <c r="S617" s="4"/>
      <c r="T617" s="4"/>
      <c r="U617" s="4"/>
      <c r="V617" s="4"/>
      <c r="W617" s="4"/>
      <c r="X617" s="4"/>
      <c r="Y617" s="4"/>
    </row>
    <row r="618">
      <c r="R618" s="4"/>
      <c r="S618" s="4"/>
      <c r="T618" s="4"/>
      <c r="U618" s="4"/>
      <c r="V618" s="4"/>
      <c r="W618" s="4"/>
      <c r="X618" s="4"/>
      <c r="Y618" s="4"/>
    </row>
    <row r="619">
      <c r="R619" s="4"/>
      <c r="S619" s="4"/>
      <c r="T619" s="4"/>
      <c r="U619" s="4"/>
      <c r="V619" s="4"/>
      <c r="W619" s="4"/>
      <c r="X619" s="4"/>
      <c r="Y619" s="4"/>
    </row>
    <row r="620">
      <c r="R620" s="4"/>
      <c r="S620" s="4"/>
      <c r="T620" s="4"/>
      <c r="U620" s="4"/>
      <c r="V620" s="4"/>
      <c r="W620" s="4"/>
      <c r="X620" s="4"/>
      <c r="Y620" s="4"/>
    </row>
    <row r="621">
      <c r="R621" s="4"/>
      <c r="S621" s="4"/>
      <c r="T621" s="4"/>
      <c r="U621" s="4"/>
      <c r="V621" s="4"/>
      <c r="W621" s="4"/>
      <c r="X621" s="4"/>
      <c r="Y621" s="4"/>
    </row>
    <row r="622">
      <c r="R622" s="4"/>
      <c r="S622" s="4"/>
      <c r="T622" s="4"/>
      <c r="U622" s="4"/>
      <c r="V622" s="4"/>
      <c r="W622" s="4"/>
      <c r="X622" s="4"/>
      <c r="Y622" s="4"/>
    </row>
    <row r="623">
      <c r="R623" s="4"/>
      <c r="S623" s="4"/>
      <c r="T623" s="4"/>
      <c r="U623" s="4"/>
      <c r="V623" s="4"/>
      <c r="W623" s="4"/>
      <c r="X623" s="4"/>
      <c r="Y623" s="4"/>
    </row>
    <row r="624">
      <c r="R624" s="4"/>
      <c r="S624" s="4"/>
      <c r="T624" s="4"/>
      <c r="U624" s="4"/>
      <c r="V624" s="4"/>
      <c r="W624" s="4"/>
      <c r="X624" s="4"/>
      <c r="Y624" s="4"/>
    </row>
    <row r="625">
      <c r="R625" s="4"/>
      <c r="S625" s="4"/>
      <c r="T625" s="4"/>
      <c r="U625" s="4"/>
      <c r="V625" s="4"/>
      <c r="W625" s="4"/>
      <c r="X625" s="4"/>
      <c r="Y625" s="4"/>
    </row>
    <row r="626">
      <c r="R626" s="4"/>
      <c r="S626" s="4"/>
      <c r="T626" s="4"/>
      <c r="U626" s="4"/>
      <c r="V626" s="4"/>
      <c r="W626" s="4"/>
      <c r="X626" s="4"/>
      <c r="Y626" s="4"/>
    </row>
    <row r="627">
      <c r="R627" s="4"/>
      <c r="S627" s="4"/>
      <c r="T627" s="4"/>
      <c r="U627" s="4"/>
      <c r="V627" s="4"/>
      <c r="W627" s="4"/>
      <c r="X627" s="4"/>
      <c r="Y627" s="4"/>
    </row>
    <row r="628">
      <c r="R628" s="4"/>
      <c r="S628" s="4"/>
      <c r="T628" s="4"/>
      <c r="U628" s="4"/>
      <c r="V628" s="4"/>
      <c r="W628" s="4"/>
      <c r="X628" s="4"/>
      <c r="Y628" s="4"/>
    </row>
    <row r="629">
      <c r="R629" s="4"/>
      <c r="S629" s="4"/>
      <c r="T629" s="4"/>
      <c r="U629" s="4"/>
      <c r="V629" s="4"/>
      <c r="W629" s="4"/>
      <c r="X629" s="4"/>
      <c r="Y629" s="4"/>
    </row>
    <row r="630">
      <c r="R630" s="4"/>
      <c r="S630" s="4"/>
      <c r="T630" s="4"/>
      <c r="U630" s="4"/>
      <c r="V630" s="4"/>
      <c r="W630" s="4"/>
      <c r="X630" s="4"/>
      <c r="Y630" s="4"/>
    </row>
    <row r="631">
      <c r="R631" s="4"/>
      <c r="S631" s="4"/>
      <c r="T631" s="4"/>
      <c r="U631" s="4"/>
      <c r="V631" s="4"/>
      <c r="W631" s="4"/>
      <c r="X631" s="4"/>
      <c r="Y631" s="4"/>
    </row>
    <row r="632">
      <c r="R632" s="4"/>
      <c r="S632" s="4"/>
      <c r="T632" s="4"/>
      <c r="U632" s="4"/>
      <c r="V632" s="4"/>
      <c r="W632" s="4"/>
      <c r="X632" s="4"/>
      <c r="Y632" s="4"/>
    </row>
    <row r="633">
      <c r="R633" s="4"/>
      <c r="S633" s="4"/>
      <c r="T633" s="4"/>
      <c r="U633" s="4"/>
      <c r="V633" s="4"/>
      <c r="W633" s="4"/>
      <c r="X633" s="4"/>
      <c r="Y633" s="4"/>
    </row>
    <row r="634">
      <c r="R634" s="4"/>
      <c r="S634" s="4"/>
      <c r="T634" s="4"/>
      <c r="U634" s="4"/>
      <c r="V634" s="4"/>
      <c r="W634" s="4"/>
      <c r="X634" s="4"/>
      <c r="Y634" s="4"/>
    </row>
    <row r="635">
      <c r="R635" s="4"/>
      <c r="S635" s="4"/>
      <c r="T635" s="4"/>
      <c r="U635" s="4"/>
      <c r="V635" s="4"/>
      <c r="W635" s="4"/>
      <c r="X635" s="4"/>
      <c r="Y635" s="4"/>
    </row>
    <row r="636">
      <c r="R636" s="4"/>
      <c r="S636" s="4"/>
      <c r="T636" s="4"/>
      <c r="U636" s="4"/>
      <c r="V636" s="4"/>
      <c r="W636" s="4"/>
      <c r="X636" s="4"/>
      <c r="Y636" s="4"/>
    </row>
    <row r="637">
      <c r="R637" s="4"/>
      <c r="S637" s="4"/>
      <c r="T637" s="4"/>
      <c r="U637" s="4"/>
      <c r="V637" s="4"/>
      <c r="W637" s="4"/>
      <c r="X637" s="4"/>
      <c r="Y637" s="4"/>
    </row>
    <row r="638">
      <c r="R638" s="4"/>
      <c r="S638" s="4"/>
      <c r="T638" s="4"/>
      <c r="U638" s="4"/>
      <c r="V638" s="4"/>
      <c r="W638" s="4"/>
      <c r="X638" s="4"/>
      <c r="Y638" s="4"/>
    </row>
    <row r="639">
      <c r="R639" s="4"/>
      <c r="S639" s="4"/>
      <c r="T639" s="4"/>
      <c r="U639" s="4"/>
      <c r="V639" s="4"/>
      <c r="W639" s="4"/>
      <c r="X639" s="4"/>
      <c r="Y639" s="4"/>
    </row>
    <row r="640">
      <c r="R640" s="4"/>
      <c r="S640" s="4"/>
      <c r="T640" s="4"/>
      <c r="U640" s="4"/>
      <c r="V640" s="4"/>
      <c r="W640" s="4"/>
      <c r="X640" s="4"/>
      <c r="Y640" s="4"/>
    </row>
    <row r="641">
      <c r="R641" s="4"/>
      <c r="S641" s="4"/>
      <c r="T641" s="4"/>
      <c r="U641" s="4"/>
      <c r="V641" s="4"/>
      <c r="W641" s="4"/>
      <c r="X641" s="4"/>
      <c r="Y641" s="4"/>
    </row>
    <row r="642">
      <c r="R642" s="4"/>
      <c r="S642" s="4"/>
      <c r="T642" s="4"/>
      <c r="U642" s="4"/>
      <c r="V642" s="4"/>
      <c r="W642" s="4"/>
      <c r="X642" s="4"/>
      <c r="Y642" s="4"/>
    </row>
    <row r="643">
      <c r="R643" s="4"/>
      <c r="S643" s="4"/>
      <c r="T643" s="4"/>
      <c r="U643" s="4"/>
      <c r="V643" s="4"/>
      <c r="W643" s="4"/>
      <c r="X643" s="4"/>
      <c r="Y643" s="4"/>
    </row>
    <row r="644">
      <c r="R644" s="4"/>
      <c r="S644" s="4"/>
      <c r="T644" s="4"/>
      <c r="U644" s="4"/>
      <c r="V644" s="4"/>
      <c r="W644" s="4"/>
      <c r="X644" s="4"/>
      <c r="Y644" s="4"/>
    </row>
    <row r="645">
      <c r="R645" s="4"/>
      <c r="S645" s="4"/>
      <c r="T645" s="4"/>
      <c r="U645" s="4"/>
      <c r="V645" s="4"/>
      <c r="W645" s="4"/>
      <c r="X645" s="4"/>
      <c r="Y645" s="4"/>
    </row>
    <row r="646">
      <c r="R646" s="4"/>
      <c r="S646" s="4"/>
      <c r="T646" s="4"/>
      <c r="U646" s="4"/>
      <c r="V646" s="4"/>
      <c r="W646" s="4"/>
      <c r="X646" s="4"/>
      <c r="Y646" s="4"/>
    </row>
    <row r="647">
      <c r="R647" s="4"/>
      <c r="S647" s="4"/>
      <c r="T647" s="4"/>
      <c r="U647" s="4"/>
      <c r="V647" s="4"/>
      <c r="W647" s="4"/>
      <c r="X647" s="4"/>
      <c r="Y647" s="4"/>
    </row>
    <row r="648">
      <c r="R648" s="4"/>
      <c r="S648" s="4"/>
      <c r="T648" s="4"/>
      <c r="U648" s="4"/>
      <c r="V648" s="4"/>
      <c r="W648" s="4"/>
      <c r="X648" s="4"/>
      <c r="Y648" s="4"/>
    </row>
    <row r="649">
      <c r="R649" s="4"/>
      <c r="S649" s="4"/>
      <c r="T649" s="4"/>
      <c r="U649" s="4"/>
      <c r="V649" s="4"/>
      <c r="W649" s="4"/>
      <c r="X649" s="4"/>
      <c r="Y649" s="4"/>
    </row>
    <row r="650">
      <c r="R650" s="4"/>
      <c r="S650" s="4"/>
      <c r="T650" s="4"/>
      <c r="U650" s="4"/>
      <c r="V650" s="4"/>
      <c r="W650" s="4"/>
      <c r="X650" s="4"/>
      <c r="Y650" s="4"/>
    </row>
    <row r="651">
      <c r="R651" s="4"/>
      <c r="S651" s="4"/>
      <c r="T651" s="4"/>
      <c r="U651" s="4"/>
      <c r="V651" s="4"/>
      <c r="W651" s="4"/>
      <c r="X651" s="4"/>
      <c r="Y651" s="4"/>
    </row>
    <row r="652">
      <c r="R652" s="4"/>
      <c r="S652" s="4"/>
      <c r="T652" s="4"/>
      <c r="U652" s="4"/>
      <c r="V652" s="4"/>
      <c r="W652" s="4"/>
      <c r="X652" s="4"/>
      <c r="Y652" s="4"/>
    </row>
    <row r="653">
      <c r="R653" s="4"/>
      <c r="S653" s="4"/>
      <c r="T653" s="4"/>
      <c r="U653" s="4"/>
      <c r="V653" s="4"/>
      <c r="W653" s="4"/>
      <c r="X653" s="4"/>
      <c r="Y653" s="4"/>
    </row>
    <row r="654">
      <c r="R654" s="4"/>
      <c r="S654" s="4"/>
      <c r="T654" s="4"/>
      <c r="U654" s="4"/>
      <c r="V654" s="4"/>
      <c r="W654" s="4"/>
      <c r="X654" s="4"/>
      <c r="Y654" s="4"/>
    </row>
    <row r="655">
      <c r="R655" s="4"/>
      <c r="S655" s="4"/>
      <c r="T655" s="4"/>
      <c r="U655" s="4"/>
      <c r="V655" s="4"/>
      <c r="W655" s="4"/>
      <c r="X655" s="4"/>
      <c r="Y655" s="4"/>
    </row>
    <row r="656">
      <c r="R656" s="4"/>
      <c r="S656" s="4"/>
      <c r="T656" s="4"/>
      <c r="U656" s="4"/>
      <c r="V656" s="4"/>
      <c r="W656" s="4"/>
      <c r="X656" s="4"/>
      <c r="Y656" s="4"/>
    </row>
    <row r="657">
      <c r="R657" s="4"/>
      <c r="S657" s="4"/>
      <c r="T657" s="4"/>
      <c r="U657" s="4"/>
      <c r="V657" s="4"/>
      <c r="W657" s="4"/>
      <c r="X657" s="4"/>
      <c r="Y657" s="4"/>
    </row>
    <row r="658">
      <c r="R658" s="4"/>
      <c r="S658" s="4"/>
      <c r="T658" s="4"/>
      <c r="U658" s="4"/>
      <c r="V658" s="4"/>
      <c r="W658" s="4"/>
      <c r="X658" s="4"/>
      <c r="Y658" s="4"/>
    </row>
    <row r="659">
      <c r="R659" s="4"/>
      <c r="S659" s="4"/>
      <c r="T659" s="4"/>
      <c r="U659" s="4"/>
      <c r="V659" s="4"/>
      <c r="W659" s="4"/>
      <c r="X659" s="4"/>
      <c r="Y659" s="4"/>
    </row>
    <row r="660">
      <c r="R660" s="4"/>
      <c r="S660" s="4"/>
      <c r="T660" s="4"/>
      <c r="U660" s="4"/>
      <c r="V660" s="4"/>
      <c r="W660" s="4"/>
      <c r="X660" s="4"/>
      <c r="Y660" s="4"/>
    </row>
    <row r="661">
      <c r="R661" s="4"/>
      <c r="S661" s="4"/>
      <c r="T661" s="4"/>
      <c r="U661" s="4"/>
      <c r="V661" s="4"/>
      <c r="W661" s="4"/>
      <c r="X661" s="4"/>
      <c r="Y661" s="4"/>
    </row>
    <row r="662">
      <c r="R662" s="4"/>
      <c r="S662" s="4"/>
      <c r="T662" s="4"/>
      <c r="U662" s="4"/>
      <c r="V662" s="4"/>
      <c r="W662" s="4"/>
      <c r="X662" s="4"/>
      <c r="Y662" s="4"/>
    </row>
    <row r="663">
      <c r="R663" s="4"/>
      <c r="S663" s="4"/>
      <c r="T663" s="4"/>
      <c r="U663" s="4"/>
      <c r="V663" s="4"/>
      <c r="W663" s="4"/>
      <c r="X663" s="4"/>
      <c r="Y663" s="4"/>
    </row>
    <row r="664">
      <c r="R664" s="4"/>
      <c r="S664" s="4"/>
      <c r="T664" s="4"/>
      <c r="U664" s="4"/>
      <c r="V664" s="4"/>
      <c r="W664" s="4"/>
      <c r="X664" s="4"/>
      <c r="Y664" s="4"/>
    </row>
    <row r="665">
      <c r="R665" s="4"/>
      <c r="S665" s="4"/>
      <c r="T665" s="4"/>
      <c r="U665" s="4"/>
      <c r="V665" s="4"/>
      <c r="W665" s="4"/>
      <c r="X665" s="4"/>
      <c r="Y665" s="4"/>
    </row>
    <row r="666">
      <c r="R666" s="4"/>
      <c r="S666" s="4"/>
      <c r="T666" s="4"/>
      <c r="U666" s="4"/>
      <c r="V666" s="4"/>
      <c r="W666" s="4"/>
      <c r="X666" s="4"/>
      <c r="Y666" s="4"/>
    </row>
    <row r="667">
      <c r="R667" s="4"/>
      <c r="S667" s="4"/>
      <c r="T667" s="4"/>
      <c r="U667" s="4"/>
      <c r="V667" s="4"/>
      <c r="W667" s="4"/>
      <c r="X667" s="4"/>
      <c r="Y667" s="4"/>
    </row>
    <row r="668">
      <c r="R668" s="4"/>
      <c r="S668" s="4"/>
      <c r="T668" s="4"/>
      <c r="U668" s="4"/>
      <c r="V668" s="4"/>
      <c r="W668" s="4"/>
      <c r="X668" s="4"/>
      <c r="Y668" s="4"/>
    </row>
    <row r="669">
      <c r="R669" s="4"/>
      <c r="S669" s="4"/>
      <c r="T669" s="4"/>
      <c r="U669" s="4"/>
      <c r="V669" s="4"/>
      <c r="W669" s="4"/>
      <c r="X669" s="4"/>
      <c r="Y669" s="4"/>
    </row>
    <row r="670">
      <c r="R670" s="4"/>
      <c r="S670" s="4"/>
      <c r="T670" s="4"/>
      <c r="U670" s="4"/>
      <c r="V670" s="4"/>
      <c r="W670" s="4"/>
      <c r="X670" s="4"/>
      <c r="Y670" s="4"/>
    </row>
    <row r="671">
      <c r="R671" s="4"/>
      <c r="S671" s="4"/>
      <c r="T671" s="4"/>
      <c r="U671" s="4"/>
      <c r="V671" s="4"/>
      <c r="W671" s="4"/>
      <c r="X671" s="4"/>
      <c r="Y671" s="4"/>
    </row>
    <row r="672">
      <c r="R672" s="4"/>
      <c r="S672" s="4"/>
      <c r="T672" s="4"/>
      <c r="U672" s="4"/>
      <c r="V672" s="4"/>
      <c r="W672" s="4"/>
      <c r="X672" s="4"/>
      <c r="Y672" s="4"/>
    </row>
    <row r="673">
      <c r="R673" s="4"/>
      <c r="S673" s="4"/>
      <c r="T673" s="4"/>
      <c r="U673" s="4"/>
      <c r="V673" s="4"/>
      <c r="W673" s="4"/>
      <c r="X673" s="4"/>
      <c r="Y673" s="4"/>
    </row>
    <row r="674">
      <c r="R674" s="4"/>
      <c r="S674" s="4"/>
      <c r="T674" s="4"/>
      <c r="U674" s="4"/>
      <c r="V674" s="4"/>
      <c r="W674" s="4"/>
      <c r="X674" s="4"/>
      <c r="Y674" s="4"/>
    </row>
    <row r="675">
      <c r="R675" s="4"/>
      <c r="S675" s="4"/>
      <c r="T675" s="4"/>
      <c r="U675" s="4"/>
      <c r="V675" s="4"/>
      <c r="W675" s="4"/>
      <c r="X675" s="4"/>
      <c r="Y675" s="4"/>
    </row>
    <row r="676">
      <c r="R676" s="4"/>
      <c r="S676" s="4"/>
      <c r="T676" s="4"/>
      <c r="U676" s="4"/>
      <c r="V676" s="4"/>
      <c r="W676" s="4"/>
      <c r="X676" s="4"/>
      <c r="Y676" s="4"/>
    </row>
    <row r="677">
      <c r="R677" s="4"/>
      <c r="S677" s="4"/>
      <c r="T677" s="4"/>
      <c r="U677" s="4"/>
      <c r="V677" s="4"/>
      <c r="W677" s="4"/>
      <c r="X677" s="4"/>
      <c r="Y677" s="4"/>
    </row>
    <row r="678">
      <c r="R678" s="4"/>
      <c r="S678" s="4"/>
      <c r="T678" s="4"/>
      <c r="U678" s="4"/>
      <c r="V678" s="4"/>
      <c r="W678" s="4"/>
      <c r="X678" s="4"/>
      <c r="Y678" s="4"/>
    </row>
    <row r="679">
      <c r="R679" s="4"/>
      <c r="S679" s="4"/>
      <c r="T679" s="4"/>
      <c r="U679" s="4"/>
      <c r="V679" s="4"/>
      <c r="W679" s="4"/>
      <c r="X679" s="4"/>
      <c r="Y679" s="4"/>
    </row>
    <row r="680">
      <c r="R680" s="4"/>
      <c r="S680" s="4"/>
      <c r="T680" s="4"/>
      <c r="U680" s="4"/>
      <c r="V680" s="4"/>
      <c r="W680" s="4"/>
      <c r="X680" s="4"/>
      <c r="Y680" s="4"/>
    </row>
    <row r="681">
      <c r="R681" s="4"/>
      <c r="S681" s="4"/>
      <c r="T681" s="4"/>
      <c r="U681" s="4"/>
      <c r="V681" s="4"/>
      <c r="W681" s="4"/>
      <c r="X681" s="4"/>
      <c r="Y681" s="4"/>
    </row>
    <row r="682">
      <c r="R682" s="4"/>
      <c r="S682" s="4"/>
      <c r="T682" s="4"/>
      <c r="U682" s="4"/>
      <c r="V682" s="4"/>
      <c r="W682" s="4"/>
      <c r="X682" s="4"/>
      <c r="Y682" s="4"/>
    </row>
    <row r="683">
      <c r="R683" s="4"/>
      <c r="S683" s="4"/>
      <c r="T683" s="4"/>
      <c r="U683" s="4"/>
      <c r="V683" s="4"/>
      <c r="W683" s="4"/>
      <c r="X683" s="4"/>
      <c r="Y683" s="4"/>
    </row>
    <row r="684">
      <c r="R684" s="4"/>
      <c r="S684" s="4"/>
      <c r="T684" s="4"/>
      <c r="U684" s="4"/>
      <c r="V684" s="4"/>
      <c r="W684" s="4"/>
      <c r="X684" s="4"/>
      <c r="Y684" s="4"/>
    </row>
    <row r="685">
      <c r="R685" s="4"/>
      <c r="S685" s="4"/>
      <c r="T685" s="4"/>
      <c r="U685" s="4"/>
      <c r="V685" s="4"/>
      <c r="W685" s="4"/>
      <c r="X685" s="4"/>
      <c r="Y685" s="4"/>
    </row>
    <row r="686">
      <c r="R686" s="4"/>
      <c r="S686" s="4"/>
      <c r="T686" s="4"/>
      <c r="U686" s="4"/>
      <c r="V686" s="4"/>
      <c r="W686" s="4"/>
      <c r="X686" s="4"/>
      <c r="Y686" s="4"/>
    </row>
    <row r="687">
      <c r="R687" s="4"/>
      <c r="S687" s="4"/>
      <c r="T687" s="4"/>
      <c r="U687" s="4"/>
      <c r="V687" s="4"/>
      <c r="W687" s="4"/>
      <c r="X687" s="4"/>
      <c r="Y687" s="4"/>
    </row>
    <row r="688">
      <c r="R688" s="4"/>
      <c r="S688" s="4"/>
      <c r="T688" s="4"/>
      <c r="U688" s="4"/>
      <c r="V688" s="4"/>
      <c r="W688" s="4"/>
      <c r="X688" s="4"/>
      <c r="Y688" s="4"/>
    </row>
    <row r="689">
      <c r="R689" s="4"/>
      <c r="S689" s="4"/>
      <c r="T689" s="4"/>
      <c r="U689" s="4"/>
      <c r="V689" s="4"/>
      <c r="W689" s="4"/>
      <c r="X689" s="4"/>
      <c r="Y689" s="4"/>
    </row>
    <row r="690">
      <c r="R690" s="4"/>
      <c r="S690" s="4"/>
      <c r="T690" s="4"/>
      <c r="U690" s="4"/>
      <c r="V690" s="4"/>
      <c r="W690" s="4"/>
      <c r="X690" s="4"/>
      <c r="Y690" s="4"/>
    </row>
    <row r="691">
      <c r="R691" s="4"/>
      <c r="S691" s="4"/>
      <c r="T691" s="4"/>
      <c r="U691" s="4"/>
      <c r="V691" s="4"/>
      <c r="W691" s="4"/>
      <c r="X691" s="4"/>
      <c r="Y691" s="4"/>
    </row>
    <row r="692">
      <c r="R692" s="4"/>
      <c r="S692" s="4"/>
      <c r="T692" s="4"/>
      <c r="U692" s="4"/>
      <c r="V692" s="4"/>
      <c r="W692" s="4"/>
      <c r="X692" s="4"/>
      <c r="Y692" s="4"/>
    </row>
    <row r="693">
      <c r="R693" s="4"/>
      <c r="S693" s="4"/>
      <c r="T693" s="4"/>
      <c r="U693" s="4"/>
      <c r="V693" s="4"/>
      <c r="W693" s="4"/>
      <c r="X693" s="4"/>
      <c r="Y693" s="4"/>
    </row>
    <row r="694">
      <c r="R694" s="4"/>
      <c r="S694" s="4"/>
      <c r="T694" s="4"/>
      <c r="U694" s="4"/>
      <c r="V694" s="4"/>
      <c r="W694" s="4"/>
      <c r="X694" s="4"/>
      <c r="Y694" s="4"/>
    </row>
    <row r="695">
      <c r="R695" s="4"/>
      <c r="S695" s="4"/>
      <c r="T695" s="4"/>
      <c r="U695" s="4"/>
      <c r="V695" s="4"/>
      <c r="W695" s="4"/>
      <c r="X695" s="4"/>
      <c r="Y695" s="4"/>
    </row>
    <row r="696">
      <c r="R696" s="4"/>
      <c r="S696" s="4"/>
      <c r="T696" s="4"/>
      <c r="U696" s="4"/>
      <c r="V696" s="4"/>
      <c r="W696" s="4"/>
      <c r="X696" s="4"/>
      <c r="Y696" s="4"/>
    </row>
    <row r="697">
      <c r="R697" s="4"/>
      <c r="S697" s="4"/>
      <c r="T697" s="4"/>
      <c r="U697" s="4"/>
      <c r="V697" s="4"/>
      <c r="W697" s="4"/>
      <c r="X697" s="4"/>
      <c r="Y697" s="4"/>
    </row>
    <row r="698">
      <c r="R698" s="4"/>
      <c r="S698" s="4"/>
      <c r="T698" s="4"/>
      <c r="U698" s="4"/>
      <c r="V698" s="4"/>
      <c r="W698" s="4"/>
      <c r="X698" s="4"/>
      <c r="Y698" s="4"/>
    </row>
    <row r="699">
      <c r="R699" s="4"/>
      <c r="S699" s="4"/>
      <c r="T699" s="4"/>
      <c r="U699" s="4"/>
      <c r="V699" s="4"/>
      <c r="W699" s="4"/>
      <c r="X699" s="4"/>
      <c r="Y699" s="4"/>
    </row>
    <row r="700">
      <c r="R700" s="4"/>
      <c r="S700" s="4"/>
      <c r="T700" s="4"/>
      <c r="U700" s="4"/>
      <c r="V700" s="4"/>
      <c r="W700" s="4"/>
      <c r="X700" s="4"/>
      <c r="Y700" s="4"/>
    </row>
    <row r="701">
      <c r="R701" s="4"/>
      <c r="S701" s="4"/>
      <c r="T701" s="4"/>
      <c r="U701" s="4"/>
      <c r="V701" s="4"/>
      <c r="W701" s="4"/>
      <c r="X701" s="4"/>
      <c r="Y701" s="4"/>
    </row>
    <row r="702">
      <c r="R702" s="4"/>
      <c r="S702" s="4"/>
      <c r="T702" s="4"/>
      <c r="U702" s="4"/>
      <c r="V702" s="4"/>
      <c r="W702" s="4"/>
      <c r="X702" s="4"/>
      <c r="Y702" s="4"/>
    </row>
    <row r="703">
      <c r="R703" s="4"/>
      <c r="S703" s="4"/>
      <c r="T703" s="4"/>
      <c r="U703" s="4"/>
      <c r="V703" s="4"/>
      <c r="W703" s="4"/>
      <c r="X703" s="4"/>
      <c r="Y703" s="4"/>
    </row>
    <row r="704">
      <c r="R704" s="4"/>
      <c r="S704" s="4"/>
      <c r="T704" s="4"/>
      <c r="U704" s="4"/>
      <c r="V704" s="4"/>
      <c r="W704" s="4"/>
      <c r="X704" s="4"/>
      <c r="Y704" s="4"/>
    </row>
    <row r="705">
      <c r="R705" s="4"/>
      <c r="S705" s="4"/>
      <c r="T705" s="4"/>
      <c r="U705" s="4"/>
      <c r="V705" s="4"/>
      <c r="W705" s="4"/>
      <c r="X705" s="4"/>
      <c r="Y705" s="4"/>
    </row>
    <row r="706">
      <c r="R706" s="4"/>
      <c r="S706" s="4"/>
      <c r="T706" s="4"/>
      <c r="U706" s="4"/>
      <c r="V706" s="4"/>
      <c r="W706" s="4"/>
      <c r="X706" s="4"/>
      <c r="Y706" s="4"/>
    </row>
    <row r="707">
      <c r="R707" s="4"/>
      <c r="S707" s="4"/>
      <c r="T707" s="4"/>
      <c r="U707" s="4"/>
      <c r="V707" s="4"/>
      <c r="W707" s="4"/>
      <c r="X707" s="4"/>
      <c r="Y707" s="4"/>
    </row>
    <row r="708">
      <c r="R708" s="4"/>
      <c r="S708" s="4"/>
      <c r="T708" s="4"/>
      <c r="U708" s="4"/>
      <c r="V708" s="4"/>
      <c r="W708" s="4"/>
      <c r="X708" s="4"/>
      <c r="Y708" s="4"/>
    </row>
    <row r="709">
      <c r="R709" s="4"/>
      <c r="S709" s="4"/>
      <c r="T709" s="4"/>
      <c r="U709" s="4"/>
      <c r="V709" s="4"/>
      <c r="W709" s="4"/>
      <c r="X709" s="4"/>
      <c r="Y709" s="4"/>
    </row>
    <row r="710">
      <c r="R710" s="4"/>
      <c r="S710" s="4"/>
      <c r="T710" s="4"/>
      <c r="U710" s="4"/>
      <c r="V710" s="4"/>
      <c r="W710" s="4"/>
      <c r="X710" s="4"/>
      <c r="Y710" s="4"/>
    </row>
    <row r="711">
      <c r="R711" s="4"/>
      <c r="S711" s="4"/>
      <c r="T711" s="4"/>
      <c r="U711" s="4"/>
      <c r="V711" s="4"/>
      <c r="W711" s="4"/>
      <c r="X711" s="4"/>
      <c r="Y711" s="4"/>
    </row>
    <row r="712">
      <c r="R712" s="4"/>
      <c r="S712" s="4"/>
      <c r="T712" s="4"/>
      <c r="U712" s="4"/>
      <c r="V712" s="4"/>
      <c r="W712" s="4"/>
      <c r="X712" s="4"/>
      <c r="Y712" s="4"/>
    </row>
    <row r="713">
      <c r="R713" s="4"/>
      <c r="S713" s="4"/>
      <c r="T713" s="4"/>
      <c r="U713" s="4"/>
      <c r="V713" s="4"/>
      <c r="W713" s="4"/>
      <c r="X713" s="4"/>
      <c r="Y713" s="4"/>
    </row>
    <row r="714">
      <c r="R714" s="4"/>
      <c r="S714" s="4"/>
      <c r="T714" s="4"/>
      <c r="U714" s="4"/>
      <c r="V714" s="4"/>
      <c r="W714" s="4"/>
      <c r="X714" s="4"/>
      <c r="Y714" s="4"/>
    </row>
    <row r="715">
      <c r="R715" s="4"/>
      <c r="S715" s="4"/>
      <c r="T715" s="4"/>
      <c r="U715" s="4"/>
      <c r="V715" s="4"/>
      <c r="W715" s="4"/>
      <c r="X715" s="4"/>
      <c r="Y715" s="4"/>
    </row>
    <row r="716">
      <c r="R716" s="4"/>
      <c r="S716" s="4"/>
      <c r="T716" s="4"/>
      <c r="U716" s="4"/>
      <c r="V716" s="4"/>
      <c r="W716" s="4"/>
      <c r="X716" s="4"/>
      <c r="Y716" s="4"/>
    </row>
    <row r="717">
      <c r="R717" s="4"/>
      <c r="S717" s="4"/>
      <c r="T717" s="4"/>
      <c r="U717" s="4"/>
      <c r="V717" s="4"/>
      <c r="W717" s="4"/>
      <c r="X717" s="4"/>
      <c r="Y717" s="4"/>
    </row>
    <row r="718">
      <c r="R718" s="4"/>
      <c r="S718" s="4"/>
      <c r="T718" s="4"/>
      <c r="U718" s="4"/>
      <c r="V718" s="4"/>
      <c r="W718" s="4"/>
      <c r="X718" s="4"/>
      <c r="Y718" s="4"/>
    </row>
    <row r="719">
      <c r="R719" s="4"/>
      <c r="S719" s="4"/>
      <c r="T719" s="4"/>
      <c r="U719" s="4"/>
      <c r="V719" s="4"/>
      <c r="W719" s="4"/>
      <c r="X719" s="4"/>
      <c r="Y719" s="4"/>
    </row>
    <row r="720">
      <c r="R720" s="4"/>
      <c r="S720" s="4"/>
      <c r="T720" s="4"/>
      <c r="U720" s="4"/>
      <c r="V720" s="4"/>
      <c r="W720" s="4"/>
      <c r="X720" s="4"/>
      <c r="Y720" s="4"/>
    </row>
    <row r="721">
      <c r="R721" s="4"/>
      <c r="S721" s="4"/>
      <c r="T721" s="4"/>
      <c r="U721" s="4"/>
      <c r="V721" s="4"/>
      <c r="W721" s="4"/>
      <c r="X721" s="4"/>
      <c r="Y721" s="4"/>
    </row>
    <row r="722">
      <c r="R722" s="4"/>
      <c r="S722" s="4"/>
      <c r="T722" s="4"/>
      <c r="U722" s="4"/>
      <c r="V722" s="4"/>
      <c r="W722" s="4"/>
      <c r="X722" s="4"/>
      <c r="Y722" s="4"/>
    </row>
    <row r="723">
      <c r="R723" s="4"/>
      <c r="S723" s="4"/>
      <c r="T723" s="4"/>
      <c r="U723" s="4"/>
      <c r="V723" s="4"/>
      <c r="W723" s="4"/>
      <c r="X723" s="4"/>
      <c r="Y723" s="4"/>
    </row>
    <row r="724">
      <c r="R724" s="4"/>
      <c r="S724" s="4"/>
      <c r="T724" s="4"/>
      <c r="U724" s="4"/>
      <c r="V724" s="4"/>
      <c r="W724" s="4"/>
      <c r="X724" s="4"/>
      <c r="Y724" s="4"/>
    </row>
    <row r="725">
      <c r="R725" s="4"/>
      <c r="S725" s="4"/>
      <c r="T725" s="4"/>
      <c r="U725" s="4"/>
      <c r="V725" s="4"/>
      <c r="W725" s="4"/>
      <c r="X725" s="4"/>
      <c r="Y725" s="4"/>
    </row>
    <row r="726">
      <c r="R726" s="4"/>
      <c r="S726" s="4"/>
      <c r="T726" s="4"/>
      <c r="U726" s="4"/>
      <c r="V726" s="4"/>
      <c r="W726" s="4"/>
      <c r="X726" s="4"/>
      <c r="Y726" s="4"/>
    </row>
    <row r="727">
      <c r="R727" s="4"/>
      <c r="S727" s="4"/>
      <c r="T727" s="4"/>
      <c r="U727" s="4"/>
      <c r="V727" s="4"/>
      <c r="W727" s="4"/>
      <c r="X727" s="4"/>
      <c r="Y727" s="4"/>
    </row>
    <row r="728">
      <c r="R728" s="4"/>
      <c r="S728" s="4"/>
      <c r="T728" s="4"/>
      <c r="U728" s="4"/>
      <c r="V728" s="4"/>
      <c r="W728" s="4"/>
      <c r="X728" s="4"/>
      <c r="Y728" s="4"/>
    </row>
    <row r="729">
      <c r="R729" s="4"/>
      <c r="S729" s="4"/>
      <c r="T729" s="4"/>
      <c r="U729" s="4"/>
      <c r="V729" s="4"/>
      <c r="W729" s="4"/>
      <c r="X729" s="4"/>
      <c r="Y729" s="4"/>
    </row>
    <row r="730">
      <c r="R730" s="4"/>
      <c r="S730" s="4"/>
      <c r="T730" s="4"/>
      <c r="U730" s="4"/>
      <c r="V730" s="4"/>
      <c r="W730" s="4"/>
      <c r="X730" s="4"/>
      <c r="Y730" s="4"/>
    </row>
    <row r="731">
      <c r="R731" s="4"/>
      <c r="S731" s="4"/>
      <c r="T731" s="4"/>
      <c r="U731" s="4"/>
      <c r="V731" s="4"/>
      <c r="W731" s="4"/>
      <c r="X731" s="4"/>
      <c r="Y731" s="4"/>
    </row>
    <row r="732">
      <c r="R732" s="4"/>
      <c r="S732" s="4"/>
      <c r="T732" s="4"/>
      <c r="U732" s="4"/>
      <c r="V732" s="4"/>
      <c r="W732" s="4"/>
      <c r="X732" s="4"/>
      <c r="Y732" s="4"/>
    </row>
    <row r="733">
      <c r="R733" s="4"/>
      <c r="S733" s="4"/>
      <c r="T733" s="4"/>
      <c r="U733" s="4"/>
      <c r="V733" s="4"/>
      <c r="W733" s="4"/>
      <c r="X733" s="4"/>
      <c r="Y733" s="4"/>
    </row>
    <row r="734">
      <c r="R734" s="4"/>
      <c r="S734" s="4"/>
      <c r="T734" s="4"/>
      <c r="U734" s="4"/>
      <c r="V734" s="4"/>
      <c r="W734" s="4"/>
      <c r="X734" s="4"/>
      <c r="Y734" s="4"/>
    </row>
    <row r="735">
      <c r="R735" s="4"/>
      <c r="S735" s="4"/>
      <c r="T735" s="4"/>
      <c r="U735" s="4"/>
      <c r="V735" s="4"/>
      <c r="W735" s="4"/>
      <c r="X735" s="4"/>
      <c r="Y735" s="4"/>
    </row>
    <row r="736">
      <c r="R736" s="4"/>
      <c r="S736" s="4"/>
      <c r="T736" s="4"/>
      <c r="U736" s="4"/>
      <c r="V736" s="4"/>
      <c r="W736" s="4"/>
      <c r="X736" s="4"/>
      <c r="Y736" s="4"/>
    </row>
    <row r="737">
      <c r="R737" s="4"/>
      <c r="S737" s="4"/>
      <c r="T737" s="4"/>
      <c r="U737" s="4"/>
      <c r="V737" s="4"/>
      <c r="W737" s="4"/>
      <c r="X737" s="4"/>
      <c r="Y737" s="4"/>
    </row>
    <row r="738">
      <c r="R738" s="4"/>
      <c r="S738" s="4"/>
      <c r="T738" s="4"/>
      <c r="U738" s="4"/>
      <c r="V738" s="4"/>
      <c r="W738" s="4"/>
      <c r="X738" s="4"/>
      <c r="Y738" s="4"/>
    </row>
    <row r="739">
      <c r="R739" s="4"/>
      <c r="S739" s="4"/>
      <c r="T739" s="4"/>
      <c r="U739" s="4"/>
      <c r="V739" s="4"/>
      <c r="W739" s="4"/>
      <c r="X739" s="4"/>
      <c r="Y739" s="4"/>
    </row>
    <row r="740">
      <c r="R740" s="4"/>
      <c r="S740" s="4"/>
      <c r="T740" s="4"/>
      <c r="U740" s="4"/>
      <c r="V740" s="4"/>
      <c r="W740" s="4"/>
      <c r="X740" s="4"/>
      <c r="Y740" s="4"/>
    </row>
    <row r="741">
      <c r="R741" s="4"/>
      <c r="S741" s="4"/>
      <c r="T741" s="4"/>
      <c r="U741" s="4"/>
      <c r="V741" s="4"/>
      <c r="W741" s="4"/>
      <c r="X741" s="4"/>
      <c r="Y741" s="4"/>
    </row>
    <row r="742">
      <c r="R742" s="4"/>
      <c r="S742" s="4"/>
      <c r="T742" s="4"/>
      <c r="U742" s="4"/>
      <c r="V742" s="4"/>
      <c r="W742" s="4"/>
      <c r="X742" s="4"/>
      <c r="Y742" s="4"/>
    </row>
    <row r="743">
      <c r="R743" s="4"/>
      <c r="S743" s="4"/>
      <c r="T743" s="4"/>
      <c r="U743" s="4"/>
      <c r="V743" s="4"/>
      <c r="W743" s="4"/>
      <c r="X743" s="4"/>
      <c r="Y743" s="4"/>
    </row>
    <row r="744">
      <c r="R744" s="4"/>
      <c r="S744" s="4"/>
      <c r="T744" s="4"/>
      <c r="U744" s="4"/>
      <c r="V744" s="4"/>
      <c r="W744" s="4"/>
      <c r="X744" s="4"/>
      <c r="Y744" s="4"/>
    </row>
    <row r="745">
      <c r="R745" s="4"/>
      <c r="S745" s="4"/>
      <c r="T745" s="4"/>
      <c r="U745" s="4"/>
      <c r="V745" s="4"/>
      <c r="W745" s="4"/>
      <c r="X745" s="4"/>
      <c r="Y745" s="4"/>
    </row>
    <row r="746">
      <c r="R746" s="4"/>
      <c r="S746" s="4"/>
      <c r="T746" s="4"/>
      <c r="U746" s="4"/>
      <c r="V746" s="4"/>
      <c r="W746" s="4"/>
      <c r="X746" s="4"/>
      <c r="Y746" s="4"/>
    </row>
    <row r="747">
      <c r="R747" s="4"/>
      <c r="S747" s="4"/>
      <c r="T747" s="4"/>
      <c r="U747" s="4"/>
      <c r="V747" s="4"/>
      <c r="W747" s="4"/>
      <c r="X747" s="4"/>
      <c r="Y747" s="4"/>
    </row>
    <row r="748">
      <c r="R748" s="4"/>
      <c r="S748" s="4"/>
      <c r="T748" s="4"/>
      <c r="U748" s="4"/>
      <c r="V748" s="4"/>
      <c r="W748" s="4"/>
      <c r="X748" s="4"/>
      <c r="Y748" s="4"/>
    </row>
    <row r="749">
      <c r="R749" s="4"/>
      <c r="S749" s="4"/>
      <c r="T749" s="4"/>
      <c r="U749" s="4"/>
      <c r="V749" s="4"/>
      <c r="W749" s="4"/>
      <c r="X749" s="4"/>
      <c r="Y749" s="4"/>
    </row>
    <row r="750">
      <c r="R750" s="4"/>
      <c r="S750" s="4"/>
      <c r="T750" s="4"/>
      <c r="U750" s="4"/>
      <c r="V750" s="4"/>
      <c r="W750" s="4"/>
      <c r="X750" s="4"/>
      <c r="Y750" s="4"/>
    </row>
    <row r="751">
      <c r="R751" s="4"/>
      <c r="S751" s="4"/>
      <c r="T751" s="4"/>
      <c r="U751" s="4"/>
      <c r="V751" s="4"/>
      <c r="W751" s="4"/>
      <c r="X751" s="4"/>
      <c r="Y751" s="4"/>
    </row>
    <row r="752">
      <c r="R752" s="4"/>
      <c r="S752" s="4"/>
      <c r="T752" s="4"/>
      <c r="U752" s="4"/>
      <c r="V752" s="4"/>
      <c r="W752" s="4"/>
      <c r="X752" s="4"/>
      <c r="Y752" s="4"/>
    </row>
    <row r="753">
      <c r="R753" s="4"/>
      <c r="S753" s="4"/>
      <c r="T753" s="4"/>
      <c r="U753" s="4"/>
      <c r="V753" s="4"/>
      <c r="W753" s="4"/>
      <c r="X753" s="4"/>
      <c r="Y753" s="4"/>
    </row>
    <row r="754">
      <c r="R754" s="4"/>
      <c r="S754" s="4"/>
      <c r="T754" s="4"/>
      <c r="U754" s="4"/>
      <c r="V754" s="4"/>
      <c r="W754" s="4"/>
      <c r="X754" s="4"/>
      <c r="Y754" s="4"/>
    </row>
    <row r="755">
      <c r="R755" s="4"/>
      <c r="S755" s="4"/>
      <c r="T755" s="4"/>
      <c r="U755" s="4"/>
      <c r="V755" s="4"/>
      <c r="W755" s="4"/>
      <c r="X755" s="4"/>
      <c r="Y755" s="4"/>
    </row>
    <row r="756">
      <c r="R756" s="4"/>
      <c r="S756" s="4"/>
      <c r="T756" s="4"/>
      <c r="U756" s="4"/>
      <c r="V756" s="4"/>
      <c r="W756" s="4"/>
      <c r="X756" s="4"/>
      <c r="Y756" s="4"/>
    </row>
    <row r="757">
      <c r="R757" s="4"/>
      <c r="S757" s="4"/>
      <c r="T757" s="4"/>
      <c r="U757" s="4"/>
      <c r="V757" s="4"/>
      <c r="W757" s="4"/>
      <c r="X757" s="4"/>
      <c r="Y757" s="4"/>
    </row>
    <row r="758">
      <c r="R758" s="4"/>
      <c r="S758" s="4"/>
      <c r="T758" s="4"/>
      <c r="U758" s="4"/>
      <c r="V758" s="4"/>
      <c r="W758" s="4"/>
      <c r="X758" s="4"/>
      <c r="Y758" s="4"/>
    </row>
    <row r="759">
      <c r="R759" s="4"/>
      <c r="S759" s="4"/>
      <c r="T759" s="4"/>
      <c r="U759" s="4"/>
      <c r="V759" s="4"/>
      <c r="W759" s="4"/>
      <c r="X759" s="4"/>
      <c r="Y759" s="4"/>
    </row>
    <row r="760">
      <c r="R760" s="4"/>
      <c r="S760" s="4"/>
      <c r="T760" s="4"/>
      <c r="U760" s="4"/>
      <c r="V760" s="4"/>
      <c r="W760" s="4"/>
      <c r="X760" s="4"/>
      <c r="Y760" s="4"/>
    </row>
    <row r="761">
      <c r="R761" s="4"/>
      <c r="S761" s="4"/>
      <c r="T761" s="4"/>
      <c r="U761" s="4"/>
      <c r="V761" s="4"/>
      <c r="W761" s="4"/>
      <c r="X761" s="4"/>
      <c r="Y761" s="4"/>
    </row>
    <row r="762">
      <c r="R762" s="4"/>
      <c r="S762" s="4"/>
      <c r="T762" s="4"/>
      <c r="U762" s="4"/>
      <c r="V762" s="4"/>
      <c r="W762" s="4"/>
      <c r="X762" s="4"/>
      <c r="Y762" s="4"/>
    </row>
    <row r="763">
      <c r="R763" s="4"/>
      <c r="S763" s="4"/>
      <c r="T763" s="4"/>
      <c r="U763" s="4"/>
      <c r="V763" s="4"/>
      <c r="W763" s="4"/>
      <c r="X763" s="4"/>
      <c r="Y763" s="4"/>
    </row>
    <row r="764">
      <c r="R764" s="4"/>
      <c r="S764" s="4"/>
      <c r="T764" s="4"/>
      <c r="U764" s="4"/>
      <c r="V764" s="4"/>
      <c r="W764" s="4"/>
      <c r="X764" s="4"/>
      <c r="Y764" s="4"/>
    </row>
    <row r="765">
      <c r="R765" s="4"/>
      <c r="S765" s="4"/>
      <c r="T765" s="4"/>
      <c r="U765" s="4"/>
      <c r="V765" s="4"/>
      <c r="W765" s="4"/>
      <c r="X765" s="4"/>
      <c r="Y765" s="4"/>
    </row>
    <row r="766">
      <c r="R766" s="4"/>
      <c r="S766" s="4"/>
      <c r="T766" s="4"/>
      <c r="U766" s="4"/>
      <c r="V766" s="4"/>
      <c r="W766" s="4"/>
      <c r="X766" s="4"/>
      <c r="Y766" s="4"/>
    </row>
    <row r="767">
      <c r="R767" s="4"/>
      <c r="S767" s="4"/>
      <c r="T767" s="4"/>
      <c r="U767" s="4"/>
      <c r="V767" s="4"/>
      <c r="W767" s="4"/>
      <c r="X767" s="4"/>
      <c r="Y767" s="4"/>
    </row>
    <row r="768">
      <c r="R768" s="4"/>
      <c r="S768" s="4"/>
      <c r="T768" s="4"/>
      <c r="U768" s="4"/>
      <c r="V768" s="4"/>
      <c r="W768" s="4"/>
      <c r="X768" s="4"/>
      <c r="Y768" s="4"/>
    </row>
    <row r="769">
      <c r="R769" s="4"/>
      <c r="S769" s="4"/>
      <c r="T769" s="4"/>
      <c r="U769" s="4"/>
      <c r="V769" s="4"/>
      <c r="W769" s="4"/>
      <c r="X769" s="4"/>
      <c r="Y769" s="4"/>
    </row>
    <row r="770">
      <c r="R770" s="4"/>
      <c r="S770" s="4"/>
      <c r="T770" s="4"/>
      <c r="U770" s="4"/>
      <c r="V770" s="4"/>
      <c r="W770" s="4"/>
      <c r="X770" s="4"/>
      <c r="Y770" s="4"/>
    </row>
    <row r="771">
      <c r="R771" s="4"/>
      <c r="S771" s="4"/>
      <c r="T771" s="4"/>
      <c r="U771" s="4"/>
      <c r="V771" s="4"/>
      <c r="W771" s="4"/>
      <c r="X771" s="4"/>
      <c r="Y771" s="4"/>
    </row>
    <row r="772">
      <c r="R772" s="4"/>
      <c r="S772" s="4"/>
      <c r="T772" s="4"/>
      <c r="U772" s="4"/>
      <c r="V772" s="4"/>
      <c r="W772" s="4"/>
      <c r="X772" s="4"/>
      <c r="Y772" s="4"/>
    </row>
    <row r="773">
      <c r="R773" s="4"/>
      <c r="S773" s="4"/>
      <c r="T773" s="4"/>
      <c r="U773" s="4"/>
      <c r="V773" s="4"/>
      <c r="W773" s="4"/>
      <c r="X773" s="4"/>
      <c r="Y773" s="4"/>
    </row>
    <row r="774">
      <c r="R774" s="4"/>
      <c r="S774" s="4"/>
      <c r="T774" s="4"/>
      <c r="U774" s="4"/>
      <c r="V774" s="4"/>
      <c r="W774" s="4"/>
      <c r="X774" s="4"/>
      <c r="Y774" s="4"/>
    </row>
    <row r="775">
      <c r="R775" s="4"/>
      <c r="S775" s="4"/>
      <c r="T775" s="4"/>
      <c r="U775" s="4"/>
      <c r="V775" s="4"/>
      <c r="W775" s="4"/>
      <c r="X775" s="4"/>
      <c r="Y775" s="4"/>
    </row>
    <row r="776">
      <c r="R776" s="4"/>
      <c r="S776" s="4"/>
      <c r="T776" s="4"/>
      <c r="U776" s="4"/>
      <c r="V776" s="4"/>
      <c r="W776" s="4"/>
      <c r="X776" s="4"/>
      <c r="Y776" s="4"/>
    </row>
    <row r="777">
      <c r="R777" s="4"/>
      <c r="S777" s="4"/>
      <c r="T777" s="4"/>
      <c r="U777" s="4"/>
      <c r="V777" s="4"/>
      <c r="W777" s="4"/>
      <c r="X777" s="4"/>
      <c r="Y777" s="4"/>
    </row>
    <row r="778">
      <c r="R778" s="4"/>
      <c r="S778" s="4"/>
      <c r="T778" s="4"/>
      <c r="U778" s="4"/>
      <c r="V778" s="4"/>
      <c r="W778" s="4"/>
      <c r="X778" s="4"/>
      <c r="Y778" s="4"/>
    </row>
    <row r="779">
      <c r="R779" s="4"/>
      <c r="S779" s="4"/>
      <c r="T779" s="4"/>
      <c r="U779" s="4"/>
      <c r="V779" s="4"/>
      <c r="W779" s="4"/>
      <c r="X779" s="4"/>
      <c r="Y779" s="4"/>
    </row>
    <row r="780">
      <c r="R780" s="4"/>
      <c r="S780" s="4"/>
      <c r="T780" s="4"/>
      <c r="U780" s="4"/>
      <c r="V780" s="4"/>
      <c r="W780" s="4"/>
      <c r="X780" s="4"/>
      <c r="Y780" s="4"/>
    </row>
    <row r="781">
      <c r="R781" s="4"/>
      <c r="S781" s="4"/>
      <c r="T781" s="4"/>
      <c r="U781" s="4"/>
      <c r="V781" s="4"/>
      <c r="W781" s="4"/>
      <c r="X781" s="4"/>
      <c r="Y781" s="4"/>
    </row>
    <row r="782">
      <c r="R782" s="4"/>
      <c r="S782" s="4"/>
      <c r="T782" s="4"/>
      <c r="U782" s="4"/>
      <c r="V782" s="4"/>
      <c r="W782" s="4"/>
      <c r="X782" s="4"/>
      <c r="Y782" s="4"/>
    </row>
    <row r="783">
      <c r="R783" s="4"/>
      <c r="S783" s="4"/>
      <c r="T783" s="4"/>
      <c r="U783" s="4"/>
      <c r="V783" s="4"/>
      <c r="W783" s="4"/>
      <c r="X783" s="4"/>
      <c r="Y783" s="4"/>
    </row>
    <row r="784">
      <c r="R784" s="4"/>
      <c r="S784" s="4"/>
      <c r="T784" s="4"/>
      <c r="U784" s="4"/>
      <c r="V784" s="4"/>
      <c r="W784" s="4"/>
      <c r="X784" s="4"/>
      <c r="Y784" s="4"/>
    </row>
    <row r="785">
      <c r="R785" s="4"/>
      <c r="S785" s="4"/>
      <c r="T785" s="4"/>
      <c r="U785" s="4"/>
      <c r="V785" s="4"/>
      <c r="W785" s="4"/>
      <c r="X785" s="4"/>
      <c r="Y785" s="4"/>
    </row>
    <row r="786">
      <c r="R786" s="4"/>
      <c r="S786" s="4"/>
      <c r="T786" s="4"/>
      <c r="U786" s="4"/>
      <c r="V786" s="4"/>
      <c r="W786" s="4"/>
      <c r="X786" s="4"/>
      <c r="Y786" s="4"/>
    </row>
    <row r="787">
      <c r="R787" s="4"/>
      <c r="S787" s="4"/>
      <c r="T787" s="4"/>
      <c r="U787" s="4"/>
      <c r="V787" s="4"/>
      <c r="W787" s="4"/>
      <c r="X787" s="4"/>
      <c r="Y787" s="4"/>
    </row>
    <row r="788">
      <c r="R788" s="4"/>
      <c r="S788" s="4"/>
      <c r="T788" s="4"/>
      <c r="U788" s="4"/>
      <c r="V788" s="4"/>
      <c r="W788" s="4"/>
      <c r="X788" s="4"/>
      <c r="Y788" s="4"/>
    </row>
    <row r="789">
      <c r="R789" s="4"/>
      <c r="S789" s="4"/>
      <c r="T789" s="4"/>
      <c r="U789" s="4"/>
      <c r="V789" s="4"/>
      <c r="W789" s="4"/>
      <c r="X789" s="4"/>
      <c r="Y789" s="4"/>
    </row>
    <row r="790">
      <c r="R790" s="4"/>
      <c r="S790" s="4"/>
      <c r="T790" s="4"/>
      <c r="U790" s="4"/>
      <c r="V790" s="4"/>
      <c r="W790" s="4"/>
      <c r="X790" s="4"/>
      <c r="Y790" s="4"/>
    </row>
    <row r="791">
      <c r="R791" s="4"/>
      <c r="S791" s="4"/>
      <c r="T791" s="4"/>
      <c r="U791" s="4"/>
      <c r="V791" s="4"/>
      <c r="W791" s="4"/>
      <c r="X791" s="4"/>
      <c r="Y791" s="4"/>
    </row>
    <row r="792">
      <c r="R792" s="4"/>
      <c r="S792" s="4"/>
      <c r="T792" s="4"/>
      <c r="U792" s="4"/>
      <c r="V792" s="4"/>
      <c r="W792" s="4"/>
      <c r="X792" s="4"/>
      <c r="Y792" s="4"/>
    </row>
    <row r="793">
      <c r="R793" s="4"/>
      <c r="S793" s="4"/>
      <c r="T793" s="4"/>
      <c r="U793" s="4"/>
      <c r="V793" s="4"/>
      <c r="W793" s="4"/>
      <c r="X793" s="4"/>
      <c r="Y793" s="4"/>
    </row>
    <row r="794">
      <c r="R794" s="4"/>
      <c r="S794" s="4"/>
      <c r="T794" s="4"/>
      <c r="U794" s="4"/>
      <c r="V794" s="4"/>
      <c r="W794" s="4"/>
      <c r="X794" s="4"/>
      <c r="Y794" s="4"/>
    </row>
    <row r="795">
      <c r="R795" s="4"/>
      <c r="S795" s="4"/>
      <c r="T795" s="4"/>
      <c r="U795" s="4"/>
      <c r="V795" s="4"/>
      <c r="W795" s="4"/>
      <c r="X795" s="4"/>
      <c r="Y795" s="4"/>
    </row>
    <row r="796">
      <c r="R796" s="4"/>
      <c r="S796" s="4"/>
      <c r="T796" s="4"/>
      <c r="U796" s="4"/>
      <c r="V796" s="4"/>
      <c r="W796" s="4"/>
      <c r="X796" s="4"/>
      <c r="Y796" s="4"/>
    </row>
    <row r="797">
      <c r="R797" s="4"/>
      <c r="S797" s="4"/>
      <c r="T797" s="4"/>
      <c r="U797" s="4"/>
      <c r="V797" s="4"/>
      <c r="W797" s="4"/>
      <c r="X797" s="4"/>
      <c r="Y797" s="4"/>
    </row>
    <row r="798">
      <c r="R798" s="4"/>
      <c r="S798" s="4"/>
      <c r="T798" s="4"/>
      <c r="U798" s="4"/>
      <c r="V798" s="4"/>
      <c r="W798" s="4"/>
      <c r="X798" s="4"/>
      <c r="Y798" s="4"/>
    </row>
    <row r="799">
      <c r="R799" s="4"/>
      <c r="S799" s="4"/>
      <c r="T799" s="4"/>
      <c r="U799" s="4"/>
      <c r="V799" s="4"/>
      <c r="W799" s="4"/>
      <c r="X799" s="4"/>
      <c r="Y799" s="4"/>
    </row>
    <row r="800">
      <c r="R800" s="4"/>
      <c r="S800" s="4"/>
      <c r="T800" s="4"/>
      <c r="U800" s="4"/>
      <c r="V800" s="4"/>
      <c r="W800" s="4"/>
      <c r="X800" s="4"/>
      <c r="Y800" s="4"/>
    </row>
    <row r="801">
      <c r="R801" s="4"/>
      <c r="S801" s="4"/>
      <c r="T801" s="4"/>
      <c r="U801" s="4"/>
      <c r="V801" s="4"/>
      <c r="W801" s="4"/>
      <c r="X801" s="4"/>
      <c r="Y801" s="4"/>
    </row>
    <row r="802">
      <c r="R802" s="4"/>
      <c r="S802" s="4"/>
      <c r="T802" s="4"/>
      <c r="U802" s="4"/>
      <c r="V802" s="4"/>
      <c r="W802" s="4"/>
      <c r="X802" s="4"/>
      <c r="Y802" s="4"/>
    </row>
    <row r="803">
      <c r="A803" s="71"/>
      <c r="B803" s="71"/>
      <c r="C803" s="71"/>
      <c r="D803" s="71"/>
      <c r="E803" s="71"/>
      <c r="F803" s="71"/>
      <c r="G803" s="71"/>
      <c r="H803" s="71"/>
      <c r="I803" s="72"/>
      <c r="J803" s="72"/>
      <c r="K803" s="72"/>
      <c r="L803" s="72"/>
      <c r="M803" s="72"/>
    </row>
    <row r="804">
      <c r="A804" s="71"/>
      <c r="B804" s="71"/>
      <c r="C804" s="71"/>
      <c r="D804" s="71"/>
      <c r="E804" s="71"/>
      <c r="F804" s="71"/>
      <c r="G804" s="71"/>
      <c r="H804" s="71"/>
      <c r="I804" s="72"/>
      <c r="J804" s="72"/>
      <c r="K804" s="72"/>
      <c r="L804" s="72"/>
      <c r="M804" s="72"/>
    </row>
    <row r="805">
      <c r="A805" s="4"/>
      <c r="B805" s="4"/>
      <c r="C805" s="4"/>
      <c r="D805" s="4"/>
      <c r="E805" s="4"/>
      <c r="F805" s="4"/>
      <c r="G805" s="4"/>
      <c r="H805" s="4"/>
      <c r="I805" s="9" t="s">
        <v>1472</v>
      </c>
    </row>
    <row r="806">
      <c r="A806" s="4"/>
      <c r="B806" s="4"/>
      <c r="C806" s="4"/>
      <c r="D806" s="4"/>
      <c r="E806" s="4"/>
      <c r="F806" s="4"/>
      <c r="G806" s="4"/>
      <c r="H806" s="4"/>
    </row>
    <row r="807">
      <c r="A807" s="4"/>
      <c r="B807" s="4"/>
      <c r="C807" s="4"/>
      <c r="D807" s="4"/>
      <c r="E807" s="4"/>
      <c r="F807" s="4"/>
      <c r="G807" s="4"/>
      <c r="H807" s="4"/>
    </row>
    <row r="808">
      <c r="A808" s="4"/>
      <c r="B808" s="4"/>
      <c r="C808" s="4"/>
      <c r="D808" s="4"/>
      <c r="E808" s="4"/>
      <c r="F808" s="4"/>
      <c r="G808" s="4"/>
      <c r="H808" s="4"/>
    </row>
    <row r="809">
      <c r="A809" s="4"/>
      <c r="B809" s="4"/>
      <c r="C809" s="4"/>
      <c r="D809" s="4"/>
      <c r="E809" s="4"/>
      <c r="F809" s="4"/>
      <c r="G809" s="4"/>
      <c r="H809" s="4"/>
    </row>
    <row r="810">
      <c r="A810" s="4"/>
      <c r="B810" s="4"/>
      <c r="C810" s="4"/>
      <c r="D810" s="4"/>
      <c r="E810" s="4"/>
      <c r="F810" s="4"/>
      <c r="G810" s="4"/>
      <c r="H810" s="4"/>
    </row>
    <row r="811">
      <c r="A811" s="4"/>
      <c r="B811" s="4"/>
      <c r="C811" s="4"/>
      <c r="D811" s="4"/>
      <c r="E811" s="4"/>
      <c r="F811" s="4"/>
      <c r="G811" s="4"/>
      <c r="H811" s="4"/>
    </row>
    <row r="812">
      <c r="A812" s="4"/>
      <c r="B812" s="4"/>
      <c r="C812" s="4"/>
      <c r="D812" s="4"/>
      <c r="E812" s="4"/>
      <c r="F812" s="4"/>
      <c r="G812" s="4"/>
      <c r="H812" s="4"/>
    </row>
    <row r="813">
      <c r="A813" s="4"/>
      <c r="B813" s="4"/>
      <c r="C813" s="4"/>
      <c r="D813" s="4"/>
      <c r="E813" s="4"/>
      <c r="F813" s="4"/>
      <c r="G813" s="4"/>
      <c r="H813" s="4"/>
    </row>
    <row r="814">
      <c r="A814" s="4"/>
      <c r="B814" s="4"/>
      <c r="C814" s="4"/>
      <c r="D814" s="4"/>
      <c r="E814" s="4"/>
      <c r="F814" s="4"/>
      <c r="G814" s="4"/>
      <c r="H814" s="4"/>
    </row>
    <row r="815">
      <c r="A815" s="4"/>
      <c r="B815" s="4"/>
      <c r="C815" s="4"/>
      <c r="D815" s="4"/>
      <c r="E815" s="4"/>
      <c r="F815" s="4"/>
      <c r="G815" s="4"/>
      <c r="H815" s="4"/>
    </row>
    <row r="816">
      <c r="A816" s="4"/>
      <c r="B816" s="4"/>
      <c r="C816" s="4"/>
      <c r="D816" s="4"/>
      <c r="E816" s="4"/>
      <c r="F816" s="4"/>
      <c r="G816" s="4"/>
      <c r="H816" s="4"/>
    </row>
    <row r="817">
      <c r="A817" s="4"/>
      <c r="B817" s="4"/>
      <c r="C817" s="4"/>
      <c r="D817" s="4"/>
      <c r="E817" s="4"/>
      <c r="F817" s="4"/>
      <c r="G817" s="4"/>
      <c r="H817" s="4"/>
    </row>
    <row r="818">
      <c r="A818" s="4"/>
      <c r="B818" s="4"/>
      <c r="C818" s="4"/>
      <c r="D818" s="4"/>
      <c r="E818" s="4"/>
      <c r="F818" s="4"/>
      <c r="G818" s="4"/>
      <c r="H818" s="4"/>
    </row>
    <row r="819">
      <c r="A819" s="4"/>
      <c r="B819" s="4"/>
      <c r="C819" s="4"/>
      <c r="D819" s="4"/>
      <c r="E819" s="4"/>
      <c r="F819" s="4"/>
      <c r="G819" s="4"/>
      <c r="H819" s="4"/>
    </row>
    <row r="820">
      <c r="A820" s="4"/>
      <c r="B820" s="4"/>
      <c r="C820" s="4"/>
      <c r="D820" s="4"/>
      <c r="E820" s="4"/>
      <c r="F820" s="4"/>
      <c r="G820" s="4"/>
      <c r="H820" s="4"/>
    </row>
    <row r="821">
      <c r="A821" s="4"/>
      <c r="B821" s="4"/>
      <c r="C821" s="4"/>
      <c r="D821" s="4"/>
      <c r="E821" s="4"/>
      <c r="F821" s="4"/>
      <c r="G821" s="4"/>
      <c r="H821" s="4"/>
    </row>
    <row r="822">
      <c r="A822" s="4"/>
      <c r="B822" s="4"/>
      <c r="C822" s="4"/>
      <c r="D822" s="4"/>
      <c r="E822" s="4"/>
      <c r="F822" s="4"/>
      <c r="G822" s="4"/>
      <c r="H822" s="4"/>
    </row>
    <row r="823">
      <c r="A823" s="4"/>
      <c r="B823" s="4"/>
      <c r="C823" s="4"/>
      <c r="D823" s="4"/>
      <c r="E823" s="4"/>
      <c r="F823" s="4"/>
      <c r="G823" s="4"/>
      <c r="H823" s="4"/>
    </row>
    <row r="824" ht="18.75" customHeight="1">
      <c r="A824" s="4"/>
      <c r="B824" s="4"/>
      <c r="C824" s="4"/>
      <c r="D824" s="4"/>
      <c r="E824" s="4"/>
      <c r="F824" s="4"/>
      <c r="G824" s="4"/>
      <c r="H824" s="4"/>
    </row>
    <row r="825">
      <c r="A825" s="4"/>
      <c r="B825" s="4"/>
      <c r="C825" s="4"/>
      <c r="D825" s="4"/>
      <c r="E825" s="4"/>
      <c r="F825" s="4"/>
      <c r="G825" s="4"/>
      <c r="H825" s="4"/>
    </row>
    <row r="826">
      <c r="A826" s="4"/>
      <c r="B826" s="4"/>
      <c r="C826" s="4"/>
      <c r="D826" s="4"/>
      <c r="E826" s="4"/>
      <c r="F826" s="4"/>
      <c r="G826" s="4"/>
      <c r="H826" s="4"/>
    </row>
    <row r="827">
      <c r="A827" s="4"/>
      <c r="B827" s="4"/>
      <c r="C827" s="4"/>
      <c r="D827" s="4"/>
      <c r="E827" s="4"/>
      <c r="F827" s="4"/>
      <c r="G827" s="4"/>
      <c r="H827" s="4"/>
    </row>
    <row r="828">
      <c r="A828" s="4"/>
      <c r="B828" s="4"/>
      <c r="C828" s="4"/>
      <c r="D828" s="4"/>
      <c r="E828" s="4"/>
      <c r="F828" s="4"/>
      <c r="G828" s="4"/>
      <c r="H828" s="4"/>
    </row>
    <row r="829">
      <c r="A829" s="4"/>
      <c r="B829" s="4"/>
      <c r="C829" s="4"/>
      <c r="D829" s="4"/>
      <c r="E829" s="4"/>
      <c r="F829" s="4"/>
      <c r="G829" s="4"/>
      <c r="H829" s="4"/>
    </row>
    <row r="830">
      <c r="A830" s="4"/>
      <c r="B830" s="4"/>
      <c r="C830" s="4"/>
      <c r="D830" s="4"/>
      <c r="E830" s="4"/>
      <c r="F830" s="4"/>
      <c r="G830" s="4"/>
      <c r="H830" s="4"/>
    </row>
    <row r="831">
      <c r="A831" s="4"/>
      <c r="B831" s="4"/>
      <c r="C831" s="4"/>
      <c r="D831" s="4"/>
      <c r="E831" s="4"/>
      <c r="F831" s="4"/>
      <c r="G831" s="4"/>
      <c r="H831" s="4"/>
    </row>
    <row r="832">
      <c r="A832" s="4"/>
      <c r="B832" s="4"/>
      <c r="C832" s="4"/>
      <c r="D832" s="4"/>
      <c r="E832" s="4"/>
      <c r="F832" s="4"/>
      <c r="G832" s="4"/>
      <c r="H832" s="4"/>
    </row>
    <row r="833">
      <c r="A833" s="4"/>
      <c r="B833" s="4"/>
      <c r="C833" s="4"/>
      <c r="D833" s="4"/>
      <c r="E833" s="4"/>
      <c r="F833" s="4"/>
      <c r="G833" s="4"/>
      <c r="H833" s="4"/>
    </row>
    <row r="834">
      <c r="A834" s="4"/>
      <c r="B834" s="4"/>
      <c r="C834" s="4"/>
      <c r="D834" s="4"/>
      <c r="E834" s="4"/>
      <c r="F834" s="4"/>
      <c r="G834" s="4"/>
      <c r="H834" s="4"/>
    </row>
    <row r="835">
      <c r="A835" s="4"/>
      <c r="B835" s="4"/>
      <c r="C835" s="4"/>
      <c r="D835" s="4"/>
      <c r="E835" s="4"/>
      <c r="F835" s="4"/>
      <c r="G835" s="4"/>
      <c r="H835" s="4"/>
    </row>
    <row r="836">
      <c r="A836" s="4"/>
      <c r="B836" s="4"/>
      <c r="C836" s="4"/>
      <c r="D836" s="4"/>
      <c r="E836" s="4"/>
      <c r="F836" s="4"/>
      <c r="G836" s="4"/>
      <c r="H836" s="4"/>
    </row>
    <row r="837">
      <c r="A837" s="4"/>
      <c r="B837" s="4"/>
      <c r="C837" s="4"/>
      <c r="D837" s="4"/>
      <c r="E837" s="4"/>
      <c r="F837" s="4"/>
      <c r="G837" s="4"/>
      <c r="H837" s="4"/>
    </row>
    <row r="838">
      <c r="A838" s="4"/>
      <c r="B838" s="4"/>
      <c r="C838" s="4"/>
      <c r="D838" s="4"/>
      <c r="E838" s="4"/>
      <c r="F838" s="4"/>
      <c r="G838" s="4"/>
      <c r="H838" s="4"/>
    </row>
    <row r="839">
      <c r="A839" s="4"/>
      <c r="B839" s="4"/>
      <c r="C839" s="4"/>
      <c r="D839" s="4"/>
      <c r="E839" s="4"/>
      <c r="F839" s="4"/>
      <c r="G839" s="4"/>
      <c r="H839" s="4"/>
    </row>
    <row r="840">
      <c r="A840" s="4"/>
      <c r="B840" s="4"/>
      <c r="C840" s="4"/>
      <c r="D840" s="4"/>
      <c r="E840" s="4"/>
      <c r="F840" s="4"/>
      <c r="G840" s="4"/>
      <c r="H840" s="4"/>
    </row>
    <row r="841">
      <c r="A841" s="4"/>
      <c r="B841" s="4"/>
      <c r="C841" s="4"/>
      <c r="D841" s="4"/>
      <c r="E841" s="4"/>
      <c r="F841" s="4"/>
      <c r="G841" s="4"/>
      <c r="H841" s="4"/>
    </row>
    <row r="842">
      <c r="A842" s="4"/>
      <c r="B842" s="4"/>
      <c r="C842" s="4"/>
      <c r="D842" s="4"/>
      <c r="E842" s="4"/>
      <c r="F842" s="4"/>
      <c r="G842" s="4"/>
      <c r="H842" s="4"/>
    </row>
    <row r="843">
      <c r="A843" s="4"/>
      <c r="B843" s="4"/>
      <c r="C843" s="4"/>
      <c r="D843" s="4"/>
      <c r="E843" s="4"/>
      <c r="F843" s="4"/>
      <c r="G843" s="4"/>
      <c r="H843" s="4"/>
    </row>
    <row r="844">
      <c r="A844" s="4"/>
      <c r="B844" s="4"/>
      <c r="C844" s="4"/>
      <c r="D844" s="4"/>
      <c r="E844" s="4"/>
      <c r="F844" s="4"/>
      <c r="G844" s="4"/>
      <c r="H844" s="4"/>
    </row>
    <row r="845">
      <c r="A845" s="4"/>
      <c r="B845" s="4"/>
      <c r="C845" s="4"/>
      <c r="D845" s="4"/>
      <c r="E845" s="4"/>
      <c r="F845" s="4"/>
      <c r="G845" s="4"/>
      <c r="H845" s="4"/>
    </row>
    <row r="846">
      <c r="A846" s="4"/>
      <c r="B846" s="4"/>
      <c r="C846" s="4"/>
      <c r="D846" s="4"/>
      <c r="E846" s="4"/>
      <c r="F846" s="4"/>
      <c r="G846" s="4"/>
      <c r="H846" s="4"/>
    </row>
    <row r="847">
      <c r="A847" s="4"/>
      <c r="B847" s="4"/>
      <c r="C847" s="4"/>
      <c r="D847" s="4"/>
      <c r="E847" s="4"/>
      <c r="F847" s="4"/>
      <c r="G847" s="4"/>
      <c r="H847" s="4"/>
    </row>
    <row r="848">
      <c r="A848" s="4"/>
      <c r="B848" s="4"/>
      <c r="C848" s="4"/>
      <c r="D848" s="4"/>
      <c r="E848" s="4"/>
      <c r="F848" s="4"/>
      <c r="G848" s="4"/>
      <c r="H848" s="4"/>
    </row>
    <row r="849">
      <c r="A849" s="4"/>
      <c r="B849" s="4"/>
      <c r="C849" s="4"/>
      <c r="D849" s="4"/>
      <c r="E849" s="4"/>
      <c r="F849" s="4"/>
      <c r="G849" s="4"/>
      <c r="H849" s="4"/>
    </row>
    <row r="850">
      <c r="A850" s="4"/>
      <c r="B850" s="4"/>
      <c r="C850" s="4"/>
      <c r="D850" s="4"/>
      <c r="E850" s="4"/>
      <c r="F850" s="4"/>
      <c r="G850" s="4"/>
      <c r="H850" s="4"/>
    </row>
    <row r="851">
      <c r="A851" s="4"/>
      <c r="B851" s="4"/>
      <c r="C851" s="4"/>
      <c r="D851" s="4"/>
      <c r="E851" s="4"/>
      <c r="F851" s="4"/>
      <c r="G851" s="4"/>
      <c r="H851" s="4"/>
    </row>
    <row r="852">
      <c r="A852" s="4"/>
      <c r="B852" s="4"/>
      <c r="C852" s="4"/>
      <c r="D852" s="4"/>
      <c r="E852" s="4"/>
      <c r="F852" s="4"/>
      <c r="G852" s="4"/>
      <c r="H852" s="4"/>
    </row>
    <row r="853">
      <c r="A853" s="4"/>
      <c r="B853" s="4"/>
      <c r="C853" s="4"/>
      <c r="D853" s="4"/>
      <c r="E853" s="4"/>
      <c r="F853" s="4"/>
      <c r="G853" s="4"/>
      <c r="H853" s="4"/>
    </row>
    <row r="854">
      <c r="A854" s="4"/>
      <c r="B854" s="4"/>
      <c r="C854" s="4"/>
      <c r="D854" s="4"/>
      <c r="E854" s="4"/>
      <c r="F854" s="4"/>
      <c r="G854" s="4"/>
      <c r="H854" s="4"/>
    </row>
    <row r="855">
      <c r="A855" s="4"/>
      <c r="B855" s="4"/>
      <c r="C855" s="4"/>
      <c r="D855" s="4"/>
      <c r="E855" s="4"/>
      <c r="F855" s="4"/>
      <c r="G855" s="4"/>
      <c r="H855" s="4"/>
    </row>
    <row r="856">
      <c r="A856" s="4"/>
      <c r="B856" s="4"/>
      <c r="C856" s="4"/>
      <c r="D856" s="4"/>
      <c r="E856" s="4"/>
      <c r="F856" s="4"/>
      <c r="G856" s="4"/>
      <c r="H856" s="4"/>
    </row>
    <row r="857">
      <c r="A857" s="4"/>
      <c r="B857" s="4"/>
      <c r="C857" s="4"/>
      <c r="D857" s="4"/>
      <c r="E857" s="4"/>
      <c r="F857" s="4"/>
      <c r="G857" s="4"/>
      <c r="H857" s="4"/>
    </row>
    <row r="858">
      <c r="A858" s="4"/>
      <c r="B858" s="4"/>
      <c r="C858" s="4"/>
      <c r="D858" s="4"/>
      <c r="E858" s="4"/>
      <c r="F858" s="4"/>
      <c r="G858" s="4"/>
      <c r="H858" s="4"/>
    </row>
    <row r="859">
      <c r="A859" s="4"/>
      <c r="B859" s="4"/>
      <c r="C859" s="4"/>
      <c r="D859" s="4"/>
      <c r="E859" s="4"/>
      <c r="F859" s="4"/>
      <c r="G859" s="4"/>
      <c r="H859" s="4"/>
    </row>
    <row r="860">
      <c r="A860" s="4"/>
      <c r="B860" s="4"/>
      <c r="C860" s="4"/>
      <c r="D860" s="4"/>
      <c r="E860" s="4"/>
      <c r="F860" s="4"/>
      <c r="G860" s="4"/>
      <c r="H860" s="4"/>
    </row>
    <row r="861">
      <c r="A861" s="4"/>
      <c r="B861" s="4"/>
      <c r="C861" s="4"/>
      <c r="D861" s="4"/>
      <c r="E861" s="4"/>
      <c r="F861" s="4"/>
      <c r="G861" s="4"/>
      <c r="H861" s="4"/>
    </row>
    <row r="862">
      <c r="A862" s="4"/>
      <c r="B862" s="4"/>
      <c r="C862" s="4"/>
      <c r="D862" s="4"/>
      <c r="E862" s="4"/>
      <c r="F862" s="4"/>
      <c r="G862" s="4"/>
      <c r="H862" s="4"/>
    </row>
    <row r="863">
      <c r="A863" s="4"/>
      <c r="B863" s="4"/>
      <c r="C863" s="4"/>
      <c r="D863" s="4"/>
      <c r="E863" s="4"/>
      <c r="F863" s="4"/>
      <c r="G863" s="4"/>
      <c r="H863" s="4"/>
    </row>
    <row r="864">
      <c r="A864" s="4"/>
      <c r="B864" s="4"/>
      <c r="C864" s="4"/>
      <c r="D864" s="4"/>
      <c r="E864" s="4"/>
      <c r="F864" s="4"/>
      <c r="G864" s="4"/>
      <c r="H864" s="4"/>
    </row>
    <row r="865">
      <c r="A865" s="4"/>
      <c r="B865" s="4"/>
      <c r="C865" s="4"/>
      <c r="D865" s="4"/>
      <c r="E865" s="4"/>
      <c r="F865" s="4"/>
      <c r="G865" s="4"/>
      <c r="H865" s="4"/>
    </row>
    <row r="866">
      <c r="A866" s="4"/>
      <c r="B866" s="4"/>
      <c r="C866" s="4"/>
      <c r="D866" s="4"/>
      <c r="E866" s="4"/>
      <c r="F866" s="4"/>
      <c r="G866" s="4"/>
      <c r="H866" s="4"/>
    </row>
    <row r="867">
      <c r="A867" s="4"/>
      <c r="B867" s="4"/>
      <c r="C867" s="4"/>
      <c r="D867" s="4"/>
      <c r="E867" s="4"/>
      <c r="F867" s="4"/>
      <c r="G867" s="4"/>
      <c r="H867" s="4"/>
    </row>
    <row r="868">
      <c r="A868" s="4"/>
      <c r="B868" s="4"/>
      <c r="C868" s="4"/>
      <c r="D868" s="4"/>
      <c r="E868" s="4"/>
      <c r="F868" s="4"/>
      <c r="G868" s="4"/>
      <c r="H868" s="4"/>
    </row>
    <row r="869">
      <c r="A869" s="4"/>
      <c r="B869" s="4"/>
      <c r="C869" s="4"/>
      <c r="D869" s="4"/>
      <c r="E869" s="4"/>
      <c r="F869" s="4"/>
      <c r="G869" s="4"/>
      <c r="H869" s="4"/>
    </row>
    <row r="870">
      <c r="A870" s="4"/>
      <c r="B870" s="4"/>
      <c r="C870" s="4"/>
      <c r="D870" s="4"/>
      <c r="E870" s="4"/>
      <c r="F870" s="4"/>
      <c r="G870" s="4"/>
      <c r="H870" s="4"/>
    </row>
    <row r="871">
      <c r="A871" s="4"/>
      <c r="B871" s="4"/>
      <c r="C871" s="4"/>
      <c r="D871" s="4"/>
      <c r="E871" s="4"/>
      <c r="F871" s="4"/>
      <c r="G871" s="4"/>
      <c r="H871" s="4"/>
    </row>
    <row r="872">
      <c r="A872" s="4"/>
      <c r="B872" s="4"/>
      <c r="C872" s="4"/>
      <c r="D872" s="4"/>
      <c r="E872" s="4"/>
      <c r="F872" s="4"/>
      <c r="G872" s="4"/>
      <c r="H872" s="4"/>
    </row>
    <row r="873">
      <c r="A873" s="4"/>
      <c r="B873" s="4"/>
      <c r="C873" s="4"/>
      <c r="D873" s="4"/>
      <c r="E873" s="4"/>
      <c r="F873" s="4"/>
      <c r="G873" s="4"/>
      <c r="H873" s="4"/>
    </row>
    <row r="874">
      <c r="A874" s="4"/>
      <c r="B874" s="4"/>
      <c r="C874" s="4"/>
      <c r="D874" s="4"/>
      <c r="E874" s="4"/>
      <c r="F874" s="4"/>
      <c r="G874" s="4"/>
      <c r="H874" s="4"/>
    </row>
    <row r="875">
      <c r="A875" s="4"/>
      <c r="B875" s="4"/>
      <c r="C875" s="4"/>
      <c r="D875" s="4"/>
      <c r="E875" s="4"/>
      <c r="F875" s="4"/>
      <c r="G875" s="4"/>
      <c r="H875" s="4"/>
    </row>
    <row r="876">
      <c r="A876" s="4"/>
      <c r="B876" s="4"/>
      <c r="C876" s="4"/>
      <c r="D876" s="4"/>
      <c r="E876" s="4"/>
      <c r="F876" s="4"/>
      <c r="G876" s="4"/>
      <c r="H876" s="4"/>
    </row>
    <row r="877">
      <c r="A877" s="4"/>
      <c r="B877" s="4"/>
      <c r="C877" s="4"/>
      <c r="D877" s="4"/>
      <c r="E877" s="4"/>
      <c r="F877" s="4"/>
      <c r="G877" s="4"/>
      <c r="H877" s="4"/>
    </row>
    <row r="878">
      <c r="A878" s="4"/>
      <c r="B878" s="4"/>
      <c r="C878" s="4"/>
      <c r="D878" s="4"/>
      <c r="E878" s="4"/>
      <c r="F878" s="4"/>
      <c r="G878" s="4"/>
      <c r="H878" s="4"/>
    </row>
    <row r="879">
      <c r="A879" s="4"/>
      <c r="B879" s="4"/>
      <c r="C879" s="4"/>
      <c r="D879" s="4"/>
      <c r="E879" s="4"/>
      <c r="F879" s="4"/>
      <c r="G879" s="4"/>
      <c r="H879" s="4"/>
    </row>
    <row r="880">
      <c r="A880" s="4"/>
      <c r="B880" s="4"/>
      <c r="C880" s="4"/>
      <c r="D880" s="4"/>
      <c r="E880" s="4"/>
      <c r="F880" s="4"/>
      <c r="G880" s="4"/>
      <c r="H880" s="4"/>
    </row>
    <row r="881">
      <c r="A881" s="4"/>
      <c r="B881" s="4"/>
      <c r="C881" s="4"/>
      <c r="D881" s="4"/>
      <c r="E881" s="4"/>
      <c r="F881" s="4"/>
      <c r="G881" s="4"/>
      <c r="H881" s="4"/>
    </row>
    <row r="882">
      <c r="A882" s="4"/>
      <c r="B882" s="4"/>
      <c r="C882" s="4"/>
      <c r="D882" s="4"/>
      <c r="E882" s="4"/>
      <c r="F882" s="4"/>
      <c r="G882" s="4"/>
      <c r="H882" s="4"/>
    </row>
    <row r="883">
      <c r="A883" s="4"/>
      <c r="B883" s="4"/>
      <c r="C883" s="4"/>
      <c r="D883" s="4"/>
      <c r="E883" s="4"/>
      <c r="F883" s="4"/>
      <c r="G883" s="4"/>
      <c r="H883" s="4"/>
    </row>
    <row r="884">
      <c r="A884" s="4"/>
      <c r="B884" s="4"/>
      <c r="C884" s="4"/>
      <c r="D884" s="4"/>
      <c r="E884" s="4"/>
      <c r="F884" s="4"/>
      <c r="G884" s="4"/>
      <c r="H884" s="4"/>
    </row>
    <row r="885">
      <c r="A885" s="4"/>
      <c r="B885" s="4"/>
      <c r="C885" s="4"/>
      <c r="D885" s="4"/>
      <c r="E885" s="4"/>
      <c r="F885" s="4"/>
      <c r="G885" s="4"/>
      <c r="H885" s="4"/>
    </row>
    <row r="886">
      <c r="A886" s="4"/>
      <c r="B886" s="4"/>
      <c r="C886" s="4"/>
      <c r="D886" s="4"/>
      <c r="E886" s="4"/>
      <c r="F886" s="4"/>
      <c r="G886" s="4"/>
      <c r="H886" s="4"/>
    </row>
    <row r="887">
      <c r="A887" s="4"/>
      <c r="B887" s="4"/>
      <c r="C887" s="4"/>
      <c r="D887" s="4"/>
      <c r="E887" s="4"/>
      <c r="F887" s="4"/>
      <c r="G887" s="4"/>
      <c r="H887" s="4"/>
    </row>
    <row r="888">
      <c r="A888" s="4"/>
      <c r="B888" s="4"/>
      <c r="C888" s="4"/>
      <c r="D888" s="4"/>
      <c r="E888" s="4"/>
      <c r="F888" s="4"/>
      <c r="G888" s="4"/>
      <c r="H888" s="4"/>
    </row>
    <row r="889">
      <c r="A889" s="4"/>
      <c r="B889" s="4"/>
      <c r="C889" s="4"/>
      <c r="D889" s="4"/>
      <c r="E889" s="4"/>
      <c r="F889" s="4"/>
      <c r="G889" s="4"/>
      <c r="H889" s="4"/>
    </row>
    <row r="890">
      <c r="A890" s="4"/>
      <c r="B890" s="4"/>
      <c r="C890" s="4"/>
      <c r="D890" s="4"/>
      <c r="E890" s="4"/>
      <c r="F890" s="4"/>
      <c r="G890" s="4"/>
      <c r="H890" s="4"/>
    </row>
    <row r="891">
      <c r="A891" s="4"/>
      <c r="B891" s="4"/>
      <c r="C891" s="4"/>
      <c r="D891" s="4"/>
      <c r="E891" s="4"/>
      <c r="F891" s="4"/>
      <c r="G891" s="4"/>
      <c r="H891" s="4"/>
    </row>
    <row r="892">
      <c r="A892" s="4"/>
      <c r="B892" s="4"/>
      <c r="C892" s="4"/>
      <c r="D892" s="4"/>
      <c r="E892" s="4"/>
      <c r="F892" s="4"/>
      <c r="G892" s="4"/>
      <c r="H892" s="4"/>
    </row>
    <row r="893">
      <c r="A893" s="4"/>
      <c r="B893" s="4"/>
      <c r="C893" s="4"/>
      <c r="D893" s="4"/>
      <c r="E893" s="4"/>
      <c r="F893" s="4"/>
      <c r="G893" s="4"/>
      <c r="H893" s="4"/>
    </row>
    <row r="894">
      <c r="A894" s="4"/>
      <c r="B894" s="4"/>
      <c r="C894" s="4"/>
      <c r="D894" s="4"/>
      <c r="E894" s="4"/>
      <c r="F894" s="4"/>
      <c r="G894" s="4"/>
      <c r="H894" s="4"/>
    </row>
    <row r="895">
      <c r="A895" s="4"/>
      <c r="B895" s="4"/>
      <c r="C895" s="4"/>
      <c r="D895" s="4"/>
      <c r="E895" s="4"/>
      <c r="F895" s="4"/>
      <c r="G895" s="4"/>
      <c r="H895" s="4"/>
    </row>
    <row r="896">
      <c r="A896" s="4"/>
      <c r="B896" s="4"/>
      <c r="C896" s="4"/>
      <c r="D896" s="4"/>
      <c r="E896" s="4"/>
      <c r="F896" s="4"/>
      <c r="G896" s="4"/>
      <c r="H896" s="4"/>
    </row>
    <row r="897">
      <c r="A897" s="4"/>
      <c r="B897" s="4"/>
      <c r="C897" s="4"/>
      <c r="D897" s="4"/>
      <c r="E897" s="4"/>
      <c r="F897" s="4"/>
      <c r="G897" s="4"/>
      <c r="H897" s="4"/>
    </row>
    <row r="898">
      <c r="A898" s="4"/>
      <c r="B898" s="4"/>
      <c r="C898" s="4"/>
      <c r="D898" s="4"/>
      <c r="E898" s="4"/>
      <c r="F898" s="4"/>
      <c r="G898" s="4"/>
      <c r="H898" s="4"/>
    </row>
    <row r="899">
      <c r="A899" s="4"/>
      <c r="B899" s="4"/>
      <c r="C899" s="4"/>
      <c r="D899" s="4"/>
      <c r="E899" s="4"/>
      <c r="F899" s="4"/>
      <c r="G899" s="4"/>
      <c r="H899" s="4"/>
    </row>
    <row r="900">
      <c r="A900" s="4"/>
      <c r="B900" s="4"/>
      <c r="C900" s="4"/>
      <c r="D900" s="4"/>
      <c r="E900" s="4"/>
      <c r="F900" s="4"/>
      <c r="G900" s="4"/>
      <c r="H900" s="4"/>
    </row>
    <row r="901">
      <c r="A901" s="4"/>
      <c r="B901" s="4"/>
      <c r="C901" s="4"/>
      <c r="D901" s="4"/>
      <c r="E901" s="4"/>
      <c r="F901" s="4"/>
      <c r="G901" s="4"/>
      <c r="H901" s="4"/>
    </row>
    <row r="902">
      <c r="A902" s="4"/>
      <c r="B902" s="4"/>
      <c r="C902" s="4"/>
      <c r="D902" s="4"/>
      <c r="E902" s="4"/>
      <c r="F902" s="4"/>
      <c r="G902" s="4"/>
      <c r="H902" s="4"/>
    </row>
    <row r="903">
      <c r="A903" s="4"/>
      <c r="B903" s="4"/>
      <c r="C903" s="4"/>
      <c r="D903" s="4"/>
      <c r="E903" s="4"/>
      <c r="F903" s="4"/>
      <c r="G903" s="4"/>
      <c r="H903" s="4"/>
    </row>
    <row r="904">
      <c r="A904" s="4"/>
      <c r="B904" s="4"/>
      <c r="C904" s="4"/>
      <c r="D904" s="4"/>
      <c r="E904" s="4"/>
      <c r="F904" s="4"/>
      <c r="G904" s="4"/>
      <c r="H904" s="4"/>
    </row>
    <row r="905">
      <c r="A905" s="4"/>
      <c r="B905" s="4"/>
      <c r="C905" s="4"/>
      <c r="D905" s="4"/>
      <c r="E905" s="4"/>
      <c r="F905" s="4"/>
      <c r="G905" s="4"/>
      <c r="H905" s="4"/>
    </row>
    <row r="906">
      <c r="A906" s="4"/>
      <c r="B906" s="4"/>
      <c r="C906" s="4"/>
      <c r="D906" s="4"/>
      <c r="E906" s="4"/>
      <c r="F906" s="4"/>
      <c r="G906" s="4"/>
      <c r="H906" s="4"/>
    </row>
    <row r="907">
      <c r="A907" s="4"/>
      <c r="B907" s="4"/>
      <c r="C907" s="4"/>
      <c r="D907" s="4"/>
      <c r="E907" s="4"/>
      <c r="F907" s="4"/>
      <c r="G907" s="4"/>
      <c r="H907" s="4"/>
    </row>
    <row r="908">
      <c r="A908" s="4"/>
      <c r="B908" s="4"/>
      <c r="C908" s="4"/>
      <c r="D908" s="4"/>
      <c r="E908" s="4"/>
      <c r="F908" s="4"/>
      <c r="G908" s="4"/>
      <c r="H908" s="4"/>
    </row>
    <row r="909">
      <c r="A909" s="4"/>
      <c r="B909" s="4"/>
      <c r="C909" s="4"/>
      <c r="D909" s="4"/>
      <c r="E909" s="4"/>
      <c r="F909" s="4"/>
      <c r="G909" s="4"/>
      <c r="H909" s="4"/>
    </row>
    <row r="910">
      <c r="A910" s="4"/>
      <c r="B910" s="4"/>
      <c r="C910" s="4"/>
      <c r="D910" s="4"/>
      <c r="E910" s="4"/>
      <c r="F910" s="4"/>
      <c r="G910" s="4"/>
      <c r="H910" s="4"/>
    </row>
    <row r="911">
      <c r="A911" s="4"/>
      <c r="B911" s="4"/>
      <c r="C911" s="4"/>
      <c r="D911" s="4"/>
      <c r="E911" s="4"/>
      <c r="F911" s="4"/>
      <c r="G911" s="4"/>
      <c r="H911" s="4"/>
    </row>
    <row r="912">
      <c r="A912" s="4"/>
      <c r="B912" s="4"/>
      <c r="C912" s="4"/>
      <c r="D912" s="4"/>
      <c r="E912" s="4"/>
      <c r="F912" s="4"/>
      <c r="G912" s="4"/>
      <c r="H912" s="4"/>
    </row>
    <row r="913">
      <c r="A913" s="4"/>
      <c r="B913" s="4"/>
      <c r="C913" s="4"/>
      <c r="D913" s="4"/>
      <c r="E913" s="4"/>
      <c r="F913" s="4"/>
      <c r="G913" s="4"/>
      <c r="H913" s="4"/>
    </row>
    <row r="914">
      <c r="A914" s="4"/>
      <c r="B914" s="4"/>
      <c r="C914" s="4"/>
      <c r="D914" s="4"/>
      <c r="E914" s="4"/>
      <c r="F914" s="4"/>
      <c r="G914" s="4"/>
      <c r="H914" s="4"/>
    </row>
    <row r="915">
      <c r="A915" s="4"/>
      <c r="B915" s="4"/>
      <c r="C915" s="4"/>
      <c r="D915" s="4"/>
      <c r="E915" s="4"/>
      <c r="F915" s="4"/>
      <c r="G915" s="4"/>
      <c r="H915" s="4"/>
    </row>
    <row r="916">
      <c r="A916" s="4"/>
      <c r="B916" s="4"/>
      <c r="C916" s="4"/>
      <c r="D916" s="4"/>
      <c r="E916" s="4"/>
      <c r="F916" s="4"/>
      <c r="G916" s="4"/>
      <c r="H916" s="4"/>
    </row>
    <row r="917">
      <c r="A917" s="4"/>
      <c r="B917" s="4"/>
      <c r="C917" s="4"/>
      <c r="D917" s="4"/>
      <c r="E917" s="4"/>
      <c r="F917" s="4"/>
      <c r="G917" s="4"/>
      <c r="H917" s="4"/>
    </row>
    <row r="918">
      <c r="A918" s="4"/>
      <c r="B918" s="4"/>
      <c r="C918" s="4"/>
      <c r="D918" s="4"/>
      <c r="E918" s="4"/>
      <c r="F918" s="4"/>
      <c r="G918" s="4"/>
      <c r="H918" s="4"/>
    </row>
    <row r="919">
      <c r="A919" s="4"/>
      <c r="B919" s="4"/>
      <c r="C919" s="4"/>
      <c r="D919" s="4"/>
      <c r="E919" s="4"/>
      <c r="F919" s="4"/>
      <c r="G919" s="4"/>
      <c r="H919" s="4"/>
    </row>
    <row r="920">
      <c r="A920" s="4"/>
      <c r="B920" s="4"/>
      <c r="C920" s="4"/>
      <c r="D920" s="4"/>
      <c r="E920" s="4"/>
      <c r="F920" s="4"/>
      <c r="G920" s="4"/>
      <c r="H920" s="4"/>
    </row>
    <row r="921">
      <c r="A921" s="4"/>
      <c r="B921" s="4"/>
      <c r="C921" s="4"/>
      <c r="D921" s="4"/>
      <c r="E921" s="4"/>
      <c r="F921" s="4"/>
      <c r="G921" s="4"/>
      <c r="H921" s="4"/>
    </row>
    <row r="922">
      <c r="A922" s="4"/>
      <c r="B922" s="4"/>
      <c r="C922" s="4"/>
      <c r="D922" s="4"/>
      <c r="E922" s="4"/>
      <c r="F922" s="4"/>
      <c r="G922" s="4"/>
      <c r="H922" s="4"/>
    </row>
    <row r="923">
      <c r="A923" s="4"/>
      <c r="B923" s="4"/>
      <c r="C923" s="4"/>
      <c r="D923" s="4"/>
      <c r="E923" s="4"/>
      <c r="F923" s="4"/>
      <c r="G923" s="4"/>
      <c r="H923" s="4"/>
    </row>
    <row r="924">
      <c r="A924" s="4"/>
      <c r="B924" s="4"/>
      <c r="C924" s="4"/>
      <c r="D924" s="4"/>
      <c r="E924" s="4"/>
      <c r="F924" s="4"/>
      <c r="G924" s="4"/>
      <c r="H924" s="4"/>
    </row>
    <row r="925">
      <c r="A925" s="4"/>
      <c r="B925" s="4"/>
      <c r="C925" s="4"/>
      <c r="D925" s="4"/>
      <c r="E925" s="4"/>
      <c r="F925" s="4"/>
      <c r="G925" s="4"/>
      <c r="H925" s="4"/>
    </row>
    <row r="926">
      <c r="A926" s="4"/>
      <c r="B926" s="4"/>
      <c r="C926" s="4"/>
      <c r="D926" s="4"/>
      <c r="E926" s="4"/>
      <c r="F926" s="4"/>
      <c r="G926" s="4"/>
      <c r="H926" s="4"/>
    </row>
    <row r="927">
      <c r="A927" s="4"/>
      <c r="B927" s="4"/>
      <c r="C927" s="4"/>
      <c r="D927" s="4"/>
      <c r="E927" s="4"/>
      <c r="F927" s="4"/>
      <c r="G927" s="4"/>
      <c r="H927" s="4"/>
    </row>
    <row r="928">
      <c r="A928" s="4"/>
      <c r="B928" s="4"/>
      <c r="C928" s="4"/>
      <c r="D928" s="4"/>
      <c r="E928" s="4"/>
      <c r="F928" s="4"/>
      <c r="G928" s="4"/>
      <c r="H928" s="4"/>
    </row>
    <row r="929">
      <c r="A929" s="4"/>
      <c r="B929" s="4"/>
      <c r="C929" s="4"/>
      <c r="D929" s="4"/>
      <c r="E929" s="4"/>
      <c r="F929" s="4"/>
      <c r="G929" s="4"/>
      <c r="H929" s="4"/>
    </row>
    <row r="930">
      <c r="A930" s="4"/>
      <c r="B930" s="4"/>
      <c r="C930" s="4"/>
      <c r="D930" s="4"/>
      <c r="E930" s="4"/>
      <c r="F930" s="4"/>
      <c r="G930" s="4"/>
      <c r="H930" s="4"/>
    </row>
    <row r="931">
      <c r="A931" s="4"/>
      <c r="B931" s="4"/>
      <c r="C931" s="4"/>
      <c r="D931" s="4"/>
      <c r="E931" s="4"/>
      <c r="F931" s="4"/>
      <c r="G931" s="4"/>
      <c r="H931" s="4"/>
    </row>
    <row r="932">
      <c r="A932" s="4"/>
      <c r="B932" s="4"/>
      <c r="C932" s="4"/>
      <c r="D932" s="4"/>
      <c r="E932" s="4"/>
      <c r="F932" s="4"/>
      <c r="G932" s="4"/>
      <c r="H932" s="4"/>
    </row>
    <row r="933">
      <c r="A933" s="4"/>
      <c r="B933" s="4"/>
      <c r="C933" s="4"/>
      <c r="D933" s="4"/>
      <c r="E933" s="4"/>
      <c r="F933" s="4"/>
      <c r="G933" s="4"/>
      <c r="H933" s="4"/>
    </row>
    <row r="934">
      <c r="A934" s="4"/>
      <c r="B934" s="4"/>
      <c r="C934" s="4"/>
      <c r="D934" s="4"/>
      <c r="E934" s="4"/>
      <c r="F934" s="4"/>
      <c r="G934" s="4"/>
      <c r="H934" s="4"/>
    </row>
    <row r="935">
      <c r="A935" s="4"/>
      <c r="B935" s="4"/>
      <c r="C935" s="4"/>
      <c r="D935" s="4"/>
      <c r="E935" s="4"/>
      <c r="F935" s="4"/>
      <c r="G935" s="4"/>
      <c r="H935" s="4"/>
    </row>
    <row r="936">
      <c r="A936" s="4"/>
      <c r="B936" s="4"/>
      <c r="C936" s="4"/>
      <c r="D936" s="4"/>
      <c r="E936" s="4"/>
      <c r="F936" s="4"/>
      <c r="G936" s="4"/>
      <c r="H936" s="4"/>
    </row>
    <row r="937">
      <c r="A937" s="4"/>
      <c r="B937" s="4"/>
      <c r="C937" s="4"/>
      <c r="D937" s="4"/>
      <c r="E937" s="4"/>
      <c r="F937" s="4"/>
      <c r="G937" s="4"/>
      <c r="H937" s="4"/>
    </row>
    <row r="938">
      <c r="A938" s="4"/>
      <c r="B938" s="4"/>
      <c r="C938" s="4"/>
      <c r="D938" s="4"/>
      <c r="E938" s="4"/>
      <c r="F938" s="4"/>
      <c r="G938" s="4"/>
      <c r="H938" s="4"/>
    </row>
    <row r="939">
      <c r="A939" s="4"/>
      <c r="B939" s="4"/>
      <c r="C939" s="4"/>
      <c r="D939" s="4"/>
      <c r="E939" s="4"/>
      <c r="F939" s="4"/>
      <c r="G939" s="4"/>
      <c r="H939" s="4"/>
    </row>
    <row r="940">
      <c r="A940" s="4"/>
      <c r="B940" s="4"/>
      <c r="C940" s="4"/>
      <c r="D940" s="4"/>
      <c r="E940" s="4"/>
      <c r="F940" s="4"/>
      <c r="G940" s="4"/>
      <c r="H940" s="4"/>
    </row>
    <row r="941">
      <c r="A941" s="4"/>
      <c r="B941" s="4"/>
      <c r="C941" s="4"/>
      <c r="D941" s="4"/>
      <c r="E941" s="4"/>
      <c r="F941" s="4"/>
      <c r="G941" s="4"/>
      <c r="H941" s="4"/>
    </row>
    <row r="942">
      <c r="A942" s="4"/>
      <c r="B942" s="4"/>
      <c r="C942" s="4"/>
      <c r="D942" s="4"/>
      <c r="E942" s="4"/>
      <c r="F942" s="4"/>
      <c r="G942" s="4"/>
      <c r="H942" s="4"/>
    </row>
    <row r="943">
      <c r="A943" s="4"/>
      <c r="B943" s="4"/>
      <c r="C943" s="4"/>
      <c r="D943" s="4"/>
      <c r="E943" s="4"/>
      <c r="F943" s="4"/>
      <c r="G943" s="4"/>
      <c r="H943" s="4"/>
    </row>
    <row r="944">
      <c r="A944" s="4"/>
      <c r="B944" s="4"/>
      <c r="C944" s="4"/>
      <c r="D944" s="4"/>
      <c r="E944" s="4"/>
      <c r="F944" s="4"/>
      <c r="G944" s="4"/>
      <c r="H944" s="4"/>
    </row>
    <row r="945">
      <c r="A945" s="4"/>
      <c r="B945" s="4"/>
      <c r="C945" s="4"/>
      <c r="D945" s="4"/>
      <c r="E945" s="4"/>
      <c r="F945" s="4"/>
      <c r="G945" s="4"/>
      <c r="H945" s="4"/>
    </row>
    <row r="946">
      <c r="A946" s="4"/>
      <c r="B946" s="4"/>
      <c r="C946" s="4"/>
      <c r="D946" s="4"/>
      <c r="E946" s="4"/>
      <c r="F946" s="4"/>
      <c r="G946" s="4"/>
      <c r="H946" s="4"/>
    </row>
    <row r="947">
      <c r="A947" s="4"/>
      <c r="B947" s="4"/>
      <c r="C947" s="4"/>
      <c r="D947" s="4"/>
      <c r="E947" s="4"/>
      <c r="F947" s="4"/>
      <c r="G947" s="4"/>
      <c r="H947" s="4"/>
    </row>
    <row r="948">
      <c r="A948" s="4"/>
      <c r="B948" s="4"/>
      <c r="C948" s="4"/>
      <c r="D948" s="4"/>
      <c r="E948" s="4"/>
      <c r="F948" s="4"/>
      <c r="G948" s="4"/>
      <c r="H948" s="4"/>
    </row>
    <row r="949">
      <c r="A949" s="4"/>
      <c r="B949" s="4"/>
      <c r="C949" s="4"/>
      <c r="D949" s="4"/>
      <c r="E949" s="4"/>
      <c r="F949" s="4"/>
      <c r="G949" s="4"/>
      <c r="H949" s="4"/>
    </row>
    <row r="950">
      <c r="A950" s="4"/>
      <c r="B950" s="4"/>
      <c r="C950" s="4"/>
      <c r="D950" s="4"/>
      <c r="E950" s="4"/>
      <c r="F950" s="4"/>
      <c r="G950" s="4"/>
      <c r="H950" s="4"/>
    </row>
    <row r="951">
      <c r="A951" s="4"/>
      <c r="B951" s="4"/>
      <c r="C951" s="4"/>
      <c r="D951" s="4"/>
      <c r="E951" s="4"/>
      <c r="F951" s="4"/>
      <c r="G951" s="4"/>
      <c r="H951" s="4"/>
    </row>
    <row r="952">
      <c r="A952" s="4"/>
      <c r="B952" s="4"/>
      <c r="C952" s="4"/>
      <c r="D952" s="4"/>
      <c r="E952" s="4"/>
      <c r="F952" s="4"/>
      <c r="G952" s="4"/>
      <c r="H952" s="4"/>
    </row>
    <row r="953">
      <c r="A953" s="4"/>
      <c r="B953" s="4"/>
      <c r="C953" s="4"/>
      <c r="D953" s="4"/>
      <c r="E953" s="4"/>
      <c r="F953" s="4"/>
      <c r="G953" s="4"/>
      <c r="H953" s="4"/>
    </row>
    <row r="954">
      <c r="A954" s="4"/>
      <c r="B954" s="4"/>
      <c r="C954" s="4"/>
      <c r="D954" s="4"/>
      <c r="E954" s="4"/>
      <c r="F954" s="4"/>
      <c r="G954" s="4"/>
      <c r="H954" s="4"/>
    </row>
    <row r="955">
      <c r="A955" s="4"/>
      <c r="B955" s="4"/>
      <c r="C955" s="4"/>
      <c r="D955" s="4"/>
      <c r="E955" s="4"/>
      <c r="F955" s="4"/>
      <c r="G955" s="4"/>
      <c r="H955" s="4"/>
    </row>
    <row r="956">
      <c r="A956" s="4"/>
      <c r="B956" s="4"/>
      <c r="C956" s="4"/>
      <c r="D956" s="4"/>
      <c r="E956" s="4"/>
      <c r="F956" s="4"/>
      <c r="G956" s="4"/>
      <c r="H956" s="4"/>
    </row>
    <row r="957">
      <c r="A957" s="4"/>
      <c r="B957" s="4"/>
      <c r="C957" s="4"/>
      <c r="D957" s="4"/>
      <c r="E957" s="4"/>
      <c r="F957" s="4"/>
      <c r="G957" s="4"/>
      <c r="H957" s="4"/>
    </row>
    <row r="958">
      <c r="A958" s="4"/>
      <c r="B958" s="4"/>
      <c r="C958" s="4"/>
      <c r="D958" s="4"/>
      <c r="E958" s="4"/>
      <c r="F958" s="4"/>
      <c r="G958" s="4"/>
      <c r="H958" s="4"/>
    </row>
    <row r="959">
      <c r="A959" s="4"/>
      <c r="B959" s="4"/>
      <c r="C959" s="4"/>
      <c r="D959" s="4"/>
      <c r="E959" s="4"/>
      <c r="F959" s="4"/>
      <c r="G959" s="4"/>
      <c r="H959" s="4"/>
    </row>
    <row r="960">
      <c r="A960" s="4"/>
      <c r="B960" s="4"/>
      <c r="C960" s="4"/>
      <c r="D960" s="4"/>
      <c r="E960" s="4"/>
      <c r="F960" s="4"/>
      <c r="G960" s="4"/>
      <c r="H960" s="4"/>
    </row>
    <row r="961">
      <c r="A961" s="4"/>
      <c r="B961" s="4"/>
      <c r="C961" s="4"/>
      <c r="D961" s="4"/>
      <c r="E961" s="4"/>
      <c r="F961" s="4"/>
      <c r="G961" s="4"/>
      <c r="H961" s="4"/>
    </row>
    <row r="962">
      <c r="A962" s="4"/>
      <c r="B962" s="4"/>
      <c r="C962" s="4"/>
      <c r="D962" s="4"/>
      <c r="E962" s="4"/>
      <c r="F962" s="4"/>
      <c r="G962" s="4"/>
      <c r="H962" s="4"/>
    </row>
    <row r="963">
      <c r="A963" s="4"/>
      <c r="B963" s="4"/>
      <c r="C963" s="4"/>
      <c r="D963" s="4"/>
      <c r="E963" s="4"/>
      <c r="F963" s="4"/>
      <c r="G963" s="4"/>
      <c r="H963" s="4"/>
    </row>
    <row r="964">
      <c r="A964" s="4"/>
      <c r="B964" s="4"/>
      <c r="C964" s="4"/>
      <c r="D964" s="4"/>
      <c r="E964" s="4"/>
      <c r="F964" s="4"/>
      <c r="G964" s="4"/>
      <c r="H964" s="4"/>
    </row>
    <row r="965">
      <c r="A965" s="4"/>
      <c r="B965" s="4"/>
      <c r="C965" s="4"/>
      <c r="D965" s="4"/>
      <c r="E965" s="4"/>
      <c r="F965" s="4"/>
      <c r="G965" s="4"/>
      <c r="H965" s="4"/>
    </row>
    <row r="966">
      <c r="A966" s="4"/>
      <c r="B966" s="4"/>
      <c r="C966" s="4"/>
      <c r="D966" s="4"/>
      <c r="E966" s="4"/>
      <c r="F966" s="4"/>
      <c r="G966" s="4"/>
      <c r="H966" s="4"/>
    </row>
    <row r="967">
      <c r="A967" s="4"/>
      <c r="B967" s="4"/>
      <c r="C967" s="4"/>
      <c r="D967" s="4"/>
      <c r="E967" s="4"/>
      <c r="F967" s="4"/>
      <c r="G967" s="4"/>
      <c r="H967" s="4"/>
    </row>
    <row r="968">
      <c r="A968" s="4"/>
      <c r="B968" s="4"/>
      <c r="C968" s="4"/>
      <c r="D968" s="4"/>
      <c r="E968" s="4"/>
      <c r="F968" s="4"/>
      <c r="G968" s="4"/>
      <c r="H968" s="4"/>
    </row>
    <row r="969">
      <c r="A969" s="4"/>
      <c r="B969" s="4"/>
      <c r="C969" s="4"/>
      <c r="D969" s="4"/>
      <c r="E969" s="4"/>
      <c r="F969" s="4"/>
      <c r="G969" s="4"/>
      <c r="H969" s="4"/>
    </row>
  </sheetData>
  <autoFilter ref="$A$1:$P$802"/>
  <conditionalFormatting sqref="M1:M576">
    <cfRule type="cellIs" dxfId="0" priority="1" operator="between">
      <formula>0</formula>
      <formula>5</formula>
    </cfRule>
  </conditionalFormatting>
  <dataValidations>
    <dataValidation type="list" allowBlank="1" showErrorMessage="1" sqref="F2:G576">
      <formula1>"Indoor,Outdoor,Restaurant"</formula1>
    </dataValidation>
    <dataValidation type="list" allowBlank="1" showErrorMessage="1" sqref="H2:H576">
      <formula1>"Table Top,Table Base,Aluminium Set,Plastic Chair,Aluminium Chair,Metal Chair,Wood + Fabric Chair,Rattan Set,Shoe Cabinet,Umbrella,Gazibo,Dining Table,Office Chair,Bar Tables,High Chair,Dining Chairs"</formula1>
    </dataValidation>
  </dataValidations>
  <hyperlinks>
    <hyperlink r:id="rId1" location=":~:text=" ref="K532"/>
    <hyperlink r:id="rId2" location=":~:text=1,will%20truly%20last%20the%20years" ref="K536"/>
    <hyperlink r:id="rId3" location=":~:text=Description%3A%20Laurent%20Black%20Gold%20captures,unmatched%20durability%20and%20timeless%20sophistication" ref="K537"/>
    <hyperlink r:id="rId4" location=":~:text=%E2%98%85%E3%80%96Good%20Quality%20Sintered%20Stone%E3%80%97%3A%20Experience,lasting%20beauty" ref="K542"/>
    <hyperlink r:id="rId5" location=":~:text=The%20Pyrmont%20collection%20is%20a,that%20replicates%20beautifully%20Australian%20sandstone" ref="K548"/>
    <hyperlink r:id="rId6" location=":~:text=,radiant%20golden%20streaks" ref="K558"/>
  </hyperlinks>
  <printOptions gridLines="1" horizontalCentered="1"/>
  <pageMargins bottom="0.75" footer="0.0" header="0.0" left="0.7" right="0.7" top="0.75"/>
  <pageSetup fitToHeight="0" paperSize="9" cellComments="atEnd" orientation="portrait" pageOrder="overThenDown"/>
  <drawing r:id="rId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37.0"/>
    <col customWidth="1" min="2" max="2" width="11.38"/>
    <col customWidth="1" min="3" max="3" width="7.63"/>
    <col customWidth="1" min="4" max="4" width="84.88"/>
    <col customWidth="1" min="5" max="5" width="37.0"/>
    <col customWidth="1" min="6" max="6" width="129.88"/>
    <col customWidth="1" min="7" max="16" width="37.0"/>
  </cols>
  <sheetData>
    <row r="1">
      <c r="A1" s="73" t="s">
        <v>0</v>
      </c>
      <c r="B1" s="74" t="s">
        <v>1</v>
      </c>
      <c r="C1" s="74" t="s">
        <v>2</v>
      </c>
      <c r="D1" s="73" t="s">
        <v>3</v>
      </c>
      <c r="E1" s="74" t="s">
        <v>4</v>
      </c>
      <c r="F1" s="73" t="s">
        <v>8</v>
      </c>
      <c r="G1" s="75"/>
      <c r="H1" s="75"/>
      <c r="I1" s="75"/>
      <c r="J1" s="75"/>
      <c r="K1" s="75"/>
      <c r="L1" s="75"/>
      <c r="M1" s="75"/>
      <c r="N1" s="75"/>
      <c r="O1" s="75"/>
      <c r="P1" s="75"/>
    </row>
    <row r="2">
      <c r="A2" s="76" t="s">
        <v>16</v>
      </c>
      <c r="B2" s="77">
        <v>1001.0</v>
      </c>
      <c r="C2" s="78" t="b">
        <v>0</v>
      </c>
      <c r="D2" s="79" t="str">
        <f>IFERROR(__xludf.DUMMYFUNCTION("GOOGLETRANSLATE(A2,""ar"", ""en"")"),"Bed B.B")</f>
        <v>Bed B.B</v>
      </c>
      <c r="E2" s="76" t="s">
        <v>17</v>
      </c>
      <c r="F2" s="79"/>
      <c r="G2" s="75"/>
      <c r="H2" s="75"/>
      <c r="I2" s="75"/>
      <c r="J2" s="75"/>
      <c r="K2" s="75"/>
      <c r="L2" s="75"/>
      <c r="M2" s="75"/>
      <c r="N2" s="75"/>
      <c r="O2" s="75"/>
      <c r="P2" s="75"/>
    </row>
    <row r="3">
      <c r="A3" s="80" t="s">
        <v>20</v>
      </c>
      <c r="B3" s="77">
        <v>1002.0</v>
      </c>
      <c r="C3" s="77" t="b">
        <v>0</v>
      </c>
      <c r="D3" s="79" t="str">
        <f>IFERROR(__xludf.DUMMYFUNCTION("GOOGLETRANSLATE(A3,""ar"", ""en"")"),"Storage Bed B.B. Natural")</f>
        <v>Storage Bed B.B. Natural</v>
      </c>
      <c r="E3" s="80" t="s">
        <v>21</v>
      </c>
      <c r="F3" s="79"/>
      <c r="G3" s="75"/>
      <c r="H3" s="75"/>
      <c r="I3" s="75"/>
      <c r="J3" s="75"/>
      <c r="K3" s="75"/>
      <c r="L3" s="75"/>
      <c r="M3" s="75"/>
      <c r="N3" s="75"/>
      <c r="O3" s="75"/>
      <c r="P3" s="75"/>
    </row>
    <row r="4">
      <c r="A4" s="76" t="s">
        <v>16</v>
      </c>
      <c r="B4" s="77">
        <v>1003.0</v>
      </c>
      <c r="C4" s="77" t="b">
        <v>0</v>
      </c>
      <c r="D4" s="79" t="str">
        <f>IFERROR(__xludf.DUMMYFUNCTION("GOOGLETRANSLATE(A4,""ar"", ""en"")"),"Bed B.B")</f>
        <v>Bed B.B</v>
      </c>
      <c r="E4" s="76" t="s">
        <v>23</v>
      </c>
      <c r="F4" s="79"/>
      <c r="G4" s="75"/>
      <c r="H4" s="75"/>
      <c r="I4" s="75"/>
      <c r="J4" s="75"/>
      <c r="K4" s="75"/>
      <c r="L4" s="75"/>
      <c r="M4" s="75"/>
      <c r="N4" s="75"/>
      <c r="O4" s="75"/>
      <c r="P4" s="75"/>
    </row>
    <row r="5">
      <c r="A5" s="80" t="s">
        <v>16</v>
      </c>
      <c r="B5" s="77">
        <v>1004.0</v>
      </c>
      <c r="C5" s="77" t="b">
        <v>0</v>
      </c>
      <c r="D5" s="79" t="str">
        <f>IFERROR(__xludf.DUMMYFUNCTION("GOOGLETRANSLATE(A5,""ar"", ""en"")"),"Bed B.B")</f>
        <v>Bed B.B</v>
      </c>
      <c r="E5" s="80" t="s">
        <v>24</v>
      </c>
      <c r="F5" s="79"/>
      <c r="G5" s="75"/>
      <c r="H5" s="75"/>
      <c r="I5" s="75"/>
      <c r="J5" s="75"/>
      <c r="K5" s="75"/>
      <c r="L5" s="75"/>
      <c r="M5" s="75"/>
      <c r="N5" s="75"/>
      <c r="O5" s="75"/>
      <c r="P5" s="75"/>
    </row>
    <row r="6">
      <c r="A6" s="76" t="s">
        <v>25</v>
      </c>
      <c r="B6" s="77">
        <v>1007.0</v>
      </c>
      <c r="C6" s="77" t="b">
        <v>0</v>
      </c>
      <c r="D6" s="79" t="str">
        <f>IFERROR(__xludf.DUMMYFUNCTION("GOOGLETRANSLATE(A6,""ar"", ""en"")"),"Starbucks chair without handles")</f>
        <v>Starbucks chair without handles</v>
      </c>
      <c r="E6" s="76" t="s">
        <v>26</v>
      </c>
      <c r="F6" s="79"/>
      <c r="G6" s="75"/>
      <c r="H6" s="75"/>
      <c r="I6" s="75"/>
      <c r="J6" s="75"/>
      <c r="K6" s="75"/>
      <c r="L6" s="75"/>
      <c r="M6" s="75"/>
      <c r="N6" s="75"/>
      <c r="O6" s="75"/>
      <c r="P6" s="75"/>
    </row>
    <row r="7">
      <c r="A7" s="76" t="s">
        <v>31</v>
      </c>
      <c r="B7" s="77">
        <v>1013.0</v>
      </c>
      <c r="C7" s="77" t="b">
        <v>0</v>
      </c>
      <c r="D7" s="79" t="str">
        <f>IFERROR(__xludf.DUMMYFUNCTION("GOOGLETRANSLATE(A7,""ar"", ""en"")"),"STARBAX CHAIR")</f>
        <v>STARBAX CHAIR</v>
      </c>
      <c r="E7" s="76" t="s">
        <v>32</v>
      </c>
      <c r="F7" s="79"/>
      <c r="G7" s="75"/>
      <c r="H7" s="75"/>
      <c r="I7" s="75"/>
      <c r="J7" s="75"/>
      <c r="K7" s="75"/>
      <c r="L7" s="75"/>
      <c r="M7" s="75"/>
      <c r="N7" s="75"/>
      <c r="O7" s="75"/>
      <c r="P7" s="75"/>
    </row>
    <row r="8">
      <c r="A8" s="76" t="s">
        <v>34</v>
      </c>
      <c r="B8" s="77">
        <v>1015.0</v>
      </c>
      <c r="C8" s="77" t="b">
        <v>0</v>
      </c>
      <c r="D8" s="79" t="str">
        <f>IFERROR(__xludf.DUMMYFUNCTION("GOOGLETRANSLATE(A8,""ar"", ""en"")"),"Aluminum X Starbucks Chair")</f>
        <v>Aluminum X Starbucks Chair</v>
      </c>
      <c r="E8" s="76" t="s">
        <v>35</v>
      </c>
      <c r="F8" s="79"/>
      <c r="G8" s="75"/>
      <c r="H8" s="75"/>
      <c r="I8" s="75"/>
      <c r="J8" s="75"/>
      <c r="K8" s="75"/>
      <c r="L8" s="75"/>
      <c r="M8" s="75"/>
      <c r="N8" s="75"/>
      <c r="O8" s="75"/>
      <c r="P8" s="75"/>
    </row>
    <row r="9">
      <c r="A9" s="76" t="s">
        <v>37</v>
      </c>
      <c r="B9" s="77">
        <v>1018.0</v>
      </c>
      <c r="C9" s="77" t="b">
        <v>0</v>
      </c>
      <c r="D9" s="79" t="str">
        <f>IFERROR(__xludf.DUMMYFUNCTION("GOOGLETRANSLATE(A9,""ar"", ""en"")"),"dining chair")</f>
        <v>dining chair</v>
      </c>
      <c r="E9" s="76" t="s">
        <v>38</v>
      </c>
      <c r="F9" s="79"/>
      <c r="G9" s="75"/>
      <c r="H9" s="75"/>
      <c r="I9" s="75"/>
      <c r="J9" s="75"/>
      <c r="K9" s="75"/>
      <c r="L9" s="75"/>
      <c r="M9" s="75"/>
      <c r="N9" s="75"/>
      <c r="O9" s="75"/>
      <c r="P9" s="75"/>
    </row>
    <row r="10">
      <c r="A10" s="80" t="s">
        <v>41</v>
      </c>
      <c r="B10" s="77">
        <v>1019.0</v>
      </c>
      <c r="C10" s="77" t="b">
        <v>0</v>
      </c>
      <c r="D10" s="79" t="str">
        <f>IFERROR(__xludf.DUMMYFUNCTION("GOOGLETRANSLATE(A10,""ar"", ""en"")"),"Portuguese colored plastic chair")</f>
        <v>Portuguese colored plastic chair</v>
      </c>
      <c r="E10" s="80" t="s">
        <v>42</v>
      </c>
      <c r="F10" s="79"/>
      <c r="G10" s="75"/>
      <c r="H10" s="75"/>
      <c r="I10" s="75"/>
      <c r="J10" s="75"/>
      <c r="K10" s="75"/>
      <c r="L10" s="75"/>
      <c r="M10" s="75"/>
      <c r="N10" s="75"/>
      <c r="O10" s="75"/>
      <c r="P10" s="75"/>
    </row>
    <row r="11">
      <c r="A11" s="76" t="s">
        <v>45</v>
      </c>
      <c r="B11" s="77">
        <v>1021.0</v>
      </c>
      <c r="C11" s="77" t="b">
        <v>0</v>
      </c>
      <c r="D11" s="79" t="str">
        <f>IFERROR(__xludf.DUMMYFUNCTION("GOOGLETRANSLATE(A11,""ar"", ""en"")"),"COUNTER HIGH CHAIR")</f>
        <v>COUNTER HIGH CHAIR</v>
      </c>
      <c r="E11" s="76" t="s">
        <v>46</v>
      </c>
      <c r="F11" s="79"/>
      <c r="G11" s="75"/>
      <c r="H11" s="75"/>
      <c r="I11" s="75"/>
      <c r="J11" s="75"/>
      <c r="K11" s="75"/>
      <c r="L11" s="75"/>
      <c r="M11" s="75"/>
      <c r="N11" s="75"/>
      <c r="O11" s="75"/>
      <c r="P11" s="75"/>
    </row>
    <row r="12">
      <c r="A12" s="80" t="s">
        <v>49</v>
      </c>
      <c r="B12" s="77">
        <v>1022.0</v>
      </c>
      <c r="C12" s="77" t="b">
        <v>0</v>
      </c>
      <c r="D12" s="79" t="str">
        <f>IFERROR(__xludf.DUMMYFUNCTION("GOOGLETRANSLATE(A12,""ar"", ""en"")"),"bar chair")</f>
        <v>bar chair</v>
      </c>
      <c r="E12" s="80" t="s">
        <v>50</v>
      </c>
      <c r="F12" s="79"/>
      <c r="G12" s="75"/>
      <c r="H12" s="75"/>
      <c r="I12" s="75"/>
      <c r="J12" s="75"/>
      <c r="K12" s="75"/>
      <c r="L12" s="75"/>
      <c r="M12" s="75"/>
      <c r="N12" s="75"/>
      <c r="O12" s="75"/>
      <c r="P12" s="75"/>
    </row>
    <row r="13">
      <c r="A13" s="80" t="s">
        <v>52</v>
      </c>
      <c r="B13" s="77">
        <v>1024.0</v>
      </c>
      <c r="C13" s="77" t="b">
        <v>0</v>
      </c>
      <c r="D13" s="79" t="str">
        <f>IFERROR(__xludf.DUMMYFUNCTION("GOOGLETRANSLATE(A13,""ar"", ""en"")"),"heavy plastic chair")</f>
        <v>heavy plastic chair</v>
      </c>
      <c r="E13" s="80" t="s">
        <v>53</v>
      </c>
      <c r="F13" s="79"/>
      <c r="G13" s="75"/>
      <c r="H13" s="75"/>
      <c r="I13" s="75"/>
      <c r="J13" s="75"/>
      <c r="K13" s="75"/>
      <c r="L13" s="75"/>
      <c r="M13" s="75"/>
      <c r="N13" s="75"/>
      <c r="O13" s="75"/>
      <c r="P13" s="75"/>
    </row>
    <row r="14">
      <c r="A14" s="80" t="s">
        <v>49</v>
      </c>
      <c r="B14" s="77">
        <v>1026.0</v>
      </c>
      <c r="C14" s="77" t="b">
        <v>0</v>
      </c>
      <c r="D14" s="79" t="str">
        <f>IFERROR(__xludf.DUMMYFUNCTION("GOOGLETRANSLATE(A14,""ar"", ""en"")"),"bar chair")</f>
        <v>bar chair</v>
      </c>
      <c r="E14" s="80" t="s">
        <v>55</v>
      </c>
      <c r="F14" s="79"/>
      <c r="G14" s="75"/>
      <c r="H14" s="75"/>
      <c r="I14" s="75"/>
      <c r="J14" s="75"/>
      <c r="K14" s="75"/>
      <c r="L14" s="75"/>
      <c r="M14" s="75"/>
      <c r="N14" s="75"/>
      <c r="O14" s="75"/>
      <c r="P14" s="75"/>
    </row>
    <row r="15">
      <c r="A15" s="80" t="s">
        <v>56</v>
      </c>
      <c r="B15" s="77">
        <v>1028.0</v>
      </c>
      <c r="C15" s="77" t="b">
        <v>0</v>
      </c>
      <c r="D15" s="79" t="str">
        <f>IFERROR(__xludf.DUMMYFUNCTION("GOOGLETRANSLATE(A15,""ar"", ""en"")"),"SWIVEL BAR STOOL")</f>
        <v>SWIVEL BAR STOOL</v>
      </c>
      <c r="E15" s="80" t="s">
        <v>57</v>
      </c>
      <c r="F15" s="79"/>
      <c r="G15" s="75"/>
      <c r="H15" s="75"/>
      <c r="I15" s="75"/>
      <c r="J15" s="75"/>
      <c r="K15" s="75"/>
      <c r="L15" s="75"/>
      <c r="M15" s="75"/>
      <c r="N15" s="75"/>
      <c r="O15" s="75"/>
      <c r="P15" s="75"/>
    </row>
    <row r="16">
      <c r="A16" s="76" t="s">
        <v>37</v>
      </c>
      <c r="B16" s="77">
        <v>1031.0</v>
      </c>
      <c r="C16" s="77" t="b">
        <v>0</v>
      </c>
      <c r="D16" s="79" t="str">
        <f>IFERROR(__xludf.DUMMYFUNCTION("GOOGLETRANSLATE(A16,""ar"", ""en"")"),"dining chair")</f>
        <v>dining chair</v>
      </c>
      <c r="E16" s="76" t="s">
        <v>59</v>
      </c>
      <c r="F16" s="79"/>
      <c r="G16" s="75"/>
      <c r="H16" s="75"/>
      <c r="I16" s="75"/>
      <c r="J16" s="75"/>
      <c r="K16" s="75"/>
      <c r="L16" s="75"/>
      <c r="M16" s="75"/>
      <c r="N16" s="75"/>
      <c r="O16" s="75"/>
      <c r="P16" s="75"/>
    </row>
    <row r="17">
      <c r="A17" s="76" t="s">
        <v>60</v>
      </c>
      <c r="B17" s="77">
        <v>1035.0</v>
      </c>
      <c r="C17" s="77" t="b">
        <v>0</v>
      </c>
      <c r="D17" s="79" t="str">
        <f>IFERROR(__xludf.DUMMYFUNCTION("GOOGLETRANSLATE(A17,""ar"", ""en"")"),"BAR TABLE")</f>
        <v>BAR TABLE</v>
      </c>
      <c r="E17" s="76" t="s">
        <v>61</v>
      </c>
      <c r="F17" s="79"/>
      <c r="G17" s="75"/>
      <c r="H17" s="75"/>
      <c r="I17" s="75"/>
      <c r="J17" s="75"/>
      <c r="K17" s="75"/>
      <c r="L17" s="75"/>
      <c r="M17" s="75"/>
      <c r="N17" s="75"/>
      <c r="O17" s="75"/>
      <c r="P17" s="75"/>
    </row>
    <row r="18">
      <c r="A18" s="80" t="s">
        <v>64</v>
      </c>
      <c r="B18" s="77">
        <v>1036.0</v>
      </c>
      <c r="C18" s="77" t="b">
        <v>0</v>
      </c>
      <c r="D18" s="79" t="str">
        <f>IFERROR(__xludf.DUMMYFUNCTION("GOOGLETRANSLATE(A18,""ar"", ""en"")"),"STORAGE TABLE")</f>
        <v>STORAGE TABLE</v>
      </c>
      <c r="E18" s="80" t="s">
        <v>65</v>
      </c>
      <c r="F18" s="79"/>
      <c r="G18" s="75"/>
      <c r="H18" s="75"/>
      <c r="I18" s="75"/>
      <c r="J18" s="75"/>
      <c r="K18" s="75"/>
      <c r="L18" s="75"/>
      <c r="M18" s="75"/>
      <c r="N18" s="75"/>
      <c r="O18" s="75"/>
      <c r="P18" s="75"/>
    </row>
    <row r="19">
      <c r="A19" s="76" t="s">
        <v>67</v>
      </c>
      <c r="B19" s="77">
        <v>1037.0</v>
      </c>
      <c r="C19" s="77" t="b">
        <v>0</v>
      </c>
      <c r="D19" s="79" t="str">
        <f>IFERROR(__xludf.DUMMYFUNCTION("GOOGLETRANSLATE(A19,""ar"", ""en"")"),"PUB TABLE ROUND")</f>
        <v>PUB TABLE ROUND</v>
      </c>
      <c r="E19" s="76" t="s">
        <v>68</v>
      </c>
      <c r="F19" s="79"/>
      <c r="G19" s="75"/>
      <c r="H19" s="75"/>
      <c r="I19" s="75"/>
      <c r="J19" s="75"/>
      <c r="K19" s="75"/>
      <c r="L19" s="75"/>
      <c r="M19" s="75"/>
      <c r="N19" s="75"/>
      <c r="O19" s="75"/>
      <c r="P19" s="75"/>
    </row>
    <row r="20">
      <c r="A20" s="80" t="s">
        <v>70</v>
      </c>
      <c r="B20" s="77">
        <v>1048.0</v>
      </c>
      <c r="C20" s="77" t="b">
        <v>0</v>
      </c>
      <c r="D20" s="79" t="str">
        <f>IFERROR(__xludf.DUMMYFUNCTION("GOOGLETRANSLATE(A20,""ar"", ""en"")"),"iron chair with handle")</f>
        <v>iron chair with handle</v>
      </c>
      <c r="E20" s="80" t="s">
        <v>71</v>
      </c>
      <c r="F20" s="79"/>
      <c r="G20" s="75"/>
      <c r="H20" s="75"/>
      <c r="I20" s="75"/>
      <c r="J20" s="75"/>
      <c r="K20" s="75"/>
      <c r="L20" s="75"/>
      <c r="M20" s="75"/>
      <c r="N20" s="75"/>
      <c r="O20" s="75"/>
      <c r="P20" s="75"/>
    </row>
    <row r="21">
      <c r="A21" s="76" t="s">
        <v>74</v>
      </c>
      <c r="B21" s="77">
        <v>1052.0</v>
      </c>
      <c r="C21" s="77" t="b">
        <v>0</v>
      </c>
      <c r="D21" s="79" t="str">
        <f>IFERROR(__xludf.DUMMYFUNCTION("GOOGLETRANSLATE(A21,""ar"", ""en"")"),"iron chair without handles")</f>
        <v>iron chair without handles</v>
      </c>
      <c r="E21" s="76" t="s">
        <v>75</v>
      </c>
      <c r="F21" s="79"/>
      <c r="G21" s="75"/>
      <c r="H21" s="75"/>
      <c r="I21" s="75"/>
      <c r="J21" s="75"/>
      <c r="K21" s="75"/>
      <c r="L21" s="75"/>
      <c r="M21" s="75"/>
      <c r="N21" s="75"/>
      <c r="O21" s="75"/>
      <c r="P21" s="75"/>
    </row>
    <row r="22">
      <c r="A22" s="80" t="s">
        <v>77</v>
      </c>
      <c r="B22" s="77">
        <v>1053.0</v>
      </c>
      <c r="C22" s="77" t="b">
        <v>0</v>
      </c>
      <c r="D22" s="79" t="str">
        <f>IFERROR(__xludf.DUMMYFUNCTION("GOOGLETRANSLATE(A22,""ar"", ""en"")"),"Chrome chair with leather")</f>
        <v>Chrome chair with leather</v>
      </c>
      <c r="E22" s="80" t="s">
        <v>78</v>
      </c>
      <c r="F22" s="79"/>
      <c r="G22" s="75"/>
      <c r="H22" s="75"/>
      <c r="I22" s="75"/>
      <c r="J22" s="75"/>
      <c r="K22" s="75"/>
      <c r="L22" s="75"/>
      <c r="M22" s="75"/>
      <c r="N22" s="75"/>
      <c r="O22" s="75"/>
      <c r="P22" s="75"/>
    </row>
    <row r="23">
      <c r="A23" s="76" t="s">
        <v>80</v>
      </c>
      <c r="B23" s="77">
        <v>1061.0</v>
      </c>
      <c r="C23" s="77" t="b">
        <v>0</v>
      </c>
      <c r="D23" s="79" t="str">
        <f>IFERROR(__xludf.DUMMYFUNCTION("GOOGLETRANSLATE(A23,""ar"", ""en"")"),"Starbucks chair with aluminum handle")</f>
        <v>Starbucks chair with aluminum handle</v>
      </c>
      <c r="E23" s="76" t="s">
        <v>81</v>
      </c>
      <c r="F23" s="79"/>
      <c r="G23" s="75"/>
      <c r="H23" s="75"/>
      <c r="I23" s="75"/>
      <c r="J23" s="75"/>
      <c r="K23" s="75"/>
      <c r="L23" s="75"/>
      <c r="M23" s="75"/>
      <c r="N23" s="75"/>
      <c r="O23" s="75"/>
      <c r="P23" s="75"/>
    </row>
    <row r="24">
      <c r="A24" s="80" t="s">
        <v>83</v>
      </c>
      <c r="B24" s="77">
        <v>1062.0</v>
      </c>
      <c r="C24" s="77" t="b">
        <v>0</v>
      </c>
      <c r="D24" s="79" t="str">
        <f>IFERROR(__xludf.DUMMYFUNCTION("GOOGLETRANSLATE(A24,""ar"", ""en"")"),"MIX BROWN - Starbucks Chair")</f>
        <v>MIX BROWN - Starbucks Chair</v>
      </c>
      <c r="E24" s="80" t="s">
        <v>84</v>
      </c>
      <c r="F24" s="79"/>
      <c r="G24" s="75"/>
      <c r="H24" s="75"/>
      <c r="I24" s="75"/>
      <c r="J24" s="75"/>
      <c r="K24" s="75"/>
      <c r="L24" s="75"/>
      <c r="M24" s="75"/>
      <c r="N24" s="75"/>
      <c r="O24" s="75"/>
      <c r="P24" s="75"/>
    </row>
    <row r="25">
      <c r="A25" s="80" t="s">
        <v>86</v>
      </c>
      <c r="B25" s="77">
        <v>1068.0</v>
      </c>
      <c r="C25" s="77" t="b">
        <v>0</v>
      </c>
      <c r="D25" s="79" t="str">
        <f>IFERROR(__xludf.DUMMYFUNCTION("GOOGLETRANSLATE(A25,""ar"", ""en"")"),"Plastic chair with chrome mesh")</f>
        <v>Plastic chair with chrome mesh</v>
      </c>
      <c r="E25" s="80" t="s">
        <v>87</v>
      </c>
      <c r="F25" s="79"/>
      <c r="G25" s="75"/>
      <c r="H25" s="75"/>
      <c r="I25" s="75"/>
      <c r="J25" s="75"/>
      <c r="K25" s="75"/>
      <c r="L25" s="75"/>
      <c r="M25" s="75"/>
      <c r="N25" s="75"/>
      <c r="O25" s="75"/>
      <c r="P25" s="75"/>
    </row>
    <row r="26">
      <c r="A26" s="80" t="s">
        <v>89</v>
      </c>
      <c r="B26" s="77">
        <v>1075.0</v>
      </c>
      <c r="C26" s="77" t="b">
        <v>0</v>
      </c>
      <c r="D26" s="79" t="str">
        <f>IFERROR(__xludf.DUMMYFUNCTION("GOOGLETRANSLATE(A26,""ar"", ""en"")"),"PLASTIC CHAIR X")</f>
        <v>PLASTIC CHAIR X</v>
      </c>
      <c r="E26" s="80" t="s">
        <v>90</v>
      </c>
      <c r="F26" s="79"/>
      <c r="G26" s="75"/>
      <c r="H26" s="75"/>
      <c r="I26" s="75"/>
      <c r="J26" s="75"/>
      <c r="K26" s="75"/>
      <c r="L26" s="75"/>
      <c r="M26" s="75"/>
      <c r="N26" s="75"/>
      <c r="O26" s="75"/>
      <c r="P26" s="75"/>
    </row>
    <row r="27">
      <c r="A27" s="76" t="s">
        <v>92</v>
      </c>
      <c r="B27" s="77">
        <v>1076.0</v>
      </c>
      <c r="C27" s="77" t="b">
        <v>0</v>
      </c>
      <c r="D27" s="79" t="str">
        <f>IFERROR(__xludf.DUMMYFUNCTION("GOOGLETRANSLATE(A27,""ar"", ""en"")"),"iron chair")</f>
        <v>iron chair</v>
      </c>
      <c r="E27" s="76" t="s">
        <v>93</v>
      </c>
      <c r="F27" s="79"/>
      <c r="G27" s="75"/>
      <c r="H27" s="75"/>
      <c r="I27" s="75"/>
      <c r="J27" s="75"/>
      <c r="K27" s="75"/>
      <c r="L27" s="75"/>
      <c r="M27" s="75"/>
      <c r="N27" s="75"/>
      <c r="O27" s="75"/>
      <c r="P27" s="75"/>
    </row>
    <row r="28">
      <c r="A28" s="80" t="s">
        <v>92</v>
      </c>
      <c r="B28" s="77">
        <v>1077.0</v>
      </c>
      <c r="C28" s="77" t="b">
        <v>0</v>
      </c>
      <c r="D28" s="79" t="str">
        <f>IFERROR(__xludf.DUMMYFUNCTION("GOOGLETRANSLATE(A28,""ar"", ""en"")"),"iron chair")</f>
        <v>iron chair</v>
      </c>
      <c r="E28" s="80" t="s">
        <v>95</v>
      </c>
      <c r="F28" s="79"/>
      <c r="G28" s="75"/>
      <c r="H28" s="75"/>
      <c r="I28" s="75"/>
      <c r="J28" s="75"/>
      <c r="K28" s="75"/>
      <c r="L28" s="75"/>
      <c r="M28" s="75"/>
      <c r="N28" s="75"/>
      <c r="O28" s="75"/>
      <c r="P28" s="75"/>
    </row>
    <row r="29">
      <c r="A29" s="76" t="s">
        <v>96</v>
      </c>
      <c r="B29" s="77">
        <v>1079.0</v>
      </c>
      <c r="C29" s="77" t="b">
        <v>0</v>
      </c>
      <c r="D29" s="79" t="str">
        <f>IFERROR(__xludf.DUMMYFUNCTION("GOOGLETRANSLATE(A29,""ar"", ""en"")"),"Table Top 70*70 CM")</f>
        <v>Table Top 70*70 CM</v>
      </c>
      <c r="E29" s="76" t="s">
        <v>97</v>
      </c>
      <c r="F29" s="79"/>
      <c r="G29" s="75"/>
      <c r="H29" s="75"/>
      <c r="I29" s="75"/>
      <c r="J29" s="75"/>
      <c r="K29" s="75"/>
      <c r="L29" s="75"/>
      <c r="M29" s="75"/>
      <c r="N29" s="75"/>
      <c r="O29" s="75"/>
      <c r="P29" s="75"/>
    </row>
    <row r="30">
      <c r="A30" s="76" t="s">
        <v>100</v>
      </c>
      <c r="B30" s="77">
        <v>1082.0</v>
      </c>
      <c r="C30" s="77" t="b">
        <v>0</v>
      </c>
      <c r="D30" s="79" t="str">
        <f>IFERROR(__xludf.DUMMYFUNCTION("GOOGLETRANSLATE(A30,""ar"", ""en"")"),"WALNUT Leather Bar Chair")</f>
        <v>WALNUT Leather Bar Chair</v>
      </c>
      <c r="E30" s="76" t="s">
        <v>101</v>
      </c>
      <c r="F30" s="79"/>
      <c r="G30" s="75"/>
      <c r="H30" s="75"/>
      <c r="I30" s="75"/>
      <c r="J30" s="75"/>
      <c r="K30" s="75"/>
      <c r="L30" s="75"/>
      <c r="M30" s="75"/>
      <c r="N30" s="75"/>
      <c r="O30" s="75"/>
      <c r="P30" s="75"/>
    </row>
    <row r="31">
      <c r="A31" s="80" t="s">
        <v>103</v>
      </c>
      <c r="B31" s="77">
        <v>1088.0</v>
      </c>
      <c r="C31" s="77" t="b">
        <v>0</v>
      </c>
      <c r="D31" s="79" t="str">
        <f>IFERROR(__xludf.DUMMYFUNCTION("GOOGLETRANSLATE(A31,""ar"", ""en"")"),"wooden chair with handle")</f>
        <v>wooden chair with handle</v>
      </c>
      <c r="E31" s="80" t="s">
        <v>104</v>
      </c>
      <c r="F31" s="79"/>
      <c r="G31" s="75"/>
      <c r="H31" s="75"/>
      <c r="I31" s="75"/>
      <c r="J31" s="75"/>
      <c r="K31" s="75"/>
      <c r="L31" s="75"/>
      <c r="M31" s="75"/>
      <c r="N31" s="75"/>
      <c r="O31" s="75"/>
      <c r="P31" s="75"/>
    </row>
    <row r="32">
      <c r="A32" s="76" t="s">
        <v>103</v>
      </c>
      <c r="B32" s="77">
        <v>1089.0</v>
      </c>
      <c r="C32" s="77" t="b">
        <v>0</v>
      </c>
      <c r="D32" s="79" t="str">
        <f>IFERROR(__xludf.DUMMYFUNCTION("GOOGLETRANSLATE(A32,""ar"", ""en"")"),"wooden chair with handle")</f>
        <v>wooden chair with handle</v>
      </c>
      <c r="E32" s="76" t="s">
        <v>106</v>
      </c>
      <c r="F32" s="79"/>
      <c r="G32" s="75"/>
      <c r="H32" s="75"/>
      <c r="I32" s="75"/>
      <c r="J32" s="75"/>
      <c r="K32" s="75"/>
      <c r="L32" s="75"/>
      <c r="M32" s="75"/>
      <c r="N32" s="75"/>
      <c r="O32" s="75"/>
      <c r="P32" s="75"/>
    </row>
    <row r="33">
      <c r="A33" s="80" t="s">
        <v>103</v>
      </c>
      <c r="B33" s="77">
        <v>1090.0</v>
      </c>
      <c r="C33" s="77" t="b">
        <v>0</v>
      </c>
      <c r="D33" s="79" t="str">
        <f>IFERROR(__xludf.DUMMYFUNCTION("GOOGLETRANSLATE(A33,""ar"", ""en"")"),"wooden chair with handle")</f>
        <v>wooden chair with handle</v>
      </c>
      <c r="E33" s="80" t="s">
        <v>107</v>
      </c>
      <c r="F33" s="79"/>
      <c r="G33" s="75"/>
      <c r="H33" s="75"/>
      <c r="I33" s="75"/>
      <c r="J33" s="75"/>
      <c r="K33" s="75"/>
      <c r="L33" s="75"/>
      <c r="M33" s="75"/>
      <c r="N33" s="75"/>
      <c r="O33" s="75"/>
      <c r="P33" s="75"/>
    </row>
    <row r="34">
      <c r="A34" s="76" t="s">
        <v>103</v>
      </c>
      <c r="B34" s="77">
        <v>1091.0</v>
      </c>
      <c r="C34" s="77" t="b">
        <v>0</v>
      </c>
      <c r="D34" s="79" t="str">
        <f>IFERROR(__xludf.DUMMYFUNCTION("GOOGLETRANSLATE(A34,""ar"", ""en"")"),"wooden chair with handle")</f>
        <v>wooden chair with handle</v>
      </c>
      <c r="E34" s="76" t="s">
        <v>108</v>
      </c>
      <c r="F34" s="79"/>
      <c r="G34" s="75"/>
      <c r="H34" s="75"/>
      <c r="I34" s="75"/>
      <c r="J34" s="75"/>
      <c r="K34" s="75"/>
      <c r="L34" s="75"/>
      <c r="M34" s="75"/>
      <c r="N34" s="75"/>
      <c r="O34" s="75"/>
      <c r="P34" s="75"/>
    </row>
    <row r="35">
      <c r="A35" s="80" t="s">
        <v>103</v>
      </c>
      <c r="B35" s="77">
        <v>1092.0</v>
      </c>
      <c r="C35" s="77" t="b">
        <v>0</v>
      </c>
      <c r="D35" s="79" t="str">
        <f>IFERROR(__xludf.DUMMYFUNCTION("GOOGLETRANSLATE(A35,""ar"", ""en"")"),"wooden chair with handle")</f>
        <v>wooden chair with handle</v>
      </c>
      <c r="E35" s="80" t="s">
        <v>109</v>
      </c>
      <c r="F35" s="79"/>
      <c r="G35" s="75"/>
      <c r="H35" s="75"/>
      <c r="I35" s="75"/>
      <c r="J35" s="75"/>
      <c r="K35" s="75"/>
      <c r="L35" s="75"/>
      <c r="M35" s="75"/>
      <c r="N35" s="75"/>
      <c r="O35" s="75"/>
      <c r="P35" s="75"/>
    </row>
    <row r="36">
      <c r="A36" s="80" t="s">
        <v>110</v>
      </c>
      <c r="B36" s="77">
        <v>1093.0</v>
      </c>
      <c r="C36" s="77" t="b">
        <v>0</v>
      </c>
      <c r="D36" s="79" t="str">
        <f>IFERROR(__xludf.DUMMYFUNCTION("GOOGLETRANSLATE(A36,""ar"", ""en"")"),"CUSHION")</f>
        <v>CUSHION</v>
      </c>
      <c r="E36" s="80" t="s">
        <v>111</v>
      </c>
      <c r="F36" s="79"/>
      <c r="G36" s="75"/>
      <c r="H36" s="75"/>
      <c r="I36" s="75"/>
      <c r="J36" s="75"/>
      <c r="K36" s="75"/>
      <c r="L36" s="75"/>
      <c r="M36" s="75"/>
      <c r="N36" s="75"/>
      <c r="O36" s="75"/>
      <c r="P36" s="75"/>
    </row>
    <row r="37">
      <c r="A37" s="80" t="s">
        <v>113</v>
      </c>
      <c r="B37" s="77">
        <v>1100.0</v>
      </c>
      <c r="C37" s="77" t="b">
        <v>0</v>
      </c>
      <c r="D37" s="79" t="str">
        <f>IFERROR(__xludf.DUMMYFUNCTION("GOOGLETRANSLATE(A37,""ar"", ""en"")"),"leather dining chair")</f>
        <v>leather dining chair</v>
      </c>
      <c r="E37" s="80" t="s">
        <v>114</v>
      </c>
      <c r="F37" s="79"/>
      <c r="G37" s="75"/>
      <c r="H37" s="75"/>
      <c r="I37" s="75"/>
      <c r="J37" s="75"/>
      <c r="K37" s="75"/>
      <c r="L37" s="75"/>
      <c r="M37" s="75"/>
      <c r="N37" s="75"/>
      <c r="O37" s="75"/>
      <c r="P37" s="75"/>
    </row>
    <row r="38">
      <c r="A38" s="80" t="s">
        <v>116</v>
      </c>
      <c r="B38" s="77">
        <v>1102.0</v>
      </c>
      <c r="C38" s="77" t="b">
        <v>0</v>
      </c>
      <c r="D38" s="79" t="str">
        <f>IFERROR(__xludf.DUMMYFUNCTION("GOOGLETRANSLATE(A38,""ar"", ""en"")"),"Half wood table")</f>
        <v>Half wood table</v>
      </c>
      <c r="E38" s="80" t="s">
        <v>117</v>
      </c>
      <c r="F38" s="79"/>
      <c r="G38" s="75"/>
      <c r="H38" s="75"/>
      <c r="I38" s="75"/>
      <c r="J38" s="75"/>
      <c r="K38" s="75"/>
      <c r="L38" s="75"/>
      <c r="M38" s="75"/>
      <c r="N38" s="75"/>
      <c r="O38" s="75"/>
      <c r="P38" s="75"/>
    </row>
    <row r="39">
      <c r="A39" s="76" t="s">
        <v>119</v>
      </c>
      <c r="B39" s="77">
        <v>1119.0</v>
      </c>
      <c r="C39" s="77" t="b">
        <v>0</v>
      </c>
      <c r="D39" s="79" t="str">
        <f>IFERROR(__xludf.DUMMYFUNCTION("GOOGLETRANSLATE(A39,""ar"", ""en"")"),"SAND BAG 10KG")</f>
        <v>SAND BAG 10KG</v>
      </c>
      <c r="E39" s="76" t="s">
        <v>120</v>
      </c>
      <c r="F39" s="79"/>
      <c r="G39" s="75"/>
      <c r="H39" s="75"/>
      <c r="I39" s="75"/>
      <c r="J39" s="75"/>
      <c r="K39" s="75"/>
      <c r="L39" s="75"/>
      <c r="M39" s="75"/>
      <c r="N39" s="75"/>
      <c r="O39" s="75"/>
      <c r="P39" s="75"/>
    </row>
    <row r="40">
      <c r="A40" s="80" t="s">
        <v>124</v>
      </c>
      <c r="B40" s="77">
        <v>1121.0</v>
      </c>
      <c r="C40" s="77" t="b">
        <v>0</v>
      </c>
      <c r="D40" s="79" t="str">
        <f>IFERROR(__xludf.DUMMYFUNCTION("GOOGLETRANSLATE(A40,""ar"", ""en"")"),"Rasour tent 3*3 m")</f>
        <v>Rasour tent 3*3 m</v>
      </c>
      <c r="E40" s="80" t="s">
        <v>125</v>
      </c>
      <c r="F40" s="79"/>
      <c r="G40" s="75"/>
      <c r="H40" s="75"/>
      <c r="I40" s="75"/>
      <c r="J40" s="75"/>
      <c r="K40" s="75"/>
      <c r="L40" s="75"/>
      <c r="M40" s="75"/>
      <c r="N40" s="75"/>
      <c r="O40" s="75"/>
      <c r="P40" s="75"/>
    </row>
    <row r="41">
      <c r="A41" s="76" t="s">
        <v>127</v>
      </c>
      <c r="B41" s="77">
        <v>1122.0</v>
      </c>
      <c r="C41" s="77" t="b">
        <v>0</v>
      </c>
      <c r="D41" s="79" t="str">
        <f>IFERROR(__xludf.DUMMYFUNCTION("GOOGLETRANSLATE(A41,""ar"", ""en"")"),"Rasour tent 3*4.5 m")</f>
        <v>Rasour tent 3*4.5 m</v>
      </c>
      <c r="E41" s="76" t="s">
        <v>128</v>
      </c>
      <c r="F41" s="79"/>
      <c r="G41" s="75"/>
      <c r="H41" s="75"/>
      <c r="I41" s="75"/>
      <c r="J41" s="75"/>
      <c r="K41" s="75"/>
      <c r="L41" s="75"/>
      <c r="M41" s="75"/>
      <c r="N41" s="75"/>
      <c r="O41" s="75"/>
      <c r="P41" s="75"/>
    </row>
    <row r="42">
      <c r="A42" s="80" t="s">
        <v>127</v>
      </c>
      <c r="B42" s="77">
        <v>1123.0</v>
      </c>
      <c r="C42" s="77" t="b">
        <v>0</v>
      </c>
      <c r="D42" s="79" t="str">
        <f>IFERROR(__xludf.DUMMYFUNCTION("GOOGLETRANSLATE(A42,""ar"", ""en"")"),"Rasour tent 3*4.5 m")</f>
        <v>Rasour tent 3*4.5 m</v>
      </c>
      <c r="E42" s="80" t="s">
        <v>130</v>
      </c>
      <c r="F42" s="79"/>
      <c r="G42" s="75"/>
      <c r="H42" s="75"/>
      <c r="I42" s="75"/>
      <c r="J42" s="75"/>
      <c r="K42" s="75"/>
      <c r="L42" s="75"/>
      <c r="M42" s="75"/>
      <c r="N42" s="75"/>
      <c r="O42" s="75"/>
      <c r="P42" s="75"/>
    </row>
    <row r="43">
      <c r="A43" s="76" t="s">
        <v>127</v>
      </c>
      <c r="B43" s="77">
        <v>1124.0</v>
      </c>
      <c r="C43" s="77" t="b">
        <v>0</v>
      </c>
      <c r="D43" s="79" t="str">
        <f>IFERROR(__xludf.DUMMYFUNCTION("GOOGLETRANSLATE(A43,""ar"", ""en"")"),"Rasour tent 3*4.5 m")</f>
        <v>Rasour tent 3*4.5 m</v>
      </c>
      <c r="E43" s="76" t="s">
        <v>131</v>
      </c>
      <c r="F43" s="79"/>
      <c r="G43" s="75"/>
      <c r="H43" s="75"/>
      <c r="I43" s="75"/>
      <c r="J43" s="75"/>
      <c r="K43" s="75"/>
      <c r="L43" s="75"/>
      <c r="M43" s="75"/>
      <c r="N43" s="75"/>
      <c r="O43" s="75"/>
      <c r="P43" s="75"/>
    </row>
    <row r="44">
      <c r="A44" s="80" t="s">
        <v>127</v>
      </c>
      <c r="B44" s="77">
        <v>1125.0</v>
      </c>
      <c r="C44" s="77" t="b">
        <v>0</v>
      </c>
      <c r="D44" s="79" t="str">
        <f>IFERROR(__xludf.DUMMYFUNCTION("GOOGLETRANSLATE(A44,""ar"", ""en"")"),"Rasour tent 3*4.5 m")</f>
        <v>Rasour tent 3*4.5 m</v>
      </c>
      <c r="E44" s="80" t="s">
        <v>132</v>
      </c>
      <c r="F44" s="79"/>
      <c r="G44" s="75"/>
      <c r="H44" s="75"/>
      <c r="I44" s="75"/>
      <c r="J44" s="75"/>
      <c r="K44" s="75"/>
      <c r="L44" s="75"/>
      <c r="M44" s="75"/>
      <c r="N44" s="75"/>
      <c r="O44" s="75"/>
      <c r="P44" s="75"/>
    </row>
    <row r="45">
      <c r="A45" s="76" t="s">
        <v>127</v>
      </c>
      <c r="B45" s="77">
        <v>1126.0</v>
      </c>
      <c r="C45" s="77" t="b">
        <v>0</v>
      </c>
      <c r="D45" s="79" t="str">
        <f>IFERROR(__xludf.DUMMYFUNCTION("GOOGLETRANSLATE(A45,""ar"", ""en"")"),"Rasour tent 3*4.5 m")</f>
        <v>Rasour tent 3*4.5 m</v>
      </c>
      <c r="E45" s="76" t="s">
        <v>133</v>
      </c>
      <c r="F45" s="79"/>
      <c r="G45" s="75"/>
      <c r="H45" s="75"/>
      <c r="I45" s="75"/>
      <c r="J45" s="75"/>
      <c r="K45" s="75"/>
      <c r="L45" s="75"/>
      <c r="M45" s="75"/>
      <c r="N45" s="75"/>
      <c r="O45" s="75"/>
      <c r="P45" s="75"/>
    </row>
    <row r="46">
      <c r="A46" s="80" t="s">
        <v>134</v>
      </c>
      <c r="B46" s="77">
        <v>1129.0</v>
      </c>
      <c r="C46" s="77" t="b">
        <v>0</v>
      </c>
      <c r="D46" s="79" t="str">
        <f>IFERROR(__xludf.DUMMYFUNCTION("GOOGLETRANSLATE(A46,""ar"", ""en"")"),"GAZIBO - 3*3 Heavy Duty Fabric Tent")</f>
        <v>GAZIBO - 3*3 Heavy Duty Fabric Tent</v>
      </c>
      <c r="E46" s="80" t="s">
        <v>135</v>
      </c>
      <c r="F46" s="79"/>
      <c r="G46" s="75"/>
      <c r="H46" s="75"/>
      <c r="I46" s="75"/>
      <c r="J46" s="75"/>
      <c r="K46" s="75"/>
      <c r="L46" s="75"/>
      <c r="M46" s="75"/>
      <c r="N46" s="75"/>
      <c r="O46" s="75"/>
      <c r="P46" s="75"/>
    </row>
    <row r="47">
      <c r="A47" s="76" t="s">
        <v>137</v>
      </c>
      <c r="B47" s="77">
        <v>1130.0</v>
      </c>
      <c r="C47" s="77" t="b">
        <v>0</v>
      </c>
      <c r="D47" s="79" t="str">
        <f>IFERROR(__xludf.DUMMYFUNCTION("GOOGLETRANSLATE(A47,""ar"", ""en"")"),"3*4.5 m tent")</f>
        <v>3*4.5 m tent</v>
      </c>
      <c r="E47" s="76" t="s">
        <v>1473</v>
      </c>
      <c r="F47" s="79"/>
      <c r="G47" s="75"/>
      <c r="H47" s="75"/>
      <c r="I47" s="75"/>
      <c r="J47" s="75"/>
      <c r="K47" s="75"/>
      <c r="L47" s="75"/>
      <c r="M47" s="75"/>
      <c r="N47" s="75"/>
      <c r="O47" s="75"/>
      <c r="P47" s="75"/>
    </row>
    <row r="48">
      <c r="A48" s="80" t="s">
        <v>138</v>
      </c>
      <c r="B48" s="77">
        <v>1140.0</v>
      </c>
      <c r="C48" s="77" t="b">
        <v>0</v>
      </c>
      <c r="D48" s="79" t="str">
        <f>IFERROR(__xludf.DUMMYFUNCTION("GOOGLETRANSLATE(A48,""ar"", ""en"")"),"70*110 cm Malaysian Versalite table top")</f>
        <v>70*110 cm Malaysian Versalite table top</v>
      </c>
      <c r="E48" s="80" t="s">
        <v>140</v>
      </c>
      <c r="F48" s="81" t="s">
        <v>141</v>
      </c>
      <c r="G48" s="75"/>
      <c r="H48" s="75"/>
      <c r="I48" s="75"/>
      <c r="J48" s="75"/>
      <c r="K48" s="75"/>
      <c r="L48" s="75"/>
      <c r="M48" s="75"/>
      <c r="N48" s="75"/>
      <c r="O48" s="75"/>
      <c r="P48" s="75"/>
    </row>
    <row r="49">
      <c r="A49" s="76" t="s">
        <v>138</v>
      </c>
      <c r="B49" s="77">
        <v>1141.0</v>
      </c>
      <c r="C49" s="77" t="b">
        <v>0</v>
      </c>
      <c r="D49" s="79" t="str">
        <f>IFERROR(__xludf.DUMMYFUNCTION("GOOGLETRANSLATE(A49,""ar"", ""en"")"),"70*110 cm Malaysian Versalite table top")</f>
        <v>70*110 cm Malaysian Versalite table top</v>
      </c>
      <c r="E49" s="76" t="s">
        <v>143</v>
      </c>
      <c r="F49" s="81" t="s">
        <v>144</v>
      </c>
      <c r="G49" s="75"/>
      <c r="H49" s="75"/>
      <c r="I49" s="75"/>
      <c r="J49" s="75"/>
      <c r="K49" s="75"/>
      <c r="L49" s="75"/>
      <c r="M49" s="75"/>
      <c r="N49" s="75"/>
      <c r="O49" s="75"/>
      <c r="P49" s="75"/>
    </row>
    <row r="50">
      <c r="A50" s="80" t="s">
        <v>138</v>
      </c>
      <c r="B50" s="77">
        <v>1142.0</v>
      </c>
      <c r="C50" s="77" t="b">
        <v>0</v>
      </c>
      <c r="D50" s="79" t="str">
        <f>IFERROR(__xludf.DUMMYFUNCTION("GOOGLETRANSLATE(A50,""ar"", ""en"")"),"70*110 cm Malaysian Versalite table top")</f>
        <v>70*110 cm Malaysian Versalite table top</v>
      </c>
      <c r="E50" s="80" t="s">
        <v>145</v>
      </c>
      <c r="F50" s="81" t="s">
        <v>146</v>
      </c>
      <c r="G50" s="75"/>
      <c r="H50" s="75"/>
      <c r="I50" s="75"/>
      <c r="J50" s="75"/>
      <c r="K50" s="75"/>
      <c r="L50" s="75"/>
      <c r="M50" s="75"/>
      <c r="N50" s="75"/>
      <c r="O50" s="75"/>
      <c r="P50" s="75"/>
    </row>
    <row r="51">
      <c r="A51" s="76" t="s">
        <v>138</v>
      </c>
      <c r="B51" s="77">
        <v>1143.0</v>
      </c>
      <c r="C51" s="77" t="b">
        <v>0</v>
      </c>
      <c r="D51" s="79" t="str">
        <f>IFERROR(__xludf.DUMMYFUNCTION("GOOGLETRANSLATE(A51,""ar"", ""en"")"),"70*110 cm Malaysian Versalite table top")</f>
        <v>70*110 cm Malaysian Versalite table top</v>
      </c>
      <c r="E51" s="76" t="s">
        <v>147</v>
      </c>
      <c r="F51" s="81" t="s">
        <v>148</v>
      </c>
      <c r="G51" s="75"/>
      <c r="H51" s="75"/>
      <c r="I51" s="75"/>
      <c r="J51" s="75"/>
      <c r="K51" s="75"/>
      <c r="L51" s="75"/>
      <c r="M51" s="75"/>
      <c r="N51" s="75"/>
      <c r="O51" s="75"/>
      <c r="P51" s="75"/>
    </row>
    <row r="52">
      <c r="A52" s="80" t="s">
        <v>149</v>
      </c>
      <c r="B52" s="77">
        <v>1144.0</v>
      </c>
      <c r="C52" s="77" t="b">
        <v>0</v>
      </c>
      <c r="D52" s="79" t="str">
        <f>IFERROR(__xludf.DUMMYFUNCTION("GOOGLETRANSLATE(A52,""ar"", ""en"")"),"70*70 cm Malaysian Versalite table top")</f>
        <v>70*70 cm Malaysian Versalite table top</v>
      </c>
      <c r="E52" s="80" t="s">
        <v>150</v>
      </c>
      <c r="F52" s="81" t="s">
        <v>151</v>
      </c>
      <c r="G52" s="75"/>
      <c r="H52" s="75"/>
      <c r="I52" s="75"/>
      <c r="J52" s="75"/>
      <c r="K52" s="75"/>
      <c r="L52" s="75"/>
      <c r="M52" s="75"/>
      <c r="N52" s="75"/>
      <c r="O52" s="75"/>
      <c r="P52" s="75"/>
    </row>
    <row r="53">
      <c r="A53" s="76" t="s">
        <v>149</v>
      </c>
      <c r="B53" s="77">
        <v>1145.0</v>
      </c>
      <c r="C53" s="77" t="b">
        <v>0</v>
      </c>
      <c r="D53" s="79" t="str">
        <f>IFERROR(__xludf.DUMMYFUNCTION("GOOGLETRANSLATE(A53,""ar"", ""en"")"),"70*70 cm Malaysian Versalite table top")</f>
        <v>70*70 cm Malaysian Versalite table top</v>
      </c>
      <c r="E53" s="76" t="s">
        <v>152</v>
      </c>
      <c r="F53" s="81" t="s">
        <v>153</v>
      </c>
      <c r="G53" s="75"/>
      <c r="H53" s="75"/>
      <c r="I53" s="75"/>
      <c r="J53" s="75"/>
      <c r="K53" s="75"/>
      <c r="L53" s="75"/>
      <c r="M53" s="75"/>
      <c r="N53" s="75"/>
      <c r="O53" s="75"/>
      <c r="P53" s="75"/>
    </row>
    <row r="54">
      <c r="A54" s="80" t="s">
        <v>154</v>
      </c>
      <c r="B54" s="77">
        <v>1146.0</v>
      </c>
      <c r="C54" s="77" t="b">
        <v>0</v>
      </c>
      <c r="D54" s="79" t="str">
        <f>IFERROR(__xludf.DUMMYFUNCTION("GOOGLETRANSLATE(A54,""ar"", ""en"")"),"80*120 cm Malaysian Versalite table top")</f>
        <v>80*120 cm Malaysian Versalite table top</v>
      </c>
      <c r="E54" s="80" t="s">
        <v>155</v>
      </c>
      <c r="F54" s="81" t="s">
        <v>156</v>
      </c>
      <c r="G54" s="75"/>
      <c r="H54" s="75"/>
      <c r="I54" s="75"/>
      <c r="J54" s="75"/>
      <c r="K54" s="75"/>
      <c r="L54" s="75"/>
      <c r="M54" s="75"/>
      <c r="N54" s="75"/>
      <c r="O54" s="75"/>
      <c r="P54" s="75"/>
    </row>
    <row r="55">
      <c r="A55" s="76" t="s">
        <v>154</v>
      </c>
      <c r="B55" s="77">
        <v>1147.0</v>
      </c>
      <c r="C55" s="77" t="b">
        <v>0</v>
      </c>
      <c r="D55" s="79" t="str">
        <f>IFERROR(__xludf.DUMMYFUNCTION("GOOGLETRANSLATE(A55,""ar"", ""en"")"),"80*120 cm Malaysian Versalite table top")</f>
        <v>80*120 cm Malaysian Versalite table top</v>
      </c>
      <c r="E55" s="76" t="s">
        <v>157</v>
      </c>
      <c r="F55" s="81" t="s">
        <v>158</v>
      </c>
      <c r="G55" s="75"/>
      <c r="H55" s="75"/>
      <c r="I55" s="75"/>
      <c r="J55" s="75"/>
      <c r="K55" s="75"/>
      <c r="L55" s="75"/>
      <c r="M55" s="75"/>
      <c r="N55" s="75"/>
      <c r="O55" s="75"/>
      <c r="P55" s="75"/>
    </row>
    <row r="56">
      <c r="A56" s="80" t="s">
        <v>154</v>
      </c>
      <c r="B56" s="77">
        <v>1148.0</v>
      </c>
      <c r="C56" s="77" t="b">
        <v>0</v>
      </c>
      <c r="D56" s="79" t="str">
        <f>IFERROR(__xludf.DUMMYFUNCTION("GOOGLETRANSLATE(A56,""ar"", ""en"")"),"80*120 cm Malaysian Versalite table top")</f>
        <v>80*120 cm Malaysian Versalite table top</v>
      </c>
      <c r="E56" s="80" t="s">
        <v>159</v>
      </c>
      <c r="F56" s="79"/>
      <c r="G56" s="75"/>
      <c r="H56" s="75"/>
      <c r="I56" s="75"/>
      <c r="J56" s="75"/>
      <c r="K56" s="75"/>
      <c r="L56" s="75"/>
      <c r="M56" s="75"/>
      <c r="N56" s="75"/>
      <c r="O56" s="75"/>
      <c r="P56" s="75"/>
    </row>
    <row r="57">
      <c r="A57" s="76" t="s">
        <v>154</v>
      </c>
      <c r="B57" s="77">
        <v>1149.0</v>
      </c>
      <c r="C57" s="77" t="b">
        <v>0</v>
      </c>
      <c r="D57" s="79" t="str">
        <f>IFERROR(__xludf.DUMMYFUNCTION("GOOGLETRANSLATE(A57,""ar"", ""en"")"),"80*120 cm Malaysian Versalite table top")</f>
        <v>80*120 cm Malaysian Versalite table top</v>
      </c>
      <c r="E57" s="76" t="s">
        <v>160</v>
      </c>
      <c r="F57" s="79"/>
      <c r="G57" s="75"/>
      <c r="H57" s="75"/>
      <c r="I57" s="75"/>
      <c r="J57" s="75"/>
      <c r="K57" s="75"/>
      <c r="L57" s="75"/>
      <c r="M57" s="75"/>
      <c r="N57" s="75"/>
      <c r="O57" s="75"/>
      <c r="P57" s="75"/>
    </row>
    <row r="58">
      <c r="A58" s="80" t="s">
        <v>161</v>
      </c>
      <c r="B58" s="77">
        <v>1150.0</v>
      </c>
      <c r="C58" s="77" t="b">
        <v>0</v>
      </c>
      <c r="D58" s="79" t="str">
        <f>IFERROR(__xludf.DUMMYFUNCTION("GOOGLETRANSLATE(A58,""ar"", ""en"")"),"80*80 cm Malaysian Versalite table top")</f>
        <v>80*80 cm Malaysian Versalite table top</v>
      </c>
      <c r="E58" s="80" t="s">
        <v>162</v>
      </c>
      <c r="F58" s="79"/>
      <c r="G58" s="75"/>
      <c r="H58" s="75"/>
      <c r="I58" s="75"/>
      <c r="J58" s="75"/>
      <c r="K58" s="75"/>
      <c r="L58" s="75"/>
      <c r="M58" s="75"/>
      <c r="N58" s="75"/>
      <c r="O58" s="75"/>
      <c r="P58" s="75"/>
    </row>
    <row r="59">
      <c r="A59" s="76" t="s">
        <v>161</v>
      </c>
      <c r="B59" s="77">
        <v>1151.0</v>
      </c>
      <c r="C59" s="77" t="b">
        <v>0</v>
      </c>
      <c r="D59" s="79" t="str">
        <f>IFERROR(__xludf.DUMMYFUNCTION("GOOGLETRANSLATE(A59,""ar"", ""en"")"),"80*80 cm Malaysian Versalite table top")</f>
        <v>80*80 cm Malaysian Versalite table top</v>
      </c>
      <c r="E59" s="76" t="s">
        <v>163</v>
      </c>
      <c r="F59" s="79"/>
      <c r="G59" s="75"/>
      <c r="H59" s="75"/>
      <c r="I59" s="75"/>
      <c r="J59" s="75"/>
      <c r="K59" s="75"/>
      <c r="L59" s="75"/>
      <c r="M59" s="75"/>
      <c r="N59" s="75"/>
      <c r="O59" s="75"/>
      <c r="P59" s="75"/>
    </row>
    <row r="60">
      <c r="A60" s="80" t="s">
        <v>161</v>
      </c>
      <c r="B60" s="77">
        <v>1152.0</v>
      </c>
      <c r="C60" s="77" t="b">
        <v>0</v>
      </c>
      <c r="D60" s="79" t="str">
        <f>IFERROR(__xludf.DUMMYFUNCTION("GOOGLETRANSLATE(A60,""ar"", ""en"")"),"80*80 cm Malaysian Versalite table top")</f>
        <v>80*80 cm Malaysian Versalite table top</v>
      </c>
      <c r="E60" s="80" t="s">
        <v>164</v>
      </c>
      <c r="F60" s="79"/>
      <c r="G60" s="75"/>
      <c r="H60" s="75"/>
      <c r="I60" s="75"/>
      <c r="J60" s="75"/>
      <c r="K60" s="75"/>
      <c r="L60" s="75"/>
      <c r="M60" s="75"/>
      <c r="N60" s="75"/>
      <c r="O60" s="75"/>
      <c r="P60" s="75"/>
    </row>
    <row r="61">
      <c r="A61" s="76" t="s">
        <v>161</v>
      </c>
      <c r="B61" s="77">
        <v>1153.0</v>
      </c>
      <c r="C61" s="77" t="b">
        <v>0</v>
      </c>
      <c r="D61" s="79" t="str">
        <f>IFERROR(__xludf.DUMMYFUNCTION("GOOGLETRANSLATE(A61,""ar"", ""en"")"),"80*80 cm Malaysian Versalite table top")</f>
        <v>80*80 cm Malaysian Versalite table top</v>
      </c>
      <c r="E61" s="76" t="s">
        <v>165</v>
      </c>
      <c r="F61" s="79"/>
      <c r="G61" s="75"/>
      <c r="H61" s="75"/>
      <c r="I61" s="75"/>
      <c r="J61" s="75"/>
      <c r="K61" s="75"/>
      <c r="L61" s="75"/>
      <c r="M61" s="75"/>
      <c r="N61" s="75"/>
      <c r="O61" s="75"/>
      <c r="P61" s="75"/>
    </row>
    <row r="62">
      <c r="A62" s="80" t="s">
        <v>49</v>
      </c>
      <c r="B62" s="77">
        <v>1154.0</v>
      </c>
      <c r="C62" s="77" t="b">
        <v>0</v>
      </c>
      <c r="D62" s="79" t="str">
        <f>IFERROR(__xludf.DUMMYFUNCTION("GOOGLETRANSLATE(A62,""ar"", ""en"")"),"bar chair")</f>
        <v>bar chair</v>
      </c>
      <c r="E62" s="80" t="s">
        <v>166</v>
      </c>
      <c r="F62" s="79"/>
      <c r="G62" s="75"/>
      <c r="H62" s="75"/>
      <c r="I62" s="75"/>
      <c r="J62" s="75"/>
      <c r="K62" s="75"/>
      <c r="L62" s="75"/>
      <c r="M62" s="75"/>
      <c r="N62" s="75"/>
      <c r="O62" s="75"/>
      <c r="P62" s="75"/>
    </row>
    <row r="63">
      <c r="A63" s="76" t="s">
        <v>167</v>
      </c>
      <c r="B63" s="77">
        <v>1166.0</v>
      </c>
      <c r="C63" s="77" t="b">
        <v>0</v>
      </c>
      <c r="D63" s="79" t="str">
        <f>IFERROR(__xludf.DUMMYFUNCTION("GOOGLETRANSLATE(A63,""ar"", ""en"")"),"Plastic table 80*80 cm")</f>
        <v>Plastic table 80*80 cm</v>
      </c>
      <c r="E63" s="76" t="s">
        <v>168</v>
      </c>
      <c r="F63" s="79"/>
      <c r="G63" s="75"/>
      <c r="H63" s="75"/>
      <c r="I63" s="75"/>
      <c r="J63" s="75"/>
      <c r="K63" s="75"/>
      <c r="L63" s="75"/>
      <c r="M63" s="75"/>
      <c r="N63" s="75"/>
      <c r="O63" s="75"/>
      <c r="P63" s="75"/>
    </row>
    <row r="64">
      <c r="A64" s="80" t="s">
        <v>170</v>
      </c>
      <c r="B64" s="77">
        <v>1173.0</v>
      </c>
      <c r="C64" s="77" t="b">
        <v>0</v>
      </c>
      <c r="D64" s="79" t="str">
        <f>IFERROR(__xludf.DUMMYFUNCTION("GOOGLETRANSLATE(A64,""ar"", ""en"")"),"Plastic chair with wood without handle")</f>
        <v>Plastic chair with wood without handle</v>
      </c>
      <c r="E64" s="80" t="s">
        <v>171</v>
      </c>
      <c r="F64" s="81" t="s">
        <v>172</v>
      </c>
      <c r="G64" s="75"/>
      <c r="H64" s="75"/>
      <c r="I64" s="75"/>
      <c r="J64" s="75"/>
      <c r="K64" s="75"/>
      <c r="L64" s="75"/>
      <c r="M64" s="75"/>
      <c r="N64" s="75"/>
      <c r="O64" s="75"/>
      <c r="P64" s="75"/>
    </row>
    <row r="65">
      <c r="A65" s="80" t="s">
        <v>174</v>
      </c>
      <c r="B65" s="77">
        <v>1182.0</v>
      </c>
      <c r="C65" s="77" t="b">
        <v>0</v>
      </c>
      <c r="D65" s="79" t="str">
        <f>IFERROR(__xludf.DUMMYFUNCTION("GOOGLETRANSLATE(A65,""ar"", ""en"")"),"plastic chair")</f>
        <v>plastic chair</v>
      </c>
      <c r="E65" s="80" t="s">
        <v>175</v>
      </c>
      <c r="F65" s="79"/>
      <c r="G65" s="75"/>
      <c r="H65" s="75"/>
      <c r="I65" s="75"/>
      <c r="J65" s="75"/>
      <c r="K65" s="75"/>
      <c r="L65" s="75"/>
      <c r="M65" s="75"/>
      <c r="N65" s="75"/>
      <c r="O65" s="75"/>
      <c r="P65" s="75"/>
    </row>
    <row r="66">
      <c r="A66" s="76" t="s">
        <v>177</v>
      </c>
      <c r="B66" s="77">
        <v>1183.0</v>
      </c>
      <c r="C66" s="77" t="b">
        <v>0</v>
      </c>
      <c r="D66" s="79" t="str">
        <f>IFERROR(__xludf.DUMMYFUNCTION("GOOGLETRANSLATE(A66,""ar"", ""en"")"),"plastic chair drilled")</f>
        <v>plastic chair drilled</v>
      </c>
      <c r="E66" s="76" t="s">
        <v>178</v>
      </c>
      <c r="F66" s="81" t="s">
        <v>179</v>
      </c>
      <c r="G66" s="75"/>
      <c r="H66" s="75"/>
      <c r="I66" s="75"/>
      <c r="J66" s="75"/>
      <c r="K66" s="75"/>
      <c r="L66" s="75"/>
      <c r="M66" s="75"/>
      <c r="N66" s="75"/>
      <c r="O66" s="75"/>
      <c r="P66" s="75"/>
    </row>
    <row r="67">
      <c r="A67" s="76" t="s">
        <v>181</v>
      </c>
      <c r="B67" s="77">
        <v>1187.0</v>
      </c>
      <c r="C67" s="77" t="b">
        <v>0</v>
      </c>
      <c r="D67" s="79" t="str">
        <f>IFERROR(__xludf.DUMMYFUNCTION("GOOGLETRANSLATE(A67,""ar"", ""en"")"),"SINGLE CHAIR")</f>
        <v>SINGLE CHAIR</v>
      </c>
      <c r="E67" s="76" t="s">
        <v>182</v>
      </c>
      <c r="F67" s="79"/>
      <c r="G67" s="75"/>
      <c r="H67" s="75"/>
      <c r="I67" s="75"/>
      <c r="J67" s="75"/>
      <c r="K67" s="75"/>
      <c r="L67" s="75"/>
      <c r="M67" s="75"/>
      <c r="N67" s="75"/>
      <c r="O67" s="75"/>
      <c r="P67" s="75"/>
    </row>
    <row r="68">
      <c r="A68" s="80" t="s">
        <v>184</v>
      </c>
      <c r="B68" s="77">
        <v>1194.0</v>
      </c>
      <c r="C68" s="77" t="b">
        <v>0</v>
      </c>
      <c r="D68" s="79" t="str">
        <f>IFERROR(__xludf.DUMMYFUNCTION("GOOGLETRANSLATE(A68,""ar"", ""en"")"),"Black round capsule base 45 cm")</f>
        <v>Black round capsule base 45 cm</v>
      </c>
      <c r="E68" s="80" t="s">
        <v>185</v>
      </c>
      <c r="F68" s="81" t="s">
        <v>187</v>
      </c>
      <c r="G68" s="75"/>
      <c r="H68" s="75"/>
      <c r="I68" s="75"/>
      <c r="J68" s="75"/>
      <c r="K68" s="75"/>
      <c r="L68" s="75"/>
      <c r="M68" s="75"/>
      <c r="N68" s="75"/>
      <c r="O68" s="75"/>
      <c r="P68" s="75"/>
    </row>
    <row r="69">
      <c r="A69" s="80" t="s">
        <v>189</v>
      </c>
      <c r="B69" s="77">
        <v>1196.0</v>
      </c>
      <c r="C69" s="77" t="b">
        <v>0</v>
      </c>
      <c r="D69" s="79" t="str">
        <f>IFERROR(__xludf.DUMMYFUNCTION("GOOGLETRANSLATE(A69,""ar"", ""en"")"),"45cm Black Square Capsule Base")</f>
        <v>45cm Black Square Capsule Base</v>
      </c>
      <c r="E69" s="80" t="s">
        <v>190</v>
      </c>
      <c r="F69" s="79"/>
      <c r="G69" s="75"/>
      <c r="H69" s="75"/>
      <c r="I69" s="75"/>
      <c r="J69" s="75"/>
      <c r="K69" s="75"/>
      <c r="L69" s="75"/>
      <c r="M69" s="75"/>
      <c r="N69" s="75"/>
      <c r="O69" s="75"/>
      <c r="P69" s="75"/>
    </row>
    <row r="70">
      <c r="A70" s="80" t="s">
        <v>192</v>
      </c>
      <c r="B70" s="77">
        <v>1202.0</v>
      </c>
      <c r="C70" s="77" t="b">
        <v>0</v>
      </c>
      <c r="D70" s="79" t="str">
        <f>IFERROR(__xludf.DUMMYFUNCTION("GOOGLETRANSLATE(A70,""ar"", ""en"")"),"45cm Stainless Steel Square Pressing Base")</f>
        <v>45cm Stainless Steel Square Pressing Base</v>
      </c>
      <c r="E70" s="80" t="s">
        <v>193</v>
      </c>
      <c r="F70" s="79"/>
      <c r="G70" s="75"/>
      <c r="H70" s="75"/>
      <c r="I70" s="75"/>
      <c r="J70" s="75"/>
      <c r="K70" s="75"/>
      <c r="L70" s="75"/>
      <c r="M70" s="75"/>
      <c r="N70" s="75"/>
      <c r="O70" s="75"/>
      <c r="P70" s="75"/>
    </row>
    <row r="71">
      <c r="A71" s="80" t="s">
        <v>195</v>
      </c>
      <c r="B71" s="77">
        <v>1206.0</v>
      </c>
      <c r="C71" s="77" t="b">
        <v>0</v>
      </c>
      <c r="D71" s="79" t="str">
        <f>IFERROR(__xludf.DUMMYFUNCTION("GOOGLETRANSLATE(A71,""ar"", ""en"")"),"Rectangle base 40*70")</f>
        <v>Rectangle base 40*70</v>
      </c>
      <c r="E71" s="80" t="s">
        <v>196</v>
      </c>
      <c r="F71" s="79"/>
      <c r="G71" s="75"/>
      <c r="H71" s="75"/>
      <c r="I71" s="75"/>
      <c r="J71" s="75"/>
      <c r="K71" s="75"/>
      <c r="L71" s="75"/>
      <c r="M71" s="75"/>
      <c r="N71" s="75"/>
      <c r="O71" s="75"/>
      <c r="P71" s="75"/>
    </row>
    <row r="72">
      <c r="A72" s="80" t="s">
        <v>198</v>
      </c>
      <c r="B72" s="77">
        <v>1210.0</v>
      </c>
      <c r="C72" s="77" t="b">
        <v>0</v>
      </c>
      <c r="D72" s="79" t="str">
        <f>IFERROR(__xludf.DUMMYFUNCTION("GOOGLETRANSLATE(A72,""ar"", ""en"")"),"Rectangle base 45*90")</f>
        <v>Rectangle base 45*90</v>
      </c>
      <c r="E72" s="80" t="s">
        <v>199</v>
      </c>
      <c r="F72" s="79"/>
      <c r="G72" s="75"/>
      <c r="H72" s="75"/>
      <c r="I72" s="75"/>
      <c r="J72" s="75"/>
      <c r="K72" s="75"/>
      <c r="L72" s="75"/>
      <c r="M72" s="75"/>
      <c r="N72" s="75"/>
      <c r="O72" s="75"/>
      <c r="P72" s="75"/>
    </row>
    <row r="73">
      <c r="A73" s="76" t="s">
        <v>201</v>
      </c>
      <c r="B73" s="77">
        <v>1227.0</v>
      </c>
      <c r="C73" s="77" t="b">
        <v>0</v>
      </c>
      <c r="D73" s="79" t="str">
        <f>IFERROR(__xludf.DUMMYFUNCTION("GOOGLETRANSLATE(A73,""ar"", ""en"")"),"Two-seat iron swing")</f>
        <v>Two-seat iron swing</v>
      </c>
      <c r="E73" s="76" t="s">
        <v>202</v>
      </c>
      <c r="F73" s="79"/>
      <c r="G73" s="75"/>
      <c r="H73" s="75"/>
      <c r="I73" s="75"/>
      <c r="J73" s="75"/>
      <c r="K73" s="75"/>
      <c r="L73" s="75"/>
      <c r="M73" s="75"/>
      <c r="N73" s="75"/>
      <c r="O73" s="75"/>
      <c r="P73" s="75"/>
    </row>
    <row r="74">
      <c r="A74" s="76" t="s">
        <v>204</v>
      </c>
      <c r="B74" s="77">
        <v>1229.0</v>
      </c>
      <c r="C74" s="77" t="b">
        <v>0</v>
      </c>
      <c r="D74" s="79" t="str">
        <f>IFERROR(__xludf.DUMMYFUNCTION("GOOGLETRANSLATE(A74,""ar"", ""en"")"),"Two-seat wooden swing")</f>
        <v>Two-seat wooden swing</v>
      </c>
      <c r="E74" s="76" t="s">
        <v>205</v>
      </c>
      <c r="F74" s="79"/>
      <c r="G74" s="75"/>
      <c r="H74" s="75"/>
      <c r="I74" s="75"/>
      <c r="J74" s="75"/>
      <c r="K74" s="75"/>
      <c r="L74" s="75"/>
      <c r="M74" s="75"/>
      <c r="N74" s="75"/>
      <c r="O74" s="75"/>
      <c r="P74" s="75"/>
    </row>
    <row r="75">
      <c r="A75" s="80" t="s">
        <v>207</v>
      </c>
      <c r="B75" s="77">
        <v>1234.0</v>
      </c>
      <c r="C75" s="77" t="b">
        <v>0</v>
      </c>
      <c r="D75" s="79" t="str">
        <f>IFERROR(__xludf.DUMMYFUNCTION("GOOGLETRANSLATE(A75,""ar"", ""en"")"),"SAVANNAH PARK BENCH")</f>
        <v>SAVANNAH PARK BENCH</v>
      </c>
      <c r="E75" s="80" t="s">
        <v>208</v>
      </c>
      <c r="F75" s="79"/>
      <c r="G75" s="75"/>
      <c r="H75" s="75"/>
      <c r="I75" s="75"/>
      <c r="J75" s="75"/>
      <c r="K75" s="75"/>
      <c r="L75" s="75"/>
      <c r="M75" s="75"/>
      <c r="N75" s="75"/>
      <c r="O75" s="75"/>
      <c r="P75" s="75"/>
    </row>
    <row r="76">
      <c r="A76" s="80" t="s">
        <v>210</v>
      </c>
      <c r="B76" s="77">
        <v>1256.0</v>
      </c>
      <c r="C76" s="77" t="b">
        <v>0</v>
      </c>
      <c r="D76" s="79" t="str">
        <f>IFERROR(__xludf.DUMMYFUNCTION("GOOGLETRANSLATE(A76,""ar"", ""en"")"),"Iron table 80*80")</f>
        <v>Iron table 80*80</v>
      </c>
      <c r="E76" s="80" t="s">
        <v>211</v>
      </c>
      <c r="F76" s="79"/>
      <c r="G76" s="75"/>
      <c r="H76" s="75"/>
      <c r="I76" s="75"/>
      <c r="J76" s="75"/>
      <c r="K76" s="75"/>
      <c r="L76" s="75"/>
      <c r="M76" s="75"/>
      <c r="N76" s="75"/>
      <c r="O76" s="75"/>
      <c r="P76" s="75"/>
    </row>
    <row r="77">
      <c r="A77" s="80" t="s">
        <v>213</v>
      </c>
      <c r="B77" s="77">
        <v>1259.0</v>
      </c>
      <c r="C77" s="77" t="b">
        <v>0</v>
      </c>
      <c r="D77" s="79" t="str">
        <f>IFERROR(__xludf.DUMMYFUNCTION("GOOGLETRANSLATE(A77,""ar"", ""en"")"),"Wooden table top 70*70 cm")</f>
        <v>Wooden table top 70*70 cm</v>
      </c>
      <c r="E77" s="80" t="s">
        <v>214</v>
      </c>
      <c r="F77" s="79"/>
      <c r="G77" s="75"/>
      <c r="H77" s="75"/>
      <c r="I77" s="75"/>
      <c r="J77" s="75"/>
      <c r="K77" s="75"/>
      <c r="L77" s="75"/>
      <c r="M77" s="75"/>
      <c r="N77" s="75"/>
      <c r="O77" s="75"/>
      <c r="P77" s="75"/>
    </row>
    <row r="78">
      <c r="A78" s="76" t="s">
        <v>216</v>
      </c>
      <c r="B78" s="77">
        <v>1260.0</v>
      </c>
      <c r="C78" s="77" t="b">
        <v>0</v>
      </c>
      <c r="D78" s="79" t="str">
        <f>IFERROR(__xludf.DUMMYFUNCTION("GOOGLETRANSLATE(A78,""ar"", ""en"")"),"Wooden table top 80*80 cm")</f>
        <v>Wooden table top 80*80 cm</v>
      </c>
      <c r="E78" s="76" t="s">
        <v>217</v>
      </c>
      <c r="F78" s="79"/>
      <c r="G78" s="75"/>
      <c r="H78" s="75"/>
      <c r="I78" s="75"/>
      <c r="J78" s="75"/>
      <c r="K78" s="75"/>
      <c r="L78" s="75"/>
      <c r="M78" s="75"/>
      <c r="N78" s="75"/>
      <c r="O78" s="75"/>
      <c r="P78" s="75"/>
    </row>
    <row r="79">
      <c r="A79" s="80" t="s">
        <v>219</v>
      </c>
      <c r="B79" s="77">
        <v>1261.0</v>
      </c>
      <c r="C79" s="77" t="b">
        <v>0</v>
      </c>
      <c r="D79" s="79" t="str">
        <f>IFERROR(__xludf.DUMMYFUNCTION("GOOGLETRANSLATE(A79,""ar"", ""en"")"),"Wooden table top 120*80 cm")</f>
        <v>Wooden table top 120*80 cm</v>
      </c>
      <c r="E79" s="80" t="s">
        <v>220</v>
      </c>
      <c r="F79" s="79"/>
      <c r="G79" s="75"/>
      <c r="H79" s="75"/>
      <c r="I79" s="75"/>
      <c r="J79" s="75"/>
      <c r="K79" s="75"/>
      <c r="L79" s="75"/>
      <c r="M79" s="75"/>
      <c r="N79" s="75"/>
      <c r="O79" s="75"/>
      <c r="P79" s="75"/>
    </row>
    <row r="80">
      <c r="A80" s="76" t="s">
        <v>222</v>
      </c>
      <c r="B80" s="77">
        <v>1262.0</v>
      </c>
      <c r="C80" s="77" t="b">
        <v>0</v>
      </c>
      <c r="D80" s="79" t="str">
        <f>IFERROR(__xludf.DUMMYFUNCTION("GOOGLETRANSLATE(A80,""ar"", ""en"")"),"60cm round table top")</f>
        <v>60cm round table top</v>
      </c>
      <c r="E80" s="76" t="s">
        <v>223</v>
      </c>
      <c r="F80" s="81" t="s">
        <v>224</v>
      </c>
      <c r="G80" s="75"/>
      <c r="H80" s="75"/>
      <c r="I80" s="75"/>
      <c r="J80" s="75"/>
      <c r="K80" s="75"/>
      <c r="L80" s="75"/>
      <c r="M80" s="75"/>
      <c r="N80" s="75"/>
      <c r="O80" s="75"/>
      <c r="P80" s="75"/>
    </row>
    <row r="81">
      <c r="A81" s="80" t="s">
        <v>226</v>
      </c>
      <c r="B81" s="77">
        <v>1263.0</v>
      </c>
      <c r="C81" s="77" t="b">
        <v>0</v>
      </c>
      <c r="D81" s="79" t="str">
        <f>IFERROR(__xludf.DUMMYFUNCTION("GOOGLETRANSLATE(A81,""ar"", ""en"")"),"60*60 square table top")</f>
        <v>60*60 square table top</v>
      </c>
      <c r="E81" s="80" t="s">
        <v>227</v>
      </c>
      <c r="F81" s="81" t="s">
        <v>228</v>
      </c>
      <c r="G81" s="75"/>
      <c r="H81" s="75"/>
      <c r="I81" s="75"/>
      <c r="J81" s="75"/>
      <c r="K81" s="75"/>
      <c r="L81" s="75"/>
      <c r="M81" s="75"/>
      <c r="N81" s="75"/>
      <c r="O81" s="75"/>
      <c r="P81" s="75"/>
    </row>
    <row r="82">
      <c r="A82" s="76" t="s">
        <v>230</v>
      </c>
      <c r="B82" s="77">
        <v>1264.0</v>
      </c>
      <c r="C82" s="77" t="b">
        <v>0</v>
      </c>
      <c r="D82" s="79" t="str">
        <f>IFERROR(__xludf.DUMMYFUNCTION("GOOGLETRANSLATE(A82,""ar"", ""en"")"),"70cm round table top")</f>
        <v>70cm round table top</v>
      </c>
      <c r="E82" s="76" t="s">
        <v>231</v>
      </c>
      <c r="F82" s="79"/>
      <c r="G82" s="75"/>
      <c r="H82" s="75"/>
      <c r="I82" s="75"/>
      <c r="J82" s="75"/>
      <c r="K82" s="75"/>
      <c r="L82" s="75"/>
      <c r="M82" s="75"/>
      <c r="N82" s="75"/>
      <c r="O82" s="75"/>
      <c r="P82" s="75"/>
    </row>
    <row r="83">
      <c r="A83" s="80" t="s">
        <v>233</v>
      </c>
      <c r="B83" s="77">
        <v>1265.0</v>
      </c>
      <c r="C83" s="77" t="b">
        <v>0</v>
      </c>
      <c r="D83" s="79" t="str">
        <f>IFERROR(__xludf.DUMMYFUNCTION("GOOGLETRANSLATE(A83,""ar"", ""en"")"),"80cm round table top")</f>
        <v>80cm round table top</v>
      </c>
      <c r="E83" s="80" t="s">
        <v>234</v>
      </c>
      <c r="F83" s="79"/>
      <c r="G83" s="75"/>
      <c r="H83" s="75"/>
      <c r="I83" s="75"/>
      <c r="J83" s="75"/>
      <c r="K83" s="75"/>
      <c r="L83" s="75"/>
      <c r="M83" s="75"/>
      <c r="N83" s="75"/>
      <c r="O83" s="75"/>
      <c r="P83" s="75"/>
    </row>
    <row r="84">
      <c r="A84" s="76" t="s">
        <v>236</v>
      </c>
      <c r="B84" s="77">
        <v>1266.0</v>
      </c>
      <c r="C84" s="77" t="b">
        <v>0</v>
      </c>
      <c r="D84" s="79" t="str">
        <f>IFERROR(__xludf.DUMMYFUNCTION("GOOGLETRANSLATE(A84,""ar"", ""en"")"),"80*80 square table top")</f>
        <v>80*80 square table top</v>
      </c>
      <c r="E84" s="76" t="s">
        <v>237</v>
      </c>
      <c r="F84" s="79"/>
      <c r="G84" s="75"/>
      <c r="H84" s="75"/>
      <c r="I84" s="75"/>
      <c r="J84" s="75"/>
      <c r="K84" s="75"/>
      <c r="L84" s="75"/>
      <c r="M84" s="75"/>
      <c r="N84" s="75"/>
      <c r="O84" s="75"/>
      <c r="P84" s="75"/>
    </row>
    <row r="85">
      <c r="A85" s="80" t="s">
        <v>239</v>
      </c>
      <c r="B85" s="77">
        <v>1267.0</v>
      </c>
      <c r="C85" s="77" t="b">
        <v>0</v>
      </c>
      <c r="D85" s="79" t="str">
        <f>IFERROR(__xludf.DUMMYFUNCTION("GOOGLETRANSLATE(A85,""ar"", ""en"")"),"70*120 rectangular table top")</f>
        <v>70*120 rectangular table top</v>
      </c>
      <c r="E85" s="80" t="s">
        <v>240</v>
      </c>
      <c r="F85" s="81" t="s">
        <v>241</v>
      </c>
      <c r="G85" s="75"/>
      <c r="H85" s="75"/>
      <c r="I85" s="75"/>
      <c r="J85" s="75"/>
      <c r="K85" s="75"/>
      <c r="L85" s="75"/>
      <c r="M85" s="75"/>
      <c r="N85" s="75"/>
      <c r="O85" s="75"/>
      <c r="P85" s="75"/>
    </row>
    <row r="86">
      <c r="A86" s="76" t="s">
        <v>243</v>
      </c>
      <c r="B86" s="77">
        <v>1268.0</v>
      </c>
      <c r="C86" s="77" t="b">
        <v>0</v>
      </c>
      <c r="D86" s="79" t="str">
        <f>IFERROR(__xludf.DUMMYFUNCTION("GOOGLETRANSLATE(A86,""ar"", ""en"")"),"80*130 rectangular table top")</f>
        <v>80*130 rectangular table top</v>
      </c>
      <c r="E86" s="76" t="s">
        <v>244</v>
      </c>
      <c r="F86" s="79"/>
      <c r="G86" s="75"/>
      <c r="H86" s="75"/>
      <c r="I86" s="75"/>
      <c r="J86" s="75"/>
      <c r="K86" s="75"/>
      <c r="L86" s="75"/>
      <c r="M86" s="75"/>
      <c r="N86" s="75"/>
      <c r="O86" s="75"/>
      <c r="P86" s="75"/>
    </row>
    <row r="87">
      <c r="A87" s="76" t="s">
        <v>246</v>
      </c>
      <c r="B87" s="77">
        <v>1293.0</v>
      </c>
      <c r="C87" s="77" t="b">
        <v>0</v>
      </c>
      <c r="D87" s="79" t="str">
        <f>IFERROR(__xludf.DUMMYFUNCTION("GOOGLETRANSLATE(A87,""ar"", ""en"")"),"square gray iron base")</f>
        <v>square gray iron base</v>
      </c>
      <c r="E87" s="76" t="s">
        <v>247</v>
      </c>
      <c r="F87" s="79"/>
      <c r="G87" s="75"/>
      <c r="H87" s="75"/>
      <c r="I87" s="75"/>
      <c r="J87" s="75"/>
      <c r="K87" s="75"/>
      <c r="L87" s="75"/>
      <c r="M87" s="75"/>
      <c r="N87" s="75"/>
      <c r="O87" s="75"/>
      <c r="P87" s="75"/>
    </row>
    <row r="88">
      <c r="A88" s="80" t="s">
        <v>249</v>
      </c>
      <c r="B88" s="77">
        <v>1294.0</v>
      </c>
      <c r="C88" s="77" t="b">
        <v>0</v>
      </c>
      <c r="D88" s="79" t="str">
        <f>IFERROR(__xludf.DUMMYFUNCTION("GOOGLETRANSLATE(A88,""ar"", ""en"")"),"Table base stainless steel")</f>
        <v>Table base stainless steel</v>
      </c>
      <c r="E88" s="80" t="s">
        <v>250</v>
      </c>
      <c r="F88" s="79"/>
      <c r="G88" s="75"/>
      <c r="H88" s="75"/>
      <c r="I88" s="75"/>
      <c r="J88" s="75"/>
      <c r="K88" s="75"/>
      <c r="L88" s="75"/>
      <c r="M88" s="75"/>
      <c r="N88" s="75"/>
      <c r="O88" s="75"/>
      <c r="P88" s="75"/>
    </row>
    <row r="89">
      <c r="A89" s="76" t="s">
        <v>252</v>
      </c>
      <c r="B89" s="77">
        <v>1295.0</v>
      </c>
      <c r="C89" s="77" t="b">
        <v>0</v>
      </c>
      <c r="D89" s="79" t="str">
        <f>IFERROR(__xludf.DUMMYFUNCTION("GOOGLETRANSLATE(A89,""ar"", ""en"")"),"iron base")</f>
        <v>iron base</v>
      </c>
      <c r="E89" s="76" t="s">
        <v>253</v>
      </c>
      <c r="F89" s="79"/>
      <c r="G89" s="75"/>
      <c r="H89" s="75"/>
      <c r="I89" s="75"/>
      <c r="J89" s="75"/>
      <c r="K89" s="75"/>
      <c r="L89" s="75"/>
      <c r="M89" s="75"/>
      <c r="N89" s="75"/>
      <c r="O89" s="75"/>
      <c r="P89" s="75"/>
    </row>
    <row r="90">
      <c r="A90" s="76" t="s">
        <v>255</v>
      </c>
      <c r="B90" s="77">
        <v>1297.0</v>
      </c>
      <c r="C90" s="77" t="b">
        <v>0</v>
      </c>
      <c r="D90" s="79" t="str">
        <f>IFERROR(__xludf.DUMMYFUNCTION("GOOGLETRANSLATE(A90,""ar"", ""en"")"),"FIX CAST IRON BASE STNLS")</f>
        <v>FIX CAST IRON BASE STNLS</v>
      </c>
      <c r="E90" s="76" t="s">
        <v>256</v>
      </c>
      <c r="F90" s="79"/>
      <c r="G90" s="75"/>
      <c r="H90" s="75"/>
      <c r="I90" s="75"/>
      <c r="J90" s="75"/>
      <c r="K90" s="75"/>
      <c r="L90" s="75"/>
      <c r="M90" s="75"/>
      <c r="N90" s="75"/>
      <c r="O90" s="75"/>
      <c r="P90" s="75"/>
    </row>
    <row r="91">
      <c r="A91" s="80" t="s">
        <v>258</v>
      </c>
      <c r="B91" s="77">
        <v>1300.0</v>
      </c>
      <c r="C91" s="77" t="b">
        <v>0</v>
      </c>
      <c r="D91" s="79" t="str">
        <f>IFERROR(__xludf.DUMMYFUNCTION("GOOGLETRANSLATE(A91,""ar"", ""en"")"),"Table base double/stencil")</f>
        <v>Table base double/stencil</v>
      </c>
      <c r="E91" s="80" t="s">
        <v>259</v>
      </c>
      <c r="F91" s="79"/>
      <c r="G91" s="75"/>
      <c r="H91" s="75"/>
      <c r="I91" s="75"/>
      <c r="J91" s="75"/>
      <c r="K91" s="75"/>
      <c r="L91" s="75"/>
      <c r="M91" s="75"/>
      <c r="N91" s="75"/>
      <c r="O91" s="75"/>
      <c r="P91" s="75"/>
    </row>
    <row r="92">
      <c r="A92" s="80" t="s">
        <v>261</v>
      </c>
      <c r="B92" s="77">
        <v>1306.0</v>
      </c>
      <c r="C92" s="77" t="b">
        <v>0</v>
      </c>
      <c r="D92" s="79" t="str">
        <f>IFERROR(__xludf.DUMMYFUNCTION("GOOGLETRANSLATE(A92,""ar"", ""en"")"),"TABLE BASE DOUBLE ALUM")</f>
        <v>TABLE BASE DOUBLE ALUM</v>
      </c>
      <c r="E92" s="80" t="s">
        <v>262</v>
      </c>
      <c r="F92" s="79"/>
      <c r="G92" s="75"/>
      <c r="H92" s="75"/>
      <c r="I92" s="75"/>
      <c r="J92" s="75"/>
      <c r="K92" s="75"/>
      <c r="L92" s="75"/>
      <c r="M92" s="75"/>
      <c r="N92" s="75"/>
      <c r="O92" s="75"/>
      <c r="P92" s="75"/>
    </row>
    <row r="93">
      <c r="A93" s="80" t="s">
        <v>264</v>
      </c>
      <c r="B93" s="77">
        <v>1308.0</v>
      </c>
      <c r="C93" s="77" t="b">
        <v>0</v>
      </c>
      <c r="D93" s="79" t="str">
        <f>IFERROR(__xludf.DUMMYFUNCTION("GOOGLETRANSLATE(A93,""ar"", ""en"")"),"ALUMINUM TABLE TOP 60*60")</f>
        <v>ALUMINUM TABLE TOP 60*60</v>
      </c>
      <c r="E93" s="80" t="s">
        <v>265</v>
      </c>
      <c r="F93" s="79"/>
      <c r="G93" s="75"/>
      <c r="H93" s="75"/>
      <c r="I93" s="75"/>
      <c r="J93" s="75"/>
      <c r="K93" s="75"/>
      <c r="L93" s="75"/>
      <c r="M93" s="75"/>
      <c r="N93" s="75"/>
      <c r="O93" s="75"/>
      <c r="P93" s="75"/>
    </row>
    <row r="94">
      <c r="A94" s="76" t="s">
        <v>267</v>
      </c>
      <c r="B94" s="77">
        <v>1313.0</v>
      </c>
      <c r="C94" s="77" t="b">
        <v>0</v>
      </c>
      <c r="D94" s="79" t="str">
        <f>IFERROR(__xludf.DUMMYFUNCTION("GOOGLETRANSLATE(A94,""ar"", ""en"")"),"Large smooth round font base")</f>
        <v>Large smooth round font base</v>
      </c>
      <c r="E94" s="76" t="s">
        <v>268</v>
      </c>
      <c r="F94" s="79"/>
      <c r="G94" s="75"/>
      <c r="H94" s="75"/>
      <c r="I94" s="75"/>
      <c r="J94" s="75"/>
      <c r="K94" s="75"/>
      <c r="L94" s="75"/>
      <c r="M94" s="75"/>
      <c r="N94" s="75"/>
      <c r="O94" s="75"/>
      <c r="P94" s="75"/>
    </row>
    <row r="95">
      <c r="A95" s="76" t="s">
        <v>270</v>
      </c>
      <c r="B95" s="77">
        <v>1314.0</v>
      </c>
      <c r="C95" s="77" t="b">
        <v>0</v>
      </c>
      <c r="D95" s="79" t="str">
        <f>IFERROR(__xludf.DUMMYFUNCTION("GOOGLETRANSLATE(A95,""ar"", ""en"")"),"Large round font base")</f>
        <v>Large round font base</v>
      </c>
      <c r="E95" s="76" t="s">
        <v>271</v>
      </c>
      <c r="F95" s="79"/>
      <c r="G95" s="75"/>
      <c r="H95" s="75"/>
      <c r="I95" s="75"/>
      <c r="J95" s="75"/>
      <c r="K95" s="75"/>
      <c r="L95" s="75"/>
      <c r="M95" s="75"/>
      <c r="N95" s="75"/>
      <c r="O95" s="75"/>
      <c r="P95" s="75"/>
    </row>
    <row r="96">
      <c r="A96" s="76" t="s">
        <v>273</v>
      </c>
      <c r="B96" s="77">
        <v>1315.0</v>
      </c>
      <c r="C96" s="77" t="b">
        <v>0</v>
      </c>
      <c r="D96" s="79" t="str">
        <f>IFERROR(__xludf.DUMMYFUNCTION("GOOGLETRANSLATE(A96,""ar"", ""en"")"),"Smooth Rectangular Font Base")</f>
        <v>Smooth Rectangular Font Base</v>
      </c>
      <c r="E96" s="76" t="s">
        <v>274</v>
      </c>
      <c r="F96" s="79"/>
      <c r="G96" s="75"/>
      <c r="H96" s="75"/>
      <c r="I96" s="75"/>
      <c r="J96" s="75"/>
      <c r="K96" s="75"/>
      <c r="L96" s="75"/>
      <c r="M96" s="75"/>
      <c r="N96" s="75"/>
      <c r="O96" s="75"/>
      <c r="P96" s="75"/>
    </row>
    <row r="97">
      <c r="A97" s="80" t="s">
        <v>276</v>
      </c>
      <c r="B97" s="77">
        <v>1316.0</v>
      </c>
      <c r="C97" s="77" t="b">
        <v>0</v>
      </c>
      <c r="D97" s="79" t="str">
        <f>IFERROR(__xludf.DUMMYFUNCTION("GOOGLETRANSLATE(A97,""ar"", ""en"")"),"Smooth nut font base")</f>
        <v>Smooth nut font base</v>
      </c>
      <c r="E97" s="80" t="s">
        <v>277</v>
      </c>
      <c r="F97" s="79"/>
      <c r="G97" s="75"/>
      <c r="H97" s="75"/>
      <c r="I97" s="75"/>
      <c r="J97" s="75"/>
      <c r="K97" s="75"/>
      <c r="L97" s="75"/>
      <c r="M97" s="75"/>
      <c r="N97" s="75"/>
      <c r="O97" s="75"/>
      <c r="P97" s="75"/>
    </row>
    <row r="98">
      <c r="A98" s="80" t="s">
        <v>279</v>
      </c>
      <c r="B98" s="77">
        <v>1318.0</v>
      </c>
      <c r="C98" s="77" t="b">
        <v>0</v>
      </c>
      <c r="D98" s="79" t="str">
        <f>IFERROR(__xludf.DUMMYFUNCTION("GOOGLETRANSLATE(A98,""ar"", ""en"")"),"TEAK table top 110*70 cm")</f>
        <v>TEAK table top 110*70 cm</v>
      </c>
      <c r="E98" s="80" t="s">
        <v>280</v>
      </c>
      <c r="F98" s="81" t="s">
        <v>281</v>
      </c>
      <c r="G98" s="75"/>
      <c r="H98" s="75"/>
      <c r="I98" s="75"/>
      <c r="J98" s="75"/>
      <c r="K98" s="75"/>
      <c r="L98" s="75"/>
      <c r="M98" s="75"/>
      <c r="N98" s="75"/>
      <c r="O98" s="75"/>
      <c r="P98" s="75"/>
    </row>
    <row r="99">
      <c r="A99" s="80" t="s">
        <v>283</v>
      </c>
      <c r="B99" s="77">
        <v>1336.0</v>
      </c>
      <c r="C99" s="77" t="b">
        <v>0</v>
      </c>
      <c r="D99" s="79" t="str">
        <f>IFERROR(__xludf.DUMMYFUNCTION("GOOGLETRANSLATE(A99,""ar"", ""en"")"),"200cm aluminum parasol")</f>
        <v>200cm aluminum parasol</v>
      </c>
      <c r="E99" s="80" t="s">
        <v>284</v>
      </c>
      <c r="F99" s="79"/>
      <c r="G99" s="75"/>
      <c r="H99" s="75"/>
      <c r="I99" s="75"/>
      <c r="J99" s="75"/>
      <c r="K99" s="75"/>
      <c r="L99" s="75"/>
      <c r="M99" s="75"/>
      <c r="N99" s="75"/>
      <c r="O99" s="75"/>
      <c r="P99" s="75"/>
    </row>
    <row r="100">
      <c r="A100" s="80" t="s">
        <v>287</v>
      </c>
      <c r="B100" s="77">
        <v>1340.0</v>
      </c>
      <c r="C100" s="77" t="b">
        <v>0</v>
      </c>
      <c r="D100" s="79" t="str">
        <f>IFERROR(__xludf.DUMMYFUNCTION("GOOGLETRANSLATE(A100,""ar"", ""en"")"),"Turkish Versalite Face 80*120")</f>
        <v>Turkish Versalite Face 80*120</v>
      </c>
      <c r="E100" s="80" t="s">
        <v>288</v>
      </c>
      <c r="F100" s="79"/>
      <c r="G100" s="75"/>
      <c r="H100" s="75"/>
      <c r="I100" s="75"/>
      <c r="J100" s="75"/>
      <c r="K100" s="75"/>
      <c r="L100" s="75"/>
      <c r="M100" s="75"/>
      <c r="N100" s="75"/>
      <c r="O100" s="75"/>
      <c r="P100" s="75"/>
    </row>
    <row r="101">
      <c r="A101" s="76" t="s">
        <v>289</v>
      </c>
      <c r="B101" s="77">
        <v>1341.0</v>
      </c>
      <c r="C101" s="77" t="b">
        <v>0</v>
      </c>
      <c r="D101" s="79" t="str">
        <f>IFERROR(__xludf.DUMMYFUNCTION("GOOGLETRANSLATE(A101,""ar"", ""en"")"),"Turkish Versalite Face 80*140")</f>
        <v>Turkish Versalite Face 80*140</v>
      </c>
      <c r="E101" s="76" t="s">
        <v>290</v>
      </c>
      <c r="F101" s="79"/>
      <c r="G101" s="75"/>
      <c r="H101" s="75"/>
      <c r="I101" s="75"/>
      <c r="J101" s="75"/>
      <c r="K101" s="75"/>
      <c r="L101" s="75"/>
      <c r="M101" s="75"/>
      <c r="N101" s="75"/>
      <c r="O101" s="75"/>
      <c r="P101" s="75"/>
    </row>
    <row r="102">
      <c r="A102" s="80" t="s">
        <v>291</v>
      </c>
      <c r="B102" s="77">
        <v>1342.0</v>
      </c>
      <c r="C102" s="77" t="b">
        <v>0</v>
      </c>
      <c r="D102" s="79" t="str">
        <f>IFERROR(__xludf.DUMMYFUNCTION("GOOGLETRANSLATE(A102,""ar"", ""en"")"),"Turkish Versalite Face 70 Round")</f>
        <v>Turkish Versalite Face 70 Round</v>
      </c>
      <c r="E102" s="80" t="s">
        <v>292</v>
      </c>
      <c r="F102" s="81" t="s">
        <v>293</v>
      </c>
      <c r="G102" s="75"/>
      <c r="H102" s="75"/>
      <c r="I102" s="75"/>
      <c r="J102" s="75"/>
      <c r="K102" s="75"/>
      <c r="L102" s="75"/>
      <c r="M102" s="75"/>
      <c r="N102" s="75"/>
      <c r="O102" s="75"/>
      <c r="P102" s="75"/>
    </row>
    <row r="103">
      <c r="A103" s="76" t="s">
        <v>294</v>
      </c>
      <c r="B103" s="77">
        <v>1343.0</v>
      </c>
      <c r="C103" s="77" t="b">
        <v>0</v>
      </c>
      <c r="D103" s="79" t="str">
        <f>IFERROR(__xludf.DUMMYFUNCTION("GOOGLETRANSLATE(A103,""ar"", ""en"")"),"Turkish Versalite Face 60*60/Grey")</f>
        <v>Turkish Versalite Face 60*60/Grey</v>
      </c>
      <c r="E103" s="76" t="s">
        <v>295</v>
      </c>
      <c r="F103" s="81" t="s">
        <v>296</v>
      </c>
      <c r="G103" s="75"/>
      <c r="H103" s="75"/>
      <c r="I103" s="75"/>
      <c r="J103" s="75"/>
      <c r="K103" s="75"/>
      <c r="L103" s="75"/>
      <c r="M103" s="75"/>
      <c r="N103" s="75"/>
      <c r="O103" s="75"/>
      <c r="P103" s="75"/>
    </row>
    <row r="104">
      <c r="A104" s="80" t="s">
        <v>297</v>
      </c>
      <c r="B104" s="77">
        <v>1344.0</v>
      </c>
      <c r="C104" s="77" t="b">
        <v>0</v>
      </c>
      <c r="D104" s="79" t="str">
        <f>IFERROR(__xludf.DUMMYFUNCTION("GOOGLETRANSLATE(A104,""ar"", ""en"")"),"Turkish Versalite table top 70*120 cm/grey")</f>
        <v>Turkish Versalite table top 70*120 cm/grey</v>
      </c>
      <c r="E104" s="80" t="s">
        <v>298</v>
      </c>
      <c r="F104" s="79"/>
      <c r="G104" s="75"/>
      <c r="H104" s="75"/>
      <c r="I104" s="75"/>
      <c r="J104" s="75"/>
      <c r="K104" s="75"/>
      <c r="L104" s="75"/>
      <c r="M104" s="75"/>
      <c r="N104" s="75"/>
      <c r="O104" s="75"/>
      <c r="P104" s="75"/>
    </row>
    <row r="105">
      <c r="A105" s="76" t="s">
        <v>299</v>
      </c>
      <c r="B105" s="77">
        <v>1345.0</v>
      </c>
      <c r="C105" s="77" t="b">
        <v>0</v>
      </c>
      <c r="D105" s="79" t="str">
        <f>IFERROR(__xludf.DUMMYFUNCTION("GOOGLETRANSLATE(A105,""ar"", ""en"")"),"Turkish Versalite Face 80*120/Grey")</f>
        <v>Turkish Versalite Face 80*120/Grey</v>
      </c>
      <c r="E105" s="76" t="s">
        <v>300</v>
      </c>
      <c r="F105" s="79"/>
      <c r="G105" s="75"/>
      <c r="H105" s="75"/>
      <c r="I105" s="75"/>
      <c r="J105" s="75"/>
      <c r="K105" s="75"/>
      <c r="L105" s="75"/>
      <c r="M105" s="75"/>
      <c r="N105" s="75"/>
      <c r="O105" s="75"/>
      <c r="P105" s="75"/>
    </row>
    <row r="106">
      <c r="A106" s="80" t="s">
        <v>301</v>
      </c>
      <c r="B106" s="77">
        <v>1346.0</v>
      </c>
      <c r="C106" s="77" t="b">
        <v>0</v>
      </c>
      <c r="D106" s="79" t="str">
        <f>IFERROR(__xludf.DUMMYFUNCTION("GOOGLETRANSLATE(A106,""ar"", ""en"")"),"Turkish Versalite table top 60*60 cm/red")</f>
        <v>Turkish Versalite table top 60*60 cm/red</v>
      </c>
      <c r="E106" s="80" t="s">
        <v>302</v>
      </c>
      <c r="F106" s="82" t="s">
        <v>303</v>
      </c>
      <c r="G106" s="75"/>
      <c r="H106" s="75"/>
      <c r="I106" s="75"/>
      <c r="J106" s="75"/>
      <c r="K106" s="75"/>
      <c r="L106" s="75"/>
      <c r="M106" s="75"/>
      <c r="N106" s="75"/>
      <c r="O106" s="75"/>
      <c r="P106" s="75"/>
    </row>
    <row r="107">
      <c r="A107" s="76" t="s">
        <v>304</v>
      </c>
      <c r="B107" s="77">
        <v>1347.0</v>
      </c>
      <c r="C107" s="77" t="b">
        <v>0</v>
      </c>
      <c r="D107" s="79" t="str">
        <f>IFERROR(__xludf.DUMMYFUNCTION("GOOGLETRANSLATE(A107,""ar"", ""en"")"),"Turkish Versalite Face 70*120/Red")</f>
        <v>Turkish Versalite Face 70*120/Red</v>
      </c>
      <c r="E107" s="76" t="s">
        <v>305</v>
      </c>
      <c r="F107" s="79"/>
      <c r="G107" s="75"/>
      <c r="H107" s="75"/>
      <c r="I107" s="75"/>
      <c r="J107" s="75"/>
      <c r="K107" s="75"/>
      <c r="L107" s="75"/>
      <c r="M107" s="75"/>
      <c r="N107" s="75"/>
      <c r="O107" s="75"/>
      <c r="P107" s="75"/>
    </row>
    <row r="108">
      <c r="A108" s="80" t="s">
        <v>306</v>
      </c>
      <c r="B108" s="77">
        <v>1348.0</v>
      </c>
      <c r="C108" s="77" t="b">
        <v>0</v>
      </c>
      <c r="D108" s="79" t="str">
        <f>IFERROR(__xludf.DUMMYFUNCTION("GOOGLETRANSLATE(A108,""ar"", ""en"")"),"Turkish Versalite Face 70*70/Red")</f>
        <v>Turkish Versalite Face 70*70/Red</v>
      </c>
      <c r="E108" s="80" t="s">
        <v>307</v>
      </c>
      <c r="F108" s="79"/>
      <c r="G108" s="75"/>
      <c r="H108" s="75"/>
      <c r="I108" s="75"/>
      <c r="J108" s="75"/>
      <c r="K108" s="75"/>
      <c r="L108" s="75"/>
      <c r="M108" s="75"/>
      <c r="N108" s="75"/>
      <c r="O108" s="75"/>
      <c r="P108" s="75"/>
    </row>
    <row r="109">
      <c r="A109" s="76" t="s">
        <v>308</v>
      </c>
      <c r="B109" s="77">
        <v>1349.0</v>
      </c>
      <c r="C109" s="77" t="b">
        <v>0</v>
      </c>
      <c r="D109" s="79" t="str">
        <f>IFERROR(__xludf.DUMMYFUNCTION("GOOGLETRANSLATE(A109,""ar"", ""en"")"),"Turkish Versalite Face 80*120/Rock")</f>
        <v>Turkish Versalite Face 80*120/Rock</v>
      </c>
      <c r="E109" s="76" t="s">
        <v>309</v>
      </c>
      <c r="F109" s="79"/>
      <c r="G109" s="75"/>
      <c r="H109" s="75"/>
      <c r="I109" s="75"/>
      <c r="J109" s="75"/>
      <c r="K109" s="75"/>
      <c r="L109" s="75"/>
      <c r="M109" s="75"/>
      <c r="N109" s="75"/>
      <c r="O109" s="75"/>
      <c r="P109" s="75"/>
    </row>
    <row r="110">
      <c r="A110" s="80" t="s">
        <v>310</v>
      </c>
      <c r="B110" s="77">
        <v>1350.0</v>
      </c>
      <c r="C110" s="77" t="b">
        <v>0</v>
      </c>
      <c r="D110" s="79" t="str">
        <f>IFERROR(__xludf.DUMMYFUNCTION("GOOGLETRANSLATE(A110,""ar"", ""en"")"),"Turkish Versalite Face 70*70/Black-White")</f>
        <v>Turkish Versalite Face 70*70/Black-White</v>
      </c>
      <c r="E110" s="80" t="s">
        <v>311</v>
      </c>
      <c r="F110" s="79"/>
      <c r="G110" s="75"/>
      <c r="H110" s="75"/>
      <c r="I110" s="75"/>
      <c r="J110" s="75"/>
      <c r="K110" s="75"/>
      <c r="L110" s="75"/>
      <c r="M110" s="75"/>
      <c r="N110" s="75"/>
      <c r="O110" s="75"/>
      <c r="P110" s="75"/>
    </row>
    <row r="111">
      <c r="A111" s="76" t="s">
        <v>312</v>
      </c>
      <c r="B111" s="77">
        <v>1351.0</v>
      </c>
      <c r="C111" s="77" t="b">
        <v>0</v>
      </c>
      <c r="D111" s="79" t="str">
        <f>IFERROR(__xludf.DUMMYFUNCTION("GOOGLETRANSLATE(A111,""ar"", ""en"")"),"Turkish Versalite Face 80*80/Black-White")</f>
        <v>Turkish Versalite Face 80*80/Black-White</v>
      </c>
      <c r="E111" s="76" t="s">
        <v>313</v>
      </c>
      <c r="F111" s="79"/>
      <c r="G111" s="75"/>
      <c r="H111" s="75"/>
      <c r="I111" s="75"/>
      <c r="J111" s="75"/>
      <c r="K111" s="75"/>
      <c r="L111" s="75"/>
      <c r="M111" s="75"/>
      <c r="N111" s="75"/>
      <c r="O111" s="75"/>
      <c r="P111" s="75"/>
    </row>
    <row r="112">
      <c r="A112" s="80" t="s">
        <v>291</v>
      </c>
      <c r="B112" s="77">
        <v>1352.0</v>
      </c>
      <c r="C112" s="77" t="b">
        <v>0</v>
      </c>
      <c r="D112" s="79" t="str">
        <f>IFERROR(__xludf.DUMMYFUNCTION("GOOGLETRANSLATE(A112,""ar"", ""en"")"),"Turkish Versalite Face 70 Round")</f>
        <v>Turkish Versalite Face 70 Round</v>
      </c>
      <c r="E112" s="80" t="s">
        <v>314</v>
      </c>
      <c r="F112" s="81" t="s">
        <v>315</v>
      </c>
      <c r="G112" s="75"/>
      <c r="H112" s="75"/>
      <c r="I112" s="75"/>
      <c r="J112" s="75"/>
      <c r="K112" s="75"/>
      <c r="L112" s="75"/>
      <c r="M112" s="75"/>
      <c r="N112" s="75"/>
      <c r="O112" s="75"/>
      <c r="P112" s="75"/>
    </row>
    <row r="113">
      <c r="A113" s="76" t="s">
        <v>316</v>
      </c>
      <c r="B113" s="77">
        <v>1353.0</v>
      </c>
      <c r="C113" s="77" t="b">
        <v>0</v>
      </c>
      <c r="D113" s="79" t="str">
        <f>IFERROR(__xludf.DUMMYFUNCTION("GOOGLETRANSLATE(A113,""ar"", ""en"")"),"Turkish Versalite table top 70*120 cm")</f>
        <v>Turkish Versalite table top 70*120 cm</v>
      </c>
      <c r="E113" s="76" t="s">
        <v>317</v>
      </c>
      <c r="F113" s="79"/>
      <c r="G113" s="75"/>
      <c r="H113" s="75"/>
      <c r="I113" s="75"/>
      <c r="J113" s="75"/>
      <c r="K113" s="75"/>
      <c r="L113" s="75"/>
      <c r="M113" s="75"/>
      <c r="N113" s="75"/>
      <c r="O113" s="75"/>
      <c r="P113" s="75"/>
    </row>
    <row r="114">
      <c r="A114" s="80" t="s">
        <v>318</v>
      </c>
      <c r="B114" s="77">
        <v>1354.0</v>
      </c>
      <c r="C114" s="77" t="b">
        <v>0</v>
      </c>
      <c r="D114" s="79" t="str">
        <f>IFERROR(__xludf.DUMMYFUNCTION("GOOGLETRANSLATE(A114,""ar"", ""en"")"),"Turkish Versalite table top 80*120 cm")</f>
        <v>Turkish Versalite table top 80*120 cm</v>
      </c>
      <c r="E114" s="80" t="s">
        <v>319</v>
      </c>
      <c r="F114" s="79"/>
      <c r="G114" s="75"/>
      <c r="H114" s="75"/>
      <c r="I114" s="75"/>
      <c r="J114" s="75"/>
      <c r="K114" s="75"/>
      <c r="L114" s="75"/>
      <c r="M114" s="75"/>
      <c r="N114" s="75"/>
      <c r="O114" s="75"/>
      <c r="P114" s="75"/>
    </row>
    <row r="115">
      <c r="A115" s="76" t="s">
        <v>320</v>
      </c>
      <c r="B115" s="77">
        <v>1355.0</v>
      </c>
      <c r="C115" s="77" t="b">
        <v>0</v>
      </c>
      <c r="D115" s="79" t="str">
        <f>IFERROR(__xludf.DUMMYFUNCTION("GOOGLETRANSLATE(A115,""ar"", ""en"")"),"Turkish Versalite table top 80*140 cm")</f>
        <v>Turkish Versalite table top 80*140 cm</v>
      </c>
      <c r="E115" s="76" t="s">
        <v>321</v>
      </c>
      <c r="F115" s="79"/>
      <c r="G115" s="75"/>
      <c r="H115" s="75"/>
      <c r="I115" s="75"/>
      <c r="J115" s="75"/>
      <c r="K115" s="75"/>
      <c r="L115" s="75"/>
      <c r="M115" s="75"/>
      <c r="N115" s="75"/>
      <c r="O115" s="75"/>
      <c r="P115" s="75"/>
    </row>
    <row r="116">
      <c r="A116" s="80" t="s">
        <v>322</v>
      </c>
      <c r="B116" s="77">
        <v>1356.0</v>
      </c>
      <c r="C116" s="77" t="b">
        <v>0</v>
      </c>
      <c r="D116" s="79" t="str">
        <f>IFERROR(__xludf.DUMMYFUNCTION("GOOGLETRANSLATE(A116,""ar"", ""en"")"),"Turkish Versalite table top 60*60 cm")</f>
        <v>Turkish Versalite table top 60*60 cm</v>
      </c>
      <c r="E116" s="80" t="s">
        <v>323</v>
      </c>
      <c r="F116" s="81" t="s">
        <v>324</v>
      </c>
      <c r="G116" s="75"/>
      <c r="H116" s="75"/>
      <c r="I116" s="75"/>
      <c r="J116" s="75"/>
      <c r="K116" s="75"/>
      <c r="L116" s="75"/>
      <c r="M116" s="75"/>
      <c r="N116" s="75"/>
      <c r="O116" s="75"/>
      <c r="P116" s="75"/>
    </row>
    <row r="117">
      <c r="A117" s="76" t="s">
        <v>325</v>
      </c>
      <c r="B117" s="77">
        <v>1357.0</v>
      </c>
      <c r="C117" s="77" t="b">
        <v>0</v>
      </c>
      <c r="D117" s="79" t="str">
        <f>IFERROR(__xludf.DUMMYFUNCTION("GOOGLETRANSLATE(A117,""ar"", ""en"")"),"Turkish Versalite Face 60 Round")</f>
        <v>Turkish Versalite Face 60 Round</v>
      </c>
      <c r="E117" s="76" t="s">
        <v>326</v>
      </c>
      <c r="F117" s="79"/>
      <c r="G117" s="75"/>
      <c r="H117" s="75"/>
      <c r="I117" s="75"/>
      <c r="J117" s="75"/>
      <c r="K117" s="75"/>
      <c r="L117" s="75"/>
      <c r="M117" s="75"/>
      <c r="N117" s="75"/>
      <c r="O117" s="75"/>
      <c r="P117" s="75"/>
    </row>
    <row r="118">
      <c r="A118" s="80" t="s">
        <v>316</v>
      </c>
      <c r="B118" s="77">
        <v>1358.0</v>
      </c>
      <c r="C118" s="77" t="b">
        <v>0</v>
      </c>
      <c r="D118" s="79" t="str">
        <f>IFERROR(__xludf.DUMMYFUNCTION("GOOGLETRANSLATE(A118,""ar"", ""en"")"),"Turkish Versalite table top 70*120 cm")</f>
        <v>Turkish Versalite table top 70*120 cm</v>
      </c>
      <c r="E118" s="80" t="s">
        <v>327</v>
      </c>
      <c r="F118" s="81" t="s">
        <v>328</v>
      </c>
      <c r="G118" s="75"/>
      <c r="H118" s="75"/>
      <c r="I118" s="75"/>
      <c r="J118" s="75"/>
      <c r="K118" s="75"/>
      <c r="L118" s="75"/>
      <c r="M118" s="75"/>
      <c r="N118" s="75"/>
      <c r="O118" s="75"/>
      <c r="P118" s="75"/>
    </row>
    <row r="119">
      <c r="A119" s="76" t="s">
        <v>325</v>
      </c>
      <c r="B119" s="77">
        <v>1359.0</v>
      </c>
      <c r="C119" s="77" t="b">
        <v>0</v>
      </c>
      <c r="D119" s="79" t="str">
        <f>IFERROR(__xludf.DUMMYFUNCTION("GOOGLETRANSLATE(A119,""ar"", ""en"")"),"Turkish Versalite Face 60 Round")</f>
        <v>Turkish Versalite Face 60 Round</v>
      </c>
      <c r="E119" s="76" t="s">
        <v>329</v>
      </c>
      <c r="F119" s="81"/>
      <c r="G119" s="75"/>
      <c r="H119" s="75"/>
      <c r="I119" s="75"/>
      <c r="J119" s="75"/>
      <c r="K119" s="75"/>
      <c r="L119" s="75"/>
      <c r="M119" s="75"/>
      <c r="N119" s="75"/>
      <c r="O119" s="75"/>
      <c r="P119" s="75"/>
    </row>
    <row r="120">
      <c r="A120" s="80" t="s">
        <v>330</v>
      </c>
      <c r="B120" s="77">
        <v>1360.0</v>
      </c>
      <c r="C120" s="77" t="b">
        <v>0</v>
      </c>
      <c r="D120" s="79" t="str">
        <f>IFERROR(__xludf.DUMMYFUNCTION("GOOGLETRANSLATE(A120,""ar"", ""en"")"),"Folding plastic table 122*76 cm / broken")</f>
        <v>Folding plastic table 122*76 cm / broken</v>
      </c>
      <c r="E120" s="80" t="s">
        <v>331</v>
      </c>
      <c r="F120" s="79"/>
      <c r="G120" s="75"/>
      <c r="H120" s="75"/>
      <c r="I120" s="75"/>
      <c r="J120" s="75"/>
      <c r="K120" s="75"/>
      <c r="L120" s="75"/>
      <c r="M120" s="75"/>
      <c r="N120" s="75"/>
      <c r="O120" s="75"/>
      <c r="P120" s="75"/>
    </row>
    <row r="121">
      <c r="A121" s="76" t="s">
        <v>333</v>
      </c>
      <c r="B121" s="77">
        <v>1361.0</v>
      </c>
      <c r="C121" s="77" t="b">
        <v>0</v>
      </c>
      <c r="D121" s="79" t="str">
        <f>IFERROR(__xludf.DUMMYFUNCTION("GOOGLETRANSLATE(A121,""ar"", ""en"")"),"Plastic table 152*76 cm")</f>
        <v>Plastic table 152*76 cm</v>
      </c>
      <c r="E121" s="76" t="s">
        <v>334</v>
      </c>
      <c r="F121" s="79"/>
      <c r="G121" s="75"/>
      <c r="H121" s="75"/>
      <c r="I121" s="75"/>
      <c r="J121" s="75"/>
      <c r="K121" s="75"/>
      <c r="L121" s="75"/>
      <c r="M121" s="75"/>
      <c r="N121" s="75"/>
      <c r="O121" s="75"/>
      <c r="P121" s="75"/>
    </row>
    <row r="122">
      <c r="A122" s="80" t="s">
        <v>336</v>
      </c>
      <c r="B122" s="77">
        <v>1362.0</v>
      </c>
      <c r="C122" s="77" t="b">
        <v>0</v>
      </c>
      <c r="D122" s="79" t="str">
        <f>IFERROR(__xludf.DUMMYFUNCTION("GOOGLETRANSLATE(A122,""ar"", ""en"")"),"Folding plastic table 152*76 cm / broken")</f>
        <v>Folding plastic table 152*76 cm / broken</v>
      </c>
      <c r="E122" s="80" t="s">
        <v>337</v>
      </c>
      <c r="F122" s="79"/>
      <c r="G122" s="75"/>
      <c r="H122" s="75"/>
      <c r="I122" s="75"/>
      <c r="J122" s="75"/>
      <c r="K122" s="75"/>
      <c r="L122" s="75"/>
      <c r="M122" s="75"/>
      <c r="N122" s="75"/>
      <c r="O122" s="75"/>
      <c r="P122" s="75"/>
    </row>
    <row r="123">
      <c r="A123" s="76" t="s">
        <v>339</v>
      </c>
      <c r="B123" s="77">
        <v>1363.0</v>
      </c>
      <c r="C123" s="77" t="b">
        <v>0</v>
      </c>
      <c r="D123" s="79" t="str">
        <f>IFERROR(__xludf.DUMMYFUNCTION("GOOGLETRANSLATE(A123,""ar"", ""en"")"),"Folding plastic table 180*74 cm / broken")</f>
        <v>Folding plastic table 180*74 cm / broken</v>
      </c>
      <c r="E123" s="76" t="s">
        <v>340</v>
      </c>
      <c r="F123" s="79"/>
      <c r="G123" s="75"/>
      <c r="H123" s="75"/>
      <c r="I123" s="75"/>
      <c r="J123" s="75"/>
      <c r="K123" s="75"/>
      <c r="L123" s="75"/>
      <c r="M123" s="75"/>
      <c r="N123" s="75"/>
      <c r="O123" s="75"/>
      <c r="P123" s="75"/>
    </row>
    <row r="124">
      <c r="A124" s="80" t="s">
        <v>342</v>
      </c>
      <c r="B124" s="77">
        <v>1364.0</v>
      </c>
      <c r="C124" s="77" t="b">
        <v>0</v>
      </c>
      <c r="D124" s="79" t="str">
        <f>IFERROR(__xludf.DUMMYFUNCTION("GOOGLETRANSLATE(A124,""ar"", ""en"")"),"Plastic table 183*76 cm")</f>
        <v>Plastic table 183*76 cm</v>
      </c>
      <c r="E124" s="80" t="s">
        <v>343</v>
      </c>
      <c r="F124" s="79"/>
      <c r="G124" s="75"/>
      <c r="H124" s="75"/>
      <c r="I124" s="75"/>
      <c r="J124" s="75"/>
      <c r="K124" s="75"/>
      <c r="L124" s="75"/>
      <c r="M124" s="75"/>
      <c r="N124" s="75"/>
      <c r="O124" s="75"/>
      <c r="P124" s="75"/>
    </row>
    <row r="125">
      <c r="A125" s="80" t="s">
        <v>345</v>
      </c>
      <c r="B125" s="77">
        <v>1368.0</v>
      </c>
      <c r="C125" s="77" t="b">
        <v>0</v>
      </c>
      <c r="D125" s="79" t="str">
        <f>IFERROR(__xludf.DUMMYFUNCTION("GOOGLETRANSLATE(A125,""ar"", ""en"")"),"FISHING CHAIR")</f>
        <v>FISHING CHAIR</v>
      </c>
      <c r="E125" s="80" t="s">
        <v>346</v>
      </c>
      <c r="F125" s="79"/>
      <c r="G125" s="75"/>
      <c r="H125" s="75"/>
      <c r="I125" s="75"/>
      <c r="J125" s="75"/>
      <c r="K125" s="75"/>
      <c r="L125" s="75"/>
      <c r="M125" s="75"/>
      <c r="N125" s="75"/>
      <c r="O125" s="75"/>
      <c r="P125" s="75"/>
    </row>
    <row r="126">
      <c r="A126" s="80" t="s">
        <v>348</v>
      </c>
      <c r="B126" s="77">
        <v>1371.0</v>
      </c>
      <c r="C126" s="77" t="b">
        <v>0</v>
      </c>
      <c r="D126" s="79" t="str">
        <f>IFERROR(__xludf.DUMMYFUNCTION("GOOGLETRANSLATE(A126,""ar"", ""en"")"),"ALUMINUM TABLE BASE DOUBLE")</f>
        <v>ALUMINUM TABLE BASE DOUBLE</v>
      </c>
      <c r="E126" s="80" t="s">
        <v>349</v>
      </c>
      <c r="F126" s="79"/>
      <c r="G126" s="75"/>
      <c r="H126" s="75"/>
      <c r="I126" s="75"/>
      <c r="J126" s="75"/>
      <c r="K126" s="75"/>
      <c r="L126" s="75"/>
      <c r="M126" s="75"/>
      <c r="N126" s="75"/>
      <c r="O126" s="75"/>
      <c r="P126" s="75"/>
    </row>
    <row r="127">
      <c r="A127" s="76" t="s">
        <v>351</v>
      </c>
      <c r="B127" s="77">
        <v>1372.0</v>
      </c>
      <c r="C127" s="77" t="b">
        <v>0</v>
      </c>
      <c r="D127" s="79" t="str">
        <f>IFERROR(__xludf.DUMMYFUNCTION("GOOGLETRANSLATE(A127,""ar"", ""en"")"),"3-legged aluminum base")</f>
        <v>3-legged aluminum base</v>
      </c>
      <c r="E127" s="76" t="s">
        <v>352</v>
      </c>
      <c r="F127" s="79"/>
      <c r="G127" s="75"/>
      <c r="H127" s="75"/>
      <c r="I127" s="75"/>
      <c r="J127" s="75"/>
      <c r="K127" s="75"/>
      <c r="L127" s="75"/>
      <c r="M127" s="75"/>
      <c r="N127" s="75"/>
      <c r="O127" s="75"/>
      <c r="P127" s="75"/>
    </row>
    <row r="128">
      <c r="A128" s="76" t="s">
        <v>354</v>
      </c>
      <c r="B128" s="77">
        <v>1374.0</v>
      </c>
      <c r="C128" s="77" t="b">
        <v>0</v>
      </c>
      <c r="D128" s="79" t="str">
        <f>IFERROR(__xludf.DUMMYFUNCTION("GOOGLETRANSLATE(A128,""ar"", ""en"")"),"3-legged inflatable aluminum base")</f>
        <v>3-legged inflatable aluminum base</v>
      </c>
      <c r="E128" s="76" t="s">
        <v>355</v>
      </c>
      <c r="F128" s="79"/>
      <c r="G128" s="75"/>
      <c r="H128" s="75"/>
      <c r="I128" s="75"/>
      <c r="J128" s="75"/>
      <c r="K128" s="75"/>
      <c r="L128" s="75"/>
      <c r="M128" s="75"/>
      <c r="N128" s="75"/>
      <c r="O128" s="75"/>
      <c r="P128" s="75"/>
    </row>
    <row r="129">
      <c r="A129" s="80" t="s">
        <v>357</v>
      </c>
      <c r="B129" s="77">
        <v>1375.0</v>
      </c>
      <c r="C129" s="77" t="b">
        <v>0</v>
      </c>
      <c r="D129" s="79" t="str">
        <f>IFERROR(__xludf.DUMMYFUNCTION("GOOGLETRANSLATE(A129,""ar"", ""en"")"),"120cm Round Natural Wood Table Top")</f>
        <v>120cm Round Natural Wood Table Top</v>
      </c>
      <c r="E129" s="80" t="s">
        <v>358</v>
      </c>
      <c r="F129" s="81" t="s">
        <v>359</v>
      </c>
      <c r="G129" s="75"/>
      <c r="H129" s="75"/>
      <c r="I129" s="75"/>
      <c r="J129" s="75"/>
      <c r="K129" s="75"/>
      <c r="L129" s="75"/>
      <c r="M129" s="75"/>
      <c r="N129" s="75"/>
      <c r="O129" s="75"/>
      <c r="P129" s="75"/>
    </row>
    <row r="130">
      <c r="A130" s="76" t="s">
        <v>361</v>
      </c>
      <c r="B130" s="77">
        <v>1376.0</v>
      </c>
      <c r="C130" s="77" t="b">
        <v>0</v>
      </c>
      <c r="D130" s="79" t="str">
        <f>IFERROR(__xludf.DUMMYFUNCTION("GOOGLETRANSLATE(A130,""ar"", ""en"")"),"80cm round natural wood table top")</f>
        <v>80cm round natural wood table top</v>
      </c>
      <c r="E130" s="76" t="s">
        <v>362</v>
      </c>
      <c r="F130" s="79"/>
      <c r="G130" s="75"/>
      <c r="H130" s="75"/>
      <c r="I130" s="75"/>
      <c r="J130" s="75"/>
      <c r="K130" s="75"/>
      <c r="L130" s="75"/>
      <c r="M130" s="75"/>
      <c r="N130" s="75"/>
      <c r="O130" s="75"/>
      <c r="P130" s="75"/>
    </row>
    <row r="131">
      <c r="A131" s="80" t="s">
        <v>364</v>
      </c>
      <c r="B131" s="77">
        <v>1377.0</v>
      </c>
      <c r="C131" s="77" t="b">
        <v>0</v>
      </c>
      <c r="D131" s="79" t="str">
        <f>IFERROR(__xludf.DUMMYFUNCTION("GOOGLETRANSLATE(A131,""ar"", ""en"")"),"Natural wood table top 130*80 cm")</f>
        <v>Natural wood table top 130*80 cm</v>
      </c>
      <c r="E131" s="80" t="s">
        <v>365</v>
      </c>
      <c r="F131" s="81" t="s">
        <v>366</v>
      </c>
      <c r="G131" s="75"/>
      <c r="H131" s="75"/>
      <c r="I131" s="75"/>
      <c r="J131" s="75"/>
      <c r="K131" s="75"/>
      <c r="L131" s="75"/>
      <c r="M131" s="75"/>
      <c r="N131" s="75"/>
      <c r="O131" s="75"/>
      <c r="P131" s="75"/>
    </row>
    <row r="132">
      <c r="A132" s="76" t="s">
        <v>368</v>
      </c>
      <c r="B132" s="77">
        <v>1378.0</v>
      </c>
      <c r="C132" s="77" t="b">
        <v>0</v>
      </c>
      <c r="D132" s="79" t="str">
        <f>IFERROR(__xludf.DUMMYFUNCTION("GOOGLETRANSLATE(A132,""ar"", ""en"")"),"90cm round natural wood table top")</f>
        <v>90cm round natural wood table top</v>
      </c>
      <c r="E132" s="76" t="s">
        <v>369</v>
      </c>
      <c r="F132" s="79"/>
      <c r="G132" s="75"/>
      <c r="H132" s="75"/>
      <c r="I132" s="75"/>
      <c r="J132" s="75"/>
      <c r="K132" s="75"/>
      <c r="L132" s="75"/>
      <c r="M132" s="75"/>
      <c r="N132" s="75"/>
      <c r="O132" s="75"/>
      <c r="P132" s="75"/>
    </row>
    <row r="133">
      <c r="A133" s="80" t="s">
        <v>371</v>
      </c>
      <c r="B133" s="77">
        <v>1379.0</v>
      </c>
      <c r="C133" s="77" t="b">
        <v>0</v>
      </c>
      <c r="D133" s="79" t="str">
        <f>IFERROR(__xludf.DUMMYFUNCTION("GOOGLETRANSLATE(A133,""ar"", ""en"")"),"Natural wood table top 150*90 cm")</f>
        <v>Natural wood table top 150*90 cm</v>
      </c>
      <c r="E133" s="80" t="s">
        <v>372</v>
      </c>
      <c r="F133" s="79"/>
      <c r="G133" s="75"/>
      <c r="H133" s="75"/>
      <c r="I133" s="75"/>
      <c r="J133" s="75"/>
      <c r="K133" s="75"/>
      <c r="L133" s="75"/>
      <c r="M133" s="75"/>
      <c r="N133" s="75"/>
      <c r="O133" s="75"/>
      <c r="P133" s="75"/>
    </row>
    <row r="134">
      <c r="A134" s="76" t="s">
        <v>374</v>
      </c>
      <c r="B134" s="77">
        <v>1380.0</v>
      </c>
      <c r="C134" s="77" t="b">
        <v>0</v>
      </c>
      <c r="D134" s="79" t="str">
        <f>IFERROR(__xludf.DUMMYFUNCTION("GOOGLETRANSLATE(A134,""ar"", ""en"")"),"TABLE BASE DOUBLE - Drilling")</f>
        <v>TABLE BASE DOUBLE - Drilling</v>
      </c>
      <c r="E134" s="76" t="s">
        <v>375</v>
      </c>
      <c r="F134" s="79"/>
      <c r="G134" s="75"/>
      <c r="H134" s="75"/>
      <c r="I134" s="75"/>
      <c r="J134" s="75"/>
      <c r="K134" s="75"/>
      <c r="L134" s="75"/>
      <c r="M134" s="75"/>
      <c r="N134" s="75"/>
      <c r="O134" s="75"/>
      <c r="P134" s="75"/>
    </row>
    <row r="135">
      <c r="A135" s="76" t="s">
        <v>377</v>
      </c>
      <c r="B135" s="77">
        <v>1385.0</v>
      </c>
      <c r="C135" s="77" t="b">
        <v>0</v>
      </c>
      <c r="D135" s="79" t="str">
        <f>IFERROR(__xludf.DUMMYFUNCTION("GOOGLETRANSLATE(A135,""ar"", ""en"")"),"a base")</f>
        <v>a base</v>
      </c>
      <c r="E135" s="76" t="s">
        <v>378</v>
      </c>
      <c r="F135" s="79"/>
      <c r="G135" s="75"/>
      <c r="H135" s="75"/>
      <c r="I135" s="75"/>
      <c r="J135" s="75"/>
      <c r="K135" s="75"/>
      <c r="L135" s="75"/>
      <c r="M135" s="75"/>
      <c r="N135" s="75"/>
      <c r="O135" s="75"/>
      <c r="P135" s="75"/>
    </row>
    <row r="136">
      <c r="A136" s="80" t="s">
        <v>380</v>
      </c>
      <c r="B136" s="77">
        <v>1386.0</v>
      </c>
      <c r="C136" s="77" t="b">
        <v>0</v>
      </c>
      <c r="D136" s="79" t="str">
        <f>IFERROR(__xludf.DUMMYFUNCTION("GOOGLETRANSLATE(A136,""ar"", ""en"")"),"80*80 square aluminum table with base")</f>
        <v>80*80 square aluminum table with base</v>
      </c>
      <c r="E136" s="80" t="s">
        <v>381</v>
      </c>
      <c r="F136" s="79"/>
      <c r="G136" s="75"/>
      <c r="H136" s="75"/>
      <c r="I136" s="75"/>
      <c r="J136" s="75"/>
      <c r="K136" s="75"/>
      <c r="L136" s="75"/>
      <c r="M136" s="75"/>
      <c r="N136" s="75"/>
      <c r="O136" s="75"/>
      <c r="P136" s="75"/>
    </row>
    <row r="137">
      <c r="A137" s="76" t="s">
        <v>384</v>
      </c>
      <c r="B137" s="77">
        <v>1391.0</v>
      </c>
      <c r="C137" s="77" t="b">
        <v>0</v>
      </c>
      <c r="D137" s="79" t="str">
        <f>IFERROR(__xludf.DUMMYFUNCTION("GOOGLETRANSLATE(A137,""ar"", ""en"")"),"115 cm round table")</f>
        <v>115 cm round table</v>
      </c>
      <c r="E137" s="76" t="s">
        <v>385</v>
      </c>
      <c r="F137" s="79"/>
      <c r="G137" s="75"/>
      <c r="H137" s="75"/>
      <c r="I137" s="75"/>
      <c r="J137" s="75"/>
      <c r="K137" s="75"/>
      <c r="L137" s="75"/>
      <c r="M137" s="75"/>
      <c r="N137" s="75"/>
      <c r="O137" s="75"/>
      <c r="P137" s="75"/>
    </row>
    <row r="138">
      <c r="A138" s="80" t="s">
        <v>387</v>
      </c>
      <c r="B138" s="77">
        <v>1392.0</v>
      </c>
      <c r="C138" s="77" t="b">
        <v>0</v>
      </c>
      <c r="D138" s="79" t="str">
        <f>IFERROR(__xludf.DUMMYFUNCTION("GOOGLETRANSLATE(A138,""ar"", ""en"")"),"Rectangular table 153*76 cm")</f>
        <v>Rectangular table 153*76 cm</v>
      </c>
      <c r="E138" s="80" t="s">
        <v>388</v>
      </c>
      <c r="F138" s="79"/>
      <c r="G138" s="75"/>
      <c r="H138" s="75"/>
      <c r="I138" s="75"/>
      <c r="J138" s="75"/>
      <c r="K138" s="75"/>
      <c r="L138" s="75"/>
      <c r="M138" s="75"/>
      <c r="N138" s="75"/>
      <c r="O138" s="75"/>
      <c r="P138" s="75"/>
    </row>
    <row r="139">
      <c r="A139" s="76" t="s">
        <v>387</v>
      </c>
      <c r="B139" s="77">
        <v>1393.0</v>
      </c>
      <c r="C139" s="77" t="b">
        <v>0</v>
      </c>
      <c r="D139" s="79" t="str">
        <f>IFERROR(__xludf.DUMMYFUNCTION("GOOGLETRANSLATE(A139,""ar"", ""en"")"),"Rectangular table 153*76 cm")</f>
        <v>Rectangular table 153*76 cm</v>
      </c>
      <c r="E139" s="76" t="s">
        <v>390</v>
      </c>
      <c r="F139" s="79"/>
      <c r="G139" s="75"/>
      <c r="H139" s="75"/>
      <c r="I139" s="75"/>
      <c r="J139" s="75"/>
      <c r="K139" s="75"/>
      <c r="L139" s="75"/>
      <c r="M139" s="75"/>
      <c r="N139" s="75"/>
      <c r="O139" s="75"/>
      <c r="P139" s="75"/>
    </row>
    <row r="140">
      <c r="A140" s="80" t="s">
        <v>391</v>
      </c>
      <c r="B140" s="77">
        <v>1394.0</v>
      </c>
      <c r="C140" s="77" t="b">
        <v>0</v>
      </c>
      <c r="D140" s="79" t="str">
        <f>IFERROR(__xludf.DUMMYFUNCTION("GOOGLETRANSLATE(A140,""ar"", ""en"")"),"Round table 154 cm")</f>
        <v>Round table 154 cm</v>
      </c>
      <c r="E140" s="80" t="s">
        <v>392</v>
      </c>
      <c r="F140" s="79"/>
      <c r="G140" s="75"/>
      <c r="H140" s="75"/>
      <c r="I140" s="75"/>
      <c r="J140" s="75"/>
      <c r="K140" s="75"/>
      <c r="L140" s="75"/>
      <c r="M140" s="75"/>
      <c r="N140" s="75"/>
      <c r="O140" s="75"/>
      <c r="P140" s="75"/>
    </row>
    <row r="141">
      <c r="A141" s="76" t="s">
        <v>394</v>
      </c>
      <c r="B141" s="77">
        <v>1395.0</v>
      </c>
      <c r="C141" s="77" t="b">
        <v>0</v>
      </c>
      <c r="D141" s="79" t="str">
        <f>IFERROR(__xludf.DUMMYFUNCTION("GOOGLETRANSLATE(A141,""ar"", ""en"")"),"FOLD / Round table 154 cm")</f>
        <v>FOLD / Round table 154 cm</v>
      </c>
      <c r="E141" s="76" t="s">
        <v>395</v>
      </c>
      <c r="F141" s="79"/>
      <c r="G141" s="75"/>
      <c r="H141" s="75"/>
      <c r="I141" s="75"/>
      <c r="J141" s="75"/>
      <c r="K141" s="75"/>
      <c r="L141" s="75"/>
      <c r="M141" s="75"/>
      <c r="N141" s="75"/>
      <c r="O141" s="75"/>
      <c r="P141" s="75"/>
    </row>
    <row r="142">
      <c r="A142" s="80" t="s">
        <v>397</v>
      </c>
      <c r="B142" s="77">
        <v>1396.0</v>
      </c>
      <c r="C142" s="77" t="b">
        <v>0</v>
      </c>
      <c r="D142" s="79" t="str">
        <f>IFERROR(__xludf.DUMMYFUNCTION("GOOGLETRANSLATE(A142,""ar"", ""en"")"),"Table 172*82 cm")</f>
        <v>Table 172*82 cm</v>
      </c>
      <c r="E142" s="80" t="s">
        <v>398</v>
      </c>
      <c r="F142" s="79"/>
      <c r="G142" s="75"/>
      <c r="H142" s="75"/>
      <c r="I142" s="75"/>
      <c r="J142" s="75"/>
      <c r="K142" s="75"/>
      <c r="L142" s="75"/>
      <c r="M142" s="75"/>
      <c r="N142" s="75"/>
      <c r="O142" s="75"/>
      <c r="P142" s="75"/>
    </row>
    <row r="143">
      <c r="A143" s="76" t="s">
        <v>400</v>
      </c>
      <c r="B143" s="77">
        <v>1397.0</v>
      </c>
      <c r="C143" s="77" t="b">
        <v>0</v>
      </c>
      <c r="D143" s="79" t="str">
        <f>IFERROR(__xludf.DUMMYFUNCTION("GOOGLETRANSLATE(A143,""ar"", ""en"")"),"180 cm round table")</f>
        <v>180 cm round table</v>
      </c>
      <c r="E143" s="76" t="s">
        <v>401</v>
      </c>
      <c r="F143" s="79"/>
      <c r="G143" s="75"/>
      <c r="H143" s="75"/>
      <c r="I143" s="75"/>
      <c r="J143" s="75"/>
      <c r="K143" s="75"/>
      <c r="L143" s="75"/>
      <c r="M143" s="75"/>
      <c r="N143" s="75"/>
      <c r="O143" s="75"/>
      <c r="P143" s="75"/>
    </row>
    <row r="144">
      <c r="A144" s="80" t="s">
        <v>403</v>
      </c>
      <c r="B144" s="77">
        <v>1398.0</v>
      </c>
      <c r="C144" s="77" t="b">
        <v>0</v>
      </c>
      <c r="D144" s="79" t="str">
        <f>IFERROR(__xludf.DUMMYFUNCTION("GOOGLETRANSLATE(A144,""ar"", ""en"")"),"FOLD / Rectangular table 183*76 cm")</f>
        <v>FOLD / Rectangular table 183*76 cm</v>
      </c>
      <c r="E144" s="80" t="s">
        <v>404</v>
      </c>
      <c r="F144" s="79"/>
      <c r="G144" s="75"/>
      <c r="H144" s="75"/>
      <c r="I144" s="75"/>
      <c r="J144" s="75"/>
      <c r="K144" s="75"/>
      <c r="L144" s="75"/>
      <c r="M144" s="75"/>
      <c r="N144" s="75"/>
      <c r="O144" s="75"/>
      <c r="P144" s="75"/>
    </row>
    <row r="145">
      <c r="A145" s="76" t="s">
        <v>406</v>
      </c>
      <c r="B145" s="77">
        <v>1399.0</v>
      </c>
      <c r="C145" s="77" t="b">
        <v>0</v>
      </c>
      <c r="D145" s="79" t="str">
        <f>IFERROR(__xludf.DUMMYFUNCTION("GOOGLETRANSLATE(A145,""ar"", ""en"")"),"Rectangular table 201*90 cm")</f>
        <v>Rectangular table 201*90 cm</v>
      </c>
      <c r="E145" s="76" t="s">
        <v>407</v>
      </c>
      <c r="F145" s="79"/>
      <c r="G145" s="75"/>
      <c r="H145" s="75"/>
      <c r="I145" s="75"/>
      <c r="J145" s="75"/>
      <c r="K145" s="75"/>
      <c r="L145" s="75"/>
      <c r="M145" s="75"/>
      <c r="N145" s="75"/>
      <c r="O145" s="75"/>
      <c r="P145" s="75"/>
    </row>
    <row r="146">
      <c r="A146" s="80" t="s">
        <v>409</v>
      </c>
      <c r="B146" s="77">
        <v>1400.0</v>
      </c>
      <c r="C146" s="77" t="b">
        <v>0</v>
      </c>
      <c r="D146" s="79" t="str">
        <f>IFERROR(__xludf.DUMMYFUNCTION("GOOGLETRANSLATE(A146,""ar"", ""en"")"),"Rectangular table 244*76 cm")</f>
        <v>Rectangular table 244*76 cm</v>
      </c>
      <c r="E146" s="80" t="s">
        <v>410</v>
      </c>
      <c r="F146" s="79"/>
      <c r="G146" s="75"/>
      <c r="H146" s="75"/>
      <c r="I146" s="75"/>
      <c r="J146" s="75"/>
      <c r="K146" s="75"/>
      <c r="L146" s="75"/>
      <c r="M146" s="75"/>
      <c r="N146" s="75"/>
      <c r="O146" s="75"/>
      <c r="P146" s="75"/>
    </row>
    <row r="147">
      <c r="A147" s="76" t="s">
        <v>412</v>
      </c>
      <c r="B147" s="77">
        <v>1401.0</v>
      </c>
      <c r="C147" s="77" t="b">
        <v>0</v>
      </c>
      <c r="D147" s="79" t="str">
        <f>IFERROR(__xludf.DUMMYFUNCTION("GOOGLETRANSLATE(A147,""ar"", ""en"")"),"60 cm round table")</f>
        <v>60 cm round table</v>
      </c>
      <c r="E147" s="76" t="s">
        <v>413</v>
      </c>
      <c r="F147" s="79"/>
      <c r="G147" s="75"/>
      <c r="H147" s="75"/>
      <c r="I147" s="75"/>
      <c r="J147" s="75"/>
      <c r="K147" s="75"/>
      <c r="L147" s="75"/>
      <c r="M147" s="75"/>
      <c r="N147" s="75"/>
      <c r="O147" s="75"/>
      <c r="P147" s="75"/>
    </row>
    <row r="148">
      <c r="A148" s="80" t="s">
        <v>415</v>
      </c>
      <c r="B148" s="77">
        <v>1402.0</v>
      </c>
      <c r="C148" s="77" t="b">
        <v>0</v>
      </c>
      <c r="D148" s="79" t="str">
        <f>IFERROR(__xludf.DUMMYFUNCTION("GOOGLETRANSLATE(A148,""ar"", ""en"")"),"table")</f>
        <v>table</v>
      </c>
      <c r="E148" s="80" t="s">
        <v>416</v>
      </c>
      <c r="F148" s="79"/>
      <c r="G148" s="75"/>
      <c r="H148" s="75"/>
      <c r="I148" s="75"/>
      <c r="J148" s="75"/>
      <c r="K148" s="75"/>
      <c r="L148" s="75"/>
      <c r="M148" s="75"/>
      <c r="N148" s="75"/>
      <c r="O148" s="75"/>
      <c r="P148" s="75"/>
    </row>
    <row r="149">
      <c r="A149" s="76" t="s">
        <v>418</v>
      </c>
      <c r="B149" s="77">
        <v>1403.0</v>
      </c>
      <c r="C149" s="77" t="b">
        <v>0</v>
      </c>
      <c r="D149" s="79" t="str">
        <f>IFERROR(__xludf.DUMMYFUNCTION("GOOGLETRANSLATE(A149,""ar"", ""en"")"),"80 cm round table")</f>
        <v>80 cm round table</v>
      </c>
      <c r="E149" s="76" t="s">
        <v>419</v>
      </c>
      <c r="F149" s="79"/>
      <c r="G149" s="75"/>
      <c r="H149" s="75"/>
      <c r="I149" s="75"/>
      <c r="J149" s="75"/>
      <c r="K149" s="75"/>
      <c r="L149" s="75"/>
      <c r="M149" s="75"/>
      <c r="N149" s="75"/>
      <c r="O149" s="75"/>
      <c r="P149" s="75"/>
    </row>
    <row r="150">
      <c r="A150" s="80" t="s">
        <v>421</v>
      </c>
      <c r="B150" s="77">
        <v>1404.0</v>
      </c>
      <c r="C150" s="77" t="b">
        <v>0</v>
      </c>
      <c r="D150" s="79" t="str">
        <f>IFERROR(__xludf.DUMMYFUNCTION("GOOGLETRANSLATE(A150,""ar"", ""en"")"),"square table")</f>
        <v>square table</v>
      </c>
      <c r="E150" s="80" t="s">
        <v>422</v>
      </c>
      <c r="F150" s="79"/>
      <c r="G150" s="75"/>
      <c r="H150" s="75"/>
      <c r="I150" s="75"/>
      <c r="J150" s="75"/>
      <c r="K150" s="75"/>
      <c r="L150" s="75"/>
      <c r="M150" s="75"/>
      <c r="N150" s="75"/>
      <c r="O150" s="75"/>
      <c r="P150" s="75"/>
    </row>
    <row r="151">
      <c r="A151" s="80" t="s">
        <v>424</v>
      </c>
      <c r="B151" s="77">
        <v>1408.0</v>
      </c>
      <c r="C151" s="77" t="b">
        <v>0</v>
      </c>
      <c r="D151" s="79" t="str">
        <f>IFERROR(__xludf.DUMMYFUNCTION("GOOGLETRANSLATE(A151,""ar"", ""en"")"),"110*70 wood face")</f>
        <v>110*70 wood face</v>
      </c>
      <c r="E151" s="80" t="s">
        <v>425</v>
      </c>
      <c r="F151" s="81" t="s">
        <v>426</v>
      </c>
      <c r="G151" s="75"/>
      <c r="H151" s="75"/>
      <c r="I151" s="75"/>
      <c r="J151" s="75"/>
      <c r="K151" s="75"/>
      <c r="L151" s="75"/>
      <c r="M151" s="75"/>
      <c r="N151" s="75"/>
      <c r="O151" s="75"/>
      <c r="P151" s="75"/>
    </row>
    <row r="152">
      <c r="A152" s="76" t="s">
        <v>428</v>
      </c>
      <c r="B152" s="77">
        <v>1409.0</v>
      </c>
      <c r="C152" s="77" t="b">
        <v>0</v>
      </c>
      <c r="D152" s="79" t="str">
        <f>IFERROR(__xludf.DUMMYFUNCTION("GOOGLETRANSLATE(A152,""ar"", ""en"")"),"60*60 wood face")</f>
        <v>60*60 wood face</v>
      </c>
      <c r="E152" s="76" t="s">
        <v>429</v>
      </c>
      <c r="F152" s="79"/>
      <c r="G152" s="75"/>
      <c r="H152" s="75"/>
      <c r="I152" s="75"/>
      <c r="J152" s="75"/>
      <c r="K152" s="75"/>
      <c r="L152" s="75"/>
      <c r="M152" s="75"/>
      <c r="N152" s="75"/>
      <c r="O152" s="75"/>
      <c r="P152" s="75"/>
    </row>
    <row r="153">
      <c r="A153" s="76" t="s">
        <v>431</v>
      </c>
      <c r="B153" s="77">
        <v>1412.0</v>
      </c>
      <c r="C153" s="77" t="b">
        <v>0</v>
      </c>
      <c r="D153" s="79" t="str">
        <f>IFERROR(__xludf.DUMMYFUNCTION("GOOGLETRANSLATE(A153,""ar"", ""en"")"),"3-seat aluminum set")</f>
        <v>3-seat aluminum set</v>
      </c>
      <c r="E153" s="76" t="s">
        <v>432</v>
      </c>
      <c r="F153" s="79"/>
      <c r="G153" s="75"/>
      <c r="H153" s="75"/>
      <c r="I153" s="75"/>
      <c r="J153" s="75"/>
      <c r="K153" s="75"/>
      <c r="L153" s="75"/>
      <c r="M153" s="75"/>
      <c r="N153" s="75"/>
      <c r="O153" s="75"/>
      <c r="P153" s="75"/>
    </row>
    <row r="154">
      <c r="A154" s="80" t="s">
        <v>434</v>
      </c>
      <c r="B154" s="77">
        <v>1413.0</v>
      </c>
      <c r="C154" s="77" t="b">
        <v>0</v>
      </c>
      <c r="D154" s="79" t="str">
        <f>IFERROR(__xludf.DUMMYFUNCTION("GOOGLETRANSLATE(A154,""ar"", ""en"")"),"Aluminum set 1+1+3")</f>
        <v>Aluminum set 1+1+3</v>
      </c>
      <c r="E154" s="80" t="s">
        <v>435</v>
      </c>
      <c r="F154" s="79"/>
      <c r="G154" s="75"/>
      <c r="H154" s="75"/>
      <c r="I154" s="75"/>
      <c r="J154" s="75"/>
      <c r="K154" s="75"/>
      <c r="L154" s="75"/>
      <c r="M154" s="75"/>
      <c r="N154" s="75"/>
      <c r="O154" s="75"/>
      <c r="P154" s="75"/>
    </row>
    <row r="155">
      <c r="A155" s="80" t="s">
        <v>431</v>
      </c>
      <c r="B155" s="77">
        <v>1415.0</v>
      </c>
      <c r="C155" s="77" t="b">
        <v>0</v>
      </c>
      <c r="D155" s="79" t="str">
        <f>IFERROR(__xludf.DUMMYFUNCTION("GOOGLETRANSLATE(A155,""ar"", ""en"")"),"3-seat aluminum set")</f>
        <v>3-seat aluminum set</v>
      </c>
      <c r="E155" s="80" t="s">
        <v>437</v>
      </c>
      <c r="F155" s="79"/>
      <c r="G155" s="75"/>
      <c r="H155" s="75"/>
      <c r="I155" s="75"/>
      <c r="J155" s="75"/>
      <c r="K155" s="75"/>
      <c r="L155" s="75"/>
      <c r="M155" s="75"/>
      <c r="N155" s="75"/>
      <c r="O155" s="75"/>
      <c r="P155" s="75"/>
    </row>
    <row r="156">
      <c r="A156" s="76" t="s">
        <v>438</v>
      </c>
      <c r="B156" s="77">
        <v>1416.0</v>
      </c>
      <c r="C156" s="77" t="b">
        <v>0</v>
      </c>
      <c r="D156" s="79" t="str">
        <f>IFERROR(__xludf.DUMMYFUNCTION("GOOGLETRANSLATE(A156,""ar"", ""en"")"),"Aluminum set 1+2+3")</f>
        <v>Aluminum set 1+2+3</v>
      </c>
      <c r="E156" s="76" t="s">
        <v>439</v>
      </c>
      <c r="F156" s="79"/>
      <c r="G156" s="75"/>
      <c r="H156" s="75"/>
      <c r="I156" s="75"/>
      <c r="J156" s="75"/>
      <c r="K156" s="75"/>
      <c r="L156" s="75"/>
      <c r="M156" s="75"/>
      <c r="N156" s="75"/>
      <c r="O156" s="75"/>
      <c r="P156" s="75"/>
    </row>
    <row r="157">
      <c r="A157" s="80" t="s">
        <v>431</v>
      </c>
      <c r="B157" s="77">
        <v>1417.0</v>
      </c>
      <c r="C157" s="77" t="b">
        <v>0</v>
      </c>
      <c r="D157" s="79" t="str">
        <f>IFERROR(__xludf.DUMMYFUNCTION("GOOGLETRANSLATE(A157,""ar"", ""en"")"),"3-seat aluminum set")</f>
        <v>3-seat aluminum set</v>
      </c>
      <c r="E157" s="80" t="s">
        <v>441</v>
      </c>
      <c r="F157" s="79"/>
      <c r="G157" s="75"/>
      <c r="H157" s="75"/>
      <c r="I157" s="75"/>
      <c r="J157" s="75"/>
      <c r="K157" s="75"/>
      <c r="L157" s="75"/>
      <c r="M157" s="75"/>
      <c r="N157" s="75"/>
      <c r="O157" s="75"/>
      <c r="P157" s="75"/>
    </row>
    <row r="158">
      <c r="A158" s="80" t="s">
        <v>442</v>
      </c>
      <c r="B158" s="77">
        <v>1419.0</v>
      </c>
      <c r="C158" s="77" t="b">
        <v>0</v>
      </c>
      <c r="D158" s="79" t="str">
        <f>IFERROR(__xludf.DUMMYFUNCTION("GOOGLETRANSLATE(A158,""ar"", ""en"")"),"7-seat aluminum set")</f>
        <v>7-seat aluminum set</v>
      </c>
      <c r="E158" s="80" t="s">
        <v>443</v>
      </c>
      <c r="F158" s="79"/>
      <c r="G158" s="75"/>
      <c r="H158" s="75"/>
      <c r="I158" s="75"/>
      <c r="J158" s="75"/>
      <c r="K158" s="75"/>
      <c r="L158" s="75"/>
      <c r="M158" s="75"/>
      <c r="N158" s="75"/>
      <c r="O158" s="75"/>
      <c r="P158" s="75"/>
    </row>
    <row r="159">
      <c r="A159" s="80" t="s">
        <v>431</v>
      </c>
      <c r="B159" s="77">
        <v>1423.0</v>
      </c>
      <c r="C159" s="77" t="b">
        <v>0</v>
      </c>
      <c r="D159" s="79" t="str">
        <f>IFERROR(__xludf.DUMMYFUNCTION("GOOGLETRANSLATE(A159,""ar"", ""en"")"),"3-seat aluminum set")</f>
        <v>3-seat aluminum set</v>
      </c>
      <c r="E159" s="80" t="s">
        <v>445</v>
      </c>
      <c r="F159" s="79"/>
      <c r="G159" s="75"/>
      <c r="H159" s="75"/>
      <c r="I159" s="75"/>
      <c r="J159" s="75"/>
      <c r="K159" s="75"/>
      <c r="L159" s="75"/>
      <c r="M159" s="75"/>
      <c r="N159" s="75"/>
      <c r="O159" s="75"/>
      <c r="P159" s="75"/>
    </row>
    <row r="160">
      <c r="A160" s="80" t="s">
        <v>446</v>
      </c>
      <c r="B160" s="77">
        <v>1425.0</v>
      </c>
      <c r="C160" s="77" t="b">
        <v>0</v>
      </c>
      <c r="D160" s="79" t="str">
        <f>IFERROR(__xludf.DUMMYFUNCTION("GOOGLETRANSLATE(A160,""ar"", ""en"")"),"70 round aluminum table")</f>
        <v>70 round aluminum table</v>
      </c>
      <c r="E160" s="80" t="s">
        <v>447</v>
      </c>
      <c r="F160" s="79"/>
      <c r="G160" s="75"/>
      <c r="H160" s="75"/>
      <c r="I160" s="75"/>
      <c r="J160" s="75"/>
      <c r="K160" s="75"/>
      <c r="L160" s="75"/>
      <c r="M160" s="75"/>
      <c r="N160" s="75"/>
      <c r="O160" s="75"/>
      <c r="P160" s="75"/>
    </row>
    <row r="161">
      <c r="A161" s="80" t="s">
        <v>449</v>
      </c>
      <c r="B161" s="77">
        <v>1427.0</v>
      </c>
      <c r="C161" s="77" t="b">
        <v>0</v>
      </c>
      <c r="D161" s="79" t="str">
        <f>IFERROR(__xludf.DUMMYFUNCTION("GOOGLETRANSLATE(A161,""ar"", ""en"")"),"Aluminum table 80*80")</f>
        <v>Aluminum table 80*80</v>
      </c>
      <c r="E161" s="80" t="s">
        <v>450</v>
      </c>
      <c r="F161" s="79"/>
      <c r="G161" s="75"/>
      <c r="H161" s="75"/>
      <c r="I161" s="75"/>
      <c r="J161" s="75"/>
      <c r="K161" s="75"/>
      <c r="L161" s="75"/>
      <c r="M161" s="75"/>
      <c r="N161" s="75"/>
      <c r="O161" s="75"/>
      <c r="P161" s="75"/>
    </row>
    <row r="162">
      <c r="A162" s="76" t="s">
        <v>452</v>
      </c>
      <c r="B162" s="77">
        <v>1428.0</v>
      </c>
      <c r="C162" s="77" t="b">
        <v>0</v>
      </c>
      <c r="D162" s="79" t="str">
        <f>IFERROR(__xludf.DUMMYFUNCTION("GOOGLETRANSLATE(A162,""ar"", ""en"")"),"BLK Aluminum Table with Glass 80cm Round")</f>
        <v>BLK Aluminum Table with Glass 80cm Round</v>
      </c>
      <c r="E162" s="76" t="s">
        <v>453</v>
      </c>
      <c r="F162" s="79"/>
      <c r="G162" s="75"/>
      <c r="H162" s="75"/>
      <c r="I162" s="75"/>
      <c r="J162" s="75"/>
      <c r="K162" s="75"/>
      <c r="L162" s="75"/>
      <c r="M162" s="75"/>
      <c r="N162" s="75"/>
      <c r="O162" s="75"/>
      <c r="P162" s="75"/>
    </row>
    <row r="163">
      <c r="A163" s="80" t="s">
        <v>455</v>
      </c>
      <c r="B163" s="77">
        <v>1429.0</v>
      </c>
      <c r="C163" s="77" t="b">
        <v>0</v>
      </c>
      <c r="D163" s="79" t="str">
        <f>IFERROR(__xludf.DUMMYFUNCTION("GOOGLETRANSLATE(A163,""ar"", ""en"")"),"COFFEE Aluminum table with glass 80 cm round")</f>
        <v>COFFEE Aluminum table with glass 80 cm round</v>
      </c>
      <c r="E163" s="80" t="s">
        <v>456</v>
      </c>
      <c r="F163" s="79"/>
      <c r="G163" s="75"/>
      <c r="H163" s="75"/>
      <c r="I163" s="75"/>
      <c r="J163" s="75"/>
      <c r="K163" s="75"/>
      <c r="L163" s="75"/>
      <c r="M163" s="75"/>
      <c r="N163" s="75"/>
      <c r="O163" s="75"/>
      <c r="P163" s="75"/>
    </row>
    <row r="164">
      <c r="A164" s="76" t="s">
        <v>458</v>
      </c>
      <c r="B164" s="77">
        <v>1430.0</v>
      </c>
      <c r="C164" s="77" t="b">
        <v>0</v>
      </c>
      <c r="D164" s="79" t="str">
        <f>IFERROR(__xludf.DUMMYFUNCTION("GOOGLETRANSLATE(A164,""ar"", ""en"")"),"Aluminum table with glass 80*80 cm square")</f>
        <v>Aluminum table with glass 80*80 cm square</v>
      </c>
      <c r="E164" s="76" t="s">
        <v>459</v>
      </c>
      <c r="F164" s="79"/>
      <c r="G164" s="75"/>
      <c r="H164" s="75"/>
      <c r="I164" s="75"/>
      <c r="J164" s="75"/>
      <c r="K164" s="75"/>
      <c r="L164" s="75"/>
      <c r="M164" s="75"/>
      <c r="N164" s="75"/>
      <c r="O164" s="75"/>
      <c r="P164" s="75"/>
    </row>
    <row r="165">
      <c r="A165" s="80" t="s">
        <v>461</v>
      </c>
      <c r="B165" s="77">
        <v>1431.0</v>
      </c>
      <c r="C165" s="77" t="b">
        <v>0</v>
      </c>
      <c r="D165" s="79" t="str">
        <f>IFERROR(__xludf.DUMMYFUNCTION("GOOGLETRANSLATE(A165,""ar"", ""en"")"),"BLK Aluminum Table with Glass 80*120 cm")</f>
        <v>BLK Aluminum Table with Glass 80*120 cm</v>
      </c>
      <c r="E165" s="80" t="s">
        <v>462</v>
      </c>
      <c r="F165" s="79"/>
      <c r="G165" s="75"/>
      <c r="H165" s="75"/>
      <c r="I165" s="75"/>
      <c r="J165" s="75"/>
      <c r="K165" s="75"/>
      <c r="L165" s="75"/>
      <c r="M165" s="75"/>
      <c r="N165" s="75"/>
      <c r="O165" s="75"/>
      <c r="P165" s="75"/>
    </row>
    <row r="166">
      <c r="A166" s="76" t="s">
        <v>464</v>
      </c>
      <c r="B166" s="77">
        <v>1432.0</v>
      </c>
      <c r="C166" s="77" t="b">
        <v>0</v>
      </c>
      <c r="D166" s="79" t="str">
        <f>IFERROR(__xludf.DUMMYFUNCTION("GOOGLETRANSLATE(A166,""ar"", ""en"")"),"COFFEE Aluminum table with glass 80*120 cm")</f>
        <v>COFFEE Aluminum table with glass 80*120 cm</v>
      </c>
      <c r="E166" s="76" t="s">
        <v>465</v>
      </c>
      <c r="F166" s="79"/>
      <c r="G166" s="75"/>
      <c r="H166" s="75"/>
      <c r="I166" s="75"/>
      <c r="J166" s="75"/>
      <c r="K166" s="75"/>
      <c r="L166" s="75"/>
      <c r="M166" s="75"/>
      <c r="N166" s="75"/>
      <c r="O166" s="75"/>
      <c r="P166" s="75"/>
    </row>
    <row r="167">
      <c r="A167" s="80" t="s">
        <v>467</v>
      </c>
      <c r="B167" s="77">
        <v>1433.0</v>
      </c>
      <c r="C167" s="77" t="b">
        <v>0</v>
      </c>
      <c r="D167" s="79" t="str">
        <f>IFERROR(__xludf.DUMMYFUNCTION("GOOGLETRANSLATE(A167,""ar"", ""en"")"),"BLK Aluminum Table with Glass 105 cm Round")</f>
        <v>BLK Aluminum Table with Glass 105 cm Round</v>
      </c>
      <c r="E167" s="80" t="s">
        <v>468</v>
      </c>
      <c r="F167" s="79"/>
      <c r="G167" s="75"/>
      <c r="H167" s="75"/>
      <c r="I167" s="75"/>
      <c r="J167" s="75"/>
      <c r="K167" s="75"/>
      <c r="L167" s="75"/>
      <c r="M167" s="75"/>
      <c r="N167" s="75"/>
      <c r="O167" s="75"/>
      <c r="P167" s="75"/>
    </row>
    <row r="168">
      <c r="A168" s="76" t="s">
        <v>470</v>
      </c>
      <c r="B168" s="77">
        <v>1434.0</v>
      </c>
      <c r="C168" s="77" t="b">
        <v>0</v>
      </c>
      <c r="D168" s="79" t="str">
        <f>IFERROR(__xludf.DUMMYFUNCTION("GOOGLETRANSLATE(A168,""ar"", ""en"")"),"COFFEE Aluminum Table with Glass 105 cm Round")</f>
        <v>COFFEE Aluminum Table with Glass 105 cm Round</v>
      </c>
      <c r="E168" s="76" t="s">
        <v>471</v>
      </c>
      <c r="F168" s="79"/>
      <c r="G168" s="75"/>
      <c r="H168" s="75"/>
      <c r="I168" s="75"/>
      <c r="J168" s="75"/>
      <c r="K168" s="75"/>
      <c r="L168" s="75"/>
      <c r="M168" s="75"/>
      <c r="N168" s="75"/>
      <c r="O168" s="75"/>
      <c r="P168" s="75"/>
    </row>
    <row r="169">
      <c r="A169" s="80" t="s">
        <v>473</v>
      </c>
      <c r="B169" s="77">
        <v>1435.0</v>
      </c>
      <c r="C169" s="77" t="b">
        <v>0</v>
      </c>
      <c r="D169" s="79" t="str">
        <f>IFERROR(__xludf.DUMMYFUNCTION("GOOGLETRANSLATE(A169,""ar"", ""en"")"),"COFFEE Aluminum table with glass 90*150 cm")</f>
        <v>COFFEE Aluminum table with glass 90*150 cm</v>
      </c>
      <c r="E169" s="80" t="s">
        <v>474</v>
      </c>
      <c r="F169" s="79"/>
      <c r="G169" s="75"/>
      <c r="H169" s="75"/>
      <c r="I169" s="75"/>
      <c r="J169" s="75"/>
      <c r="K169" s="75"/>
      <c r="L169" s="75"/>
      <c r="M169" s="75"/>
      <c r="N169" s="75"/>
      <c r="O169" s="75"/>
      <c r="P169" s="75"/>
    </row>
    <row r="170">
      <c r="A170" s="76" t="s">
        <v>476</v>
      </c>
      <c r="B170" s="77">
        <v>1436.0</v>
      </c>
      <c r="C170" s="77" t="b">
        <v>0</v>
      </c>
      <c r="D170" s="79" t="str">
        <f>IFERROR(__xludf.DUMMYFUNCTION("GOOGLETRANSLATE(A170,""ar"", ""en"")"),"BLK Aluminum Table with Glass 90*150 cm")</f>
        <v>BLK Aluminum Table with Glass 90*150 cm</v>
      </c>
      <c r="E170" s="76" t="s">
        <v>477</v>
      </c>
      <c r="F170" s="79"/>
      <c r="G170" s="75"/>
      <c r="H170" s="75"/>
      <c r="I170" s="75"/>
      <c r="J170" s="75"/>
      <c r="K170" s="75"/>
      <c r="L170" s="75"/>
      <c r="M170" s="75"/>
      <c r="N170" s="75"/>
      <c r="O170" s="75"/>
      <c r="P170" s="75"/>
    </row>
    <row r="171">
      <c r="A171" s="80" t="s">
        <v>479</v>
      </c>
      <c r="B171" s="77">
        <v>1437.0</v>
      </c>
      <c r="C171" s="77" t="b">
        <v>0</v>
      </c>
      <c r="D171" s="79" t="str">
        <f>IFERROR(__xludf.DUMMYFUNCTION("GOOGLETRANSLATE(A171,""ar"", ""en"")"),"BLK Aluminum Set 80*80 Square Table + 4 Chairs")</f>
        <v>BLK Aluminum Set 80*80 Square Table + 4 Chairs</v>
      </c>
      <c r="E171" s="80" t="s">
        <v>480</v>
      </c>
      <c r="F171" s="79"/>
      <c r="G171" s="75"/>
      <c r="H171" s="75"/>
      <c r="I171" s="75"/>
      <c r="J171" s="75"/>
      <c r="K171" s="75"/>
      <c r="L171" s="75"/>
      <c r="M171" s="75"/>
      <c r="N171" s="75"/>
      <c r="O171" s="75"/>
      <c r="P171" s="75"/>
    </row>
    <row r="172">
      <c r="A172" s="76" t="s">
        <v>482</v>
      </c>
      <c r="B172" s="77">
        <v>1438.0</v>
      </c>
      <c r="C172" s="77" t="b">
        <v>0</v>
      </c>
      <c r="D172" s="79" t="str">
        <f>IFERROR(__xludf.DUMMYFUNCTION("GOOGLETRANSLATE(A172,""ar"", ""en"")"),"BLK Aluminum Table Set 90*150 cm + 6 Chairs")</f>
        <v>BLK Aluminum Table Set 90*150 cm + 6 Chairs</v>
      </c>
      <c r="E172" s="76" t="s">
        <v>483</v>
      </c>
      <c r="F172" s="79"/>
      <c r="G172" s="75"/>
      <c r="H172" s="75"/>
      <c r="I172" s="75"/>
      <c r="J172" s="75"/>
      <c r="K172" s="75"/>
      <c r="L172" s="75"/>
      <c r="M172" s="75"/>
      <c r="N172" s="75"/>
      <c r="O172" s="75"/>
      <c r="P172" s="75"/>
    </row>
    <row r="173">
      <c r="A173" s="80" t="s">
        <v>431</v>
      </c>
      <c r="B173" s="77">
        <v>1439.0</v>
      </c>
      <c r="C173" s="77" t="b">
        <v>0</v>
      </c>
      <c r="D173" s="79" t="str">
        <f>IFERROR(__xludf.DUMMYFUNCTION("GOOGLETRANSLATE(A173,""ar"", ""en"")"),"3-seat aluminum set")</f>
        <v>3-seat aluminum set</v>
      </c>
      <c r="E173" s="80" t="s">
        <v>485</v>
      </c>
      <c r="F173" s="79"/>
      <c r="G173" s="75"/>
      <c r="H173" s="75"/>
      <c r="I173" s="75"/>
      <c r="J173" s="75"/>
      <c r="K173" s="75"/>
      <c r="L173" s="75"/>
      <c r="M173" s="75"/>
      <c r="N173" s="75"/>
      <c r="O173" s="75"/>
      <c r="P173" s="75"/>
    </row>
    <row r="174">
      <c r="A174" s="76" t="s">
        <v>486</v>
      </c>
      <c r="B174" s="77">
        <v>1440.0</v>
      </c>
      <c r="C174" s="77" t="b">
        <v>0</v>
      </c>
      <c r="D174" s="79" t="str">
        <f>IFERROR(__xludf.DUMMYFUNCTION("GOOGLETRANSLATE(A174,""ar"", ""en"")"),"GREY 3-Seater Aluminum Set")</f>
        <v>GREY 3-Seater Aluminum Set</v>
      </c>
      <c r="E174" s="76" t="s">
        <v>487</v>
      </c>
      <c r="F174" s="79"/>
      <c r="G174" s="75"/>
      <c r="H174" s="75"/>
      <c r="I174" s="75"/>
      <c r="J174" s="75"/>
      <c r="K174" s="75"/>
      <c r="L174" s="75"/>
      <c r="M174" s="75"/>
      <c r="N174" s="75"/>
      <c r="O174" s="75"/>
      <c r="P174" s="75"/>
    </row>
    <row r="175">
      <c r="A175" s="80" t="s">
        <v>489</v>
      </c>
      <c r="B175" s="77">
        <v>1441.0</v>
      </c>
      <c r="C175" s="77" t="b">
        <v>0</v>
      </c>
      <c r="D175" s="79" t="str">
        <f>IFERROR(__xludf.DUMMYFUNCTION("GOOGLETRANSLATE(A175,""ar"", ""en"")"),"DRK GRY 3-seat aluminum set")</f>
        <v>DRK GRY 3-seat aluminum set</v>
      </c>
      <c r="E175" s="80" t="s">
        <v>490</v>
      </c>
      <c r="F175" s="79"/>
      <c r="G175" s="75"/>
      <c r="H175" s="75"/>
      <c r="I175" s="75"/>
      <c r="J175" s="75"/>
      <c r="K175" s="75"/>
      <c r="L175" s="75"/>
      <c r="M175" s="75"/>
      <c r="N175" s="75"/>
      <c r="O175" s="75"/>
      <c r="P175" s="75"/>
    </row>
    <row r="176">
      <c r="A176" s="76" t="s">
        <v>492</v>
      </c>
      <c r="B176" s="77">
        <v>1442.0</v>
      </c>
      <c r="C176" s="77" t="b">
        <v>0</v>
      </c>
      <c r="D176" s="79" t="str">
        <f>IFERROR(__xludf.DUMMYFUNCTION("GOOGLETRANSLATE(A176,""ar"", ""en"")"),"OFF WHITE 3-Seater Aluminum Set")</f>
        <v>OFF WHITE 3-Seater Aluminum Set</v>
      </c>
      <c r="E176" s="76" t="s">
        <v>493</v>
      </c>
      <c r="F176" s="79"/>
      <c r="G176" s="75"/>
      <c r="H176" s="75"/>
      <c r="I176" s="75"/>
      <c r="J176" s="75"/>
      <c r="K176" s="75"/>
      <c r="L176" s="75"/>
      <c r="M176" s="75"/>
      <c r="N176" s="75"/>
      <c r="O176" s="75"/>
      <c r="P176" s="75"/>
    </row>
    <row r="177">
      <c r="A177" s="80" t="s">
        <v>492</v>
      </c>
      <c r="B177" s="77">
        <v>1443.0</v>
      </c>
      <c r="C177" s="77" t="b">
        <v>0</v>
      </c>
      <c r="D177" s="79" t="str">
        <f>IFERROR(__xludf.DUMMYFUNCTION("GOOGLETRANSLATE(A177,""ar"", ""en"")"),"OFF WHITE 3-Seater Aluminum Set")</f>
        <v>OFF WHITE 3-Seater Aluminum Set</v>
      </c>
      <c r="E177" s="80" t="s">
        <v>495</v>
      </c>
      <c r="F177" s="79"/>
      <c r="G177" s="75"/>
      <c r="H177" s="75"/>
      <c r="I177" s="75"/>
      <c r="J177" s="75"/>
      <c r="K177" s="75"/>
      <c r="L177" s="75"/>
      <c r="M177" s="75"/>
      <c r="N177" s="75"/>
      <c r="O177" s="75"/>
      <c r="P177" s="75"/>
    </row>
    <row r="178">
      <c r="A178" s="80" t="s">
        <v>496</v>
      </c>
      <c r="B178" s="77">
        <v>1445.0</v>
      </c>
      <c r="C178" s="77" t="b">
        <v>0</v>
      </c>
      <c r="D178" s="79" t="str">
        <f>IFERROR(__xludf.DUMMYFUNCTION("GOOGLETRANSLATE(A178,""ar"", ""en"")"),"ANTRA Aluminum Set 1+1+3 Bags")</f>
        <v>ANTRA Aluminum Set 1+1+3 Bags</v>
      </c>
      <c r="E178" s="80" t="s">
        <v>497</v>
      </c>
      <c r="F178" s="79"/>
      <c r="G178" s="75"/>
      <c r="H178" s="75"/>
      <c r="I178" s="75"/>
      <c r="J178" s="75"/>
      <c r="K178" s="75"/>
      <c r="L178" s="75"/>
      <c r="M178" s="75"/>
      <c r="N178" s="75"/>
      <c r="O178" s="75"/>
      <c r="P178" s="75"/>
    </row>
    <row r="179">
      <c r="A179" s="76" t="s">
        <v>499</v>
      </c>
      <c r="B179" s="77">
        <v>1446.0</v>
      </c>
      <c r="C179" s="77" t="b">
        <v>0</v>
      </c>
      <c r="D179" s="79" t="str">
        <f>IFERROR(__xludf.DUMMYFUNCTION("GOOGLETRANSLATE(A179,""ar"", ""en"")"),"CREAM Aluminum Set 1+1+3")</f>
        <v>CREAM Aluminum Set 1+1+3</v>
      </c>
      <c r="E179" s="76" t="s">
        <v>500</v>
      </c>
      <c r="F179" s="79"/>
      <c r="G179" s="75"/>
      <c r="H179" s="75"/>
      <c r="I179" s="75"/>
      <c r="J179" s="75"/>
      <c r="K179" s="75"/>
      <c r="L179" s="75"/>
      <c r="M179" s="75"/>
      <c r="N179" s="75"/>
      <c r="O179" s="75"/>
      <c r="P179" s="75"/>
    </row>
    <row r="180">
      <c r="A180" s="80" t="s">
        <v>502</v>
      </c>
      <c r="B180" s="77">
        <v>1447.0</v>
      </c>
      <c r="C180" s="77" t="b">
        <v>0</v>
      </c>
      <c r="D180" s="79" t="str">
        <f>IFERROR(__xludf.DUMMYFUNCTION("GOOGLETRANSLATE(A180,""ar"", ""en"")"),"Two-story iron and wood bed")</f>
        <v>Two-story iron and wood bed</v>
      </c>
      <c r="E180" s="80" t="s">
        <v>503</v>
      </c>
      <c r="F180" s="79"/>
      <c r="G180" s="75"/>
      <c r="H180" s="75"/>
      <c r="I180" s="75"/>
      <c r="J180" s="75"/>
      <c r="K180" s="75"/>
      <c r="L180" s="75"/>
      <c r="M180" s="75"/>
      <c r="N180" s="75"/>
      <c r="O180" s="75"/>
      <c r="P180" s="75"/>
    </row>
    <row r="181">
      <c r="A181" s="76" t="s">
        <v>505</v>
      </c>
      <c r="B181" s="77">
        <v>1448.0</v>
      </c>
      <c r="C181" s="77" t="b">
        <v>0</v>
      </c>
      <c r="D181" s="79" t="str">
        <f>IFERROR(__xludf.DUMMYFUNCTION("GOOGLETRANSLATE(A181,""ar"", ""en"")"),"120 cm iron and wood bed")</f>
        <v>120 cm iron and wood bed</v>
      </c>
      <c r="E181" s="76" t="s">
        <v>506</v>
      </c>
      <c r="F181" s="79"/>
      <c r="G181" s="75"/>
      <c r="H181" s="75"/>
      <c r="I181" s="75"/>
      <c r="J181" s="75"/>
      <c r="K181" s="75"/>
      <c r="L181" s="75"/>
      <c r="M181" s="75"/>
      <c r="N181" s="75"/>
      <c r="O181" s="75"/>
      <c r="P181" s="75"/>
    </row>
    <row r="182">
      <c r="A182" s="80" t="s">
        <v>508</v>
      </c>
      <c r="B182" s="77">
        <v>1449.0</v>
      </c>
      <c r="C182" s="77" t="b">
        <v>0</v>
      </c>
      <c r="D182" s="79" t="str">
        <f>IFERROR(__xludf.DUMMYFUNCTION("GOOGLETRANSLATE(A182,""ar"", ""en"")"),"Iron and wood bed 170 cm")</f>
        <v>Iron and wood bed 170 cm</v>
      </c>
      <c r="E182" s="80" t="s">
        <v>509</v>
      </c>
      <c r="F182" s="79"/>
      <c r="G182" s="75"/>
      <c r="H182" s="75"/>
      <c r="I182" s="75"/>
      <c r="J182" s="75"/>
      <c r="K182" s="75"/>
      <c r="L182" s="75"/>
      <c r="M182" s="75"/>
      <c r="N182" s="75"/>
      <c r="O182" s="75"/>
      <c r="P182" s="75"/>
    </row>
    <row r="183">
      <c r="A183" s="76" t="s">
        <v>511</v>
      </c>
      <c r="B183" s="77">
        <v>1450.0</v>
      </c>
      <c r="C183" s="77" t="b">
        <v>0</v>
      </c>
      <c r="D183" s="79" t="str">
        <f>IFERROR(__xludf.DUMMYFUNCTION("GOOGLETRANSLATE(A183,""ar"", ""en"")"),"100 cm iron and wood bed")</f>
        <v>100 cm iron and wood bed</v>
      </c>
      <c r="E183" s="76" t="s">
        <v>512</v>
      </c>
      <c r="F183" s="79"/>
      <c r="G183" s="75"/>
      <c r="H183" s="75"/>
      <c r="I183" s="75"/>
      <c r="J183" s="75"/>
      <c r="K183" s="75"/>
      <c r="L183" s="75"/>
      <c r="M183" s="75"/>
      <c r="N183" s="75"/>
      <c r="O183" s="75"/>
      <c r="P183" s="75"/>
    </row>
    <row r="184">
      <c r="A184" s="80" t="s">
        <v>514</v>
      </c>
      <c r="B184" s="77">
        <v>1451.0</v>
      </c>
      <c r="C184" s="77" t="b">
        <v>0</v>
      </c>
      <c r="D184" s="79" t="str">
        <f>IFERROR(__xludf.DUMMYFUNCTION("GOOGLETRANSLATE(A184,""ar"", ""en"")"),"Light two-story iron and wood bed")</f>
        <v>Light two-story iron and wood bed</v>
      </c>
      <c r="E184" s="80" t="s">
        <v>515</v>
      </c>
      <c r="F184" s="79"/>
      <c r="G184" s="75"/>
      <c r="H184" s="75"/>
      <c r="I184" s="75"/>
      <c r="J184" s="75"/>
      <c r="K184" s="75"/>
      <c r="L184" s="75"/>
      <c r="M184" s="75"/>
      <c r="N184" s="75"/>
      <c r="O184" s="75"/>
      <c r="P184" s="75"/>
    </row>
    <row r="185">
      <c r="A185" s="80" t="s">
        <v>517</v>
      </c>
      <c r="B185" s="77">
        <v>1457.0</v>
      </c>
      <c r="C185" s="77" t="b">
        <v>0</v>
      </c>
      <c r="D185" s="79" t="str">
        <f>IFERROR(__xludf.DUMMYFUNCTION("GOOGLETRANSLATE(A185,""ar"", ""en"")"),"FLOWER STAND 3 PCS")</f>
        <v>FLOWER STAND 3 PCS</v>
      </c>
      <c r="E185" s="80" t="s">
        <v>518</v>
      </c>
      <c r="F185" s="79"/>
      <c r="G185" s="75"/>
      <c r="H185" s="75"/>
      <c r="I185" s="75"/>
      <c r="J185" s="75"/>
      <c r="K185" s="75"/>
      <c r="L185" s="75"/>
      <c r="M185" s="75"/>
      <c r="N185" s="75"/>
      <c r="O185" s="75"/>
      <c r="P185" s="75"/>
    </row>
    <row r="186">
      <c r="A186" s="80" t="s">
        <v>521</v>
      </c>
      <c r="B186" s="77">
        <v>1458.0</v>
      </c>
      <c r="C186" s="77" t="b">
        <v>0</v>
      </c>
      <c r="D186" s="79" t="str">
        <f>IFERROR(__xludf.DUMMYFUNCTION("GOOGLETRANSLATE(A186,""ar"", ""en"")"),"Resin table 80*80 cm")</f>
        <v>Resin table 80*80 cm</v>
      </c>
      <c r="E186" s="80" t="s">
        <v>522</v>
      </c>
      <c r="F186" s="79"/>
      <c r="G186" s="75"/>
      <c r="H186" s="75"/>
      <c r="I186" s="75"/>
      <c r="J186" s="75"/>
      <c r="K186" s="75"/>
      <c r="L186" s="75"/>
      <c r="M186" s="75"/>
      <c r="N186" s="75"/>
      <c r="O186" s="75"/>
      <c r="P186" s="75"/>
    </row>
    <row r="187">
      <c r="A187" s="76" t="s">
        <v>524</v>
      </c>
      <c r="B187" s="77">
        <v>1459.0</v>
      </c>
      <c r="C187" s="77" t="b">
        <v>0</v>
      </c>
      <c r="D187" s="79" t="str">
        <f>IFERROR(__xludf.DUMMYFUNCTION("GOOGLETRANSLATE(A187,""ar"", ""en"")"),"Resin table 90*90")</f>
        <v>Resin table 90*90</v>
      </c>
      <c r="E187" s="76" t="s">
        <v>525</v>
      </c>
      <c r="F187" s="79"/>
      <c r="G187" s="75"/>
      <c r="H187" s="75"/>
      <c r="I187" s="75"/>
      <c r="J187" s="75"/>
      <c r="K187" s="75"/>
      <c r="L187" s="75"/>
      <c r="M187" s="75"/>
      <c r="N187" s="75"/>
      <c r="O187" s="75"/>
      <c r="P187" s="75"/>
    </row>
    <row r="188">
      <c r="A188" s="80" t="s">
        <v>527</v>
      </c>
      <c r="B188" s="77">
        <v>1460.0</v>
      </c>
      <c r="C188" s="77" t="b">
        <v>0</v>
      </c>
      <c r="D188" s="79" t="str">
        <f>IFERROR(__xludf.DUMMYFUNCTION("GOOGLETRANSLATE(A188,""ar"", ""en"")"),"solid chair")</f>
        <v>solid chair</v>
      </c>
      <c r="E188" s="80" t="s">
        <v>528</v>
      </c>
      <c r="F188" s="79"/>
      <c r="G188" s="75"/>
      <c r="H188" s="75"/>
      <c r="I188" s="75"/>
      <c r="J188" s="75"/>
      <c r="K188" s="75"/>
      <c r="L188" s="75"/>
      <c r="M188" s="75"/>
      <c r="N188" s="75"/>
      <c r="O188" s="75"/>
      <c r="P188" s="75"/>
    </row>
    <row r="189">
      <c r="A189" s="80" t="s">
        <v>530</v>
      </c>
      <c r="B189" s="77">
        <v>1461.0</v>
      </c>
      <c r="C189" s="77" t="b">
        <v>0</v>
      </c>
      <c r="D189" s="79" t="str">
        <f>IFERROR(__xludf.DUMMYFUNCTION("GOOGLETRANSLATE(A189,""ar"", ""en"")"),"Resin table set 150 cm + 6 chairs")</f>
        <v>Resin table set 150 cm + 6 chairs</v>
      </c>
      <c r="E189" s="80" t="s">
        <v>531</v>
      </c>
      <c r="F189" s="79"/>
      <c r="G189" s="75"/>
      <c r="H189" s="75"/>
      <c r="I189" s="75"/>
      <c r="J189" s="75"/>
      <c r="K189" s="75"/>
      <c r="L189" s="75"/>
      <c r="M189" s="75"/>
      <c r="N189" s="75"/>
      <c r="O189" s="75"/>
      <c r="P189" s="75"/>
    </row>
    <row r="190">
      <c r="A190" s="76" t="s">
        <v>533</v>
      </c>
      <c r="B190" s="77">
        <v>1462.0</v>
      </c>
      <c r="C190" s="77" t="b">
        <v>0</v>
      </c>
      <c r="D190" s="79" t="str">
        <f>IFERROR(__xludf.DUMMYFUNCTION("GOOGLETRANSLATE(A190,""ar"", ""en"")"),"solid chair with upholstery")</f>
        <v>solid chair with upholstery</v>
      </c>
      <c r="E190" s="76" t="s">
        <v>534</v>
      </c>
      <c r="F190" s="79"/>
      <c r="G190" s="75"/>
      <c r="H190" s="75"/>
      <c r="I190" s="75"/>
      <c r="J190" s="75"/>
      <c r="K190" s="75"/>
      <c r="L190" s="75"/>
      <c r="M190" s="75"/>
      <c r="N190" s="75"/>
      <c r="O190" s="75"/>
      <c r="P190" s="75"/>
    </row>
    <row r="191">
      <c r="A191" s="80" t="s">
        <v>536</v>
      </c>
      <c r="B191" s="77">
        <v>1463.0</v>
      </c>
      <c r="C191" s="77" t="b">
        <v>0</v>
      </c>
      <c r="D191" s="79" t="str">
        <f>IFERROR(__xludf.DUMMYFUNCTION("GOOGLETRANSLATE(A191,""ar"", ""en"")"),"45 cm resin table")</f>
        <v>45 cm resin table</v>
      </c>
      <c r="E191" s="80" t="s">
        <v>537</v>
      </c>
      <c r="F191" s="79"/>
      <c r="G191" s="75"/>
      <c r="H191" s="75"/>
      <c r="I191" s="75"/>
      <c r="J191" s="75"/>
      <c r="K191" s="75"/>
      <c r="L191" s="75"/>
      <c r="M191" s="75"/>
      <c r="N191" s="75"/>
      <c r="O191" s="75"/>
      <c r="P191" s="75"/>
    </row>
    <row r="192">
      <c r="A192" s="80" t="s">
        <v>527</v>
      </c>
      <c r="B192" s="77">
        <v>1464.0</v>
      </c>
      <c r="C192" s="77" t="b">
        <v>0</v>
      </c>
      <c r="D192" s="79" t="str">
        <f>IFERROR(__xludf.DUMMYFUNCTION("GOOGLETRANSLATE(A192,""ar"", ""en"")"),"solid chair")</f>
        <v>solid chair</v>
      </c>
      <c r="E192" s="80" t="s">
        <v>539</v>
      </c>
      <c r="F192" s="79"/>
      <c r="G192" s="75"/>
      <c r="H192" s="75"/>
      <c r="I192" s="75"/>
      <c r="J192" s="75"/>
      <c r="K192" s="75"/>
      <c r="L192" s="75"/>
      <c r="M192" s="75"/>
      <c r="N192" s="75"/>
      <c r="O192" s="75"/>
      <c r="P192" s="75"/>
    </row>
    <row r="193">
      <c r="A193" s="80" t="s">
        <v>540</v>
      </c>
      <c r="B193" s="77">
        <v>1465.0</v>
      </c>
      <c r="C193" s="77" t="b">
        <v>0</v>
      </c>
      <c r="D193" s="79" t="str">
        <f>IFERROR(__xludf.DUMMYFUNCTION("GOOGLETRANSLATE(A193,""ar"", ""en"")"),"Corner resin set")</f>
        <v>Corner resin set</v>
      </c>
      <c r="E193" s="80" t="s">
        <v>541</v>
      </c>
      <c r="F193" s="79"/>
      <c r="G193" s="75"/>
      <c r="H193" s="75"/>
      <c r="I193" s="75"/>
      <c r="J193" s="75"/>
      <c r="K193" s="75"/>
      <c r="L193" s="75"/>
      <c r="M193" s="75"/>
      <c r="N193" s="75"/>
      <c r="O193" s="75"/>
      <c r="P193" s="75"/>
    </row>
    <row r="194">
      <c r="A194" s="80" t="s">
        <v>543</v>
      </c>
      <c r="B194" s="77">
        <v>1467.0</v>
      </c>
      <c r="C194" s="77" t="b">
        <v>0</v>
      </c>
      <c r="D194" s="79" t="str">
        <f>IFERROR(__xludf.DUMMYFUNCTION("GOOGLETRANSLATE(A194,""ar"", ""en"")"),"Resin table 75*110 cm")</f>
        <v>Resin table 75*110 cm</v>
      </c>
      <c r="E194" s="80" t="s">
        <v>544</v>
      </c>
      <c r="F194" s="79"/>
      <c r="G194" s="75"/>
      <c r="H194" s="75"/>
      <c r="I194" s="75"/>
      <c r="J194" s="75"/>
      <c r="K194" s="75"/>
      <c r="L194" s="75"/>
      <c r="M194" s="75"/>
      <c r="N194" s="75"/>
      <c r="O194" s="75"/>
      <c r="P194" s="75"/>
    </row>
    <row r="195">
      <c r="A195" s="76" t="s">
        <v>546</v>
      </c>
      <c r="B195" s="77">
        <v>1468.0</v>
      </c>
      <c r="C195" s="77" t="b">
        <v>0</v>
      </c>
      <c r="D195" s="79" t="str">
        <f>IFERROR(__xludf.DUMMYFUNCTION("GOOGLETRANSLATE(A195,""ar"", ""en"")"),"Resin table 80*130 cm")</f>
        <v>Resin table 80*130 cm</v>
      </c>
      <c r="E195" s="76" t="s">
        <v>547</v>
      </c>
      <c r="F195" s="79"/>
      <c r="G195" s="75"/>
      <c r="H195" s="75"/>
      <c r="I195" s="75"/>
      <c r="J195" s="75"/>
      <c r="K195" s="75"/>
      <c r="L195" s="75"/>
      <c r="M195" s="75"/>
      <c r="N195" s="75"/>
      <c r="O195" s="75"/>
      <c r="P195" s="75"/>
    </row>
    <row r="196">
      <c r="A196" s="80" t="s">
        <v>527</v>
      </c>
      <c r="B196" s="77">
        <v>1469.0</v>
      </c>
      <c r="C196" s="77" t="b">
        <v>0</v>
      </c>
      <c r="D196" s="79" t="str">
        <f>IFERROR(__xludf.DUMMYFUNCTION("GOOGLETRANSLATE(A196,""ar"", ""en"")"),"solid chair")</f>
        <v>solid chair</v>
      </c>
      <c r="E196" s="80" t="s">
        <v>549</v>
      </c>
      <c r="F196" s="79"/>
      <c r="G196" s="75"/>
      <c r="H196" s="75"/>
      <c r="I196" s="75"/>
      <c r="J196" s="75"/>
      <c r="K196" s="75"/>
      <c r="L196" s="75"/>
      <c r="M196" s="75"/>
      <c r="N196" s="75"/>
      <c r="O196" s="75"/>
      <c r="P196" s="75"/>
    </row>
    <row r="197">
      <c r="A197" s="80" t="s">
        <v>550</v>
      </c>
      <c r="B197" s="77">
        <v>1470.0</v>
      </c>
      <c r="C197" s="77" t="b">
        <v>0</v>
      </c>
      <c r="D197" s="79" t="str">
        <f>IFERROR(__xludf.DUMMYFUNCTION("GOOGLETRANSLATE(A197,""ar"", ""en"")"),"90*90 table set + 4 white chairs")</f>
        <v>90*90 table set + 4 white chairs</v>
      </c>
      <c r="E197" s="80" t="s">
        <v>551</v>
      </c>
      <c r="F197" s="79"/>
      <c r="G197" s="75"/>
      <c r="H197" s="75"/>
      <c r="I197" s="75"/>
      <c r="J197" s="75"/>
      <c r="K197" s="75"/>
      <c r="L197" s="75"/>
      <c r="M197" s="75"/>
      <c r="N197" s="75"/>
      <c r="O197" s="75"/>
      <c r="P197" s="75"/>
    </row>
    <row r="198">
      <c r="A198" s="76" t="s">
        <v>553</v>
      </c>
      <c r="B198" s="77">
        <v>1471.0</v>
      </c>
      <c r="C198" s="77" t="b">
        <v>0</v>
      </c>
      <c r="D198" s="79" t="str">
        <f>IFERROR(__xludf.DUMMYFUNCTION("GOOGLETRANSLATE(A198,""ar"", ""en"")"),"Resin bar set 1 + 6 Vange chairs")</f>
        <v>Resin bar set 1 + 6 Vange chairs</v>
      </c>
      <c r="E198" s="76" t="s">
        <v>554</v>
      </c>
      <c r="F198" s="79"/>
      <c r="G198" s="75"/>
      <c r="H198" s="75"/>
      <c r="I198" s="75"/>
      <c r="J198" s="75"/>
      <c r="K198" s="75"/>
      <c r="L198" s="75"/>
      <c r="M198" s="75"/>
      <c r="N198" s="75"/>
      <c r="O198" s="75"/>
      <c r="P198" s="75"/>
    </row>
    <row r="199">
      <c r="A199" s="76" t="s">
        <v>556</v>
      </c>
      <c r="B199" s="77">
        <v>1473.0</v>
      </c>
      <c r="C199" s="77" t="b">
        <v>0</v>
      </c>
      <c r="D199" s="79" t="str">
        <f>IFERROR(__xludf.DUMMYFUNCTION("GOOGLETRANSLATE(A199,""ar"", ""en"")"),"Two-seat rattan set")</f>
        <v>Two-seat rattan set</v>
      </c>
      <c r="E199" s="76" t="s">
        <v>557</v>
      </c>
      <c r="F199" s="79"/>
      <c r="G199" s="75"/>
      <c r="H199" s="75"/>
      <c r="I199" s="75"/>
      <c r="J199" s="75"/>
      <c r="K199" s="75"/>
      <c r="L199" s="75"/>
      <c r="M199" s="75"/>
      <c r="N199" s="75"/>
      <c r="O199" s="75"/>
      <c r="P199" s="75"/>
    </row>
    <row r="200">
      <c r="A200" s="80" t="s">
        <v>559</v>
      </c>
      <c r="B200" s="77">
        <v>1474.0</v>
      </c>
      <c r="C200" s="77" t="b">
        <v>0</v>
      </c>
      <c r="D200" s="79" t="str">
        <f>IFERROR(__xludf.DUMMYFUNCTION("GOOGLETRANSLATE(A200,""ar"", ""en"")"),"XTRA Two-seat resin set")</f>
        <v>XTRA Two-seat resin set</v>
      </c>
      <c r="E200" s="80" t="s">
        <v>560</v>
      </c>
      <c r="F200" s="79"/>
      <c r="G200" s="75"/>
      <c r="H200" s="75"/>
      <c r="I200" s="75"/>
      <c r="J200" s="75"/>
      <c r="K200" s="75"/>
      <c r="L200" s="75"/>
      <c r="M200" s="75"/>
      <c r="N200" s="75"/>
      <c r="O200" s="75"/>
      <c r="P200" s="75"/>
    </row>
    <row r="201">
      <c r="A201" s="80" t="s">
        <v>562</v>
      </c>
      <c r="B201" s="77">
        <v>1476.0</v>
      </c>
      <c r="C201" s="77" t="b">
        <v>0</v>
      </c>
      <c r="D201" s="79" t="str">
        <f>IFERROR(__xludf.DUMMYFUNCTION("GOOGLETRANSLATE(A201,""ar"", ""en"")"),"Resin chaise longue")</f>
        <v>Resin chaise longue</v>
      </c>
      <c r="E201" s="80" t="s">
        <v>563</v>
      </c>
      <c r="F201" s="79"/>
      <c r="G201" s="75"/>
      <c r="H201" s="75"/>
      <c r="I201" s="75"/>
      <c r="J201" s="75"/>
      <c r="K201" s="75"/>
      <c r="L201" s="75"/>
      <c r="M201" s="75"/>
      <c r="N201" s="75"/>
      <c r="O201" s="75"/>
      <c r="P201" s="75"/>
    </row>
    <row r="202">
      <c r="A202" s="76" t="s">
        <v>565</v>
      </c>
      <c r="B202" s="77">
        <v>1491.0</v>
      </c>
      <c r="C202" s="77" t="b">
        <v>0</v>
      </c>
      <c r="D202" s="79" t="str">
        <f>IFERROR(__xludf.DUMMYFUNCTION("GOOGLETRANSLATE(A202,""ar"", ""en"")"),"Plastic Bank")</f>
        <v>Plastic Bank</v>
      </c>
      <c r="E202" s="76" t="s">
        <v>566</v>
      </c>
      <c r="F202" s="79"/>
      <c r="G202" s="75"/>
      <c r="H202" s="75"/>
      <c r="I202" s="75"/>
      <c r="J202" s="75"/>
      <c r="K202" s="75"/>
      <c r="L202" s="75"/>
      <c r="M202" s="75"/>
      <c r="N202" s="75"/>
      <c r="O202" s="75"/>
      <c r="P202" s="75"/>
    </row>
    <row r="203">
      <c r="A203" s="80" t="s">
        <v>568</v>
      </c>
      <c r="B203" s="77">
        <v>1492.0</v>
      </c>
      <c r="C203" s="77" t="b">
        <v>0</v>
      </c>
      <c r="D203" s="79" t="str">
        <f>IFERROR(__xludf.DUMMYFUNCTION("GOOGLETRANSLATE(A203,""ar"", ""en"")"),"Round inflatable iron base hoop")</f>
        <v>Round inflatable iron base hoop</v>
      </c>
      <c r="E203" s="80" t="s">
        <v>569</v>
      </c>
      <c r="F203" s="79"/>
      <c r="G203" s="75"/>
      <c r="H203" s="75"/>
      <c r="I203" s="75"/>
      <c r="J203" s="75"/>
      <c r="K203" s="75"/>
      <c r="L203" s="75"/>
      <c r="M203" s="75"/>
      <c r="N203" s="75"/>
      <c r="O203" s="75"/>
      <c r="P203" s="75"/>
    </row>
    <row r="204">
      <c r="A204" s="80" t="s">
        <v>571</v>
      </c>
      <c r="B204" s="77">
        <v>1500.0</v>
      </c>
      <c r="C204" s="77" t="b">
        <v>0</v>
      </c>
      <c r="D204" s="79" t="str">
        <f>IFERROR(__xludf.DUMMYFUNCTION("GOOGLETRANSLATE(A204,""ar"", ""en"")"),"110cm High Gloss Inflatable Iron Base")</f>
        <v>110cm High Gloss Inflatable Iron Base</v>
      </c>
      <c r="E204" s="80" t="s">
        <v>572</v>
      </c>
      <c r="F204" s="79"/>
      <c r="G204" s="75"/>
      <c r="H204" s="75"/>
      <c r="I204" s="75"/>
      <c r="J204" s="75"/>
      <c r="K204" s="75"/>
      <c r="L204" s="75"/>
      <c r="M204" s="75"/>
      <c r="N204" s="75"/>
      <c r="O204" s="75"/>
      <c r="P204" s="75"/>
    </row>
    <row r="205">
      <c r="A205" s="80" t="s">
        <v>574</v>
      </c>
      <c r="B205" s="77">
        <v>1504.0</v>
      </c>
      <c r="C205" s="77" t="b">
        <v>0</v>
      </c>
      <c r="D205" s="79" t="str">
        <f>IFERROR(__xludf.DUMMYFUNCTION("GOOGLETRANSLATE(A205,""ar"", ""en"")"),"60cm square iron stair base")</f>
        <v>60cm square iron stair base</v>
      </c>
      <c r="E205" s="80" t="s">
        <v>575</v>
      </c>
      <c r="F205" s="79"/>
      <c r="G205" s="75"/>
      <c r="H205" s="75"/>
      <c r="I205" s="75"/>
      <c r="J205" s="75"/>
      <c r="K205" s="75"/>
      <c r="L205" s="75"/>
      <c r="M205" s="75"/>
      <c r="N205" s="75"/>
      <c r="O205" s="75"/>
      <c r="P205" s="75"/>
    </row>
    <row r="206">
      <c r="A206" s="76" t="s">
        <v>577</v>
      </c>
      <c r="B206" s="77">
        <v>1511.0</v>
      </c>
      <c r="C206" s="77" t="b">
        <v>0</v>
      </c>
      <c r="D206" s="79" t="str">
        <f>IFERROR(__xludf.DUMMYFUNCTION("GOOGLETRANSLATE(A206,""ar"", ""en"")"),"square stainless steel base")</f>
        <v>square stainless steel base</v>
      </c>
      <c r="E206" s="76" t="s">
        <v>578</v>
      </c>
      <c r="F206" s="79"/>
      <c r="G206" s="75"/>
      <c r="H206" s="75"/>
      <c r="I206" s="75"/>
      <c r="J206" s="75"/>
      <c r="K206" s="75"/>
      <c r="L206" s="75"/>
      <c r="M206" s="75"/>
      <c r="N206" s="75"/>
      <c r="O206" s="75"/>
      <c r="P206" s="75"/>
    </row>
    <row r="207">
      <c r="A207" s="76" t="s">
        <v>577</v>
      </c>
      <c r="B207" s="77">
        <v>1517.0</v>
      </c>
      <c r="C207" s="77" t="b">
        <v>0</v>
      </c>
      <c r="D207" s="79" t="str">
        <f>IFERROR(__xludf.DUMMYFUNCTION("GOOGLETRANSLATE(A207,""ar"", ""en"")"),"square stainless steel base")</f>
        <v>square stainless steel base</v>
      </c>
      <c r="E207" s="76" t="s">
        <v>580</v>
      </c>
      <c r="F207" s="79"/>
      <c r="G207" s="75"/>
      <c r="H207" s="75"/>
      <c r="I207" s="75"/>
      <c r="J207" s="75"/>
      <c r="K207" s="75"/>
      <c r="L207" s="75"/>
      <c r="M207" s="75"/>
      <c r="N207" s="75"/>
      <c r="O207" s="75"/>
      <c r="P207" s="75"/>
    </row>
    <row r="208">
      <c r="A208" s="76" t="s">
        <v>581</v>
      </c>
      <c r="B208" s="77">
        <v>1519.0</v>
      </c>
      <c r="C208" s="77" t="b">
        <v>0</v>
      </c>
      <c r="D208" s="79" t="str">
        <f>IFERROR(__xludf.DUMMYFUNCTION("GOOGLETRANSLATE(A208,""ar"", ""en"")"),"iron clothes pole")</f>
        <v>iron clothes pole</v>
      </c>
      <c r="E208" s="76" t="s">
        <v>582</v>
      </c>
      <c r="F208" s="79"/>
      <c r="G208" s="75"/>
      <c r="H208" s="75"/>
      <c r="I208" s="75"/>
      <c r="J208" s="75"/>
      <c r="K208" s="75"/>
      <c r="L208" s="75"/>
      <c r="M208" s="75"/>
      <c r="N208" s="75"/>
      <c r="O208" s="75"/>
      <c r="P208" s="75"/>
    </row>
    <row r="209">
      <c r="A209" s="80" t="s">
        <v>584</v>
      </c>
      <c r="B209" s="77">
        <v>1520.0</v>
      </c>
      <c r="C209" s="77" t="b">
        <v>0</v>
      </c>
      <c r="D209" s="79" t="str">
        <f>IFERROR(__xludf.DUMMYFUNCTION("GOOGLETRANSLATE(A209,""ar"", ""en"")"),"wooden clothes pole")</f>
        <v>wooden clothes pole</v>
      </c>
      <c r="E209" s="80" t="s">
        <v>585</v>
      </c>
      <c r="F209" s="79"/>
      <c r="G209" s="75"/>
      <c r="H209" s="75"/>
      <c r="I209" s="75"/>
      <c r="J209" s="75"/>
      <c r="K209" s="75"/>
      <c r="L209" s="75"/>
      <c r="M209" s="75"/>
      <c r="N209" s="75"/>
      <c r="O209" s="75"/>
      <c r="P209" s="75"/>
    </row>
    <row r="210">
      <c r="A210" s="76" t="s">
        <v>581</v>
      </c>
      <c r="B210" s="77">
        <v>1521.0</v>
      </c>
      <c r="C210" s="77" t="b">
        <v>0</v>
      </c>
      <c r="D210" s="79" t="str">
        <f>IFERROR(__xludf.DUMMYFUNCTION("GOOGLETRANSLATE(A210,""ar"", ""en"")"),"iron clothes pole")</f>
        <v>iron clothes pole</v>
      </c>
      <c r="E210" s="76" t="s">
        <v>587</v>
      </c>
      <c r="F210" s="79"/>
      <c r="G210" s="75"/>
      <c r="H210" s="75"/>
      <c r="I210" s="75"/>
      <c r="J210" s="75"/>
      <c r="K210" s="75"/>
      <c r="L210" s="75"/>
      <c r="M210" s="75"/>
      <c r="N210" s="75"/>
      <c r="O210" s="75"/>
      <c r="P210" s="75"/>
    </row>
    <row r="211">
      <c r="A211" s="76" t="s">
        <v>588</v>
      </c>
      <c r="B211" s="77">
        <v>1525.0</v>
      </c>
      <c r="C211" s="77" t="b">
        <v>0</v>
      </c>
      <c r="D211" s="79" t="str">
        <f>IFERROR(__xludf.DUMMYFUNCTION("GOOGLETRANSLATE(A211,""ar"", ""en"")"),"Light Grey Recliner Chair")</f>
        <v>Light Grey Recliner Chair</v>
      </c>
      <c r="E211" s="76" t="s">
        <v>589</v>
      </c>
      <c r="F211" s="79"/>
      <c r="G211" s="75"/>
      <c r="H211" s="75"/>
      <c r="I211" s="75"/>
      <c r="J211" s="75"/>
      <c r="K211" s="75"/>
      <c r="L211" s="75"/>
      <c r="M211" s="75"/>
      <c r="N211" s="75"/>
      <c r="O211" s="75"/>
      <c r="P211" s="75"/>
    </row>
    <row r="212">
      <c r="A212" s="76" t="s">
        <v>591</v>
      </c>
      <c r="B212" s="77">
        <v>1529.0</v>
      </c>
      <c r="C212" s="77" t="b">
        <v>0</v>
      </c>
      <c r="D212" s="79" t="str">
        <f>IFERROR(__xludf.DUMMYFUNCTION("GOOGLETRANSLATE(A212,""ar"", ""en"")"),"RECLYNER CHAIR - LIGHT GRAY")</f>
        <v>RECLYNER CHAIR - LIGHT GRAY</v>
      </c>
      <c r="E212" s="76" t="s">
        <v>592</v>
      </c>
      <c r="F212" s="79"/>
      <c r="G212" s="75"/>
      <c r="H212" s="75"/>
      <c r="I212" s="75"/>
      <c r="J212" s="75"/>
      <c r="K212" s="75"/>
      <c r="L212" s="75"/>
      <c r="M212" s="75"/>
      <c r="N212" s="75"/>
      <c r="O212" s="75"/>
      <c r="P212" s="75"/>
    </row>
    <row r="213">
      <c r="A213" s="76" t="s">
        <v>594</v>
      </c>
      <c r="B213" s="77">
        <v>1539.0</v>
      </c>
      <c r="C213" s="77" t="b">
        <v>0</v>
      </c>
      <c r="D213" s="79" t="str">
        <f>IFERROR(__xludf.DUMMYFUNCTION("GOOGLETRANSLATE(A213,""ar"", ""en"")"),"Font Bank 150 cm")</f>
        <v>Font Bank 150 cm</v>
      </c>
      <c r="E213" s="76" t="s">
        <v>595</v>
      </c>
      <c r="F213" s="79"/>
      <c r="G213" s="75"/>
      <c r="H213" s="75"/>
      <c r="I213" s="75"/>
      <c r="J213" s="75"/>
      <c r="K213" s="75"/>
      <c r="L213" s="75"/>
      <c r="M213" s="75"/>
      <c r="N213" s="75"/>
      <c r="O213" s="75"/>
      <c r="P213" s="75"/>
    </row>
    <row r="214">
      <c r="A214" s="80" t="s">
        <v>597</v>
      </c>
      <c r="B214" s="77">
        <v>1542.0</v>
      </c>
      <c r="C214" s="77" t="b">
        <v>0</v>
      </c>
      <c r="D214" s="79" t="str">
        <f>IFERROR(__xludf.DUMMYFUNCTION("GOOGLETRANSLATE(A214,""ar"", ""en"")"),"Font chair")</f>
        <v>Font chair</v>
      </c>
      <c r="E214" s="80" t="s">
        <v>598</v>
      </c>
      <c r="F214" s="79"/>
      <c r="G214" s="75"/>
      <c r="H214" s="75"/>
      <c r="I214" s="75"/>
      <c r="J214" s="75"/>
      <c r="K214" s="75"/>
      <c r="L214" s="75"/>
      <c r="M214" s="75"/>
      <c r="N214" s="75"/>
      <c r="O214" s="75"/>
      <c r="P214" s="75"/>
    </row>
    <row r="215">
      <c r="A215" s="76" t="s">
        <v>597</v>
      </c>
      <c r="B215" s="77">
        <v>1543.0</v>
      </c>
      <c r="C215" s="77" t="b">
        <v>0</v>
      </c>
      <c r="D215" s="79" t="str">
        <f>IFERROR(__xludf.DUMMYFUNCTION("GOOGLETRANSLATE(A215,""ar"", ""en"")"),"Font chair")</f>
        <v>Font chair</v>
      </c>
      <c r="E215" s="76" t="s">
        <v>600</v>
      </c>
      <c r="F215" s="79"/>
      <c r="G215" s="75"/>
      <c r="H215" s="75"/>
      <c r="I215" s="75"/>
      <c r="J215" s="75"/>
      <c r="K215" s="75"/>
      <c r="L215" s="75"/>
      <c r="M215" s="75"/>
      <c r="N215" s="75"/>
      <c r="O215" s="75"/>
      <c r="P215" s="75"/>
    </row>
    <row r="216">
      <c r="A216" s="80" t="s">
        <v>601</v>
      </c>
      <c r="B216" s="77">
        <v>1544.0</v>
      </c>
      <c r="C216" s="77" t="b">
        <v>0</v>
      </c>
      <c r="D216" s="79" t="str">
        <f>IFERROR(__xludf.DUMMYFUNCTION("GOOGLETRANSLATE(A216,""ar"", ""en"")"),"Font table")</f>
        <v>Font table</v>
      </c>
      <c r="E216" s="80" t="s">
        <v>602</v>
      </c>
      <c r="F216" s="79"/>
      <c r="G216" s="75"/>
      <c r="H216" s="75"/>
      <c r="I216" s="75"/>
      <c r="J216" s="75"/>
      <c r="K216" s="75"/>
      <c r="L216" s="75"/>
      <c r="M216" s="75"/>
      <c r="N216" s="75"/>
      <c r="O216" s="75"/>
      <c r="P216" s="75"/>
    </row>
    <row r="217">
      <c r="A217" s="76" t="s">
        <v>601</v>
      </c>
      <c r="B217" s="77">
        <v>1545.0</v>
      </c>
      <c r="C217" s="77" t="b">
        <v>0</v>
      </c>
      <c r="D217" s="79" t="str">
        <f>IFERROR(__xludf.DUMMYFUNCTION("GOOGLETRANSLATE(A217,""ar"", ""en"")"),"Font table")</f>
        <v>Font table</v>
      </c>
      <c r="E217" s="76" t="s">
        <v>604</v>
      </c>
      <c r="F217" s="79"/>
      <c r="G217" s="75"/>
      <c r="H217" s="75"/>
      <c r="I217" s="75"/>
      <c r="J217" s="75"/>
      <c r="K217" s="75"/>
      <c r="L217" s="75"/>
      <c r="M217" s="75"/>
      <c r="N217" s="75"/>
      <c r="O217" s="75"/>
      <c r="P217" s="75"/>
    </row>
    <row r="218">
      <c r="A218" s="80" t="s">
        <v>605</v>
      </c>
      <c r="B218" s="77">
        <v>1554.0</v>
      </c>
      <c r="C218" s="77" t="b">
        <v>0</v>
      </c>
      <c r="D218" s="79" t="str">
        <f>IFERROR(__xludf.DUMMYFUNCTION("GOOGLETRANSLATE(A218,""ar"", ""en"")"),"chair with rope handle")</f>
        <v>chair with rope handle</v>
      </c>
      <c r="E218" s="80" t="s">
        <v>606</v>
      </c>
      <c r="F218" s="79"/>
      <c r="G218" s="75"/>
      <c r="H218" s="75"/>
      <c r="I218" s="75"/>
      <c r="J218" s="75"/>
      <c r="K218" s="75"/>
      <c r="L218" s="75"/>
      <c r="M218" s="75"/>
      <c r="N218" s="75"/>
      <c r="O218" s="75"/>
      <c r="P218" s="75"/>
    </row>
    <row r="219">
      <c r="A219" s="76" t="s">
        <v>608</v>
      </c>
      <c r="B219" s="77">
        <v>1565.0</v>
      </c>
      <c r="C219" s="77" t="b">
        <v>0</v>
      </c>
      <c r="D219" s="79" t="str">
        <f>IFERROR(__xludf.DUMMYFUNCTION("GOOGLETRANSLATE(A219,""ar"", ""en"")"),"Aluminum rope chair")</f>
        <v>Aluminum rope chair</v>
      </c>
      <c r="E219" s="76" t="s">
        <v>609</v>
      </c>
      <c r="F219" s="79"/>
      <c r="G219" s="75"/>
      <c r="H219" s="75"/>
      <c r="I219" s="75"/>
      <c r="J219" s="75"/>
      <c r="K219" s="75"/>
      <c r="L219" s="75"/>
      <c r="M219" s="75"/>
      <c r="N219" s="75"/>
      <c r="O219" s="75"/>
      <c r="P219" s="75"/>
    </row>
    <row r="220">
      <c r="A220" s="76" t="s">
        <v>611</v>
      </c>
      <c r="B220" s="77">
        <v>1566.0</v>
      </c>
      <c r="C220" s="77" t="b">
        <v>0</v>
      </c>
      <c r="D220" s="79" t="str">
        <f>IFERROR(__xludf.DUMMYFUNCTION("GOOGLETRANSLATE(A220,""ar"", ""en"")"),"80 cm round table")</f>
        <v>80 cm round table</v>
      </c>
      <c r="E220" s="76" t="s">
        <v>612</v>
      </c>
      <c r="F220" s="79"/>
      <c r="G220" s="75"/>
      <c r="H220" s="75"/>
      <c r="I220" s="75"/>
      <c r="J220" s="75"/>
      <c r="K220" s="75"/>
      <c r="L220" s="75"/>
      <c r="M220" s="75"/>
      <c r="N220" s="75"/>
      <c r="O220" s="75"/>
      <c r="P220" s="75"/>
    </row>
    <row r="221">
      <c r="A221" s="80" t="s">
        <v>614</v>
      </c>
      <c r="B221" s="77">
        <v>1567.0</v>
      </c>
      <c r="C221" s="77" t="b">
        <v>0</v>
      </c>
      <c r="D221" s="79" t="str">
        <f>IFERROR(__xludf.DUMMYFUNCTION("GOOGLETRANSLATE(A221,""ar"", ""en"")"),"clothes pole")</f>
        <v>clothes pole</v>
      </c>
      <c r="E221" s="80" t="s">
        <v>615</v>
      </c>
      <c r="F221" s="79"/>
      <c r="G221" s="75"/>
      <c r="H221" s="75"/>
      <c r="I221" s="75"/>
      <c r="J221" s="75"/>
      <c r="K221" s="75"/>
      <c r="L221" s="75"/>
      <c r="M221" s="75"/>
      <c r="N221" s="75"/>
      <c r="O221" s="75"/>
      <c r="P221" s="75"/>
    </row>
    <row r="222">
      <c r="A222" s="76" t="s">
        <v>617</v>
      </c>
      <c r="B222" s="77">
        <v>1568.0</v>
      </c>
      <c r="C222" s="77" t="b">
        <v>0</v>
      </c>
      <c r="D222" s="79" t="str">
        <f>IFERROR(__xludf.DUMMYFUNCTION("GOOGLETRANSLATE(A222,""ar"", ""en"")"),"100*60 table top")</f>
        <v>100*60 table top</v>
      </c>
      <c r="E222" s="76" t="s">
        <v>618</v>
      </c>
      <c r="F222" s="81" t="s">
        <v>619</v>
      </c>
      <c r="G222" s="75"/>
      <c r="H222" s="75"/>
      <c r="I222" s="75"/>
      <c r="J222" s="75"/>
      <c r="K222" s="75"/>
      <c r="L222" s="75"/>
      <c r="M222" s="75"/>
      <c r="N222" s="75"/>
      <c r="O222" s="75"/>
      <c r="P222" s="75"/>
    </row>
    <row r="223">
      <c r="A223" s="80" t="s">
        <v>621</v>
      </c>
      <c r="B223" s="77">
        <v>1569.0</v>
      </c>
      <c r="C223" s="77" t="b">
        <v>0</v>
      </c>
      <c r="D223" s="79" t="str">
        <f>IFERROR(__xludf.DUMMYFUNCTION("GOOGLETRANSLATE(A223,""ar"", ""en"")"),"60*60 table top")</f>
        <v>60*60 table top</v>
      </c>
      <c r="E223" s="80" t="s">
        <v>622</v>
      </c>
      <c r="F223" s="79"/>
      <c r="G223" s="75"/>
      <c r="H223" s="75"/>
      <c r="I223" s="75"/>
      <c r="J223" s="75"/>
      <c r="K223" s="75"/>
      <c r="L223" s="75"/>
      <c r="M223" s="75"/>
      <c r="N223" s="75"/>
      <c r="O223" s="75"/>
      <c r="P223" s="75"/>
    </row>
    <row r="224">
      <c r="A224" s="76" t="s">
        <v>623</v>
      </c>
      <c r="B224" s="77">
        <v>1570.0</v>
      </c>
      <c r="C224" s="77" t="b">
        <v>0</v>
      </c>
      <c r="D224" s="79" t="str">
        <f>IFERROR(__xludf.DUMMYFUNCTION("GOOGLETRANSLATE(A224,""ar"", ""en"")"),"Table top 70*110")</f>
        <v>Table top 70*110</v>
      </c>
      <c r="E224" s="76" t="s">
        <v>624</v>
      </c>
      <c r="F224" s="79"/>
      <c r="G224" s="75"/>
      <c r="H224" s="75"/>
      <c r="I224" s="75"/>
      <c r="J224" s="75"/>
      <c r="K224" s="75"/>
      <c r="L224" s="75"/>
      <c r="M224" s="75"/>
      <c r="N224" s="75"/>
      <c r="O224" s="75"/>
      <c r="P224" s="75"/>
    </row>
    <row r="225">
      <c r="A225" s="80" t="s">
        <v>625</v>
      </c>
      <c r="B225" s="77">
        <v>1571.0</v>
      </c>
      <c r="C225" s="77" t="b">
        <v>0</v>
      </c>
      <c r="D225" s="79" t="str">
        <f>IFERROR(__xludf.DUMMYFUNCTION("GOOGLETRANSLATE(A225,""ar"", ""en"")"),"70*70 table top")</f>
        <v>70*70 table top</v>
      </c>
      <c r="E225" s="80" t="s">
        <v>626</v>
      </c>
      <c r="F225" s="79"/>
      <c r="G225" s="75"/>
      <c r="H225" s="75"/>
      <c r="I225" s="75"/>
      <c r="J225" s="75"/>
      <c r="K225" s="75"/>
      <c r="L225" s="75"/>
      <c r="M225" s="75"/>
      <c r="N225" s="75"/>
      <c r="O225" s="75"/>
      <c r="P225" s="75"/>
    </row>
    <row r="226">
      <c r="A226" s="76" t="s">
        <v>627</v>
      </c>
      <c r="B226" s="77">
        <v>1572.0</v>
      </c>
      <c r="C226" s="77" t="b">
        <v>0</v>
      </c>
      <c r="D226" s="79" t="str">
        <f>IFERROR(__xludf.DUMMYFUNCTION("GOOGLETRANSLATE(A226,""ar"", ""en"")"),"80*120 table top")</f>
        <v>80*120 table top</v>
      </c>
      <c r="E226" s="76" t="s">
        <v>628</v>
      </c>
      <c r="F226" s="79"/>
      <c r="G226" s="75"/>
      <c r="H226" s="75"/>
      <c r="I226" s="75"/>
      <c r="J226" s="75"/>
      <c r="K226" s="75"/>
      <c r="L226" s="75"/>
      <c r="M226" s="75"/>
      <c r="N226" s="75"/>
      <c r="O226" s="75"/>
      <c r="P226" s="75"/>
    </row>
    <row r="227">
      <c r="A227" s="80" t="s">
        <v>629</v>
      </c>
      <c r="B227" s="77">
        <v>1573.0</v>
      </c>
      <c r="C227" s="77" t="b">
        <v>0</v>
      </c>
      <c r="D227" s="79" t="str">
        <f>IFERROR(__xludf.DUMMYFUNCTION("GOOGLETRANSLATE(A227,""ar"", ""en"")"),"80*80 table top")</f>
        <v>80*80 table top</v>
      </c>
      <c r="E227" s="80" t="s">
        <v>630</v>
      </c>
      <c r="F227" s="79"/>
      <c r="G227" s="75"/>
      <c r="H227" s="75"/>
      <c r="I227" s="75"/>
      <c r="J227" s="75"/>
      <c r="K227" s="75"/>
      <c r="L227" s="75"/>
      <c r="M227" s="75"/>
      <c r="N227" s="75"/>
      <c r="O227" s="75"/>
      <c r="P227" s="75"/>
    </row>
    <row r="228">
      <c r="A228" s="80" t="s">
        <v>631</v>
      </c>
      <c r="B228" s="77">
        <v>1575.0</v>
      </c>
      <c r="C228" s="78" t="b">
        <v>0</v>
      </c>
      <c r="D228" s="79" t="str">
        <f>IFERROR(__xludf.DUMMYFUNCTION("GOOGLETRANSLATE(A228,""ar"", ""en"")"),"GLD + RED Iron Hotel Chair")</f>
        <v>GLD + RED Iron Hotel Chair</v>
      </c>
      <c r="E228" s="80" t="s">
        <v>632</v>
      </c>
      <c r="F228" s="79"/>
      <c r="G228" s="75"/>
      <c r="H228" s="75"/>
      <c r="I228" s="75"/>
      <c r="J228" s="75"/>
      <c r="K228" s="75"/>
      <c r="L228" s="75"/>
      <c r="M228" s="75"/>
      <c r="N228" s="75"/>
      <c r="O228" s="75"/>
      <c r="P228" s="75"/>
    </row>
    <row r="229">
      <c r="A229" s="76" t="s">
        <v>635</v>
      </c>
      <c r="B229" s="77">
        <v>1576.0</v>
      </c>
      <c r="C229" s="77" t="b">
        <v>0</v>
      </c>
      <c r="D229" s="79" t="str">
        <f>IFERROR(__xludf.DUMMYFUNCTION("GOOGLETRANSLATE(A229,""ar"", ""en"")"),"FLOWER DESIGN Aluminum Hotel Chair")</f>
        <v>FLOWER DESIGN Aluminum Hotel Chair</v>
      </c>
      <c r="E229" s="76" t="s">
        <v>636</v>
      </c>
      <c r="F229" s="79"/>
      <c r="G229" s="75"/>
      <c r="H229" s="75"/>
      <c r="I229" s="75"/>
      <c r="J229" s="75"/>
      <c r="K229" s="75"/>
      <c r="L229" s="75"/>
      <c r="M229" s="75"/>
      <c r="N229" s="75"/>
      <c r="O229" s="75"/>
      <c r="P229" s="75"/>
    </row>
    <row r="230">
      <c r="A230" s="76" t="s">
        <v>638</v>
      </c>
      <c r="B230" s="77">
        <v>1578.0</v>
      </c>
      <c r="C230" s="77" t="b">
        <v>0</v>
      </c>
      <c r="D230" s="79" t="str">
        <f>IFERROR(__xludf.DUMMYFUNCTION("GOOGLETRANSLATE(A230,""ar"", ""en"")"),"GREY POFF SEAT")</f>
        <v>GREY POFF SEAT</v>
      </c>
      <c r="E230" s="76" t="s">
        <v>639</v>
      </c>
      <c r="F230" s="79"/>
      <c r="G230" s="75"/>
      <c r="H230" s="75"/>
      <c r="I230" s="75"/>
      <c r="J230" s="75"/>
      <c r="K230" s="75"/>
      <c r="L230" s="75"/>
      <c r="M230" s="75"/>
      <c r="N230" s="75"/>
      <c r="O230" s="75"/>
      <c r="P230" s="75"/>
    </row>
    <row r="231">
      <c r="A231" s="80" t="s">
        <v>641</v>
      </c>
      <c r="B231" s="77">
        <v>1579.0</v>
      </c>
      <c r="C231" s="77" t="b">
        <v>0</v>
      </c>
      <c r="D231" s="79" t="str">
        <f>IFERROR(__xludf.DUMMYFUNCTION("GOOGLETRANSLATE(A231,""ar"", ""en"")"),"BLUE POV ANGLE")</f>
        <v>BLUE POV ANGLE</v>
      </c>
      <c r="E231" s="80" t="s">
        <v>642</v>
      </c>
      <c r="F231" s="79"/>
      <c r="G231" s="75"/>
      <c r="H231" s="75"/>
      <c r="I231" s="75"/>
      <c r="J231" s="75"/>
      <c r="K231" s="75"/>
      <c r="L231" s="75"/>
      <c r="M231" s="75"/>
      <c r="N231" s="75"/>
      <c r="O231" s="75"/>
      <c r="P231" s="75"/>
    </row>
    <row r="232">
      <c r="A232" s="76" t="s">
        <v>644</v>
      </c>
      <c r="B232" s="77">
        <v>1580.0</v>
      </c>
      <c r="C232" s="77" t="b">
        <v>0</v>
      </c>
      <c r="D232" s="79" t="str">
        <f>IFERROR(__xludf.DUMMYFUNCTION("GOOGLETRANSLATE(A232,""ar"", ""en"")"),"GREEN Buff Corner")</f>
        <v>GREEN Buff Corner</v>
      </c>
      <c r="E232" s="76" t="s">
        <v>645</v>
      </c>
      <c r="F232" s="79"/>
      <c r="G232" s="75"/>
      <c r="H232" s="75"/>
      <c r="I232" s="75"/>
      <c r="J232" s="75"/>
      <c r="K232" s="75"/>
      <c r="L232" s="75"/>
      <c r="M232" s="75"/>
      <c r="N232" s="75"/>
      <c r="O232" s="75"/>
      <c r="P232" s="75"/>
    </row>
    <row r="233">
      <c r="A233" s="80" t="s">
        <v>647</v>
      </c>
      <c r="B233" s="77">
        <v>1581.0</v>
      </c>
      <c r="C233" s="77" t="b">
        <v>0</v>
      </c>
      <c r="D233" s="79" t="str">
        <f>IFERROR(__xludf.DUMMYFUNCTION("GOOGLETRANSLATE(A233,""ar"", ""en"")"),"GRAY Buff Corner")</f>
        <v>GRAY Buff Corner</v>
      </c>
      <c r="E233" s="80" t="s">
        <v>648</v>
      </c>
      <c r="F233" s="79"/>
      <c r="G233" s="75"/>
      <c r="H233" s="75"/>
      <c r="I233" s="75"/>
      <c r="J233" s="75"/>
      <c r="K233" s="75"/>
      <c r="L233" s="75"/>
      <c r="M233" s="75"/>
      <c r="N233" s="75"/>
      <c r="O233" s="75"/>
      <c r="P233" s="75"/>
    </row>
    <row r="234">
      <c r="A234" s="76" t="s">
        <v>650</v>
      </c>
      <c r="B234" s="77">
        <v>1582.0</v>
      </c>
      <c r="C234" s="77" t="b">
        <v>0</v>
      </c>
      <c r="D234" s="79" t="str">
        <f>IFERROR(__xludf.DUMMYFUNCTION("GOOGLETRANSLATE(A234,""ar"", ""en"")"),"SAND Buff Corner")</f>
        <v>SAND Buff Corner</v>
      </c>
      <c r="E234" s="76" t="s">
        <v>651</v>
      </c>
      <c r="F234" s="79"/>
      <c r="G234" s="75"/>
      <c r="H234" s="75"/>
      <c r="I234" s="75"/>
      <c r="J234" s="75"/>
      <c r="K234" s="75"/>
      <c r="L234" s="75"/>
      <c r="M234" s="75"/>
      <c r="N234" s="75"/>
      <c r="O234" s="75"/>
      <c r="P234" s="75"/>
    </row>
    <row r="235">
      <c r="A235" s="80" t="s">
        <v>653</v>
      </c>
      <c r="B235" s="77">
        <v>1583.0</v>
      </c>
      <c r="C235" s="77" t="b">
        <v>0</v>
      </c>
      <c r="D235" s="79" t="str">
        <f>IFERROR(__xludf.DUMMYFUNCTION("GOOGLETRANSLATE(A235,""ar"", ""en"")"),"BLUE -L-SHAPE POV")</f>
        <v>BLUE -L-SHAPE POV</v>
      </c>
      <c r="E235" s="80" t="s">
        <v>654</v>
      </c>
      <c r="F235" s="79"/>
      <c r="G235" s="75"/>
      <c r="H235" s="75"/>
      <c r="I235" s="75"/>
      <c r="J235" s="75"/>
      <c r="K235" s="75"/>
      <c r="L235" s="75"/>
      <c r="M235" s="75"/>
      <c r="N235" s="75"/>
      <c r="O235" s="75"/>
      <c r="P235" s="75"/>
    </row>
    <row r="236">
      <c r="A236" s="76" t="s">
        <v>656</v>
      </c>
      <c r="B236" s="77">
        <v>1584.0</v>
      </c>
      <c r="C236" s="77" t="b">
        <v>0</v>
      </c>
      <c r="D236" s="79" t="str">
        <f>IFERROR(__xludf.DUMMYFUNCTION("GOOGLETRANSLATE(A236,""ar"", ""en"")"),"GREEN -L-SHAPE POF")</f>
        <v>GREEN -L-SHAPE POF</v>
      </c>
      <c r="E236" s="76" t="s">
        <v>657</v>
      </c>
      <c r="F236" s="79"/>
      <c r="G236" s="75"/>
      <c r="H236" s="75"/>
      <c r="I236" s="75"/>
      <c r="J236" s="75"/>
      <c r="K236" s="75"/>
      <c r="L236" s="75"/>
      <c r="M236" s="75"/>
      <c r="N236" s="75"/>
      <c r="O236" s="75"/>
      <c r="P236" s="75"/>
    </row>
    <row r="237">
      <c r="A237" s="80" t="s">
        <v>659</v>
      </c>
      <c r="B237" s="77">
        <v>1585.0</v>
      </c>
      <c r="C237" s="77" t="b">
        <v>0</v>
      </c>
      <c r="D237" s="79" t="str">
        <f>IFERROR(__xludf.DUMMYFUNCTION("GOOGLETRANSLATE(A237,""ar"", ""en"")"),"GREY L-SHAPE POF")</f>
        <v>GREY L-SHAPE POF</v>
      </c>
      <c r="E237" s="80" t="s">
        <v>660</v>
      </c>
      <c r="F237" s="79"/>
      <c r="G237" s="75"/>
      <c r="H237" s="75"/>
      <c r="I237" s="75"/>
      <c r="J237" s="75"/>
      <c r="K237" s="75"/>
      <c r="L237" s="75"/>
      <c r="M237" s="75"/>
      <c r="N237" s="75"/>
      <c r="O237" s="75"/>
      <c r="P237" s="75"/>
    </row>
    <row r="238">
      <c r="A238" s="76" t="s">
        <v>662</v>
      </c>
      <c r="B238" s="77">
        <v>1586.0</v>
      </c>
      <c r="C238" s="77" t="b">
        <v>0</v>
      </c>
      <c r="D238" s="79" t="str">
        <f>IFERROR(__xludf.DUMMYFUNCTION("GOOGLETRANSLATE(A238,""ar"", ""en"")"),"SAND -L-SHAPE Buff")</f>
        <v>SAND -L-SHAPE Buff</v>
      </c>
      <c r="E238" s="76" t="s">
        <v>663</v>
      </c>
      <c r="F238" s="79"/>
      <c r="G238" s="75"/>
      <c r="H238" s="75"/>
      <c r="I238" s="75"/>
      <c r="J238" s="75"/>
      <c r="K238" s="75"/>
      <c r="L238" s="75"/>
      <c r="M238" s="75"/>
      <c r="N238" s="75"/>
      <c r="O238" s="75"/>
      <c r="P238" s="75"/>
    </row>
    <row r="239">
      <c r="A239" s="80" t="s">
        <v>665</v>
      </c>
      <c r="B239" s="77">
        <v>1592.0</v>
      </c>
      <c r="C239" s="77" t="b">
        <v>0</v>
      </c>
      <c r="D239" s="79" t="str">
        <f>IFERROR(__xludf.DUMMYFUNCTION("GOOGLETRANSLATE(A239,""ar"", ""en"")"),"4-legged aluminum base")</f>
        <v>4-legged aluminum base</v>
      </c>
      <c r="E239" s="80" t="s">
        <v>666</v>
      </c>
      <c r="F239" s="79"/>
      <c r="G239" s="75"/>
      <c r="H239" s="75"/>
      <c r="I239" s="75"/>
      <c r="J239" s="75"/>
      <c r="K239" s="75"/>
      <c r="L239" s="75"/>
      <c r="M239" s="75"/>
      <c r="N239" s="75"/>
      <c r="O239" s="75"/>
      <c r="P239" s="75"/>
    </row>
    <row r="240">
      <c r="A240" s="80" t="s">
        <v>668</v>
      </c>
      <c r="B240" s="77">
        <v>1602.0</v>
      </c>
      <c r="C240" s="77" t="b">
        <v>0</v>
      </c>
      <c r="D240" s="79" t="str">
        <f>IFERROR(__xludf.DUMMYFUNCTION("GOOGLETRANSLATE(A240,""ar"", ""en"")"),"lukewarm")</f>
        <v>lukewarm</v>
      </c>
      <c r="E240" s="80" t="s">
        <v>669</v>
      </c>
      <c r="F240" s="79"/>
      <c r="G240" s="75"/>
      <c r="H240" s="75"/>
      <c r="I240" s="75"/>
      <c r="J240" s="75"/>
      <c r="K240" s="75"/>
      <c r="L240" s="75"/>
      <c r="M240" s="75"/>
      <c r="N240" s="75"/>
      <c r="O240" s="75"/>
      <c r="P240" s="75"/>
    </row>
    <row r="241">
      <c r="A241" s="76" t="s">
        <v>671</v>
      </c>
      <c r="B241" s="77">
        <v>1603.0</v>
      </c>
      <c r="C241" s="77" t="b">
        <v>0</v>
      </c>
      <c r="D241" s="79" t="str">
        <f>IFERROR(__xludf.DUMMYFUNCTION("GOOGLETRANSLATE(A241,""ar"", ""en"")"),"Table 80*80 cm")</f>
        <v>Table 80*80 cm</v>
      </c>
      <c r="E241" s="76" t="s">
        <v>672</v>
      </c>
      <c r="F241" s="79"/>
      <c r="G241" s="75"/>
      <c r="H241" s="75"/>
      <c r="I241" s="75"/>
      <c r="J241" s="75"/>
      <c r="K241" s="75"/>
      <c r="L241" s="75"/>
      <c r="M241" s="75"/>
      <c r="N241" s="75"/>
      <c r="O241" s="75"/>
      <c r="P241" s="75"/>
    </row>
    <row r="242">
      <c r="A242" s="80" t="s">
        <v>527</v>
      </c>
      <c r="B242" s="77">
        <v>1604.0</v>
      </c>
      <c r="C242" s="77" t="b">
        <v>0</v>
      </c>
      <c r="D242" s="79" t="str">
        <f>IFERROR(__xludf.DUMMYFUNCTION("GOOGLETRANSLATE(A242,""ar"", ""en"")"),"solid chair")</f>
        <v>solid chair</v>
      </c>
      <c r="E242" s="80" t="s">
        <v>674</v>
      </c>
      <c r="F242" s="79"/>
      <c r="G242" s="75"/>
      <c r="H242" s="75"/>
      <c r="I242" s="75"/>
      <c r="J242" s="75"/>
      <c r="K242" s="75"/>
      <c r="L242" s="75"/>
      <c r="M242" s="75"/>
      <c r="N242" s="75"/>
      <c r="O242" s="75"/>
      <c r="P242" s="75"/>
    </row>
    <row r="243">
      <c r="A243" s="80" t="s">
        <v>675</v>
      </c>
      <c r="B243" s="77">
        <v>1607.0</v>
      </c>
      <c r="C243" s="77" t="b">
        <v>0</v>
      </c>
      <c r="D243" s="79" t="str">
        <f>IFERROR(__xludf.DUMMYFUNCTION("GOOGLETRANSLATE(A243,""ar"", ""en"")"),"Bed 160*190")</f>
        <v>Bed 160*190</v>
      </c>
      <c r="E243" s="80" t="s">
        <v>676</v>
      </c>
      <c r="F243" s="79"/>
      <c r="G243" s="75"/>
      <c r="H243" s="75"/>
      <c r="I243" s="75"/>
      <c r="J243" s="75"/>
      <c r="K243" s="75"/>
      <c r="L243" s="75"/>
      <c r="M243" s="75"/>
      <c r="N243" s="75"/>
      <c r="O243" s="75"/>
      <c r="P243" s="75"/>
    </row>
    <row r="244">
      <c r="A244" s="76" t="s">
        <v>678</v>
      </c>
      <c r="B244" s="77">
        <v>1608.0</v>
      </c>
      <c r="C244" s="77" t="b">
        <v>0</v>
      </c>
      <c r="D244" s="79" t="str">
        <f>IFERROR(__xludf.DUMMYFUNCTION("GOOGLETRANSLATE(A244,""ar"", ""en"")"),"Chest of drawers")</f>
        <v>Chest of drawers</v>
      </c>
      <c r="E244" s="76" t="s">
        <v>679</v>
      </c>
      <c r="F244" s="79"/>
      <c r="G244" s="75"/>
      <c r="H244" s="75"/>
      <c r="I244" s="75"/>
      <c r="J244" s="75"/>
      <c r="K244" s="75"/>
      <c r="L244" s="75"/>
      <c r="M244" s="75"/>
      <c r="N244" s="75"/>
      <c r="O244" s="75"/>
      <c r="P244" s="75"/>
    </row>
    <row r="245">
      <c r="A245" s="80" t="s">
        <v>675</v>
      </c>
      <c r="B245" s="77">
        <v>1609.0</v>
      </c>
      <c r="C245" s="77" t="b">
        <v>0</v>
      </c>
      <c r="D245" s="79" t="str">
        <f>IFERROR(__xludf.DUMMYFUNCTION("GOOGLETRANSLATE(A245,""ar"", ""en"")"),"Bed 160*190")</f>
        <v>Bed 160*190</v>
      </c>
      <c r="E245" s="80" t="s">
        <v>681</v>
      </c>
      <c r="F245" s="79"/>
      <c r="G245" s="75"/>
      <c r="H245" s="75"/>
      <c r="I245" s="75"/>
      <c r="J245" s="75"/>
      <c r="K245" s="75"/>
      <c r="L245" s="75"/>
      <c r="M245" s="75"/>
      <c r="N245" s="75"/>
      <c r="O245" s="75"/>
      <c r="P245" s="75"/>
    </row>
    <row r="246">
      <c r="A246" s="80" t="s">
        <v>682</v>
      </c>
      <c r="B246" s="77">
        <v>1611.0</v>
      </c>
      <c r="C246" s="77" t="b">
        <v>0</v>
      </c>
      <c r="D246" s="79" t="str">
        <f>IFERROR(__xludf.DUMMYFUNCTION("GOOGLETRANSLATE(A246,""ar"", ""en"")"),"50 kg solar base")</f>
        <v>50 kg solar base</v>
      </c>
      <c r="E246" s="80" t="s">
        <v>683</v>
      </c>
      <c r="F246" s="79"/>
      <c r="G246" s="75"/>
      <c r="H246" s="75"/>
      <c r="I246" s="75"/>
      <c r="J246" s="75"/>
      <c r="K246" s="75"/>
      <c r="L246" s="75"/>
      <c r="M246" s="75"/>
      <c r="N246" s="75"/>
      <c r="O246" s="75"/>
      <c r="P246" s="75"/>
    </row>
    <row r="247">
      <c r="A247" s="80" t="s">
        <v>685</v>
      </c>
      <c r="B247" s="77">
        <v>1615.0</v>
      </c>
      <c r="C247" s="77" t="b">
        <v>0</v>
      </c>
      <c r="D247" s="79" t="str">
        <f>IFERROR(__xludf.DUMMYFUNCTION("GOOGLETRANSLATE(A247,""ar"", ""en"")"),"Malaysian Versalite Face 70*110")</f>
        <v>Malaysian Versalite Face 70*110</v>
      </c>
      <c r="E247" s="80" t="s">
        <v>686</v>
      </c>
      <c r="F247" s="81" t="s">
        <v>687</v>
      </c>
      <c r="G247" s="75"/>
      <c r="H247" s="75"/>
      <c r="I247" s="75"/>
      <c r="J247" s="75"/>
      <c r="K247" s="75"/>
      <c r="L247" s="75"/>
      <c r="M247" s="75"/>
      <c r="N247" s="75"/>
      <c r="O247" s="75"/>
      <c r="P247" s="75"/>
    </row>
    <row r="248">
      <c r="A248" s="76" t="s">
        <v>685</v>
      </c>
      <c r="B248" s="77">
        <v>1616.0</v>
      </c>
      <c r="C248" s="77" t="b">
        <v>0</v>
      </c>
      <c r="D248" s="79" t="str">
        <f>IFERROR(__xludf.DUMMYFUNCTION("GOOGLETRANSLATE(A248,""ar"", ""en"")"),"Malaysian Versalite Face 70*110")</f>
        <v>Malaysian Versalite Face 70*110</v>
      </c>
      <c r="E248" s="76" t="s">
        <v>688</v>
      </c>
      <c r="F248" s="81" t="s">
        <v>689</v>
      </c>
      <c r="G248" s="75"/>
      <c r="H248" s="75"/>
      <c r="I248" s="75"/>
      <c r="J248" s="75"/>
      <c r="K248" s="75"/>
      <c r="L248" s="75"/>
      <c r="M248" s="75"/>
      <c r="N248" s="75"/>
      <c r="O248" s="75"/>
      <c r="P248" s="75"/>
    </row>
    <row r="249">
      <c r="A249" s="80" t="s">
        <v>685</v>
      </c>
      <c r="B249" s="77">
        <v>1617.0</v>
      </c>
      <c r="C249" s="77" t="b">
        <v>0</v>
      </c>
      <c r="D249" s="79" t="str">
        <f>IFERROR(__xludf.DUMMYFUNCTION("GOOGLETRANSLATE(A249,""ar"", ""en"")"),"Malaysian Versalite Face 70*110")</f>
        <v>Malaysian Versalite Face 70*110</v>
      </c>
      <c r="E249" s="80" t="s">
        <v>690</v>
      </c>
      <c r="F249" s="79"/>
      <c r="G249" s="75"/>
      <c r="H249" s="75"/>
      <c r="I249" s="75"/>
      <c r="J249" s="75"/>
      <c r="K249" s="75"/>
      <c r="L249" s="75"/>
      <c r="M249" s="75"/>
      <c r="N249" s="75"/>
      <c r="O249" s="75"/>
      <c r="P249" s="75"/>
    </row>
    <row r="250">
      <c r="A250" s="76" t="s">
        <v>685</v>
      </c>
      <c r="B250" s="77">
        <v>1618.0</v>
      </c>
      <c r="C250" s="77" t="b">
        <v>0</v>
      </c>
      <c r="D250" s="79" t="str">
        <f>IFERROR(__xludf.DUMMYFUNCTION("GOOGLETRANSLATE(A250,""ar"", ""en"")"),"Malaysian Versalite Face 70*110")</f>
        <v>Malaysian Versalite Face 70*110</v>
      </c>
      <c r="E250" s="76" t="s">
        <v>691</v>
      </c>
      <c r="F250" s="79"/>
      <c r="G250" s="75"/>
      <c r="H250" s="75"/>
      <c r="I250" s="75"/>
      <c r="J250" s="75"/>
      <c r="K250" s="75"/>
      <c r="L250" s="75"/>
      <c r="M250" s="75"/>
      <c r="N250" s="75"/>
      <c r="O250" s="75"/>
      <c r="P250" s="75"/>
    </row>
    <row r="251">
      <c r="A251" s="80" t="s">
        <v>685</v>
      </c>
      <c r="B251" s="77">
        <v>1619.0</v>
      </c>
      <c r="C251" s="77" t="b">
        <v>0</v>
      </c>
      <c r="D251" s="79" t="str">
        <f>IFERROR(__xludf.DUMMYFUNCTION("GOOGLETRANSLATE(A251,""ar"", ""en"")"),"Malaysian Versalite Face 70*110")</f>
        <v>Malaysian Versalite Face 70*110</v>
      </c>
      <c r="E251" s="80" t="s">
        <v>692</v>
      </c>
      <c r="F251" s="79"/>
      <c r="G251" s="75"/>
      <c r="H251" s="75"/>
      <c r="I251" s="75"/>
      <c r="J251" s="75"/>
      <c r="K251" s="75"/>
      <c r="L251" s="75"/>
      <c r="M251" s="75"/>
      <c r="N251" s="75"/>
      <c r="O251" s="75"/>
      <c r="P251" s="75"/>
    </row>
    <row r="252">
      <c r="A252" s="76" t="s">
        <v>685</v>
      </c>
      <c r="B252" s="77">
        <v>1620.0</v>
      </c>
      <c r="C252" s="77" t="b">
        <v>0</v>
      </c>
      <c r="D252" s="79" t="str">
        <f>IFERROR(__xludf.DUMMYFUNCTION("GOOGLETRANSLATE(A252,""ar"", ""en"")"),"Malaysian Versalite Face 70*110")</f>
        <v>Malaysian Versalite Face 70*110</v>
      </c>
      <c r="E252" s="76" t="s">
        <v>693</v>
      </c>
      <c r="F252" s="81" t="s">
        <v>694</v>
      </c>
      <c r="G252" s="75"/>
      <c r="H252" s="75"/>
      <c r="I252" s="75"/>
      <c r="J252" s="75"/>
      <c r="K252" s="75"/>
      <c r="L252" s="75"/>
      <c r="M252" s="75"/>
      <c r="N252" s="75"/>
      <c r="O252" s="75"/>
      <c r="P252" s="75"/>
    </row>
    <row r="253">
      <c r="A253" s="80" t="s">
        <v>685</v>
      </c>
      <c r="B253" s="77">
        <v>1621.0</v>
      </c>
      <c r="C253" s="77" t="b">
        <v>0</v>
      </c>
      <c r="D253" s="79" t="str">
        <f>IFERROR(__xludf.DUMMYFUNCTION("GOOGLETRANSLATE(A253,""ar"", ""en"")"),"Malaysian Versalite Face 70*110")</f>
        <v>Malaysian Versalite Face 70*110</v>
      </c>
      <c r="E253" s="80" t="s">
        <v>695</v>
      </c>
      <c r="F253" s="81" t="s">
        <v>696</v>
      </c>
      <c r="G253" s="75"/>
      <c r="H253" s="75"/>
      <c r="I253" s="75"/>
      <c r="J253" s="75"/>
      <c r="K253" s="75"/>
      <c r="L253" s="75"/>
      <c r="M253" s="75"/>
      <c r="N253" s="75"/>
      <c r="O253" s="75"/>
      <c r="P253" s="75"/>
    </row>
    <row r="254">
      <c r="A254" s="76" t="s">
        <v>685</v>
      </c>
      <c r="B254" s="77">
        <v>1622.0</v>
      </c>
      <c r="C254" s="77" t="b">
        <v>0</v>
      </c>
      <c r="D254" s="79" t="str">
        <f>IFERROR(__xludf.DUMMYFUNCTION("GOOGLETRANSLATE(A254,""ar"", ""en"")"),"Malaysian Versalite Face 70*110")</f>
        <v>Malaysian Versalite Face 70*110</v>
      </c>
      <c r="E254" s="76" t="s">
        <v>697</v>
      </c>
      <c r="F254" s="79"/>
      <c r="G254" s="75"/>
      <c r="H254" s="75"/>
      <c r="I254" s="75"/>
      <c r="J254" s="75"/>
      <c r="K254" s="75"/>
      <c r="L254" s="75"/>
      <c r="M254" s="75"/>
      <c r="N254" s="75"/>
      <c r="O254" s="75"/>
      <c r="P254" s="75"/>
    </row>
    <row r="255">
      <c r="A255" s="80" t="s">
        <v>698</v>
      </c>
      <c r="B255" s="77">
        <v>1623.0</v>
      </c>
      <c r="C255" s="77" t="b">
        <v>0</v>
      </c>
      <c r="D255" s="79" t="str">
        <f>IFERROR(__xludf.DUMMYFUNCTION("GOOGLETRANSLATE(A255,""ar"", ""en"")"),"Malaysian Versalite Face 80*120")</f>
        <v>Malaysian Versalite Face 80*120</v>
      </c>
      <c r="E255" s="80" t="s">
        <v>699</v>
      </c>
      <c r="F255" s="79"/>
      <c r="G255" s="75"/>
      <c r="H255" s="75"/>
      <c r="I255" s="75"/>
      <c r="J255" s="75"/>
      <c r="K255" s="75"/>
      <c r="L255" s="75"/>
      <c r="M255" s="75"/>
      <c r="N255" s="75"/>
      <c r="O255" s="75"/>
      <c r="P255" s="75"/>
    </row>
    <row r="256">
      <c r="A256" s="76" t="s">
        <v>698</v>
      </c>
      <c r="B256" s="77">
        <v>1624.0</v>
      </c>
      <c r="C256" s="77" t="b">
        <v>0</v>
      </c>
      <c r="D256" s="79" t="str">
        <f>IFERROR(__xludf.DUMMYFUNCTION("GOOGLETRANSLATE(A256,""ar"", ""en"")"),"Malaysian Versalite Face 80*120")</f>
        <v>Malaysian Versalite Face 80*120</v>
      </c>
      <c r="E256" s="76" t="s">
        <v>700</v>
      </c>
      <c r="F256" s="79"/>
      <c r="G256" s="75"/>
      <c r="H256" s="75"/>
      <c r="I256" s="75"/>
      <c r="J256" s="75"/>
      <c r="K256" s="75"/>
      <c r="L256" s="75"/>
      <c r="M256" s="75"/>
      <c r="N256" s="75"/>
      <c r="O256" s="75"/>
      <c r="P256" s="75"/>
    </row>
    <row r="257">
      <c r="A257" s="80" t="s">
        <v>698</v>
      </c>
      <c r="B257" s="77">
        <v>1625.0</v>
      </c>
      <c r="C257" s="77" t="b">
        <v>0</v>
      </c>
      <c r="D257" s="79" t="str">
        <f>IFERROR(__xludf.DUMMYFUNCTION("GOOGLETRANSLATE(A257,""ar"", ""en"")"),"Malaysian Versalite Face 80*120")</f>
        <v>Malaysian Versalite Face 80*120</v>
      </c>
      <c r="E257" s="80" t="s">
        <v>701</v>
      </c>
      <c r="F257" s="79"/>
      <c r="G257" s="75"/>
      <c r="H257" s="75"/>
      <c r="I257" s="75"/>
      <c r="J257" s="75"/>
      <c r="K257" s="75"/>
      <c r="L257" s="75"/>
      <c r="M257" s="75"/>
      <c r="N257" s="75"/>
      <c r="O257" s="75"/>
      <c r="P257" s="75"/>
    </row>
    <row r="258">
      <c r="A258" s="76" t="s">
        <v>698</v>
      </c>
      <c r="B258" s="77">
        <v>1626.0</v>
      </c>
      <c r="C258" s="77" t="b">
        <v>0</v>
      </c>
      <c r="D258" s="79" t="str">
        <f>IFERROR(__xludf.DUMMYFUNCTION("GOOGLETRANSLATE(A258,""ar"", ""en"")"),"Malaysian Versalite Face 80*120")</f>
        <v>Malaysian Versalite Face 80*120</v>
      </c>
      <c r="E258" s="76" t="s">
        <v>702</v>
      </c>
      <c r="F258" s="79"/>
      <c r="G258" s="75"/>
      <c r="H258" s="75"/>
      <c r="I258" s="75"/>
      <c r="J258" s="75"/>
      <c r="K258" s="75"/>
      <c r="L258" s="75"/>
      <c r="M258" s="75"/>
      <c r="N258" s="75"/>
      <c r="O258" s="75"/>
      <c r="P258" s="75"/>
    </row>
    <row r="259">
      <c r="A259" s="80" t="s">
        <v>698</v>
      </c>
      <c r="B259" s="77">
        <v>1627.0</v>
      </c>
      <c r="C259" s="77" t="b">
        <v>0</v>
      </c>
      <c r="D259" s="79" t="str">
        <f>IFERROR(__xludf.DUMMYFUNCTION("GOOGLETRANSLATE(A259,""ar"", ""en"")"),"Malaysian Versalite Face 80*120")</f>
        <v>Malaysian Versalite Face 80*120</v>
      </c>
      <c r="E259" s="80" t="s">
        <v>703</v>
      </c>
      <c r="F259" s="79"/>
      <c r="G259" s="75"/>
      <c r="H259" s="75"/>
      <c r="I259" s="75"/>
      <c r="J259" s="75"/>
      <c r="K259" s="75"/>
      <c r="L259" s="75"/>
      <c r="M259" s="75"/>
      <c r="N259" s="75"/>
      <c r="O259" s="75"/>
      <c r="P259" s="75"/>
    </row>
    <row r="260">
      <c r="A260" s="76" t="s">
        <v>698</v>
      </c>
      <c r="B260" s="77">
        <v>1628.0</v>
      </c>
      <c r="C260" s="77" t="b">
        <v>0</v>
      </c>
      <c r="D260" s="79" t="str">
        <f>IFERROR(__xludf.DUMMYFUNCTION("GOOGLETRANSLATE(A260,""ar"", ""en"")"),"Malaysian Versalite Face 80*120")</f>
        <v>Malaysian Versalite Face 80*120</v>
      </c>
      <c r="E260" s="76" t="s">
        <v>704</v>
      </c>
      <c r="F260" s="79"/>
      <c r="G260" s="75"/>
      <c r="H260" s="75"/>
      <c r="I260" s="75"/>
      <c r="J260" s="75"/>
      <c r="K260" s="75"/>
      <c r="L260" s="75"/>
      <c r="M260" s="75"/>
      <c r="N260" s="75"/>
      <c r="O260" s="75"/>
      <c r="P260" s="75"/>
    </row>
    <row r="261">
      <c r="A261" s="80" t="s">
        <v>698</v>
      </c>
      <c r="B261" s="77">
        <v>1629.0</v>
      </c>
      <c r="C261" s="77" t="b">
        <v>0</v>
      </c>
      <c r="D261" s="79" t="str">
        <f>IFERROR(__xludf.DUMMYFUNCTION("GOOGLETRANSLATE(A261,""ar"", ""en"")"),"Malaysian Versalite Face 80*120")</f>
        <v>Malaysian Versalite Face 80*120</v>
      </c>
      <c r="E261" s="80" t="s">
        <v>705</v>
      </c>
      <c r="F261" s="79"/>
      <c r="G261" s="75"/>
      <c r="H261" s="75"/>
      <c r="I261" s="75"/>
      <c r="J261" s="75"/>
      <c r="K261" s="75"/>
      <c r="L261" s="75"/>
      <c r="M261" s="75"/>
      <c r="N261" s="75"/>
      <c r="O261" s="75"/>
      <c r="P261" s="75"/>
    </row>
    <row r="262">
      <c r="A262" s="76" t="s">
        <v>698</v>
      </c>
      <c r="B262" s="77">
        <v>1630.0</v>
      </c>
      <c r="C262" s="77" t="b">
        <v>0</v>
      </c>
      <c r="D262" s="79" t="str">
        <f>IFERROR(__xludf.DUMMYFUNCTION("GOOGLETRANSLATE(A262,""ar"", ""en"")"),"Malaysian Versalite Face 80*120")</f>
        <v>Malaysian Versalite Face 80*120</v>
      </c>
      <c r="E262" s="76" t="s">
        <v>706</v>
      </c>
      <c r="F262" s="79"/>
      <c r="G262" s="75"/>
      <c r="H262" s="75"/>
      <c r="I262" s="75"/>
      <c r="J262" s="75"/>
      <c r="K262" s="75"/>
      <c r="L262" s="75"/>
      <c r="M262" s="75"/>
      <c r="N262" s="75"/>
      <c r="O262" s="75"/>
      <c r="P262" s="75"/>
    </row>
    <row r="263">
      <c r="A263" s="80" t="s">
        <v>707</v>
      </c>
      <c r="B263" s="77">
        <v>1631.0</v>
      </c>
      <c r="C263" s="77" t="b">
        <v>0</v>
      </c>
      <c r="D263" s="79" t="str">
        <f>IFERROR(__xludf.DUMMYFUNCTION("GOOGLETRANSLATE(A263,""ar"", ""en"")"),"Malaysian Versalite Face 70*70")</f>
        <v>Malaysian Versalite Face 70*70</v>
      </c>
      <c r="E263" s="80" t="s">
        <v>708</v>
      </c>
      <c r="F263" s="79"/>
      <c r="G263" s="75"/>
      <c r="H263" s="75"/>
      <c r="I263" s="75"/>
      <c r="J263" s="75"/>
      <c r="K263" s="75"/>
      <c r="L263" s="75"/>
      <c r="M263" s="75"/>
      <c r="N263" s="75"/>
      <c r="O263" s="75"/>
      <c r="P263" s="75"/>
    </row>
    <row r="264">
      <c r="A264" s="76" t="s">
        <v>707</v>
      </c>
      <c r="B264" s="77">
        <v>1632.0</v>
      </c>
      <c r="C264" s="77" t="b">
        <v>0</v>
      </c>
      <c r="D264" s="79" t="str">
        <f>IFERROR(__xludf.DUMMYFUNCTION("GOOGLETRANSLATE(A264,""ar"", ""en"")"),"Malaysian Versalite Face 70*70")</f>
        <v>Malaysian Versalite Face 70*70</v>
      </c>
      <c r="E264" s="76" t="s">
        <v>709</v>
      </c>
      <c r="F264" s="81" t="s">
        <v>710</v>
      </c>
      <c r="G264" s="75"/>
      <c r="H264" s="75"/>
      <c r="I264" s="75"/>
      <c r="J264" s="75"/>
      <c r="K264" s="75"/>
      <c r="L264" s="75"/>
      <c r="M264" s="75"/>
      <c r="N264" s="75"/>
      <c r="O264" s="75"/>
      <c r="P264" s="75"/>
    </row>
    <row r="265">
      <c r="A265" s="80" t="s">
        <v>707</v>
      </c>
      <c r="B265" s="77">
        <v>1633.0</v>
      </c>
      <c r="C265" s="77" t="b">
        <v>0</v>
      </c>
      <c r="D265" s="79" t="str">
        <f>IFERROR(__xludf.DUMMYFUNCTION("GOOGLETRANSLATE(A265,""ar"", ""en"")"),"Malaysian Versalite Face 70*70")</f>
        <v>Malaysian Versalite Face 70*70</v>
      </c>
      <c r="E265" s="80" t="s">
        <v>711</v>
      </c>
      <c r="F265" s="79"/>
      <c r="G265" s="75"/>
      <c r="H265" s="75"/>
      <c r="I265" s="75"/>
      <c r="J265" s="75"/>
      <c r="K265" s="75"/>
      <c r="L265" s="75"/>
      <c r="M265" s="75"/>
      <c r="N265" s="75"/>
      <c r="O265" s="75"/>
      <c r="P265" s="75"/>
    </row>
    <row r="266">
      <c r="A266" s="76" t="s">
        <v>707</v>
      </c>
      <c r="B266" s="77">
        <v>1634.0</v>
      </c>
      <c r="C266" s="77" t="b">
        <v>0</v>
      </c>
      <c r="D266" s="79" t="str">
        <f>IFERROR(__xludf.DUMMYFUNCTION("GOOGLETRANSLATE(A266,""ar"", ""en"")"),"Malaysian Versalite Face 70*70")</f>
        <v>Malaysian Versalite Face 70*70</v>
      </c>
      <c r="E266" s="76" t="s">
        <v>712</v>
      </c>
      <c r="F266" s="79"/>
      <c r="G266" s="75"/>
      <c r="H266" s="75"/>
      <c r="I266" s="75"/>
      <c r="J266" s="75"/>
      <c r="K266" s="75"/>
      <c r="L266" s="75"/>
      <c r="M266" s="75"/>
      <c r="N266" s="75"/>
      <c r="O266" s="75"/>
      <c r="P266" s="75"/>
    </row>
    <row r="267">
      <c r="A267" s="80" t="s">
        <v>707</v>
      </c>
      <c r="B267" s="77">
        <v>1635.0</v>
      </c>
      <c r="C267" s="77" t="b">
        <v>0</v>
      </c>
      <c r="D267" s="79" t="str">
        <f>IFERROR(__xludf.DUMMYFUNCTION("GOOGLETRANSLATE(A267,""ar"", ""en"")"),"Malaysian Versalite Face 70*70")</f>
        <v>Malaysian Versalite Face 70*70</v>
      </c>
      <c r="E267" s="80" t="s">
        <v>713</v>
      </c>
      <c r="F267" s="79"/>
      <c r="G267" s="75"/>
      <c r="H267" s="75"/>
      <c r="I267" s="75"/>
      <c r="J267" s="75"/>
      <c r="K267" s="75"/>
      <c r="L267" s="75"/>
      <c r="M267" s="75"/>
      <c r="N267" s="75"/>
      <c r="O267" s="75"/>
      <c r="P267" s="75"/>
    </row>
    <row r="268">
      <c r="A268" s="76" t="s">
        <v>707</v>
      </c>
      <c r="B268" s="77">
        <v>1636.0</v>
      </c>
      <c r="C268" s="77" t="b">
        <v>0</v>
      </c>
      <c r="D268" s="79" t="str">
        <f>IFERROR(__xludf.DUMMYFUNCTION("GOOGLETRANSLATE(A268,""ar"", ""en"")"),"Malaysian Versalite Face 70*70")</f>
        <v>Malaysian Versalite Face 70*70</v>
      </c>
      <c r="E268" s="76" t="s">
        <v>714</v>
      </c>
      <c r="F268" s="79"/>
      <c r="G268" s="75"/>
      <c r="H268" s="75"/>
      <c r="I268" s="75"/>
      <c r="J268" s="75"/>
      <c r="K268" s="75"/>
      <c r="L268" s="75"/>
      <c r="M268" s="75"/>
      <c r="N268" s="75"/>
      <c r="O268" s="75"/>
      <c r="P268" s="75"/>
    </row>
    <row r="269">
      <c r="A269" s="80" t="s">
        <v>707</v>
      </c>
      <c r="B269" s="77">
        <v>1637.0</v>
      </c>
      <c r="C269" s="77" t="b">
        <v>0</v>
      </c>
      <c r="D269" s="79" t="str">
        <f>IFERROR(__xludf.DUMMYFUNCTION("GOOGLETRANSLATE(A269,""ar"", ""en"")"),"Malaysian Versalite Face 70*70")</f>
        <v>Malaysian Versalite Face 70*70</v>
      </c>
      <c r="E269" s="80" t="s">
        <v>715</v>
      </c>
      <c r="F269" s="79"/>
      <c r="G269" s="75"/>
      <c r="H269" s="75"/>
      <c r="I269" s="75"/>
      <c r="J269" s="75"/>
      <c r="K269" s="75"/>
      <c r="L269" s="75"/>
      <c r="M269" s="75"/>
      <c r="N269" s="75"/>
      <c r="O269" s="75"/>
      <c r="P269" s="75"/>
    </row>
    <row r="270">
      <c r="A270" s="76" t="s">
        <v>707</v>
      </c>
      <c r="B270" s="77">
        <v>1638.0</v>
      </c>
      <c r="C270" s="77" t="b">
        <v>0</v>
      </c>
      <c r="D270" s="79" t="str">
        <f>IFERROR(__xludf.DUMMYFUNCTION("GOOGLETRANSLATE(A270,""ar"", ""en"")"),"Malaysian Versalite Face 70*70")</f>
        <v>Malaysian Versalite Face 70*70</v>
      </c>
      <c r="E270" s="76" t="s">
        <v>716</v>
      </c>
      <c r="F270" s="81" t="s">
        <v>717</v>
      </c>
      <c r="G270" s="75"/>
      <c r="H270" s="75"/>
      <c r="I270" s="75"/>
      <c r="J270" s="75"/>
      <c r="K270" s="75"/>
      <c r="L270" s="75"/>
      <c r="M270" s="75"/>
      <c r="N270" s="75"/>
      <c r="O270" s="75"/>
      <c r="P270" s="75"/>
    </row>
    <row r="271">
      <c r="A271" s="80" t="s">
        <v>718</v>
      </c>
      <c r="B271" s="77">
        <v>1639.0</v>
      </c>
      <c r="C271" s="77" t="b">
        <v>0</v>
      </c>
      <c r="D271" s="79" t="str">
        <f>IFERROR(__xludf.DUMMYFUNCTION("GOOGLETRANSLATE(A271,""ar"", ""en"")"),"Malaysian Versalite Face 80*80")</f>
        <v>Malaysian Versalite Face 80*80</v>
      </c>
      <c r="E271" s="80" t="s">
        <v>719</v>
      </c>
      <c r="F271" s="79"/>
      <c r="G271" s="75"/>
      <c r="H271" s="75"/>
      <c r="I271" s="75"/>
      <c r="J271" s="75"/>
      <c r="K271" s="75"/>
      <c r="L271" s="75"/>
      <c r="M271" s="75"/>
      <c r="N271" s="75"/>
      <c r="O271" s="75"/>
      <c r="P271" s="75"/>
    </row>
    <row r="272">
      <c r="A272" s="76" t="s">
        <v>718</v>
      </c>
      <c r="B272" s="77">
        <v>1640.0</v>
      </c>
      <c r="C272" s="77" t="b">
        <v>0</v>
      </c>
      <c r="D272" s="79" t="str">
        <f>IFERROR(__xludf.DUMMYFUNCTION("GOOGLETRANSLATE(A272,""ar"", ""en"")"),"Malaysian Versalite Face 80*80")</f>
        <v>Malaysian Versalite Face 80*80</v>
      </c>
      <c r="E272" s="76" t="s">
        <v>720</v>
      </c>
      <c r="F272" s="79"/>
      <c r="G272" s="75"/>
      <c r="H272" s="75"/>
      <c r="I272" s="75"/>
      <c r="J272" s="75"/>
      <c r="K272" s="75"/>
      <c r="L272" s="75"/>
      <c r="M272" s="75"/>
      <c r="N272" s="75"/>
      <c r="O272" s="75"/>
      <c r="P272" s="75"/>
    </row>
    <row r="273">
      <c r="A273" s="80" t="s">
        <v>718</v>
      </c>
      <c r="B273" s="77">
        <v>1641.0</v>
      </c>
      <c r="C273" s="77" t="b">
        <v>0</v>
      </c>
      <c r="D273" s="79" t="str">
        <f>IFERROR(__xludf.DUMMYFUNCTION("GOOGLETRANSLATE(A273,""ar"", ""en"")"),"Malaysian Versalite Face 80*80")</f>
        <v>Malaysian Versalite Face 80*80</v>
      </c>
      <c r="E273" s="80" t="s">
        <v>721</v>
      </c>
      <c r="F273" s="79"/>
      <c r="G273" s="75"/>
      <c r="H273" s="75"/>
      <c r="I273" s="75"/>
      <c r="J273" s="75"/>
      <c r="K273" s="75"/>
      <c r="L273" s="75"/>
      <c r="M273" s="75"/>
      <c r="N273" s="75"/>
      <c r="O273" s="75"/>
      <c r="P273" s="75"/>
    </row>
    <row r="274">
      <c r="A274" s="76" t="s">
        <v>718</v>
      </c>
      <c r="B274" s="77">
        <v>1642.0</v>
      </c>
      <c r="C274" s="77" t="b">
        <v>0</v>
      </c>
      <c r="D274" s="79" t="str">
        <f>IFERROR(__xludf.DUMMYFUNCTION("GOOGLETRANSLATE(A274,""ar"", ""en"")"),"Malaysian Versalite Face 80*80")</f>
        <v>Malaysian Versalite Face 80*80</v>
      </c>
      <c r="E274" s="76" t="s">
        <v>722</v>
      </c>
      <c r="F274" s="79"/>
      <c r="G274" s="75"/>
      <c r="H274" s="75"/>
      <c r="I274" s="75"/>
      <c r="J274" s="75"/>
      <c r="K274" s="75"/>
      <c r="L274" s="75"/>
      <c r="M274" s="75"/>
      <c r="N274" s="75"/>
      <c r="O274" s="75"/>
      <c r="P274" s="75"/>
    </row>
    <row r="275">
      <c r="A275" s="80" t="s">
        <v>718</v>
      </c>
      <c r="B275" s="77">
        <v>1643.0</v>
      </c>
      <c r="C275" s="77" t="b">
        <v>0</v>
      </c>
      <c r="D275" s="79" t="str">
        <f>IFERROR(__xludf.DUMMYFUNCTION("GOOGLETRANSLATE(A275,""ar"", ""en"")"),"Malaysian Versalite Face 80*80")</f>
        <v>Malaysian Versalite Face 80*80</v>
      </c>
      <c r="E275" s="80" t="s">
        <v>723</v>
      </c>
      <c r="F275" s="81" t="s">
        <v>724</v>
      </c>
      <c r="G275" s="75"/>
      <c r="H275" s="75"/>
      <c r="I275" s="75"/>
      <c r="J275" s="75"/>
      <c r="K275" s="75"/>
      <c r="L275" s="75"/>
      <c r="M275" s="75"/>
      <c r="N275" s="75"/>
      <c r="O275" s="75"/>
      <c r="P275" s="75"/>
    </row>
    <row r="276">
      <c r="A276" s="76" t="s">
        <v>718</v>
      </c>
      <c r="B276" s="77">
        <v>1644.0</v>
      </c>
      <c r="C276" s="77" t="b">
        <v>0</v>
      </c>
      <c r="D276" s="79" t="str">
        <f>IFERROR(__xludf.DUMMYFUNCTION("GOOGLETRANSLATE(A276,""ar"", ""en"")"),"Malaysian Versalite Face 80*80")</f>
        <v>Malaysian Versalite Face 80*80</v>
      </c>
      <c r="E276" s="76" t="s">
        <v>725</v>
      </c>
      <c r="F276" s="79"/>
      <c r="G276" s="75"/>
      <c r="H276" s="75"/>
      <c r="I276" s="75"/>
      <c r="J276" s="75"/>
      <c r="K276" s="75"/>
      <c r="L276" s="75"/>
      <c r="M276" s="75"/>
      <c r="N276" s="75"/>
      <c r="O276" s="75"/>
      <c r="P276" s="75"/>
    </row>
    <row r="277">
      <c r="A277" s="80" t="s">
        <v>718</v>
      </c>
      <c r="B277" s="77">
        <v>1645.0</v>
      </c>
      <c r="C277" s="77" t="b">
        <v>0</v>
      </c>
      <c r="D277" s="79" t="str">
        <f>IFERROR(__xludf.DUMMYFUNCTION("GOOGLETRANSLATE(A277,""ar"", ""en"")"),"Malaysian Versalite Face 80*80")</f>
        <v>Malaysian Versalite Face 80*80</v>
      </c>
      <c r="E277" s="80" t="s">
        <v>726</v>
      </c>
      <c r="F277" s="81" t="s">
        <v>727</v>
      </c>
      <c r="G277" s="75"/>
      <c r="H277" s="75"/>
      <c r="I277" s="75"/>
      <c r="J277" s="75"/>
      <c r="K277" s="75"/>
      <c r="L277" s="75"/>
      <c r="M277" s="75"/>
      <c r="N277" s="75"/>
      <c r="O277" s="75"/>
      <c r="P277" s="75"/>
    </row>
    <row r="278">
      <c r="A278" s="76" t="s">
        <v>718</v>
      </c>
      <c r="B278" s="77">
        <v>1646.0</v>
      </c>
      <c r="C278" s="77" t="b">
        <v>0</v>
      </c>
      <c r="D278" s="79" t="str">
        <f>IFERROR(__xludf.DUMMYFUNCTION("GOOGLETRANSLATE(A278,""ar"", ""en"")"),"Malaysian Versalite Face 80*80")</f>
        <v>Malaysian Versalite Face 80*80</v>
      </c>
      <c r="E278" s="76" t="s">
        <v>728</v>
      </c>
      <c r="F278" s="79"/>
      <c r="G278" s="75"/>
      <c r="H278" s="75"/>
      <c r="I278" s="75"/>
      <c r="J278" s="75"/>
      <c r="K278" s="75"/>
      <c r="L278" s="75"/>
      <c r="M278" s="75"/>
      <c r="N278" s="75"/>
      <c r="O278" s="75"/>
      <c r="P278" s="75"/>
    </row>
    <row r="279">
      <c r="A279" s="80" t="s">
        <v>718</v>
      </c>
      <c r="B279" s="77">
        <v>1647.0</v>
      </c>
      <c r="C279" s="77" t="b">
        <v>0</v>
      </c>
      <c r="D279" s="79" t="str">
        <f>IFERROR(__xludf.DUMMYFUNCTION("GOOGLETRANSLATE(A279,""ar"", ""en"")"),"Malaysian Versalite Face 80*80")</f>
        <v>Malaysian Versalite Face 80*80</v>
      </c>
      <c r="E279" s="80" t="s">
        <v>729</v>
      </c>
      <c r="F279" s="79"/>
      <c r="G279" s="75"/>
      <c r="H279" s="75"/>
      <c r="I279" s="75"/>
      <c r="J279" s="75"/>
      <c r="K279" s="75"/>
      <c r="L279" s="75"/>
      <c r="M279" s="75"/>
      <c r="N279" s="75"/>
      <c r="O279" s="75"/>
      <c r="P279" s="75"/>
    </row>
    <row r="280">
      <c r="A280" s="76" t="s">
        <v>718</v>
      </c>
      <c r="B280" s="77">
        <v>1648.0</v>
      </c>
      <c r="C280" s="77" t="b">
        <v>0</v>
      </c>
      <c r="D280" s="79" t="str">
        <f>IFERROR(__xludf.DUMMYFUNCTION("GOOGLETRANSLATE(A280,""ar"", ""en"")"),"Malaysian Versalite Face 80*80")</f>
        <v>Malaysian Versalite Face 80*80</v>
      </c>
      <c r="E280" s="76" t="s">
        <v>730</v>
      </c>
      <c r="F280" s="79"/>
      <c r="G280" s="75"/>
      <c r="H280" s="75"/>
      <c r="I280" s="75"/>
      <c r="J280" s="75"/>
      <c r="K280" s="75"/>
      <c r="L280" s="75"/>
      <c r="M280" s="75"/>
      <c r="N280" s="75"/>
      <c r="O280" s="75"/>
      <c r="P280" s="75"/>
    </row>
    <row r="281">
      <c r="A281" s="80" t="s">
        <v>718</v>
      </c>
      <c r="B281" s="77">
        <v>1649.0</v>
      </c>
      <c r="C281" s="77" t="b">
        <v>0</v>
      </c>
      <c r="D281" s="79" t="str">
        <f>IFERROR(__xludf.DUMMYFUNCTION("GOOGLETRANSLATE(A281,""ar"", ""en"")"),"Malaysian Versalite Face 80*80")</f>
        <v>Malaysian Versalite Face 80*80</v>
      </c>
      <c r="E281" s="80" t="s">
        <v>731</v>
      </c>
      <c r="F281" s="79"/>
      <c r="G281" s="75"/>
      <c r="H281" s="75"/>
      <c r="I281" s="75"/>
      <c r="J281" s="75"/>
      <c r="K281" s="75"/>
      <c r="L281" s="75"/>
      <c r="M281" s="75"/>
      <c r="N281" s="75"/>
      <c r="O281" s="75"/>
      <c r="P281" s="75"/>
    </row>
    <row r="282">
      <c r="A282" s="76" t="s">
        <v>718</v>
      </c>
      <c r="B282" s="77">
        <v>1650.0</v>
      </c>
      <c r="C282" s="77" t="b">
        <v>0</v>
      </c>
      <c r="D282" s="79" t="str">
        <f>IFERROR(__xludf.DUMMYFUNCTION("GOOGLETRANSLATE(A282,""ar"", ""en"")"),"Malaysian Versalite Face 80*80")</f>
        <v>Malaysian Versalite Face 80*80</v>
      </c>
      <c r="E282" s="76" t="s">
        <v>732</v>
      </c>
      <c r="F282" s="79"/>
      <c r="G282" s="75"/>
      <c r="H282" s="75"/>
      <c r="I282" s="75"/>
      <c r="J282" s="75"/>
      <c r="K282" s="75"/>
      <c r="L282" s="75"/>
      <c r="M282" s="75"/>
      <c r="N282" s="75"/>
      <c r="O282" s="75"/>
      <c r="P282" s="75"/>
    </row>
    <row r="283">
      <c r="A283" s="80" t="s">
        <v>733</v>
      </c>
      <c r="B283" s="77">
        <v>1651.0</v>
      </c>
      <c r="C283" s="77" t="b">
        <v>0</v>
      </c>
      <c r="D283" s="79" t="str">
        <f>IFERROR(__xludf.DUMMYFUNCTION("GOOGLETRANSLATE(A283,""ar"", ""en"")"),"180 cm plastic table with bag")</f>
        <v>180 cm plastic table with bag</v>
      </c>
      <c r="E283" s="80" t="s">
        <v>734</v>
      </c>
      <c r="F283" s="79"/>
      <c r="G283" s="75"/>
      <c r="H283" s="75"/>
      <c r="I283" s="75"/>
      <c r="J283" s="75"/>
      <c r="K283" s="75"/>
      <c r="L283" s="75"/>
      <c r="M283" s="75"/>
      <c r="N283" s="75"/>
      <c r="O283" s="75"/>
      <c r="P283" s="75"/>
    </row>
    <row r="284">
      <c r="A284" s="76" t="s">
        <v>733</v>
      </c>
      <c r="B284" s="77">
        <v>1652.0</v>
      </c>
      <c r="C284" s="77" t="b">
        <v>0</v>
      </c>
      <c r="D284" s="79" t="str">
        <f>IFERROR(__xludf.DUMMYFUNCTION("GOOGLETRANSLATE(A284,""ar"", ""en"")"),"180 cm plastic table with bag")</f>
        <v>180 cm plastic table with bag</v>
      </c>
      <c r="E284" s="76" t="s">
        <v>736</v>
      </c>
      <c r="F284" s="79"/>
      <c r="G284" s="75"/>
      <c r="H284" s="75"/>
      <c r="I284" s="75"/>
      <c r="J284" s="75"/>
      <c r="K284" s="75"/>
      <c r="L284" s="75"/>
      <c r="M284" s="75"/>
      <c r="N284" s="75"/>
      <c r="O284" s="75"/>
      <c r="P284" s="75"/>
    </row>
    <row r="285">
      <c r="A285" s="80" t="s">
        <v>733</v>
      </c>
      <c r="B285" s="77">
        <v>1653.0</v>
      </c>
      <c r="C285" s="77" t="b">
        <v>0</v>
      </c>
      <c r="D285" s="79" t="str">
        <f>IFERROR(__xludf.DUMMYFUNCTION("GOOGLETRANSLATE(A285,""ar"", ""en"")"),"180 cm plastic table with bag")</f>
        <v>180 cm plastic table with bag</v>
      </c>
      <c r="E285" s="80" t="s">
        <v>737</v>
      </c>
      <c r="F285" s="79"/>
      <c r="G285" s="75"/>
      <c r="H285" s="75"/>
      <c r="I285" s="75"/>
      <c r="J285" s="75"/>
      <c r="K285" s="75"/>
      <c r="L285" s="75"/>
      <c r="M285" s="75"/>
      <c r="N285" s="75"/>
      <c r="O285" s="75"/>
      <c r="P285" s="75"/>
    </row>
    <row r="286">
      <c r="A286" s="80" t="s">
        <v>738</v>
      </c>
      <c r="B286" s="77">
        <v>1656.0</v>
      </c>
      <c r="C286" s="77" t="b">
        <v>0</v>
      </c>
      <c r="D286" s="79" t="str">
        <f>IFERROR(__xludf.DUMMYFUNCTION("GOOGLETRANSLATE(A286,""ar"", ""en"")"),"Resin table 80*80")</f>
        <v>Resin table 80*80</v>
      </c>
      <c r="E286" s="80" t="s">
        <v>739</v>
      </c>
      <c r="F286" s="79"/>
      <c r="G286" s="75"/>
      <c r="H286" s="75"/>
      <c r="I286" s="75"/>
      <c r="J286" s="75"/>
      <c r="K286" s="75"/>
      <c r="L286" s="75"/>
      <c r="M286" s="75"/>
      <c r="N286" s="75"/>
      <c r="O286" s="75"/>
      <c r="P286" s="75"/>
    </row>
    <row r="287">
      <c r="A287" s="80" t="s">
        <v>741</v>
      </c>
      <c r="B287" s="77">
        <v>1662.0</v>
      </c>
      <c r="C287" s="77" t="b">
        <v>0</v>
      </c>
      <c r="D287" s="79" t="str">
        <f>IFERROR(__xludf.DUMMYFUNCTION("GOOGLETRANSLATE(A287,""ar"", ""en"")"),"Heavy Duty 2 Seater Tack Set")</f>
        <v>Heavy Duty 2 Seater Tack Set</v>
      </c>
      <c r="E287" s="80" t="s">
        <v>742</v>
      </c>
      <c r="F287" s="79"/>
      <c r="G287" s="75"/>
      <c r="H287" s="75"/>
      <c r="I287" s="75"/>
      <c r="J287" s="75"/>
      <c r="K287" s="75"/>
      <c r="L287" s="75"/>
      <c r="M287" s="75"/>
      <c r="N287" s="75"/>
      <c r="O287" s="75"/>
      <c r="P287" s="75"/>
    </row>
    <row r="288">
      <c r="A288" s="76" t="s">
        <v>744</v>
      </c>
      <c r="B288" s="77">
        <v>1670.0</v>
      </c>
      <c r="C288" s="77" t="b">
        <v>0</v>
      </c>
      <c r="D288" s="79" t="str">
        <f>IFERROR(__xludf.DUMMYFUNCTION("GOOGLETRANSLATE(A288,""ar"", ""en"")"),"Plastic table top 60*60")</f>
        <v>Plastic table top 60*60</v>
      </c>
      <c r="E288" s="76" t="s">
        <v>745</v>
      </c>
      <c r="F288" s="79"/>
      <c r="G288" s="75"/>
      <c r="H288" s="75"/>
      <c r="I288" s="75"/>
      <c r="J288" s="75"/>
      <c r="K288" s="75"/>
      <c r="L288" s="75"/>
      <c r="M288" s="75"/>
      <c r="N288" s="75"/>
      <c r="O288" s="75"/>
      <c r="P288" s="75"/>
    </row>
    <row r="289">
      <c r="A289" s="80" t="s">
        <v>747</v>
      </c>
      <c r="B289" s="77">
        <v>1671.0</v>
      </c>
      <c r="C289" s="77" t="b">
        <v>0</v>
      </c>
      <c r="D289" s="79" t="str">
        <f>IFERROR(__xludf.DUMMYFUNCTION("GOOGLETRANSLATE(A289,""ar"", ""en"")"),"Plastic table top 80*80")</f>
        <v>Plastic table top 80*80</v>
      </c>
      <c r="E289" s="80" t="s">
        <v>748</v>
      </c>
      <c r="F289" s="79"/>
      <c r="G289" s="75"/>
      <c r="H289" s="75"/>
      <c r="I289" s="75"/>
      <c r="J289" s="75"/>
      <c r="K289" s="75"/>
      <c r="L289" s="75"/>
      <c r="M289" s="75"/>
      <c r="N289" s="75"/>
      <c r="O289" s="75"/>
      <c r="P289" s="75"/>
    </row>
    <row r="290">
      <c r="A290" s="80" t="s">
        <v>750</v>
      </c>
      <c r="B290" s="77">
        <v>1676.0</v>
      </c>
      <c r="C290" s="77" t="b">
        <v>0</v>
      </c>
      <c r="D290" s="79" t="str">
        <f>IFERROR(__xludf.DUMMYFUNCTION("GOOGLETRANSLATE(A290,""ar"", ""en"")"),"Leather and iron chair")</f>
        <v>Leather and iron chair</v>
      </c>
      <c r="E290" s="80" t="s">
        <v>751</v>
      </c>
      <c r="F290" s="79"/>
      <c r="G290" s="75"/>
      <c r="H290" s="75"/>
      <c r="I290" s="75"/>
      <c r="J290" s="75"/>
      <c r="K290" s="75"/>
      <c r="L290" s="75"/>
      <c r="M290" s="75"/>
      <c r="N290" s="75"/>
      <c r="O290" s="75"/>
      <c r="P290" s="75"/>
    </row>
    <row r="291">
      <c r="A291" s="80" t="s">
        <v>753</v>
      </c>
      <c r="B291" s="77">
        <v>1686.0</v>
      </c>
      <c r="C291" s="77" t="b">
        <v>0</v>
      </c>
      <c r="D291" s="79" t="str">
        <f>IFERROR(__xludf.DUMMYFUNCTION("GOOGLETRANSLATE(A291,""ar"", ""en"")"),"Iron and cloth chair")</f>
        <v>Iron and cloth chair</v>
      </c>
      <c r="E291" s="80" t="s">
        <v>754</v>
      </c>
      <c r="F291" s="79"/>
      <c r="G291" s="75"/>
      <c r="H291" s="75"/>
      <c r="I291" s="75"/>
      <c r="J291" s="75"/>
      <c r="K291" s="75"/>
      <c r="L291" s="75"/>
      <c r="M291" s="75"/>
      <c r="N291" s="75"/>
      <c r="O291" s="75"/>
      <c r="P291" s="75"/>
    </row>
    <row r="292">
      <c r="A292" s="80" t="s">
        <v>756</v>
      </c>
      <c r="B292" s="77">
        <v>1688.0</v>
      </c>
      <c r="C292" s="77" t="b">
        <v>0</v>
      </c>
      <c r="D292" s="79" t="str">
        <f>IFERROR(__xludf.DUMMYFUNCTION("GOOGLETRANSLATE(A292,""ar"", ""en"")"),"SILVER Heavy Iron Bar Table 60*60")</f>
        <v>SILVER Heavy Iron Bar Table 60*60</v>
      </c>
      <c r="E292" s="80" t="s">
        <v>757</v>
      </c>
      <c r="F292" s="79"/>
      <c r="G292" s="75"/>
      <c r="H292" s="75"/>
      <c r="I292" s="75"/>
      <c r="J292" s="75"/>
      <c r="K292" s="75"/>
      <c r="L292" s="75"/>
      <c r="M292" s="75"/>
      <c r="N292" s="75"/>
      <c r="O292" s="75"/>
      <c r="P292" s="75"/>
    </row>
    <row r="293">
      <c r="A293" s="76" t="s">
        <v>759</v>
      </c>
      <c r="B293" s="77">
        <v>1689.0</v>
      </c>
      <c r="C293" s="77" t="b">
        <v>0</v>
      </c>
      <c r="D293" s="79" t="str">
        <f>IFERROR(__xludf.DUMMYFUNCTION("GOOGLETRANSLATE(A293,""ar"", ""en"")"),"SILVER Heavy Iron Table 80*80")</f>
        <v>SILVER Heavy Iron Table 80*80</v>
      </c>
      <c r="E293" s="76" t="s">
        <v>760</v>
      </c>
      <c r="F293" s="79"/>
      <c r="G293" s="75"/>
      <c r="H293" s="75"/>
      <c r="I293" s="75"/>
      <c r="J293" s="75"/>
      <c r="K293" s="75"/>
      <c r="L293" s="75"/>
      <c r="M293" s="75"/>
      <c r="N293" s="75"/>
      <c r="O293" s="75"/>
      <c r="P293" s="75"/>
    </row>
    <row r="294">
      <c r="A294" s="80" t="s">
        <v>762</v>
      </c>
      <c r="B294" s="77">
        <v>1714.0</v>
      </c>
      <c r="C294" s="77" t="b">
        <v>0</v>
      </c>
      <c r="D294" s="79" t="str">
        <f>IFERROR(__xludf.DUMMYFUNCTION("GOOGLETRANSLATE(A294,""ar"", ""en"")"),"Wide iron bar stool with back")</f>
        <v>Wide iron bar stool with back</v>
      </c>
      <c r="E294" s="80" t="s">
        <v>763</v>
      </c>
      <c r="F294" s="79"/>
      <c r="G294" s="75"/>
      <c r="H294" s="75"/>
      <c r="I294" s="75"/>
      <c r="J294" s="75"/>
      <c r="K294" s="75"/>
      <c r="L294" s="75"/>
      <c r="M294" s="75"/>
      <c r="N294" s="75"/>
      <c r="O294" s="75"/>
      <c r="P294" s="75"/>
    </row>
    <row r="295">
      <c r="A295" s="80" t="s">
        <v>765</v>
      </c>
      <c r="B295" s="77">
        <v>1716.0</v>
      </c>
      <c r="C295" s="77" t="b">
        <v>0</v>
      </c>
      <c r="D295" s="79" t="str">
        <f>IFERROR(__xludf.DUMMYFUNCTION("GOOGLETRANSLATE(A295,""ar"", ""en"")"),"Iron table with wooden top 60*60")</f>
        <v>Iron table with wooden top 60*60</v>
      </c>
      <c r="E295" s="80" t="s">
        <v>766</v>
      </c>
      <c r="F295" s="79"/>
      <c r="G295" s="75"/>
      <c r="H295" s="75"/>
      <c r="I295" s="75"/>
      <c r="J295" s="75"/>
      <c r="K295" s="75"/>
      <c r="L295" s="75"/>
      <c r="M295" s="75"/>
      <c r="N295" s="75"/>
      <c r="O295" s="75"/>
      <c r="P295" s="75"/>
    </row>
    <row r="296">
      <c r="A296" s="76" t="s">
        <v>768</v>
      </c>
      <c r="B296" s="77">
        <v>1717.0</v>
      </c>
      <c r="C296" s="77" t="b">
        <v>0</v>
      </c>
      <c r="D296" s="79" t="str">
        <f>IFERROR(__xludf.DUMMYFUNCTION("GOOGLETRANSLATE(A296,""ar"", ""en"")"),"Iron table with wooden top 70*70")</f>
        <v>Iron table with wooden top 70*70</v>
      </c>
      <c r="E296" s="76" t="s">
        <v>769</v>
      </c>
      <c r="F296" s="79"/>
      <c r="G296" s="75"/>
      <c r="H296" s="75"/>
      <c r="I296" s="75"/>
      <c r="J296" s="75"/>
      <c r="K296" s="75"/>
      <c r="L296" s="75"/>
      <c r="M296" s="75"/>
      <c r="N296" s="75"/>
      <c r="O296" s="75"/>
      <c r="P296" s="75"/>
    </row>
    <row r="297">
      <c r="A297" s="80" t="s">
        <v>771</v>
      </c>
      <c r="B297" s="77">
        <v>1720.0</v>
      </c>
      <c r="C297" s="77" t="b">
        <v>0</v>
      </c>
      <c r="D297" s="79" t="str">
        <f>IFERROR(__xludf.DUMMYFUNCTION("GOOGLETRANSLATE(A297,""ar"", ""en"")"),"Iron chair with black handle")</f>
        <v>Iron chair with black handle</v>
      </c>
      <c r="E297" s="80" t="s">
        <v>772</v>
      </c>
      <c r="F297" s="79"/>
      <c r="G297" s="75"/>
      <c r="H297" s="75"/>
      <c r="I297" s="75"/>
      <c r="J297" s="75"/>
      <c r="K297" s="75"/>
      <c r="L297" s="75"/>
      <c r="M297" s="75"/>
      <c r="N297" s="75"/>
      <c r="O297" s="75"/>
      <c r="P297" s="75"/>
    </row>
    <row r="298">
      <c r="A298" s="76" t="s">
        <v>774</v>
      </c>
      <c r="B298" s="77">
        <v>1735.0</v>
      </c>
      <c r="C298" s="77" t="b">
        <v>0</v>
      </c>
      <c r="D298" s="79" t="str">
        <f>IFERROR(__xludf.DUMMYFUNCTION("GOOGLETRANSLATE(A298,""ar"", ""en"")"),"MATT BLK 60cm Short Iron Bar Stool")</f>
        <v>MATT BLK 60cm Short Iron Bar Stool</v>
      </c>
      <c r="E298" s="76" t="s">
        <v>775</v>
      </c>
      <c r="F298" s="79"/>
      <c r="G298" s="75"/>
      <c r="H298" s="75"/>
      <c r="I298" s="75"/>
      <c r="J298" s="75"/>
      <c r="K298" s="75"/>
      <c r="L298" s="75"/>
      <c r="M298" s="75"/>
      <c r="N298" s="75"/>
      <c r="O298" s="75"/>
      <c r="P298" s="75"/>
    </row>
    <row r="299">
      <c r="A299" s="80" t="s">
        <v>777</v>
      </c>
      <c r="B299" s="77">
        <v>1752.0</v>
      </c>
      <c r="C299" s="77" t="b">
        <v>0</v>
      </c>
      <c r="D299" s="79" t="str">
        <f>IFERROR(__xludf.DUMMYFUNCTION("GOOGLETRANSLATE(A299,""ar"", ""en"")"),"Resin table 90*150 cm")</f>
        <v>Resin table 90*150 cm</v>
      </c>
      <c r="E299" s="80" t="s">
        <v>778</v>
      </c>
      <c r="F299" s="79"/>
      <c r="G299" s="75"/>
      <c r="H299" s="75"/>
      <c r="I299" s="75"/>
      <c r="J299" s="75"/>
      <c r="K299" s="75"/>
      <c r="L299" s="75"/>
      <c r="M299" s="75"/>
      <c r="N299" s="75"/>
      <c r="O299" s="75"/>
      <c r="P299" s="75"/>
    </row>
    <row r="300">
      <c r="A300" s="80" t="s">
        <v>780</v>
      </c>
      <c r="B300" s="77">
        <v>1758.0</v>
      </c>
      <c r="C300" s="77" t="b">
        <v>0</v>
      </c>
      <c r="D300" s="79" t="str">
        <f>IFERROR(__xludf.DUMMYFUNCTION("GOOGLETRANSLATE(A300,""ar"", ""en"")"),"Two-seat swing")</f>
        <v>Two-seat swing</v>
      </c>
      <c r="E300" s="80" t="s">
        <v>781</v>
      </c>
      <c r="F300" s="79"/>
      <c r="G300" s="75"/>
      <c r="H300" s="75"/>
      <c r="I300" s="75"/>
      <c r="J300" s="75"/>
      <c r="K300" s="75"/>
      <c r="L300" s="75"/>
      <c r="M300" s="75"/>
      <c r="N300" s="75"/>
      <c r="O300" s="75"/>
      <c r="P300" s="75"/>
    </row>
    <row r="301">
      <c r="A301" s="76" t="s">
        <v>780</v>
      </c>
      <c r="B301" s="77">
        <v>1761.0</v>
      </c>
      <c r="C301" s="77" t="b">
        <v>0</v>
      </c>
      <c r="D301" s="79" t="str">
        <f>IFERROR(__xludf.DUMMYFUNCTION("GOOGLETRANSLATE(A301,""ar"", ""en"")"),"Two-seat swing")</f>
        <v>Two-seat swing</v>
      </c>
      <c r="E301" s="76" t="s">
        <v>783</v>
      </c>
      <c r="F301" s="79"/>
      <c r="G301" s="75"/>
      <c r="H301" s="75"/>
      <c r="I301" s="75"/>
      <c r="J301" s="75"/>
      <c r="K301" s="75"/>
      <c r="L301" s="75"/>
      <c r="M301" s="75"/>
      <c r="N301" s="75"/>
      <c r="O301" s="75"/>
      <c r="P301" s="75"/>
    </row>
    <row r="302">
      <c r="A302" s="76" t="s">
        <v>784</v>
      </c>
      <c r="B302" s="77">
        <v>1763.0</v>
      </c>
      <c r="C302" s="77" t="b">
        <v>0</v>
      </c>
      <c r="D302" s="79" t="str">
        <f>IFERROR(__xludf.DUMMYFUNCTION("GOOGLETRANSLATE(A302,""ar"", ""en"")"),"3-seat swing with net")</f>
        <v>3-seat swing with net</v>
      </c>
      <c r="E302" s="76" t="s">
        <v>785</v>
      </c>
      <c r="F302" s="79"/>
      <c r="G302" s="75"/>
      <c r="H302" s="75"/>
      <c r="I302" s="75"/>
      <c r="J302" s="75"/>
      <c r="K302" s="75"/>
      <c r="L302" s="75"/>
      <c r="M302" s="75"/>
      <c r="N302" s="75"/>
      <c r="O302" s="75"/>
      <c r="P302" s="75"/>
    </row>
    <row r="303">
      <c r="A303" s="80" t="s">
        <v>784</v>
      </c>
      <c r="B303" s="77">
        <v>1764.0</v>
      </c>
      <c r="C303" s="77" t="b">
        <v>0</v>
      </c>
      <c r="D303" s="79" t="str">
        <f>IFERROR(__xludf.DUMMYFUNCTION("GOOGLETRANSLATE(A303,""ar"", ""en"")"),"3-seat swing with net")</f>
        <v>3-seat swing with net</v>
      </c>
      <c r="E303" s="80" t="s">
        <v>787</v>
      </c>
      <c r="F303" s="79"/>
      <c r="G303" s="75"/>
      <c r="H303" s="75"/>
      <c r="I303" s="75"/>
      <c r="J303" s="75"/>
      <c r="K303" s="75"/>
      <c r="L303" s="75"/>
      <c r="M303" s="75"/>
      <c r="N303" s="75"/>
      <c r="O303" s="75"/>
      <c r="P303" s="75"/>
    </row>
    <row r="304">
      <c r="A304" s="76" t="s">
        <v>784</v>
      </c>
      <c r="B304" s="77">
        <v>1765.0</v>
      </c>
      <c r="C304" s="77" t="b">
        <v>0</v>
      </c>
      <c r="D304" s="79" t="str">
        <f>IFERROR(__xludf.DUMMYFUNCTION("GOOGLETRANSLATE(A304,""ar"", ""en"")"),"3-seat swing with net")</f>
        <v>3-seat swing with net</v>
      </c>
      <c r="E304" s="76" t="s">
        <v>788</v>
      </c>
      <c r="F304" s="79"/>
      <c r="G304" s="75"/>
      <c r="H304" s="75"/>
      <c r="I304" s="75"/>
      <c r="J304" s="75"/>
      <c r="K304" s="75"/>
      <c r="L304" s="75"/>
      <c r="M304" s="75"/>
      <c r="N304" s="75"/>
      <c r="O304" s="75"/>
      <c r="P304" s="75"/>
    </row>
    <row r="305">
      <c r="A305" s="80" t="s">
        <v>784</v>
      </c>
      <c r="B305" s="77">
        <v>1766.0</v>
      </c>
      <c r="C305" s="77" t="b">
        <v>0</v>
      </c>
      <c r="D305" s="79" t="str">
        <f>IFERROR(__xludf.DUMMYFUNCTION("GOOGLETRANSLATE(A305,""ar"", ""en"")"),"3-seat swing with net")</f>
        <v>3-seat swing with net</v>
      </c>
      <c r="E305" s="80" t="s">
        <v>789</v>
      </c>
      <c r="F305" s="79"/>
      <c r="G305" s="75"/>
      <c r="H305" s="75"/>
      <c r="I305" s="75"/>
      <c r="J305" s="75"/>
      <c r="K305" s="75"/>
      <c r="L305" s="75"/>
      <c r="M305" s="75"/>
      <c r="N305" s="75"/>
      <c r="O305" s="75"/>
      <c r="P305" s="75"/>
    </row>
    <row r="306">
      <c r="A306" s="76" t="s">
        <v>790</v>
      </c>
      <c r="B306" s="77">
        <v>1767.0</v>
      </c>
      <c r="C306" s="77" t="b">
        <v>0</v>
      </c>
      <c r="D306" s="79" t="str">
        <f>IFERROR(__xludf.DUMMYFUNCTION("GOOGLETRANSLATE(A306,""ar"", ""en"")"),"1-2 swing")</f>
        <v>1-2 swing</v>
      </c>
      <c r="E306" s="76" t="s">
        <v>791</v>
      </c>
      <c r="F306" s="79"/>
      <c r="G306" s="75"/>
      <c r="H306" s="75"/>
      <c r="I306" s="75"/>
      <c r="J306" s="75"/>
      <c r="K306" s="75"/>
      <c r="L306" s="75"/>
      <c r="M306" s="75"/>
      <c r="N306" s="75"/>
      <c r="O306" s="75"/>
      <c r="P306" s="75"/>
    </row>
    <row r="307">
      <c r="A307" s="80" t="s">
        <v>790</v>
      </c>
      <c r="B307" s="77">
        <v>1768.0</v>
      </c>
      <c r="C307" s="77" t="b">
        <v>0</v>
      </c>
      <c r="D307" s="79" t="str">
        <f>IFERROR(__xludf.DUMMYFUNCTION("GOOGLETRANSLATE(A307,""ar"", ""en"")"),"1-2 swing")</f>
        <v>1-2 swing</v>
      </c>
      <c r="E307" s="80" t="s">
        <v>793</v>
      </c>
      <c r="F307" s="79"/>
      <c r="G307" s="75"/>
      <c r="H307" s="75"/>
      <c r="I307" s="75"/>
      <c r="J307" s="75"/>
      <c r="K307" s="75"/>
      <c r="L307" s="75"/>
      <c r="M307" s="75"/>
      <c r="N307" s="75"/>
      <c r="O307" s="75"/>
      <c r="P307" s="75"/>
    </row>
    <row r="308">
      <c r="A308" s="80" t="s">
        <v>794</v>
      </c>
      <c r="B308" s="77">
        <v>1786.0</v>
      </c>
      <c r="C308" s="77" t="b">
        <v>0</v>
      </c>
      <c r="D308" s="79" t="str">
        <f>IFERROR(__xludf.DUMMYFUNCTION("GOOGLETRANSLATE(A308,""ar"", ""en"")"),"3-seat mesh swing")</f>
        <v>3-seat mesh swing</v>
      </c>
      <c r="E308" s="80" t="s">
        <v>795</v>
      </c>
      <c r="F308" s="79"/>
      <c r="G308" s="75"/>
      <c r="H308" s="75"/>
      <c r="I308" s="75"/>
      <c r="J308" s="75"/>
      <c r="K308" s="75"/>
      <c r="L308" s="75"/>
      <c r="M308" s="75"/>
      <c r="N308" s="75"/>
      <c r="O308" s="75"/>
      <c r="P308" s="75"/>
    </row>
    <row r="309">
      <c r="A309" s="80" t="s">
        <v>797</v>
      </c>
      <c r="B309" s="77">
        <v>1799.0</v>
      </c>
      <c r="C309" s="77" t="b">
        <v>0</v>
      </c>
      <c r="D309" s="79" t="str">
        <f>IFERROR(__xludf.DUMMYFUNCTION("GOOGLETRANSLATE(A309,""ar"", ""en"")"),"Turkish chair in a set")</f>
        <v>Turkish chair in a set</v>
      </c>
      <c r="E309" s="80" t="s">
        <v>798</v>
      </c>
      <c r="F309" s="79"/>
      <c r="G309" s="75"/>
      <c r="H309" s="75"/>
      <c r="I309" s="75"/>
      <c r="J309" s="75"/>
      <c r="K309" s="75"/>
      <c r="L309" s="75"/>
      <c r="M309" s="75"/>
      <c r="N309" s="75"/>
      <c r="O309" s="75"/>
      <c r="P309" s="75"/>
    </row>
    <row r="310">
      <c r="A310" s="76" t="s">
        <v>800</v>
      </c>
      <c r="B310" s="77">
        <v>1806.0</v>
      </c>
      <c r="C310" s="77" t="b">
        <v>0</v>
      </c>
      <c r="D310" s="79" t="str">
        <f>IFERROR(__xludf.DUMMYFUNCTION("GOOGLETRANSLATE(A310,""ar"", ""en"")"),"150 cm plastic table")</f>
        <v>150 cm plastic table</v>
      </c>
      <c r="E310" s="76" t="s">
        <v>801</v>
      </c>
      <c r="F310" s="79"/>
      <c r="G310" s="75"/>
      <c r="H310" s="75"/>
      <c r="I310" s="75"/>
      <c r="J310" s="75"/>
      <c r="K310" s="75"/>
      <c r="L310" s="75"/>
      <c r="M310" s="75"/>
      <c r="N310" s="75"/>
      <c r="O310" s="75"/>
      <c r="P310" s="75"/>
    </row>
    <row r="311">
      <c r="A311" s="80" t="s">
        <v>803</v>
      </c>
      <c r="B311" s="77">
        <v>1807.0</v>
      </c>
      <c r="C311" s="77" t="b">
        <v>0</v>
      </c>
      <c r="D311" s="79" t="str">
        <f>IFERROR(__xludf.DUMMYFUNCTION("GOOGLETRANSLATE(A311,""ar"", ""en"")"),"Aluminum table top 120*70")</f>
        <v>Aluminum table top 120*70</v>
      </c>
      <c r="E311" s="80" t="s">
        <v>804</v>
      </c>
      <c r="F311" s="81" t="s">
        <v>805</v>
      </c>
      <c r="G311" s="75"/>
      <c r="H311" s="75"/>
      <c r="I311" s="75"/>
      <c r="J311" s="75"/>
      <c r="K311" s="75"/>
      <c r="L311" s="75"/>
      <c r="M311" s="75"/>
      <c r="N311" s="75"/>
      <c r="O311" s="75"/>
      <c r="P311" s="75"/>
    </row>
    <row r="312">
      <c r="A312" s="76" t="s">
        <v>807</v>
      </c>
      <c r="B312" s="77">
        <v>1808.0</v>
      </c>
      <c r="C312" s="77" t="b">
        <v>0</v>
      </c>
      <c r="D312" s="79" t="str">
        <f>IFERROR(__xludf.DUMMYFUNCTION("GOOGLETRANSLATE(A312,""ar"", ""en"")"),"Aluminum table top 60*60")</f>
        <v>Aluminum table top 60*60</v>
      </c>
      <c r="E312" s="76" t="s">
        <v>808</v>
      </c>
      <c r="F312" s="79"/>
      <c r="G312" s="75"/>
      <c r="H312" s="75"/>
      <c r="I312" s="75"/>
      <c r="J312" s="75"/>
      <c r="K312" s="75"/>
      <c r="L312" s="75"/>
      <c r="M312" s="75"/>
      <c r="N312" s="75"/>
      <c r="O312" s="75"/>
      <c r="P312" s="75"/>
    </row>
    <row r="313">
      <c r="A313" s="80" t="s">
        <v>810</v>
      </c>
      <c r="B313" s="77">
        <v>1809.0</v>
      </c>
      <c r="C313" s="77" t="b">
        <v>0</v>
      </c>
      <c r="D313" s="79" t="str">
        <f>IFERROR(__xludf.DUMMYFUNCTION("GOOGLETRANSLATE(A313,""ar"", ""en"")"),"Aluminum table top 70*70")</f>
        <v>Aluminum table top 70*70</v>
      </c>
      <c r="E313" s="80" t="s">
        <v>811</v>
      </c>
      <c r="F313" s="79"/>
      <c r="G313" s="75"/>
      <c r="H313" s="75"/>
      <c r="I313" s="75"/>
      <c r="J313" s="75"/>
      <c r="K313" s="75"/>
      <c r="L313" s="75"/>
      <c r="M313" s="75"/>
      <c r="N313" s="75"/>
      <c r="O313" s="75"/>
      <c r="P313" s="75"/>
    </row>
    <row r="314">
      <c r="A314" s="76" t="s">
        <v>813</v>
      </c>
      <c r="B314" s="77">
        <v>1810.0</v>
      </c>
      <c r="C314" s="77" t="b">
        <v>0</v>
      </c>
      <c r="D314" s="79" t="str">
        <f>IFERROR(__xludf.DUMMYFUNCTION("GOOGLETRANSLATE(A314,""ar"", ""en"")"),"Aluminum table top 80*80")</f>
        <v>Aluminum table top 80*80</v>
      </c>
      <c r="E314" s="76" t="s">
        <v>814</v>
      </c>
      <c r="F314" s="79"/>
      <c r="G314" s="75"/>
      <c r="H314" s="75"/>
      <c r="I314" s="75"/>
      <c r="J314" s="75"/>
      <c r="K314" s="75"/>
      <c r="L314" s="75"/>
      <c r="M314" s="75"/>
      <c r="N314" s="75"/>
      <c r="O314" s="75"/>
      <c r="P314" s="75"/>
    </row>
    <row r="315">
      <c r="A315" s="80" t="s">
        <v>816</v>
      </c>
      <c r="B315" s="77">
        <v>1811.0</v>
      </c>
      <c r="C315" s="77" t="b">
        <v>0</v>
      </c>
      <c r="D315" s="79" t="str">
        <f>IFERROR(__xludf.DUMMYFUNCTION("GOOGLETRANSLATE(A315,""ar"", ""en"")"),"Heavy Duty 4 Legs Wide Aluminum Base")</f>
        <v>Heavy Duty 4 Legs Wide Aluminum Base</v>
      </c>
      <c r="E315" s="80" t="s">
        <v>817</v>
      </c>
      <c r="F315" s="79"/>
      <c r="G315" s="75"/>
      <c r="H315" s="75"/>
      <c r="I315" s="75"/>
      <c r="J315" s="75"/>
      <c r="K315" s="75"/>
      <c r="L315" s="75"/>
      <c r="M315" s="75"/>
      <c r="N315" s="75"/>
      <c r="O315" s="75"/>
      <c r="P315" s="75"/>
    </row>
    <row r="316">
      <c r="A316" s="76" t="s">
        <v>252</v>
      </c>
      <c r="B316" s="77">
        <v>1813.0</v>
      </c>
      <c r="C316" s="77" t="b">
        <v>0</v>
      </c>
      <c r="D316" s="79" t="str">
        <f>IFERROR(__xludf.DUMMYFUNCTION("GOOGLETRANSLATE(A316,""ar"", ""en"")"),"iron base")</f>
        <v>iron base</v>
      </c>
      <c r="E316" s="76" t="s">
        <v>819</v>
      </c>
      <c r="F316" s="79"/>
      <c r="G316" s="75"/>
      <c r="H316" s="75"/>
      <c r="I316" s="75"/>
      <c r="J316" s="75"/>
      <c r="K316" s="75"/>
      <c r="L316" s="75"/>
      <c r="M316" s="75"/>
      <c r="N316" s="75"/>
      <c r="O316" s="75"/>
      <c r="P316" s="75"/>
    </row>
    <row r="317">
      <c r="A317" s="80" t="s">
        <v>820</v>
      </c>
      <c r="B317" s="77">
        <v>1814.0</v>
      </c>
      <c r="C317" s="77" t="b">
        <v>0</v>
      </c>
      <c r="D317" s="79" t="str">
        <f>IFERROR(__xludf.DUMMYFUNCTION("GOOGLETRANSLATE(A317,""ar"", ""en"")"),"Aluminum tipper base")</f>
        <v>Aluminum tipper base</v>
      </c>
      <c r="E317" s="80" t="s">
        <v>821</v>
      </c>
      <c r="F317" s="79"/>
      <c r="G317" s="75"/>
      <c r="H317" s="75"/>
      <c r="I317" s="75"/>
      <c r="J317" s="75"/>
      <c r="K317" s="75"/>
      <c r="L317" s="75"/>
      <c r="M317" s="75"/>
      <c r="N317" s="75"/>
      <c r="O317" s="75"/>
      <c r="P317" s="75"/>
    </row>
    <row r="318">
      <c r="A318" s="76" t="s">
        <v>823</v>
      </c>
      <c r="B318" s="77">
        <v>1815.0</v>
      </c>
      <c r="C318" s="77" t="b">
        <v>0</v>
      </c>
      <c r="D318" s="79" t="str">
        <f>IFERROR(__xludf.DUMMYFUNCTION("GOOGLETRANSLATE(A318,""ar"", ""en"")"),"Round drawer font base")</f>
        <v>Round drawer font base</v>
      </c>
      <c r="E318" s="76" t="s">
        <v>824</v>
      </c>
      <c r="F318" s="79"/>
      <c r="G318" s="75"/>
      <c r="H318" s="75"/>
      <c r="I318" s="75"/>
      <c r="J318" s="75"/>
      <c r="K318" s="75"/>
      <c r="L318" s="75"/>
      <c r="M318" s="75"/>
      <c r="N318" s="75"/>
      <c r="O318" s="75"/>
      <c r="P318" s="75"/>
    </row>
    <row r="319">
      <c r="A319" s="80" t="s">
        <v>826</v>
      </c>
      <c r="B319" s="77">
        <v>1820.0</v>
      </c>
      <c r="C319" s="77" t="b">
        <v>0</v>
      </c>
      <c r="D319" s="79" t="str">
        <f>IFERROR(__xludf.DUMMYFUNCTION("GOOGLETRANSLATE(A319,""ar"", ""en"")"),"335/ Font base is allowed")</f>
        <v>335/ Font base is allowed</v>
      </c>
      <c r="E319" s="80" t="s">
        <v>827</v>
      </c>
      <c r="F319" s="79"/>
      <c r="G319" s="75"/>
      <c r="H319" s="75"/>
      <c r="I319" s="75"/>
      <c r="J319" s="75"/>
      <c r="K319" s="75"/>
      <c r="L319" s="75"/>
      <c r="M319" s="75"/>
      <c r="N319" s="75"/>
      <c r="O319" s="75"/>
      <c r="P319" s="75"/>
    </row>
    <row r="320">
      <c r="A320" s="76" t="s">
        <v>829</v>
      </c>
      <c r="B320" s="77">
        <v>1823.0</v>
      </c>
      <c r="C320" s="77" t="b">
        <v>0</v>
      </c>
      <c r="D320" s="79" t="str">
        <f>IFERROR(__xludf.DUMMYFUNCTION("GOOGLETRANSLATE(A320,""ar"", ""en"")"),"Font bar base 4 legs drilling chute")</f>
        <v>Font bar base 4 legs drilling chute</v>
      </c>
      <c r="E320" s="76" t="s">
        <v>830</v>
      </c>
      <c r="F320" s="79"/>
      <c r="G320" s="75"/>
      <c r="H320" s="75"/>
      <c r="I320" s="75"/>
      <c r="J320" s="75"/>
      <c r="K320" s="75"/>
      <c r="L320" s="75"/>
      <c r="M320" s="75"/>
      <c r="N320" s="75"/>
      <c r="O320" s="75"/>
      <c r="P320" s="75"/>
    </row>
    <row r="321">
      <c r="A321" s="76" t="s">
        <v>832</v>
      </c>
      <c r="B321" s="77">
        <v>1834.0</v>
      </c>
      <c r="C321" s="77" t="b">
        <v>0</v>
      </c>
      <c r="D321" s="79" t="str">
        <f>IFERROR(__xludf.DUMMYFUNCTION("GOOGLETRANSLATE(A321,""ar"", ""en"")"),"Round staircase bar iron base")</f>
        <v>Round staircase bar iron base</v>
      </c>
      <c r="E321" s="76" t="s">
        <v>833</v>
      </c>
      <c r="F321" s="79"/>
      <c r="G321" s="75"/>
      <c r="H321" s="75"/>
      <c r="I321" s="75"/>
      <c r="J321" s="75"/>
      <c r="K321" s="75"/>
      <c r="L321" s="75"/>
      <c r="M321" s="75"/>
      <c r="N321" s="75"/>
      <c r="O321" s="75"/>
      <c r="P321" s="75"/>
    </row>
    <row r="322">
      <c r="A322" s="80" t="s">
        <v>835</v>
      </c>
      <c r="B322" s="77">
        <v>1835.0</v>
      </c>
      <c r="C322" s="77" t="b">
        <v>0</v>
      </c>
      <c r="D322" s="79" t="str">
        <f>IFERROR(__xludf.DUMMYFUNCTION("GOOGLETRANSLATE(A322,""ar"", ""en"")"),"Smooth square iron bar base")</f>
        <v>Smooth square iron bar base</v>
      </c>
      <c r="E322" s="80" t="s">
        <v>836</v>
      </c>
      <c r="F322" s="79"/>
      <c r="G322" s="75"/>
      <c r="H322" s="75"/>
      <c r="I322" s="75"/>
      <c r="J322" s="75"/>
      <c r="K322" s="75"/>
      <c r="L322" s="75"/>
      <c r="M322" s="75"/>
      <c r="N322" s="75"/>
      <c r="O322" s="75"/>
      <c r="P322" s="75"/>
    </row>
    <row r="323">
      <c r="A323" s="76" t="s">
        <v>838</v>
      </c>
      <c r="B323" s="77">
        <v>1837.0</v>
      </c>
      <c r="C323" s="77" t="b">
        <v>0</v>
      </c>
      <c r="D323" s="79" t="str">
        <f>IFERROR(__xludf.DUMMYFUNCTION("GOOGLETRANSLATE(A323,""ar"", ""en"")"),"Square font base")</f>
        <v>Square font base</v>
      </c>
      <c r="E323" s="76" t="s">
        <v>839</v>
      </c>
      <c r="F323" s="79"/>
      <c r="G323" s="75"/>
      <c r="H323" s="75"/>
      <c r="I323" s="75"/>
      <c r="J323" s="75"/>
      <c r="K323" s="75"/>
      <c r="L323" s="75"/>
      <c r="M323" s="75"/>
      <c r="N323" s="75"/>
      <c r="O323" s="75"/>
      <c r="P323" s="75"/>
    </row>
    <row r="324">
      <c r="A324" s="80" t="s">
        <v>841</v>
      </c>
      <c r="B324" s="77">
        <v>1838.0</v>
      </c>
      <c r="C324" s="77" t="b">
        <v>0</v>
      </c>
      <c r="D324" s="79" t="str">
        <f>IFERROR(__xludf.DUMMYFUNCTION("GOOGLETRANSLATE(A324,""ar"", ""en"")"),"Thin X Font Base")</f>
        <v>Thin X Font Base</v>
      </c>
      <c r="E324" s="80" t="s">
        <v>842</v>
      </c>
      <c r="F324" s="79"/>
      <c r="G324" s="75"/>
      <c r="H324" s="75"/>
      <c r="I324" s="75"/>
      <c r="J324" s="75"/>
      <c r="K324" s="75"/>
      <c r="L324" s="75"/>
      <c r="M324" s="75"/>
      <c r="N324" s="75"/>
      <c r="O324" s="75"/>
      <c r="P324" s="75"/>
    </row>
    <row r="325">
      <c r="A325" s="76" t="s">
        <v>844</v>
      </c>
      <c r="B325" s="77">
        <v>1839.0</v>
      </c>
      <c r="C325" s="77" t="b">
        <v>0</v>
      </c>
      <c r="D325" s="79" t="str">
        <f>IFERROR(__xludf.DUMMYFUNCTION("GOOGLETRANSLATE(A325,""ar"", ""en"")"),"Font base is allowed")</f>
        <v>Font base is allowed</v>
      </c>
      <c r="E325" s="76" t="s">
        <v>845</v>
      </c>
      <c r="F325" s="79"/>
      <c r="G325" s="75"/>
      <c r="H325" s="75"/>
      <c r="I325" s="75"/>
      <c r="J325" s="75"/>
      <c r="K325" s="75"/>
      <c r="L325" s="75"/>
      <c r="M325" s="75"/>
      <c r="N325" s="75"/>
      <c r="O325" s="75"/>
      <c r="P325" s="75"/>
    </row>
    <row r="326">
      <c r="A326" s="76" t="s">
        <v>847</v>
      </c>
      <c r="B326" s="77">
        <v>1841.0</v>
      </c>
      <c r="C326" s="77" t="b">
        <v>0</v>
      </c>
      <c r="D326" s="79" t="str">
        <f>IFERROR(__xludf.DUMMYFUNCTION("GOOGLETRANSLATE(A326,""ar"", ""en"")"),"Black round stainless steel base")</f>
        <v>Black round stainless steel base</v>
      </c>
      <c r="E326" s="76" t="s">
        <v>848</v>
      </c>
      <c r="F326" s="79"/>
      <c r="G326" s="75"/>
      <c r="H326" s="75"/>
      <c r="I326" s="75"/>
      <c r="J326" s="75"/>
      <c r="K326" s="75"/>
      <c r="L326" s="75"/>
      <c r="M326" s="75"/>
      <c r="N326" s="75"/>
      <c r="O326" s="75"/>
      <c r="P326" s="75"/>
    </row>
    <row r="327">
      <c r="A327" s="80" t="s">
        <v>850</v>
      </c>
      <c r="B327" s="77">
        <v>1842.0</v>
      </c>
      <c r="C327" s="77" t="b">
        <v>0</v>
      </c>
      <c r="D327" s="79" t="str">
        <f>IFERROR(__xludf.DUMMYFUNCTION("GOOGLETRANSLATE(A327,""ar"", ""en"")"),"Stainless steel bar base")</f>
        <v>Stainless steel bar base</v>
      </c>
      <c r="E327" s="80" t="s">
        <v>851</v>
      </c>
      <c r="F327" s="79"/>
      <c r="G327" s="75"/>
      <c r="H327" s="75"/>
      <c r="I327" s="75"/>
      <c r="J327" s="75"/>
      <c r="K327" s="75"/>
      <c r="L327" s="75"/>
      <c r="M327" s="75"/>
      <c r="N327" s="75"/>
      <c r="O327" s="75"/>
      <c r="P327" s="75"/>
    </row>
    <row r="328">
      <c r="A328" s="76" t="s">
        <v>853</v>
      </c>
      <c r="B328" s="77">
        <v>1845.0</v>
      </c>
      <c r="C328" s="77" t="b">
        <v>0</v>
      </c>
      <c r="D328" s="79" t="str">
        <f>IFERROR(__xludf.DUMMYFUNCTION("GOOGLETRANSLATE(A328,""ar"", ""en"")"),"38 cm stainless steel base")</f>
        <v>38 cm stainless steel base</v>
      </c>
      <c r="E328" s="76" t="s">
        <v>854</v>
      </c>
      <c r="F328" s="79"/>
      <c r="G328" s="75"/>
      <c r="H328" s="75"/>
      <c r="I328" s="75"/>
      <c r="J328" s="75"/>
      <c r="K328" s="75"/>
      <c r="L328" s="75"/>
      <c r="M328" s="75"/>
      <c r="N328" s="75"/>
      <c r="O328" s="75"/>
      <c r="P328" s="75"/>
    </row>
    <row r="329">
      <c r="A329" s="80" t="s">
        <v>856</v>
      </c>
      <c r="B329" s="77">
        <v>1846.0</v>
      </c>
      <c r="C329" s="77" t="b">
        <v>0</v>
      </c>
      <c r="D329" s="79" t="str">
        <f>IFERROR(__xludf.DUMMYFUNCTION("GOOGLETRANSLATE(A329,""ar"", ""en"")"),"C72 Round Stainless Steel Base")</f>
        <v>C72 Round Stainless Steel Base</v>
      </c>
      <c r="E329" s="80" t="s">
        <v>857</v>
      </c>
      <c r="F329" s="79"/>
      <c r="G329" s="75"/>
      <c r="H329" s="75"/>
      <c r="I329" s="75"/>
      <c r="J329" s="75"/>
      <c r="K329" s="75"/>
      <c r="L329" s="75"/>
      <c r="M329" s="75"/>
      <c r="N329" s="75"/>
      <c r="O329" s="75"/>
      <c r="P329" s="75"/>
    </row>
    <row r="330">
      <c r="A330" s="76" t="s">
        <v>859</v>
      </c>
      <c r="B330" s="77">
        <v>1849.0</v>
      </c>
      <c r="C330" s="77" t="b">
        <v>0</v>
      </c>
      <c r="D330" s="79" t="str">
        <f>IFERROR(__xludf.DUMMYFUNCTION("GOOGLETRANSLATE(A330,""ar"", ""en"")"),"WHITE Turkish Versalite Face 70*70")</f>
        <v>WHITE Turkish Versalite Face 70*70</v>
      </c>
      <c r="E330" s="76" t="s">
        <v>860</v>
      </c>
      <c r="F330" s="81" t="s">
        <v>861</v>
      </c>
      <c r="G330" s="75"/>
      <c r="H330" s="75"/>
      <c r="I330" s="75"/>
      <c r="J330" s="75"/>
      <c r="K330" s="75"/>
      <c r="L330" s="75"/>
      <c r="M330" s="75"/>
      <c r="N330" s="75"/>
      <c r="O330" s="75"/>
      <c r="P330" s="75"/>
    </row>
    <row r="331">
      <c r="A331" s="80" t="s">
        <v>863</v>
      </c>
      <c r="B331" s="77">
        <v>1850.0</v>
      </c>
      <c r="C331" s="77" t="b">
        <v>0</v>
      </c>
      <c r="D331" s="79" t="str">
        <f>IFERROR(__xludf.DUMMYFUNCTION("GOOGLETRANSLATE(A331,""ar"", ""en"")"),"WHITE Turkish Versalite face 70 round")</f>
        <v>WHITE Turkish Versalite face 70 round</v>
      </c>
      <c r="E331" s="80" t="s">
        <v>864</v>
      </c>
      <c r="F331" s="81" t="s">
        <v>865</v>
      </c>
      <c r="G331" s="75"/>
      <c r="H331" s="75"/>
      <c r="I331" s="75"/>
      <c r="J331" s="75"/>
      <c r="K331" s="75"/>
      <c r="L331" s="75"/>
      <c r="M331" s="75"/>
      <c r="N331" s="75"/>
      <c r="O331" s="75"/>
      <c r="P331" s="75"/>
    </row>
    <row r="332">
      <c r="A332" s="76" t="s">
        <v>866</v>
      </c>
      <c r="B332" s="77">
        <v>1851.0</v>
      </c>
      <c r="C332" s="77" t="b">
        <v>0</v>
      </c>
      <c r="D332" s="79" t="str">
        <f>IFERROR(__xludf.DUMMYFUNCTION("GOOGLETRANSLATE(A332,""ar"", ""en"")"),"WHITE Turkish Versalite Face 80*120")</f>
        <v>WHITE Turkish Versalite Face 80*120</v>
      </c>
      <c r="E332" s="76" t="s">
        <v>867</v>
      </c>
      <c r="F332" s="79"/>
      <c r="G332" s="75"/>
      <c r="H332" s="75"/>
      <c r="I332" s="75"/>
      <c r="J332" s="75"/>
      <c r="K332" s="75"/>
      <c r="L332" s="75"/>
      <c r="M332" s="75"/>
      <c r="N332" s="75"/>
      <c r="O332" s="75"/>
      <c r="P332" s="75"/>
    </row>
    <row r="333">
      <c r="A333" s="80" t="s">
        <v>868</v>
      </c>
      <c r="B333" s="77">
        <v>1852.0</v>
      </c>
      <c r="C333" s="77" t="b">
        <v>0</v>
      </c>
      <c r="D333" s="79" t="str">
        <f>IFERROR(__xludf.DUMMYFUNCTION("GOOGLETRANSLATE(A333,""ar"", ""en"")"),"WHITE Turkish Versalite Face 80*80")</f>
        <v>WHITE Turkish Versalite Face 80*80</v>
      </c>
      <c r="E333" s="80" t="s">
        <v>869</v>
      </c>
      <c r="F333" s="79"/>
      <c r="G333" s="75"/>
      <c r="H333" s="75"/>
      <c r="I333" s="75"/>
      <c r="J333" s="75"/>
      <c r="K333" s="75"/>
      <c r="L333" s="75"/>
      <c r="M333" s="75"/>
      <c r="N333" s="75"/>
      <c r="O333" s="75"/>
      <c r="P333" s="75"/>
    </row>
    <row r="334">
      <c r="A334" s="76" t="s">
        <v>870</v>
      </c>
      <c r="B334" s="77">
        <v>1853.0</v>
      </c>
      <c r="C334" s="77" t="b">
        <v>0</v>
      </c>
      <c r="D334" s="79" t="str">
        <f>IFERROR(__xludf.DUMMYFUNCTION("GOOGLETRANSLATE(A334,""ar"", ""en"")"),"WHITE Turkish Versalite face 80mm round")</f>
        <v>WHITE Turkish Versalite face 80mm round</v>
      </c>
      <c r="E334" s="76" t="s">
        <v>871</v>
      </c>
      <c r="F334" s="79"/>
      <c r="G334" s="75"/>
      <c r="H334" s="75"/>
      <c r="I334" s="75"/>
      <c r="J334" s="75"/>
      <c r="K334" s="75"/>
      <c r="L334" s="75"/>
      <c r="M334" s="75"/>
      <c r="N334" s="75"/>
      <c r="O334" s="75"/>
      <c r="P334" s="75"/>
    </row>
    <row r="335">
      <c r="A335" s="80" t="s">
        <v>872</v>
      </c>
      <c r="B335" s="77">
        <v>1854.0</v>
      </c>
      <c r="C335" s="77" t="b">
        <v>0</v>
      </c>
      <c r="D335" s="79" t="str">
        <f>IFERROR(__xludf.DUMMYFUNCTION("GOOGLETRANSLATE(A335,""ar"", ""en"")"),"WHITE Turkish Versalite face 90 round")</f>
        <v>WHITE Turkish Versalite face 90 round</v>
      </c>
      <c r="E335" s="80" t="s">
        <v>873</v>
      </c>
      <c r="F335" s="79"/>
      <c r="G335" s="75"/>
      <c r="H335" s="75"/>
      <c r="I335" s="75"/>
      <c r="J335" s="75"/>
      <c r="K335" s="75"/>
      <c r="L335" s="75"/>
      <c r="M335" s="75"/>
      <c r="N335" s="75"/>
      <c r="O335" s="75"/>
      <c r="P335" s="75"/>
    </row>
    <row r="336">
      <c r="A336" s="76" t="s">
        <v>874</v>
      </c>
      <c r="B336" s="77">
        <v>1855.0</v>
      </c>
      <c r="C336" s="77" t="b">
        <v>0</v>
      </c>
      <c r="D336" s="79" t="str">
        <f>IFERROR(__xludf.DUMMYFUNCTION("GOOGLETRANSLATE(A336,""ar"", ""en"")"),"BLACK Turkish Versalite face 60 round")</f>
        <v>BLACK Turkish Versalite face 60 round</v>
      </c>
      <c r="E336" s="76" t="s">
        <v>875</v>
      </c>
      <c r="F336" s="81" t="s">
        <v>876</v>
      </c>
      <c r="G336" s="75"/>
      <c r="H336" s="75"/>
      <c r="I336" s="75"/>
      <c r="J336" s="75"/>
      <c r="K336" s="75"/>
      <c r="L336" s="75"/>
      <c r="M336" s="75"/>
      <c r="N336" s="75"/>
      <c r="O336" s="75"/>
      <c r="P336" s="75"/>
    </row>
    <row r="337">
      <c r="A337" s="80" t="s">
        <v>877</v>
      </c>
      <c r="B337" s="77">
        <v>1856.0</v>
      </c>
      <c r="C337" s="77" t="b">
        <v>0</v>
      </c>
      <c r="D337" s="79" t="str">
        <f>IFERROR(__xludf.DUMMYFUNCTION("GOOGLETRANSLATE(A337,""ar"", ""en"")"),"BLACK Turkish Versalite Face 70*70")</f>
        <v>BLACK Turkish Versalite Face 70*70</v>
      </c>
      <c r="E337" s="80" t="s">
        <v>878</v>
      </c>
      <c r="F337" s="81" t="s">
        <v>879</v>
      </c>
      <c r="G337" s="75"/>
      <c r="H337" s="75"/>
      <c r="I337" s="75"/>
      <c r="J337" s="75"/>
      <c r="K337" s="75"/>
      <c r="L337" s="75"/>
      <c r="M337" s="75"/>
      <c r="N337" s="75"/>
      <c r="O337" s="75"/>
      <c r="P337" s="75"/>
    </row>
    <row r="338">
      <c r="A338" s="76" t="s">
        <v>880</v>
      </c>
      <c r="B338" s="77">
        <v>1857.0</v>
      </c>
      <c r="C338" s="77" t="b">
        <v>0</v>
      </c>
      <c r="D338" s="79" t="str">
        <f>IFERROR(__xludf.DUMMYFUNCTION("GOOGLETRANSLATE(A338,""ar"", ""en"")"),"BLACK Turkish Versalite face 70 round")</f>
        <v>BLACK Turkish Versalite face 70 round</v>
      </c>
      <c r="E338" s="76" t="s">
        <v>881</v>
      </c>
      <c r="F338" s="79"/>
      <c r="G338" s="75"/>
      <c r="H338" s="75"/>
      <c r="I338" s="75"/>
      <c r="J338" s="75"/>
      <c r="K338" s="75"/>
      <c r="L338" s="75"/>
      <c r="M338" s="75"/>
      <c r="N338" s="75"/>
      <c r="O338" s="75"/>
      <c r="P338" s="75"/>
    </row>
    <row r="339">
      <c r="A339" s="80" t="s">
        <v>882</v>
      </c>
      <c r="B339" s="77">
        <v>1858.0</v>
      </c>
      <c r="C339" s="77" t="b">
        <v>0</v>
      </c>
      <c r="D339" s="79" t="str">
        <f>IFERROR(__xludf.DUMMYFUNCTION("GOOGLETRANSLATE(A339,""ar"", ""en"")"),"BLACK Turkish Versalite Face 80*120")</f>
        <v>BLACK Turkish Versalite Face 80*120</v>
      </c>
      <c r="E339" s="80" t="s">
        <v>883</v>
      </c>
      <c r="F339" s="79"/>
      <c r="G339" s="75"/>
      <c r="H339" s="75"/>
      <c r="I339" s="75"/>
      <c r="J339" s="75"/>
      <c r="K339" s="75"/>
      <c r="L339" s="75"/>
      <c r="M339" s="75"/>
      <c r="N339" s="75"/>
      <c r="O339" s="75"/>
      <c r="P339" s="75"/>
    </row>
    <row r="340">
      <c r="A340" s="76" t="s">
        <v>884</v>
      </c>
      <c r="B340" s="77">
        <v>1859.0</v>
      </c>
      <c r="C340" s="77" t="b">
        <v>0</v>
      </c>
      <c r="D340" s="79" t="str">
        <f>IFERROR(__xludf.DUMMYFUNCTION("GOOGLETRANSLATE(A340,""ar"", ""en"")"),"BLACK Turkish Versalite Face 80*80")</f>
        <v>BLACK Turkish Versalite Face 80*80</v>
      </c>
      <c r="E340" s="76" t="s">
        <v>885</v>
      </c>
      <c r="F340" s="79"/>
      <c r="G340" s="75"/>
      <c r="H340" s="75"/>
      <c r="I340" s="75"/>
      <c r="J340" s="75"/>
      <c r="K340" s="75"/>
      <c r="L340" s="75"/>
      <c r="M340" s="75"/>
      <c r="N340" s="75"/>
      <c r="O340" s="75"/>
      <c r="P340" s="75"/>
    </row>
    <row r="341">
      <c r="A341" s="80" t="s">
        <v>886</v>
      </c>
      <c r="B341" s="77">
        <v>1860.0</v>
      </c>
      <c r="C341" s="77" t="b">
        <v>0</v>
      </c>
      <c r="D341" s="79" t="str">
        <f>IFERROR(__xludf.DUMMYFUNCTION("GOOGLETRANSLATE(A341,""ar"", ""en"")"),"BLACK Turkish Versalite face 80 round")</f>
        <v>BLACK Turkish Versalite face 80 round</v>
      </c>
      <c r="E341" s="80" t="s">
        <v>887</v>
      </c>
      <c r="F341" s="79"/>
      <c r="G341" s="75"/>
      <c r="H341" s="75"/>
      <c r="I341" s="75"/>
      <c r="J341" s="75"/>
      <c r="K341" s="75"/>
      <c r="L341" s="75"/>
      <c r="M341" s="75"/>
      <c r="N341" s="75"/>
      <c r="O341" s="75"/>
      <c r="P341" s="75"/>
    </row>
    <row r="342">
      <c r="A342" s="76" t="s">
        <v>888</v>
      </c>
      <c r="B342" s="77">
        <v>1861.0</v>
      </c>
      <c r="C342" s="77" t="b">
        <v>0</v>
      </c>
      <c r="D342" s="79" t="str">
        <f>IFERROR(__xludf.DUMMYFUNCTION("GOOGLETRANSLATE(A342,""ar"", ""en"")"),"BLACK Turkish Versalite face 90 round")</f>
        <v>BLACK Turkish Versalite face 90 round</v>
      </c>
      <c r="E342" s="76" t="s">
        <v>889</v>
      </c>
      <c r="F342" s="79"/>
      <c r="G342" s="75"/>
      <c r="H342" s="75"/>
      <c r="I342" s="75"/>
      <c r="J342" s="75"/>
      <c r="K342" s="75"/>
      <c r="L342" s="75"/>
      <c r="M342" s="75"/>
      <c r="N342" s="75"/>
      <c r="O342" s="75"/>
      <c r="P342" s="75"/>
    </row>
    <row r="343">
      <c r="A343" s="80" t="s">
        <v>890</v>
      </c>
      <c r="B343" s="77">
        <v>1862.0</v>
      </c>
      <c r="C343" s="77" t="b">
        <v>0</v>
      </c>
      <c r="D343" s="79" t="str">
        <f>IFERROR(__xludf.DUMMYFUNCTION("GOOGLETRANSLATE(A343,""ar"", ""en"")"),"Wenge Turkish Versalite Face 80*80")</f>
        <v>Wenge Turkish Versalite Face 80*80</v>
      </c>
      <c r="E343" s="80" t="s">
        <v>891</v>
      </c>
      <c r="F343" s="79"/>
      <c r="G343" s="75"/>
      <c r="H343" s="75"/>
      <c r="I343" s="75"/>
      <c r="J343" s="75"/>
      <c r="K343" s="75"/>
      <c r="L343" s="75"/>
      <c r="M343" s="75"/>
      <c r="N343" s="75"/>
      <c r="O343" s="75"/>
      <c r="P343" s="75"/>
    </row>
    <row r="344">
      <c r="A344" s="76" t="s">
        <v>892</v>
      </c>
      <c r="B344" s="77">
        <v>1863.0</v>
      </c>
      <c r="C344" s="77" t="b">
        <v>0</v>
      </c>
      <c r="D344" s="79" t="str">
        <f>IFERROR(__xludf.DUMMYFUNCTION("GOOGLETRANSLATE(A344,""ar"", ""en"")"),"RED WOOD Turkish Versalite face 70*70")</f>
        <v>RED WOOD Turkish Versalite face 70*70</v>
      </c>
      <c r="E344" s="76" t="s">
        <v>893</v>
      </c>
      <c r="F344" s="81" t="s">
        <v>894</v>
      </c>
      <c r="G344" s="75"/>
      <c r="H344" s="75"/>
      <c r="I344" s="75"/>
      <c r="J344" s="75"/>
      <c r="K344" s="75"/>
      <c r="L344" s="75"/>
      <c r="M344" s="75"/>
      <c r="N344" s="75"/>
      <c r="O344" s="75"/>
      <c r="P344" s="75"/>
    </row>
    <row r="345">
      <c r="A345" s="80" t="s">
        <v>895</v>
      </c>
      <c r="B345" s="77">
        <v>1864.0</v>
      </c>
      <c r="C345" s="77" t="b">
        <v>0</v>
      </c>
      <c r="D345" s="79" t="str">
        <f>IFERROR(__xludf.DUMMYFUNCTION("GOOGLETRANSLATE(A345,""ar"", ""en"")"),"RED WOOD Turkish Versalite face 80*140")</f>
        <v>RED WOOD Turkish Versalite face 80*140</v>
      </c>
      <c r="E345" s="80" t="s">
        <v>896</v>
      </c>
      <c r="F345" s="79"/>
      <c r="G345" s="75"/>
      <c r="H345" s="75"/>
      <c r="I345" s="75"/>
      <c r="J345" s="75"/>
      <c r="K345" s="75"/>
      <c r="L345" s="75"/>
      <c r="M345" s="75"/>
      <c r="N345" s="75"/>
      <c r="O345" s="75"/>
      <c r="P345" s="75"/>
    </row>
    <row r="346">
      <c r="A346" s="76" t="s">
        <v>897</v>
      </c>
      <c r="B346" s="77">
        <v>1865.0</v>
      </c>
      <c r="C346" s="77" t="b">
        <v>0</v>
      </c>
      <c r="D346" s="79" t="str">
        <f>IFERROR(__xludf.DUMMYFUNCTION("GOOGLETRANSLATE(A346,""ar"", ""en"")"),"RED WOOD Turkish Versalite face 80*80")</f>
        <v>RED WOOD Turkish Versalite face 80*80</v>
      </c>
      <c r="E346" s="76" t="s">
        <v>898</v>
      </c>
      <c r="F346" s="79"/>
      <c r="G346" s="75"/>
      <c r="H346" s="75"/>
      <c r="I346" s="75"/>
      <c r="J346" s="75"/>
      <c r="K346" s="75"/>
      <c r="L346" s="75"/>
      <c r="M346" s="75"/>
      <c r="N346" s="75"/>
      <c r="O346" s="75"/>
      <c r="P346" s="75"/>
    </row>
    <row r="347">
      <c r="A347" s="80" t="s">
        <v>899</v>
      </c>
      <c r="B347" s="77">
        <v>1866.0</v>
      </c>
      <c r="C347" s="77" t="b">
        <v>0</v>
      </c>
      <c r="D347" s="79" t="str">
        <f>IFERROR(__xludf.DUMMYFUNCTION("GOOGLETRANSLATE(A347,""ar"", ""en"")"),"INDIAN WOOD Turkish Versalite face 70*70")</f>
        <v>INDIAN WOOD Turkish Versalite face 70*70</v>
      </c>
      <c r="E347" s="80" t="s">
        <v>900</v>
      </c>
      <c r="F347" s="78" t="s">
        <v>901</v>
      </c>
      <c r="G347" s="75"/>
      <c r="H347" s="75"/>
      <c r="I347" s="75"/>
      <c r="J347" s="75"/>
      <c r="K347" s="75"/>
      <c r="L347" s="75"/>
      <c r="M347" s="75"/>
      <c r="N347" s="75"/>
      <c r="O347" s="75"/>
      <c r="P347" s="75"/>
    </row>
    <row r="348">
      <c r="A348" s="76" t="s">
        <v>902</v>
      </c>
      <c r="B348" s="77">
        <v>1867.0</v>
      </c>
      <c r="C348" s="77" t="b">
        <v>0</v>
      </c>
      <c r="D348" s="79" t="str">
        <f>IFERROR(__xludf.DUMMYFUNCTION("GOOGLETRANSLATE(A348,""ar"", ""en"")"),"INDIAN WOOD Turkish Versalite face 70 round")</f>
        <v>INDIAN WOOD Turkish Versalite face 70 round</v>
      </c>
      <c r="E348" s="76" t="s">
        <v>903</v>
      </c>
      <c r="F348" s="81" t="s">
        <v>904</v>
      </c>
      <c r="G348" s="75"/>
      <c r="H348" s="75"/>
      <c r="I348" s="75"/>
      <c r="J348" s="75"/>
      <c r="K348" s="75"/>
      <c r="L348" s="75"/>
      <c r="M348" s="75"/>
      <c r="N348" s="75"/>
      <c r="O348" s="75"/>
      <c r="P348" s="75"/>
    </row>
    <row r="349">
      <c r="A349" s="80" t="s">
        <v>905</v>
      </c>
      <c r="B349" s="77">
        <v>1868.0</v>
      </c>
      <c r="C349" s="77" t="b">
        <v>0</v>
      </c>
      <c r="D349" s="79" t="str">
        <f>IFERROR(__xludf.DUMMYFUNCTION("GOOGLETRANSLATE(A349,""ar"", ""en"")"),"INDIAN WOOD Turkish Versalite face 80*120")</f>
        <v>INDIAN WOOD Turkish Versalite face 80*120</v>
      </c>
      <c r="E349" s="80" t="s">
        <v>906</v>
      </c>
      <c r="F349" s="79"/>
      <c r="G349" s="75"/>
      <c r="H349" s="75"/>
      <c r="I349" s="75"/>
      <c r="J349" s="75"/>
      <c r="K349" s="75"/>
      <c r="L349" s="75"/>
      <c r="M349" s="75"/>
      <c r="N349" s="75"/>
      <c r="O349" s="75"/>
      <c r="P349" s="75"/>
    </row>
    <row r="350">
      <c r="A350" s="76" t="s">
        <v>907</v>
      </c>
      <c r="B350" s="77">
        <v>1869.0</v>
      </c>
      <c r="C350" s="77" t="b">
        <v>0</v>
      </c>
      <c r="D350" s="79" t="str">
        <f>IFERROR(__xludf.DUMMYFUNCTION("GOOGLETRANSLATE(A350,""ar"", ""en"")"),"INDIAN WOOD Turkish Versalite face 80*80")</f>
        <v>INDIAN WOOD Turkish Versalite face 80*80</v>
      </c>
      <c r="E350" s="76" t="s">
        <v>908</v>
      </c>
      <c r="F350" s="79"/>
      <c r="G350" s="75"/>
      <c r="H350" s="75"/>
      <c r="I350" s="75"/>
      <c r="J350" s="75"/>
      <c r="K350" s="75"/>
      <c r="L350" s="75"/>
      <c r="M350" s="75"/>
      <c r="N350" s="75"/>
      <c r="O350" s="75"/>
      <c r="P350" s="75"/>
    </row>
    <row r="351">
      <c r="A351" s="80" t="s">
        <v>909</v>
      </c>
      <c r="B351" s="77">
        <v>1870.0</v>
      </c>
      <c r="C351" s="77" t="b">
        <v>0</v>
      </c>
      <c r="D351" s="79" t="str">
        <f>IFERROR(__xludf.DUMMYFUNCTION("GOOGLETRANSLATE(A351,""ar"", ""en"")"),"INDIAN WOOD Turkish Versalite face 80 round")</f>
        <v>INDIAN WOOD Turkish Versalite face 80 round</v>
      </c>
      <c r="E351" s="80" t="s">
        <v>910</v>
      </c>
      <c r="F351" s="79"/>
      <c r="G351" s="75"/>
      <c r="H351" s="75"/>
      <c r="I351" s="75"/>
      <c r="J351" s="75"/>
      <c r="K351" s="75"/>
      <c r="L351" s="75"/>
      <c r="M351" s="75"/>
      <c r="N351" s="75"/>
      <c r="O351" s="75"/>
      <c r="P351" s="75"/>
    </row>
    <row r="352">
      <c r="A352" s="76" t="s">
        <v>911</v>
      </c>
      <c r="B352" s="77">
        <v>1871.0</v>
      </c>
      <c r="C352" s="77" t="b">
        <v>0</v>
      </c>
      <c r="D352" s="79" t="str">
        <f>IFERROR(__xludf.DUMMYFUNCTION("GOOGLETRANSLATE(A352,""ar"", ""en"")"),"Green wood Turkish Versalite face 70*70")</f>
        <v>Green wood Turkish Versalite face 70*70</v>
      </c>
      <c r="E352" s="76" t="s">
        <v>912</v>
      </c>
      <c r="F352" s="78" t="s">
        <v>913</v>
      </c>
      <c r="G352" s="75"/>
      <c r="H352" s="75"/>
      <c r="I352" s="75"/>
      <c r="J352" s="75"/>
      <c r="K352" s="75"/>
      <c r="L352" s="75"/>
      <c r="M352" s="75"/>
      <c r="N352" s="75"/>
      <c r="O352" s="75"/>
      <c r="P352" s="75"/>
    </row>
    <row r="353">
      <c r="A353" s="80" t="s">
        <v>914</v>
      </c>
      <c r="B353" s="77">
        <v>1872.0</v>
      </c>
      <c r="C353" s="77" t="b">
        <v>0</v>
      </c>
      <c r="D353" s="79" t="str">
        <f>IFERROR(__xludf.DUMMYFUNCTION("GOOGLETRANSLATE(A353,""ar"", ""en"")"),"Green wood Turkish Versalite face 80*120")</f>
        <v>Green wood Turkish Versalite face 80*120</v>
      </c>
      <c r="E353" s="80" t="s">
        <v>915</v>
      </c>
      <c r="F353" s="79"/>
      <c r="G353" s="75"/>
      <c r="H353" s="75"/>
      <c r="I353" s="75"/>
      <c r="J353" s="75"/>
      <c r="K353" s="75"/>
      <c r="L353" s="75"/>
      <c r="M353" s="75"/>
      <c r="N353" s="75"/>
      <c r="O353" s="75"/>
      <c r="P353" s="75"/>
    </row>
    <row r="354">
      <c r="A354" s="76" t="s">
        <v>916</v>
      </c>
      <c r="B354" s="77">
        <v>1873.0</v>
      </c>
      <c r="C354" s="77" t="b">
        <v>0</v>
      </c>
      <c r="D354" s="79" t="str">
        <f>IFERROR(__xludf.DUMMYFUNCTION("GOOGLETRANSLATE(A354,""ar"", ""en"")"),"Green wood Turkish Versalite face 80*80")</f>
        <v>Green wood Turkish Versalite face 80*80</v>
      </c>
      <c r="E354" s="76" t="s">
        <v>917</v>
      </c>
      <c r="F354" s="79"/>
      <c r="G354" s="75"/>
      <c r="H354" s="75"/>
      <c r="I354" s="75"/>
      <c r="J354" s="75"/>
      <c r="K354" s="75"/>
      <c r="L354" s="75"/>
      <c r="M354" s="75"/>
      <c r="N354" s="75"/>
      <c r="O354" s="75"/>
      <c r="P354" s="75"/>
    </row>
    <row r="355">
      <c r="A355" s="80" t="s">
        <v>918</v>
      </c>
      <c r="B355" s="77">
        <v>1874.0</v>
      </c>
      <c r="C355" s="77" t="b">
        <v>0</v>
      </c>
      <c r="D355" s="79" t="str">
        <f>IFERROR(__xludf.DUMMYFUNCTION("GOOGLETRANSLATE(A355,""ar"", ""en"")"),"PARKELETTO Turkish Versace Face 80*80")</f>
        <v>PARKELETTO Turkish Versace Face 80*80</v>
      </c>
      <c r="E355" s="80" t="s">
        <v>919</v>
      </c>
      <c r="F355" s="78" t="s">
        <v>920</v>
      </c>
      <c r="G355" s="75"/>
      <c r="H355" s="75"/>
      <c r="I355" s="75"/>
      <c r="J355" s="75"/>
      <c r="K355" s="75"/>
      <c r="L355" s="75"/>
      <c r="M355" s="75"/>
      <c r="N355" s="75"/>
      <c r="O355" s="75"/>
      <c r="P355" s="75"/>
    </row>
    <row r="356">
      <c r="A356" s="76" t="s">
        <v>921</v>
      </c>
      <c r="B356" s="77">
        <v>1875.0</v>
      </c>
      <c r="C356" s="77" t="b">
        <v>0</v>
      </c>
      <c r="D356" s="79" t="str">
        <f>IFERROR(__xludf.DUMMYFUNCTION("GOOGLETRANSLATE(A356,""ar"", ""en"")"),"Riviera Turkish Versace Face 80*120")</f>
        <v>Riviera Turkish Versace Face 80*120</v>
      </c>
      <c r="E356" s="76" t="s">
        <v>922</v>
      </c>
      <c r="F356" s="79"/>
      <c r="G356" s="75"/>
      <c r="H356" s="75"/>
      <c r="I356" s="75"/>
      <c r="J356" s="75"/>
      <c r="K356" s="75"/>
      <c r="L356" s="75"/>
      <c r="M356" s="75"/>
      <c r="N356" s="75"/>
      <c r="O356" s="75"/>
      <c r="P356" s="75"/>
    </row>
    <row r="357">
      <c r="A357" s="80" t="s">
        <v>923</v>
      </c>
      <c r="B357" s="77">
        <v>1876.0</v>
      </c>
      <c r="C357" s="77" t="b">
        <v>0</v>
      </c>
      <c r="D357" s="79" t="str">
        <f>IFERROR(__xludf.DUMMYFUNCTION("GOOGLETRANSLATE(A357,""ar"", ""en"")"),"Riviera Turkish Versace Face 80*140")</f>
        <v>Riviera Turkish Versace Face 80*140</v>
      </c>
      <c r="E357" s="80" t="s">
        <v>924</v>
      </c>
      <c r="F357" s="79"/>
      <c r="G357" s="75"/>
      <c r="H357" s="75"/>
      <c r="I357" s="75"/>
      <c r="J357" s="75"/>
      <c r="K357" s="75"/>
      <c r="L357" s="75"/>
      <c r="M357" s="75"/>
      <c r="N357" s="75"/>
      <c r="O357" s="75"/>
      <c r="P357" s="75"/>
    </row>
    <row r="358">
      <c r="A358" s="76" t="s">
        <v>925</v>
      </c>
      <c r="B358" s="77">
        <v>1877.0</v>
      </c>
      <c r="C358" s="77" t="b">
        <v>0</v>
      </c>
      <c r="D358" s="79" t="str">
        <f>IFERROR(__xludf.DUMMYFUNCTION("GOOGLETRANSLATE(A358,""ar"", ""en"")"),"Riviera Turkish Versace Face 80*80")</f>
        <v>Riviera Turkish Versace Face 80*80</v>
      </c>
      <c r="E358" s="76" t="s">
        <v>926</v>
      </c>
      <c r="F358" s="78" t="s">
        <v>927</v>
      </c>
      <c r="G358" s="75"/>
      <c r="H358" s="75"/>
      <c r="I358" s="75"/>
      <c r="J358" s="75"/>
      <c r="K358" s="75"/>
      <c r="L358" s="75"/>
      <c r="M358" s="75"/>
      <c r="N358" s="75"/>
      <c r="O358" s="75"/>
      <c r="P358" s="75"/>
    </row>
    <row r="359">
      <c r="A359" s="80" t="s">
        <v>928</v>
      </c>
      <c r="B359" s="77">
        <v>1878.0</v>
      </c>
      <c r="C359" s="77" t="b">
        <v>0</v>
      </c>
      <c r="D359" s="79" t="str">
        <f>IFERROR(__xludf.DUMMYFUNCTION("GOOGLETRANSLATE(A359,""ar"", ""en"")"),"BIANCO CARAR Turkish Versalite Face 60*60")</f>
        <v>BIANCO CARAR Turkish Versalite Face 60*60</v>
      </c>
      <c r="E359" s="80" t="s">
        <v>929</v>
      </c>
      <c r="F359" s="79"/>
      <c r="G359" s="75"/>
      <c r="H359" s="75"/>
      <c r="I359" s="75"/>
      <c r="J359" s="75"/>
      <c r="K359" s="75"/>
      <c r="L359" s="75"/>
      <c r="M359" s="75"/>
      <c r="N359" s="75"/>
      <c r="O359" s="75"/>
      <c r="P359" s="75"/>
    </row>
    <row r="360">
      <c r="A360" s="76" t="s">
        <v>930</v>
      </c>
      <c r="B360" s="77">
        <v>1879.0</v>
      </c>
      <c r="C360" s="77" t="b">
        <v>0</v>
      </c>
      <c r="D360" s="79" t="str">
        <f>IFERROR(__xludf.DUMMYFUNCTION("GOOGLETRANSLATE(A360,""ar"", ""en"")"),"BIANCO CARAR Turkish Versalite Face 60 Round")</f>
        <v>BIANCO CARAR Turkish Versalite Face 60 Round</v>
      </c>
      <c r="E360" s="76" t="s">
        <v>931</v>
      </c>
      <c r="F360" s="78" t="s">
        <v>932</v>
      </c>
      <c r="G360" s="75"/>
      <c r="H360" s="75"/>
      <c r="I360" s="75"/>
      <c r="J360" s="75"/>
      <c r="K360" s="75"/>
      <c r="L360" s="75"/>
      <c r="M360" s="75"/>
      <c r="N360" s="75"/>
      <c r="O360" s="75"/>
      <c r="P360" s="75"/>
    </row>
    <row r="361">
      <c r="A361" s="80" t="s">
        <v>933</v>
      </c>
      <c r="B361" s="77">
        <v>1880.0</v>
      </c>
      <c r="C361" s="77" t="b">
        <v>0</v>
      </c>
      <c r="D361" s="79" t="str">
        <f>IFERROR(__xludf.DUMMYFUNCTION("GOOGLETRANSLATE(A361,""ar"", ""en"")"),"BIANCO CARAR Turkish Versalite Face 70*70")</f>
        <v>BIANCO CARAR Turkish Versalite Face 70*70</v>
      </c>
      <c r="E361" s="80" t="s">
        <v>934</v>
      </c>
      <c r="F361" s="78" t="s">
        <v>935</v>
      </c>
      <c r="G361" s="75"/>
      <c r="H361" s="75"/>
      <c r="I361" s="75"/>
      <c r="J361" s="75"/>
      <c r="K361" s="75"/>
      <c r="L361" s="75"/>
      <c r="M361" s="75"/>
      <c r="N361" s="75"/>
      <c r="O361" s="75"/>
      <c r="P361" s="75"/>
    </row>
    <row r="362">
      <c r="A362" s="76" t="s">
        <v>936</v>
      </c>
      <c r="B362" s="77">
        <v>1881.0</v>
      </c>
      <c r="C362" s="77" t="b">
        <v>0</v>
      </c>
      <c r="D362" s="79" t="str">
        <f>IFERROR(__xludf.DUMMYFUNCTION("GOOGLETRANSLATE(A362,""ar"", ""en"")"),"BIANCO CARAR Turkish Versalite face 70 round")</f>
        <v>BIANCO CARAR Turkish Versalite face 70 round</v>
      </c>
      <c r="E362" s="76" t="s">
        <v>937</v>
      </c>
      <c r="F362" s="79"/>
      <c r="G362" s="75"/>
      <c r="H362" s="75"/>
      <c r="I362" s="75"/>
      <c r="J362" s="75"/>
      <c r="K362" s="75"/>
      <c r="L362" s="75"/>
      <c r="M362" s="75"/>
      <c r="N362" s="75"/>
      <c r="O362" s="75"/>
      <c r="P362" s="75"/>
    </row>
    <row r="363">
      <c r="A363" s="80" t="s">
        <v>938</v>
      </c>
      <c r="B363" s="77">
        <v>1882.0</v>
      </c>
      <c r="C363" s="77" t="b">
        <v>0</v>
      </c>
      <c r="D363" s="79" t="str">
        <f>IFERROR(__xludf.DUMMYFUNCTION("GOOGLETRANSLATE(A363,""ar"", ""en"")"),"BIANCO CARAR Turkish Versalite Face 80*120")</f>
        <v>BIANCO CARAR Turkish Versalite Face 80*120</v>
      </c>
      <c r="E363" s="80" t="s">
        <v>939</v>
      </c>
      <c r="F363" s="79"/>
      <c r="G363" s="75"/>
      <c r="H363" s="75"/>
      <c r="I363" s="75"/>
      <c r="J363" s="75"/>
      <c r="K363" s="75"/>
      <c r="L363" s="75"/>
      <c r="M363" s="75"/>
      <c r="N363" s="75"/>
      <c r="O363" s="75"/>
      <c r="P363" s="75"/>
    </row>
    <row r="364">
      <c r="A364" s="76" t="s">
        <v>940</v>
      </c>
      <c r="B364" s="77">
        <v>1883.0</v>
      </c>
      <c r="C364" s="77" t="b">
        <v>0</v>
      </c>
      <c r="D364" s="79" t="str">
        <f>IFERROR(__xludf.DUMMYFUNCTION("GOOGLETRANSLATE(A364,""ar"", ""en"")"),"BIANCO CARAR Turkish Versalite Face 80*140")</f>
        <v>BIANCO CARAR Turkish Versalite Face 80*140</v>
      </c>
      <c r="E364" s="76" t="s">
        <v>941</v>
      </c>
      <c r="F364" s="79"/>
      <c r="G364" s="75"/>
      <c r="H364" s="75"/>
      <c r="I364" s="75"/>
      <c r="J364" s="75"/>
      <c r="K364" s="75"/>
      <c r="L364" s="75"/>
      <c r="M364" s="75"/>
      <c r="N364" s="75"/>
      <c r="O364" s="75"/>
      <c r="P364" s="75"/>
    </row>
    <row r="365">
      <c r="A365" s="80" t="s">
        <v>942</v>
      </c>
      <c r="B365" s="77">
        <v>1884.0</v>
      </c>
      <c r="C365" s="77" t="b">
        <v>0</v>
      </c>
      <c r="D365" s="79" t="str">
        <f>IFERROR(__xludf.DUMMYFUNCTION("GOOGLETRANSLATE(A365,""ar"", ""en"")"),"BIANCO CARAR Turkish Versalite Face 80*80")</f>
        <v>BIANCO CARAR Turkish Versalite Face 80*80</v>
      </c>
      <c r="E365" s="80" t="s">
        <v>943</v>
      </c>
      <c r="F365" s="79"/>
      <c r="G365" s="75"/>
      <c r="H365" s="75"/>
      <c r="I365" s="75"/>
      <c r="J365" s="75"/>
      <c r="K365" s="75"/>
      <c r="L365" s="75"/>
      <c r="M365" s="75"/>
      <c r="N365" s="75"/>
      <c r="O365" s="75"/>
      <c r="P365" s="75"/>
    </row>
    <row r="366">
      <c r="A366" s="76" t="s">
        <v>944</v>
      </c>
      <c r="B366" s="77">
        <v>1885.0</v>
      </c>
      <c r="C366" s="77" t="b">
        <v>0</v>
      </c>
      <c r="D366" s="79" t="str">
        <f>IFERROR(__xludf.DUMMYFUNCTION("GOOGLETRANSLATE(A366,""ar"", ""en"")"),"BIANCO CARAR Turkish Versalite Face 80 Round")</f>
        <v>BIANCO CARAR Turkish Versalite Face 80 Round</v>
      </c>
      <c r="E366" s="76" t="s">
        <v>945</v>
      </c>
      <c r="F366" s="79"/>
      <c r="G366" s="75"/>
      <c r="H366" s="75"/>
      <c r="I366" s="75"/>
      <c r="J366" s="75"/>
      <c r="K366" s="75"/>
      <c r="L366" s="75"/>
      <c r="M366" s="75"/>
      <c r="N366" s="75"/>
      <c r="O366" s="75"/>
      <c r="P366" s="75"/>
    </row>
    <row r="367">
      <c r="A367" s="80" t="s">
        <v>946</v>
      </c>
      <c r="B367" s="77">
        <v>1886.0</v>
      </c>
      <c r="C367" s="77" t="b">
        <v>0</v>
      </c>
      <c r="D367" s="79" t="str">
        <f>IFERROR(__xludf.DUMMYFUNCTION("GOOGLETRANSLATE(A367,""ar"", ""en"")"),"BIANCO CARAR Turkish Versalite face 90 round")</f>
        <v>BIANCO CARAR Turkish Versalite face 90 round</v>
      </c>
      <c r="E367" s="80" t="s">
        <v>947</v>
      </c>
      <c r="F367" s="79"/>
      <c r="G367" s="75"/>
      <c r="H367" s="75"/>
      <c r="I367" s="75"/>
      <c r="J367" s="75"/>
      <c r="K367" s="75"/>
      <c r="L367" s="75"/>
      <c r="M367" s="75"/>
      <c r="N367" s="75"/>
      <c r="O367" s="75"/>
      <c r="P367" s="75"/>
    </row>
    <row r="368">
      <c r="A368" s="76" t="s">
        <v>948</v>
      </c>
      <c r="B368" s="77">
        <v>1887.0</v>
      </c>
      <c r="C368" s="77" t="b">
        <v>0</v>
      </c>
      <c r="D368" s="79" t="str">
        <f>IFERROR(__xludf.DUMMYFUNCTION("GOOGLETRANSLATE(A368,""ar"", ""en"")"),"ROYAL MARBLE Turkish Versalite Face 60*60")</f>
        <v>ROYAL MARBLE Turkish Versalite Face 60*60</v>
      </c>
      <c r="E368" s="76" t="s">
        <v>949</v>
      </c>
      <c r="F368" s="79"/>
      <c r="G368" s="75"/>
      <c r="H368" s="75"/>
      <c r="I368" s="75"/>
      <c r="J368" s="75"/>
      <c r="K368" s="75"/>
      <c r="L368" s="75"/>
      <c r="M368" s="75"/>
      <c r="N368" s="75"/>
      <c r="O368" s="75"/>
      <c r="P368" s="75"/>
    </row>
    <row r="369">
      <c r="A369" s="80" t="s">
        <v>950</v>
      </c>
      <c r="B369" s="77">
        <v>1888.0</v>
      </c>
      <c r="C369" s="77" t="b">
        <v>0</v>
      </c>
      <c r="D369" s="79" t="str">
        <f>IFERROR(__xludf.DUMMYFUNCTION("GOOGLETRANSLATE(A369,""ar"", ""en"")"),"ROYAL MARBLE 60mm round Turkish Versalite face")</f>
        <v>ROYAL MARBLE 60mm round Turkish Versalite face</v>
      </c>
      <c r="E369" s="80" t="s">
        <v>951</v>
      </c>
      <c r="F369" s="79"/>
      <c r="G369" s="75"/>
      <c r="H369" s="75"/>
      <c r="I369" s="75"/>
      <c r="J369" s="75"/>
      <c r="K369" s="75"/>
      <c r="L369" s="75"/>
      <c r="M369" s="75"/>
      <c r="N369" s="75"/>
      <c r="O369" s="75"/>
      <c r="P369" s="75"/>
    </row>
    <row r="370">
      <c r="A370" s="76" t="s">
        <v>952</v>
      </c>
      <c r="B370" s="77">
        <v>1889.0</v>
      </c>
      <c r="C370" s="77" t="b">
        <v>0</v>
      </c>
      <c r="D370" s="79" t="str">
        <f>IFERROR(__xludf.DUMMYFUNCTION("GOOGLETRANSLATE(A370,""ar"", ""en"")"),"ROYAL MARBLE Turkish Versalite Face 70*120")</f>
        <v>ROYAL MARBLE Turkish Versalite Face 70*120</v>
      </c>
      <c r="E370" s="76" t="s">
        <v>953</v>
      </c>
      <c r="F370" s="79"/>
      <c r="G370" s="75"/>
      <c r="H370" s="75"/>
      <c r="I370" s="75"/>
      <c r="J370" s="75"/>
      <c r="K370" s="75"/>
      <c r="L370" s="75"/>
      <c r="M370" s="75"/>
      <c r="N370" s="75"/>
      <c r="O370" s="75"/>
      <c r="P370" s="75"/>
    </row>
    <row r="371">
      <c r="A371" s="80" t="s">
        <v>954</v>
      </c>
      <c r="B371" s="77">
        <v>1890.0</v>
      </c>
      <c r="C371" s="77" t="b">
        <v>0</v>
      </c>
      <c r="D371" s="79" t="str">
        <f>IFERROR(__xludf.DUMMYFUNCTION("GOOGLETRANSLATE(A371,""ar"", ""en"")"),"ROYAL MARBLE Turkish Versalite Face 70*70")</f>
        <v>ROYAL MARBLE Turkish Versalite Face 70*70</v>
      </c>
      <c r="E371" s="80" t="s">
        <v>955</v>
      </c>
      <c r="F371" s="78" t="s">
        <v>956</v>
      </c>
      <c r="G371" s="75"/>
      <c r="H371" s="75"/>
      <c r="I371" s="75"/>
      <c r="J371" s="75"/>
      <c r="K371" s="75"/>
      <c r="L371" s="75"/>
      <c r="M371" s="75"/>
      <c r="N371" s="75"/>
      <c r="O371" s="75"/>
      <c r="P371" s="75"/>
    </row>
    <row r="372">
      <c r="A372" s="76" t="s">
        <v>957</v>
      </c>
      <c r="B372" s="77">
        <v>1891.0</v>
      </c>
      <c r="C372" s="77" t="b">
        <v>0</v>
      </c>
      <c r="D372" s="79" t="str">
        <f>IFERROR(__xludf.DUMMYFUNCTION("GOOGLETRANSLATE(A372,""ar"", ""en"")"),"ROYAL MARBLE Turkish Versalite face 70 round")</f>
        <v>ROYAL MARBLE Turkish Versalite face 70 round</v>
      </c>
      <c r="E372" s="76" t="s">
        <v>958</v>
      </c>
      <c r="F372" s="78" t="s">
        <v>959</v>
      </c>
      <c r="G372" s="75"/>
      <c r="H372" s="75"/>
      <c r="I372" s="75"/>
      <c r="J372" s="75"/>
      <c r="K372" s="75"/>
      <c r="L372" s="75"/>
      <c r="M372" s="75"/>
      <c r="N372" s="75"/>
      <c r="O372" s="75"/>
      <c r="P372" s="75"/>
    </row>
    <row r="373">
      <c r="A373" s="80" t="s">
        <v>960</v>
      </c>
      <c r="B373" s="77">
        <v>1892.0</v>
      </c>
      <c r="C373" s="77" t="b">
        <v>0</v>
      </c>
      <c r="D373" s="79" t="str">
        <f>IFERROR(__xludf.DUMMYFUNCTION("GOOGLETRANSLATE(A373,""ar"", ""en"")"),"ROYAL MARBLE Turkish Versalite Face 80*120")</f>
        <v>ROYAL MARBLE Turkish Versalite Face 80*120</v>
      </c>
      <c r="E373" s="80" t="s">
        <v>961</v>
      </c>
      <c r="F373" s="79"/>
      <c r="G373" s="75"/>
      <c r="H373" s="75"/>
      <c r="I373" s="75"/>
      <c r="J373" s="75"/>
      <c r="K373" s="75"/>
      <c r="L373" s="75"/>
      <c r="M373" s="75"/>
      <c r="N373" s="75"/>
      <c r="O373" s="75"/>
      <c r="P373" s="75"/>
    </row>
    <row r="374">
      <c r="A374" s="76" t="s">
        <v>962</v>
      </c>
      <c r="B374" s="77">
        <v>1893.0</v>
      </c>
      <c r="C374" s="77" t="b">
        <v>0</v>
      </c>
      <c r="D374" s="79" t="str">
        <f>IFERROR(__xludf.DUMMYFUNCTION("GOOGLETRANSLATE(A374,""ar"", ""en"")"),"ROYAL MARBLE Turkish Versalite Face 80*140")</f>
        <v>ROYAL MARBLE Turkish Versalite Face 80*140</v>
      </c>
      <c r="E374" s="76" t="s">
        <v>963</v>
      </c>
      <c r="F374" s="79"/>
      <c r="G374" s="75"/>
      <c r="H374" s="75"/>
      <c r="I374" s="75"/>
      <c r="J374" s="75"/>
      <c r="K374" s="75"/>
      <c r="L374" s="75"/>
      <c r="M374" s="75"/>
      <c r="N374" s="75"/>
      <c r="O374" s="75"/>
      <c r="P374" s="75"/>
    </row>
    <row r="375">
      <c r="A375" s="80" t="s">
        <v>964</v>
      </c>
      <c r="B375" s="77">
        <v>1894.0</v>
      </c>
      <c r="C375" s="77" t="b">
        <v>0</v>
      </c>
      <c r="D375" s="79" t="str">
        <f>IFERROR(__xludf.DUMMYFUNCTION("GOOGLETRANSLATE(A375,""ar"", ""en"")"),"ROYAL MARBLE Turkish Versalite Face 80*80")</f>
        <v>ROYAL MARBLE Turkish Versalite Face 80*80</v>
      </c>
      <c r="E375" s="80" t="s">
        <v>965</v>
      </c>
      <c r="F375" s="79"/>
      <c r="G375" s="75"/>
      <c r="H375" s="75"/>
      <c r="I375" s="75"/>
      <c r="J375" s="75"/>
      <c r="K375" s="75"/>
      <c r="L375" s="75"/>
      <c r="M375" s="75"/>
      <c r="N375" s="75"/>
      <c r="O375" s="75"/>
      <c r="P375" s="75"/>
    </row>
    <row r="376">
      <c r="A376" s="76" t="s">
        <v>966</v>
      </c>
      <c r="B376" s="77">
        <v>1895.0</v>
      </c>
      <c r="C376" s="77" t="b">
        <v>0</v>
      </c>
      <c r="D376" s="79" t="str">
        <f>IFERROR(__xludf.DUMMYFUNCTION("GOOGLETRANSLATE(A376,""ar"", ""en"")"),"ROYAL MARBLE 80mm round Turkish Versalite face")</f>
        <v>ROYAL MARBLE 80mm round Turkish Versalite face</v>
      </c>
      <c r="E376" s="76" t="s">
        <v>967</v>
      </c>
      <c r="F376" s="79"/>
      <c r="G376" s="75"/>
      <c r="H376" s="75"/>
      <c r="I376" s="75"/>
      <c r="J376" s="75"/>
      <c r="K376" s="75"/>
      <c r="L376" s="75"/>
      <c r="M376" s="75"/>
      <c r="N376" s="75"/>
      <c r="O376" s="75"/>
      <c r="P376" s="75"/>
    </row>
    <row r="377">
      <c r="A377" s="80" t="s">
        <v>968</v>
      </c>
      <c r="B377" s="77">
        <v>1896.0</v>
      </c>
      <c r="C377" s="77" t="b">
        <v>0</v>
      </c>
      <c r="D377" s="79" t="str">
        <f>IFERROR(__xludf.DUMMYFUNCTION("GOOGLETRANSLATE(A377,""ar"", ""en"")"),"DUGY Turkish Versalite Face 60*60")</f>
        <v>DUGY Turkish Versalite Face 60*60</v>
      </c>
      <c r="E377" s="80" t="s">
        <v>969</v>
      </c>
      <c r="F377" s="78" t="s">
        <v>970</v>
      </c>
      <c r="G377" s="75"/>
      <c r="H377" s="75"/>
      <c r="I377" s="75"/>
      <c r="J377" s="75"/>
      <c r="K377" s="75"/>
      <c r="L377" s="75"/>
      <c r="M377" s="75"/>
      <c r="N377" s="75"/>
      <c r="O377" s="75"/>
      <c r="P377" s="75"/>
    </row>
    <row r="378">
      <c r="A378" s="76" t="s">
        <v>971</v>
      </c>
      <c r="B378" s="77">
        <v>1897.0</v>
      </c>
      <c r="C378" s="77" t="b">
        <v>0</v>
      </c>
      <c r="D378" s="79" t="str">
        <f>IFERROR(__xludf.DUMMYFUNCTION("GOOGLETRANSLATE(A378,""ar"", ""en"")"),"DUGY 60mm round Turkish Versalite face")</f>
        <v>DUGY 60mm round Turkish Versalite face</v>
      </c>
      <c r="E378" s="76" t="s">
        <v>972</v>
      </c>
      <c r="F378" s="78" t="s">
        <v>973</v>
      </c>
      <c r="G378" s="75"/>
      <c r="H378" s="75"/>
      <c r="I378" s="75"/>
      <c r="J378" s="75"/>
      <c r="K378" s="75"/>
      <c r="L378" s="75"/>
      <c r="M378" s="75"/>
      <c r="N378" s="75"/>
      <c r="O378" s="75"/>
      <c r="P378" s="75"/>
    </row>
    <row r="379">
      <c r="A379" s="80" t="s">
        <v>974</v>
      </c>
      <c r="B379" s="77">
        <v>1898.0</v>
      </c>
      <c r="C379" s="77" t="b">
        <v>0</v>
      </c>
      <c r="D379" s="79" t="str">
        <f>IFERROR(__xludf.DUMMYFUNCTION("GOOGLETRANSLATE(A379,""ar"", ""en"")"),"DUGY Turkish Versalite Face 70*120")</f>
        <v>DUGY Turkish Versalite Face 70*120</v>
      </c>
      <c r="E379" s="80" t="s">
        <v>975</v>
      </c>
      <c r="F379" s="79"/>
      <c r="G379" s="75"/>
      <c r="H379" s="75"/>
      <c r="I379" s="75"/>
      <c r="J379" s="75"/>
      <c r="K379" s="75"/>
      <c r="L379" s="75"/>
      <c r="M379" s="75"/>
      <c r="N379" s="75"/>
      <c r="O379" s="75"/>
      <c r="P379" s="75"/>
    </row>
    <row r="380">
      <c r="A380" s="76" t="s">
        <v>976</v>
      </c>
      <c r="B380" s="77">
        <v>1899.0</v>
      </c>
      <c r="C380" s="77" t="b">
        <v>0</v>
      </c>
      <c r="D380" s="79" t="str">
        <f>IFERROR(__xludf.DUMMYFUNCTION("GOOGLETRANSLATE(A380,""ar"", ""en"")"),"DUGY Turkish Versalite Face 70*70")</f>
        <v>DUGY Turkish Versalite Face 70*70</v>
      </c>
      <c r="E380" s="76" t="s">
        <v>977</v>
      </c>
      <c r="F380" s="79"/>
      <c r="G380" s="75"/>
      <c r="H380" s="75"/>
      <c r="I380" s="75"/>
      <c r="J380" s="75"/>
      <c r="K380" s="75"/>
      <c r="L380" s="75"/>
      <c r="M380" s="75"/>
      <c r="N380" s="75"/>
      <c r="O380" s="75"/>
      <c r="P380" s="75"/>
    </row>
    <row r="381">
      <c r="A381" s="80" t="s">
        <v>978</v>
      </c>
      <c r="B381" s="77">
        <v>1900.0</v>
      </c>
      <c r="C381" s="77" t="b">
        <v>0</v>
      </c>
      <c r="D381" s="79" t="str">
        <f>IFERROR(__xludf.DUMMYFUNCTION("GOOGLETRANSLATE(A381,""ar"", ""en"")"),"DUGY 70mm round Turkish Versalite face")</f>
        <v>DUGY 70mm round Turkish Versalite face</v>
      </c>
      <c r="E381" s="80" t="s">
        <v>979</v>
      </c>
      <c r="F381" s="79"/>
      <c r="G381" s="75"/>
      <c r="H381" s="75"/>
      <c r="I381" s="75"/>
      <c r="J381" s="75"/>
      <c r="K381" s="75"/>
      <c r="L381" s="75"/>
      <c r="M381" s="75"/>
      <c r="N381" s="75"/>
      <c r="O381" s="75"/>
      <c r="P381" s="75"/>
    </row>
    <row r="382">
      <c r="A382" s="76" t="s">
        <v>980</v>
      </c>
      <c r="B382" s="77">
        <v>1901.0</v>
      </c>
      <c r="C382" s="77" t="b">
        <v>0</v>
      </c>
      <c r="D382" s="79" t="str">
        <f>IFERROR(__xludf.DUMMYFUNCTION("GOOGLETRANSLATE(A382,""ar"", ""en"")"),"DUGY Turkish Versalite Face 80*120")</f>
        <v>DUGY Turkish Versalite Face 80*120</v>
      </c>
      <c r="E382" s="76" t="s">
        <v>981</v>
      </c>
      <c r="F382" s="79"/>
      <c r="G382" s="75"/>
      <c r="H382" s="75"/>
      <c r="I382" s="75"/>
      <c r="J382" s="75"/>
      <c r="K382" s="75"/>
      <c r="L382" s="75"/>
      <c r="M382" s="75"/>
      <c r="N382" s="75"/>
      <c r="O382" s="75"/>
      <c r="P382" s="75"/>
    </row>
    <row r="383">
      <c r="A383" s="80" t="s">
        <v>982</v>
      </c>
      <c r="B383" s="77">
        <v>1902.0</v>
      </c>
      <c r="C383" s="77" t="b">
        <v>0</v>
      </c>
      <c r="D383" s="79" t="str">
        <f>IFERROR(__xludf.DUMMYFUNCTION("GOOGLETRANSLATE(A383,""ar"", ""en"")"),"DUGY Turkish Versalite Face 80*80")</f>
        <v>DUGY Turkish Versalite Face 80*80</v>
      </c>
      <c r="E383" s="80" t="s">
        <v>983</v>
      </c>
      <c r="F383" s="79"/>
      <c r="G383" s="75"/>
      <c r="H383" s="75"/>
      <c r="I383" s="75"/>
      <c r="J383" s="75"/>
      <c r="K383" s="75"/>
      <c r="L383" s="75"/>
      <c r="M383" s="75"/>
      <c r="N383" s="75"/>
      <c r="O383" s="75"/>
      <c r="P383" s="75"/>
    </row>
    <row r="384">
      <c r="A384" s="76" t="s">
        <v>984</v>
      </c>
      <c r="B384" s="77">
        <v>1903.0</v>
      </c>
      <c r="C384" s="77" t="b">
        <v>0</v>
      </c>
      <c r="D384" s="79" t="str">
        <f>IFERROR(__xludf.DUMMYFUNCTION("GOOGLETRANSLATE(A384,""ar"", ""en"")"),"DUGY 80mm round Turkish Versalite face")</f>
        <v>DUGY 80mm round Turkish Versalite face</v>
      </c>
      <c r="E384" s="76" t="s">
        <v>985</v>
      </c>
      <c r="F384" s="79"/>
      <c r="G384" s="75"/>
      <c r="H384" s="75"/>
      <c r="I384" s="75"/>
      <c r="J384" s="75"/>
      <c r="K384" s="75"/>
      <c r="L384" s="75"/>
      <c r="M384" s="75"/>
      <c r="N384" s="75"/>
      <c r="O384" s="75"/>
      <c r="P384" s="75"/>
    </row>
    <row r="385">
      <c r="A385" s="80" t="s">
        <v>986</v>
      </c>
      <c r="B385" s="77">
        <v>1904.0</v>
      </c>
      <c r="C385" s="77" t="b">
        <v>0</v>
      </c>
      <c r="D385" s="79" t="str">
        <f>IFERROR(__xludf.DUMMYFUNCTION("GOOGLETRANSLATE(A385,""ar"", ""en"")"),"DUGY 90' Round Turkish Versalite Face")</f>
        <v>DUGY 90' Round Turkish Versalite Face</v>
      </c>
      <c r="E385" s="80" t="s">
        <v>987</v>
      </c>
      <c r="F385" s="79"/>
      <c r="G385" s="75"/>
      <c r="H385" s="75"/>
      <c r="I385" s="75"/>
      <c r="J385" s="75"/>
      <c r="K385" s="75"/>
      <c r="L385" s="75"/>
      <c r="M385" s="75"/>
      <c r="N385" s="75"/>
      <c r="O385" s="75"/>
      <c r="P385" s="75"/>
    </row>
    <row r="386">
      <c r="A386" s="76" t="s">
        <v>988</v>
      </c>
      <c r="B386" s="77">
        <v>1905.0</v>
      </c>
      <c r="C386" s="77" t="b">
        <v>0</v>
      </c>
      <c r="D386" s="79" t="str">
        <f>IFERROR(__xludf.DUMMYFUNCTION("GOOGLETRANSLATE(A386,""ar"", ""en"")"),"DIA 1- Turkish Versalite face 60*60")</f>
        <v>DIA 1- Turkish Versalite face 60*60</v>
      </c>
      <c r="E386" s="76" t="s">
        <v>989</v>
      </c>
      <c r="F386" s="78" t="s">
        <v>990</v>
      </c>
      <c r="G386" s="75"/>
      <c r="H386" s="75"/>
      <c r="I386" s="75"/>
      <c r="J386" s="75"/>
      <c r="K386" s="75"/>
      <c r="L386" s="75"/>
      <c r="M386" s="75"/>
      <c r="N386" s="75"/>
      <c r="O386" s="75"/>
      <c r="P386" s="75"/>
    </row>
    <row r="387">
      <c r="A387" s="80" t="s">
        <v>991</v>
      </c>
      <c r="B387" s="77">
        <v>1906.0</v>
      </c>
      <c r="C387" s="77" t="b">
        <v>0</v>
      </c>
      <c r="D387" s="79" t="str">
        <f>IFERROR(__xludf.DUMMYFUNCTION("GOOGLETRANSLATE(A387,""ar"", ""en"")"),"DIA 1- Turkish Versalite face, 60 round")</f>
        <v>DIA 1- Turkish Versalite face, 60 round</v>
      </c>
      <c r="E387" s="80" t="s">
        <v>992</v>
      </c>
      <c r="F387" s="78" t="s">
        <v>993</v>
      </c>
      <c r="G387" s="75"/>
      <c r="H387" s="75"/>
      <c r="I387" s="75"/>
      <c r="J387" s="75"/>
      <c r="K387" s="75"/>
      <c r="L387" s="75"/>
      <c r="M387" s="75"/>
      <c r="N387" s="75"/>
      <c r="O387" s="75"/>
      <c r="P387" s="75"/>
    </row>
    <row r="388">
      <c r="A388" s="76" t="s">
        <v>994</v>
      </c>
      <c r="B388" s="77">
        <v>1907.0</v>
      </c>
      <c r="C388" s="77" t="b">
        <v>0</v>
      </c>
      <c r="D388" s="79" t="str">
        <f>IFERROR(__xludf.DUMMYFUNCTION("GOOGLETRANSLATE(A388,""ar"", ""en"")"),"DIA 1-Turkish Versalite Face 70*120")</f>
        <v>DIA 1-Turkish Versalite Face 70*120</v>
      </c>
      <c r="E388" s="76" t="s">
        <v>995</v>
      </c>
      <c r="F388" s="79"/>
      <c r="G388" s="75"/>
      <c r="H388" s="75"/>
      <c r="I388" s="75"/>
      <c r="J388" s="75"/>
      <c r="K388" s="75"/>
      <c r="L388" s="75"/>
      <c r="M388" s="75"/>
      <c r="N388" s="75"/>
      <c r="O388" s="75"/>
      <c r="P388" s="75"/>
    </row>
    <row r="389">
      <c r="A389" s="80" t="s">
        <v>996</v>
      </c>
      <c r="B389" s="77">
        <v>1908.0</v>
      </c>
      <c r="C389" s="77" t="b">
        <v>0</v>
      </c>
      <c r="D389" s="79" t="str">
        <f>IFERROR(__xludf.DUMMYFUNCTION("GOOGLETRANSLATE(A389,""ar"", ""en"")"),"DIA 1-Turkish Versalite Face 70*70")</f>
        <v>DIA 1-Turkish Versalite Face 70*70</v>
      </c>
      <c r="E389" s="80" t="s">
        <v>997</v>
      </c>
      <c r="F389" s="79"/>
      <c r="G389" s="75"/>
      <c r="H389" s="75"/>
      <c r="I389" s="75"/>
      <c r="J389" s="75"/>
      <c r="K389" s="75"/>
      <c r="L389" s="75"/>
      <c r="M389" s="75"/>
      <c r="N389" s="75"/>
      <c r="O389" s="75"/>
      <c r="P389" s="75"/>
    </row>
    <row r="390">
      <c r="A390" s="76" t="s">
        <v>998</v>
      </c>
      <c r="B390" s="77">
        <v>1909.0</v>
      </c>
      <c r="C390" s="77" t="b">
        <v>0</v>
      </c>
      <c r="D390" s="79" t="str">
        <f>IFERROR(__xludf.DUMMYFUNCTION("GOOGLETRANSLATE(A390,""ar"", ""en"")"),"DIA 1- Turkish Versalite face 70 round")</f>
        <v>DIA 1- Turkish Versalite face 70 round</v>
      </c>
      <c r="E390" s="76" t="s">
        <v>999</v>
      </c>
      <c r="F390" s="79"/>
      <c r="G390" s="75"/>
      <c r="H390" s="75"/>
      <c r="I390" s="75"/>
      <c r="J390" s="75"/>
      <c r="K390" s="75"/>
      <c r="L390" s="75"/>
      <c r="M390" s="75"/>
      <c r="N390" s="75"/>
      <c r="O390" s="75"/>
      <c r="P390" s="75"/>
    </row>
    <row r="391">
      <c r="A391" s="80" t="s">
        <v>1000</v>
      </c>
      <c r="B391" s="77">
        <v>1910.0</v>
      </c>
      <c r="C391" s="77" t="b">
        <v>0</v>
      </c>
      <c r="D391" s="79" t="str">
        <f>IFERROR(__xludf.DUMMYFUNCTION("GOOGLETRANSLATE(A391,""ar"", ""en"")"),"DIA 1- Turkish Versalite face 80*120")</f>
        <v>DIA 1- Turkish Versalite face 80*120</v>
      </c>
      <c r="E391" s="80" t="s">
        <v>1001</v>
      </c>
      <c r="F391" s="79"/>
      <c r="G391" s="75"/>
      <c r="H391" s="75"/>
      <c r="I391" s="75"/>
      <c r="J391" s="75"/>
      <c r="K391" s="75"/>
      <c r="L391" s="75"/>
      <c r="M391" s="75"/>
      <c r="N391" s="75"/>
      <c r="O391" s="75"/>
      <c r="P391" s="75"/>
    </row>
    <row r="392">
      <c r="A392" s="76" t="s">
        <v>1002</v>
      </c>
      <c r="B392" s="77">
        <v>1911.0</v>
      </c>
      <c r="C392" s="77" t="b">
        <v>0</v>
      </c>
      <c r="D392" s="79" t="str">
        <f>IFERROR(__xludf.DUMMYFUNCTION("GOOGLETRANSLATE(A392,""ar"", ""en"")"),"DIA 1 - Turkish Versalite Face 80*140")</f>
        <v>DIA 1 - Turkish Versalite Face 80*140</v>
      </c>
      <c r="E392" s="76" t="s">
        <v>1003</v>
      </c>
      <c r="F392" s="79"/>
      <c r="G392" s="75"/>
      <c r="H392" s="75"/>
      <c r="I392" s="75"/>
      <c r="J392" s="75"/>
      <c r="K392" s="75"/>
      <c r="L392" s="75"/>
      <c r="M392" s="75"/>
      <c r="N392" s="75"/>
      <c r="O392" s="75"/>
      <c r="P392" s="75"/>
    </row>
    <row r="393">
      <c r="A393" s="80" t="s">
        <v>1004</v>
      </c>
      <c r="B393" s="77">
        <v>1912.0</v>
      </c>
      <c r="C393" s="77" t="b">
        <v>0</v>
      </c>
      <c r="D393" s="79" t="str">
        <f>IFERROR(__xludf.DUMMYFUNCTION("GOOGLETRANSLATE(A393,""ar"", ""en"")"),"DIA 1- Turkish Versalite face 80*80")</f>
        <v>DIA 1- Turkish Versalite face 80*80</v>
      </c>
      <c r="E393" s="80" t="s">
        <v>1005</v>
      </c>
      <c r="F393" s="79"/>
      <c r="G393" s="75"/>
      <c r="H393" s="75"/>
      <c r="I393" s="75"/>
      <c r="J393" s="75"/>
      <c r="K393" s="75"/>
      <c r="L393" s="75"/>
      <c r="M393" s="75"/>
      <c r="N393" s="75"/>
      <c r="O393" s="75"/>
      <c r="P393" s="75"/>
    </row>
    <row r="394">
      <c r="A394" s="76" t="s">
        <v>1006</v>
      </c>
      <c r="B394" s="77">
        <v>1913.0</v>
      </c>
      <c r="C394" s="77" t="b">
        <v>0</v>
      </c>
      <c r="D394" s="79" t="str">
        <f>IFERROR(__xludf.DUMMYFUNCTION("GOOGLETRANSLATE(A394,""ar"", ""en"")"),"DIA 1- Turkish Versalite face 80 round")</f>
        <v>DIA 1- Turkish Versalite face 80 round</v>
      </c>
      <c r="E394" s="76" t="s">
        <v>1007</v>
      </c>
      <c r="F394" s="79"/>
      <c r="G394" s="75"/>
      <c r="H394" s="75"/>
      <c r="I394" s="75"/>
      <c r="J394" s="75"/>
      <c r="K394" s="75"/>
      <c r="L394" s="75"/>
      <c r="M394" s="75"/>
      <c r="N394" s="75"/>
      <c r="O394" s="75"/>
      <c r="P394" s="75"/>
    </row>
    <row r="395">
      <c r="A395" s="80" t="s">
        <v>1008</v>
      </c>
      <c r="B395" s="77">
        <v>1914.0</v>
      </c>
      <c r="C395" s="77" t="b">
        <v>0</v>
      </c>
      <c r="D395" s="79" t="str">
        <f>IFERROR(__xludf.DUMMYFUNCTION("GOOGLETRANSLATE(A395,""ar"", ""en"")"),"DIA 1- Turkish Versalite face 90 round")</f>
        <v>DIA 1- Turkish Versalite face 90 round</v>
      </c>
      <c r="E395" s="80" t="s">
        <v>1009</v>
      </c>
      <c r="F395" s="79"/>
      <c r="G395" s="75"/>
      <c r="H395" s="75"/>
      <c r="I395" s="75"/>
      <c r="J395" s="75"/>
      <c r="K395" s="75"/>
      <c r="L395" s="75"/>
      <c r="M395" s="75"/>
      <c r="N395" s="75"/>
      <c r="O395" s="75"/>
      <c r="P395" s="75"/>
    </row>
    <row r="396">
      <c r="A396" s="76" t="s">
        <v>1010</v>
      </c>
      <c r="B396" s="77">
        <v>1915.0</v>
      </c>
      <c r="C396" s="77" t="b">
        <v>0</v>
      </c>
      <c r="D396" s="79" t="str">
        <f>IFERROR(__xludf.DUMMYFUNCTION("GOOGLETRANSLATE(A396,""ar"", ""en"")"),"DIA 2 Turkish Versalite Face 60*60")</f>
        <v>DIA 2 Turkish Versalite Face 60*60</v>
      </c>
      <c r="E396" s="76" t="s">
        <v>1011</v>
      </c>
      <c r="F396" s="78" t="s">
        <v>1012</v>
      </c>
      <c r="G396" s="75"/>
      <c r="H396" s="75"/>
      <c r="I396" s="75"/>
      <c r="J396" s="75"/>
      <c r="K396" s="75"/>
      <c r="L396" s="75"/>
      <c r="M396" s="75"/>
      <c r="N396" s="75"/>
      <c r="O396" s="75"/>
      <c r="P396" s="75"/>
    </row>
    <row r="397">
      <c r="A397" s="80" t="s">
        <v>1013</v>
      </c>
      <c r="B397" s="77">
        <v>1916.0</v>
      </c>
      <c r="C397" s="77" t="b">
        <v>0</v>
      </c>
      <c r="D397" s="79" t="str">
        <f>IFERROR(__xludf.DUMMYFUNCTION("GOOGLETRANSLATE(A397,""ar"", ""en"")"),"DIA 2 Turkish Versalite face 60 round")</f>
        <v>DIA 2 Turkish Versalite face 60 round</v>
      </c>
      <c r="E397" s="80" t="s">
        <v>1014</v>
      </c>
      <c r="F397" s="78" t="s">
        <v>1015</v>
      </c>
      <c r="G397" s="75"/>
      <c r="H397" s="75"/>
      <c r="I397" s="75"/>
      <c r="J397" s="75"/>
      <c r="K397" s="75"/>
      <c r="L397" s="75"/>
      <c r="M397" s="75"/>
      <c r="N397" s="75"/>
      <c r="O397" s="75"/>
      <c r="P397" s="75"/>
    </row>
    <row r="398">
      <c r="A398" s="76" t="s">
        <v>1016</v>
      </c>
      <c r="B398" s="77">
        <v>1917.0</v>
      </c>
      <c r="C398" s="77" t="b">
        <v>0</v>
      </c>
      <c r="D398" s="79" t="str">
        <f>IFERROR(__xludf.DUMMYFUNCTION("GOOGLETRANSLATE(A398,""ar"", ""en"")"),"DIA 2 Turkish Versalite Face 70*120")</f>
        <v>DIA 2 Turkish Versalite Face 70*120</v>
      </c>
      <c r="E398" s="76" t="s">
        <v>1017</v>
      </c>
      <c r="F398" s="79"/>
      <c r="G398" s="75"/>
      <c r="H398" s="75"/>
      <c r="I398" s="75"/>
      <c r="J398" s="75"/>
      <c r="K398" s="75"/>
      <c r="L398" s="75"/>
      <c r="M398" s="75"/>
      <c r="N398" s="75"/>
      <c r="O398" s="75"/>
      <c r="P398" s="75"/>
    </row>
    <row r="399">
      <c r="A399" s="80" t="s">
        <v>1018</v>
      </c>
      <c r="B399" s="77">
        <v>1918.0</v>
      </c>
      <c r="C399" s="77" t="b">
        <v>0</v>
      </c>
      <c r="D399" s="79" t="str">
        <f>IFERROR(__xludf.DUMMYFUNCTION("GOOGLETRANSLATE(A399,""ar"", ""en"")"),"DIA 2 Turkish Versalite Face 70*70")</f>
        <v>DIA 2 Turkish Versalite Face 70*70</v>
      </c>
      <c r="E399" s="80" t="s">
        <v>1019</v>
      </c>
      <c r="F399" s="79"/>
      <c r="G399" s="75"/>
      <c r="H399" s="75"/>
      <c r="I399" s="75"/>
      <c r="J399" s="75"/>
      <c r="K399" s="75"/>
      <c r="L399" s="75"/>
      <c r="M399" s="75"/>
      <c r="N399" s="75"/>
      <c r="O399" s="75"/>
      <c r="P399" s="75"/>
    </row>
    <row r="400">
      <c r="A400" s="76" t="s">
        <v>1020</v>
      </c>
      <c r="B400" s="77">
        <v>1919.0</v>
      </c>
      <c r="C400" s="77" t="b">
        <v>0</v>
      </c>
      <c r="D400" s="79" t="str">
        <f>IFERROR(__xludf.DUMMYFUNCTION("GOOGLETRANSLATE(A400,""ar"", ""en"")"),"DIA 2 Turkish Versalite face 70 round")</f>
        <v>DIA 2 Turkish Versalite face 70 round</v>
      </c>
      <c r="E400" s="76" t="s">
        <v>1021</v>
      </c>
      <c r="F400" s="79"/>
      <c r="G400" s="75"/>
      <c r="H400" s="75"/>
      <c r="I400" s="75"/>
      <c r="J400" s="75"/>
      <c r="K400" s="75"/>
      <c r="L400" s="75"/>
      <c r="M400" s="75"/>
      <c r="N400" s="75"/>
      <c r="O400" s="75"/>
      <c r="P400" s="75"/>
    </row>
    <row r="401">
      <c r="A401" s="80" t="s">
        <v>1022</v>
      </c>
      <c r="B401" s="77">
        <v>1920.0</v>
      </c>
      <c r="C401" s="77" t="b">
        <v>0</v>
      </c>
      <c r="D401" s="79" t="str">
        <f>IFERROR(__xludf.DUMMYFUNCTION("GOOGLETRANSLATE(A401,""ar"", ""en"")"),"DIA 2 Turkish Versalite Face 80*120")</f>
        <v>DIA 2 Turkish Versalite Face 80*120</v>
      </c>
      <c r="E401" s="80" t="s">
        <v>1023</v>
      </c>
      <c r="F401" s="79"/>
      <c r="G401" s="75"/>
      <c r="H401" s="75"/>
      <c r="I401" s="75"/>
      <c r="J401" s="75"/>
      <c r="K401" s="75"/>
      <c r="L401" s="75"/>
      <c r="M401" s="75"/>
      <c r="N401" s="75"/>
      <c r="O401" s="75"/>
      <c r="P401" s="75"/>
    </row>
    <row r="402">
      <c r="A402" s="76" t="s">
        <v>1024</v>
      </c>
      <c r="B402" s="77">
        <v>1921.0</v>
      </c>
      <c r="C402" s="77" t="b">
        <v>0</v>
      </c>
      <c r="D402" s="79" t="str">
        <f>IFERROR(__xludf.DUMMYFUNCTION("GOOGLETRANSLATE(A402,""ar"", ""en"")"),"DIA 2 Turkish Versalite Face 80*140")</f>
        <v>DIA 2 Turkish Versalite Face 80*140</v>
      </c>
      <c r="E402" s="76" t="s">
        <v>1025</v>
      </c>
      <c r="F402" s="79"/>
      <c r="G402" s="75"/>
      <c r="H402" s="75"/>
      <c r="I402" s="75"/>
      <c r="J402" s="75"/>
      <c r="K402" s="75"/>
      <c r="L402" s="75"/>
      <c r="M402" s="75"/>
      <c r="N402" s="75"/>
      <c r="O402" s="75"/>
      <c r="P402" s="75"/>
    </row>
    <row r="403">
      <c r="A403" s="80" t="s">
        <v>1026</v>
      </c>
      <c r="B403" s="77">
        <v>1922.0</v>
      </c>
      <c r="C403" s="77" t="b">
        <v>0</v>
      </c>
      <c r="D403" s="79" t="str">
        <f>IFERROR(__xludf.DUMMYFUNCTION("GOOGLETRANSLATE(A403,""ar"", ""en"")"),"DIA 2 Turkish Versalite Face 80*80")</f>
        <v>DIA 2 Turkish Versalite Face 80*80</v>
      </c>
      <c r="E403" s="80" t="s">
        <v>1027</v>
      </c>
      <c r="F403" s="79"/>
      <c r="G403" s="75"/>
      <c r="H403" s="75"/>
      <c r="I403" s="75"/>
      <c r="J403" s="75"/>
      <c r="K403" s="75"/>
      <c r="L403" s="75"/>
      <c r="M403" s="75"/>
      <c r="N403" s="75"/>
      <c r="O403" s="75"/>
      <c r="P403" s="75"/>
    </row>
    <row r="404">
      <c r="A404" s="76" t="s">
        <v>1028</v>
      </c>
      <c r="B404" s="77">
        <v>1923.0</v>
      </c>
      <c r="C404" s="77" t="b">
        <v>0</v>
      </c>
      <c r="D404" s="79" t="str">
        <f>IFERROR(__xludf.DUMMYFUNCTION("GOOGLETRANSLATE(A404,""ar"", ""en"")"),"DIA 2 Turkish Versalite face 80 round")</f>
        <v>DIA 2 Turkish Versalite face 80 round</v>
      </c>
      <c r="E404" s="76" t="s">
        <v>1029</v>
      </c>
      <c r="F404" s="79"/>
      <c r="G404" s="75"/>
      <c r="H404" s="75"/>
      <c r="I404" s="75"/>
      <c r="J404" s="75"/>
      <c r="K404" s="75"/>
      <c r="L404" s="75"/>
      <c r="M404" s="75"/>
      <c r="N404" s="75"/>
      <c r="O404" s="75"/>
      <c r="P404" s="75"/>
    </row>
    <row r="405">
      <c r="A405" s="80" t="s">
        <v>1030</v>
      </c>
      <c r="B405" s="77">
        <v>1924.0</v>
      </c>
      <c r="C405" s="77" t="b">
        <v>0</v>
      </c>
      <c r="D405" s="79" t="str">
        <f>IFERROR(__xludf.DUMMYFUNCTION("GOOGLETRANSLATE(A405,""ar"", ""en"")"),"TERAMO Turkish Versalite Face 60*60")</f>
        <v>TERAMO Turkish Versalite Face 60*60</v>
      </c>
      <c r="E405" s="80" t="s">
        <v>1031</v>
      </c>
      <c r="F405" s="78" t="s">
        <v>1032</v>
      </c>
      <c r="G405" s="75"/>
      <c r="H405" s="75"/>
      <c r="I405" s="75"/>
      <c r="J405" s="75"/>
      <c r="K405" s="75"/>
      <c r="L405" s="75"/>
      <c r="M405" s="75"/>
      <c r="N405" s="75"/>
      <c r="O405" s="75"/>
      <c r="P405" s="75"/>
    </row>
    <row r="406">
      <c r="A406" s="76" t="s">
        <v>1033</v>
      </c>
      <c r="B406" s="77">
        <v>1925.0</v>
      </c>
      <c r="C406" s="77" t="b">
        <v>0</v>
      </c>
      <c r="D406" s="79" t="str">
        <f>IFERROR(__xludf.DUMMYFUNCTION("GOOGLETRANSLATE(A406,""ar"", ""en"")"),"TERAMO Turkish Versalite Face 60 Round")</f>
        <v>TERAMO Turkish Versalite Face 60 Round</v>
      </c>
      <c r="E406" s="76" t="s">
        <v>1034</v>
      </c>
      <c r="F406" s="78" t="s">
        <v>1035</v>
      </c>
      <c r="G406" s="75"/>
      <c r="H406" s="75"/>
      <c r="I406" s="75"/>
      <c r="J406" s="75"/>
      <c r="K406" s="75"/>
      <c r="L406" s="75"/>
      <c r="M406" s="75"/>
      <c r="N406" s="75"/>
      <c r="O406" s="75"/>
      <c r="P406" s="75"/>
    </row>
    <row r="407">
      <c r="A407" s="80" t="s">
        <v>1036</v>
      </c>
      <c r="B407" s="77">
        <v>1926.0</v>
      </c>
      <c r="C407" s="77" t="b">
        <v>0</v>
      </c>
      <c r="D407" s="79" t="str">
        <f>IFERROR(__xludf.DUMMYFUNCTION("GOOGLETRANSLATE(A407,""ar"", ""en"")"),"TERAMO Turkish Versalite Face 70*120")</f>
        <v>TERAMO Turkish Versalite Face 70*120</v>
      </c>
      <c r="E407" s="80" t="s">
        <v>1037</v>
      </c>
      <c r="F407" s="79"/>
      <c r="G407" s="75"/>
      <c r="H407" s="75"/>
      <c r="I407" s="75"/>
      <c r="J407" s="75"/>
      <c r="K407" s="75"/>
      <c r="L407" s="75"/>
      <c r="M407" s="75"/>
      <c r="N407" s="75"/>
      <c r="O407" s="75"/>
      <c r="P407" s="75"/>
    </row>
    <row r="408">
      <c r="A408" s="76" t="s">
        <v>1038</v>
      </c>
      <c r="B408" s="77">
        <v>1927.0</v>
      </c>
      <c r="C408" s="77" t="b">
        <v>0</v>
      </c>
      <c r="D408" s="79" t="str">
        <f>IFERROR(__xludf.DUMMYFUNCTION("GOOGLETRANSLATE(A408,""ar"", ""en"")"),"TERAMO Turkish Versalite Face 70*70")</f>
        <v>TERAMO Turkish Versalite Face 70*70</v>
      </c>
      <c r="E408" s="76" t="s">
        <v>1039</v>
      </c>
      <c r="F408" s="79"/>
      <c r="G408" s="75"/>
      <c r="H408" s="75"/>
      <c r="I408" s="75"/>
      <c r="J408" s="75"/>
      <c r="K408" s="75"/>
      <c r="L408" s="75"/>
      <c r="M408" s="75"/>
      <c r="N408" s="75"/>
      <c r="O408" s="75"/>
      <c r="P408" s="75"/>
    </row>
    <row r="409">
      <c r="A409" s="80" t="s">
        <v>1040</v>
      </c>
      <c r="B409" s="77">
        <v>1928.0</v>
      </c>
      <c r="C409" s="77" t="b">
        <v>0</v>
      </c>
      <c r="D409" s="79" t="str">
        <f>IFERROR(__xludf.DUMMYFUNCTION("GOOGLETRANSLATE(A409,""ar"", ""en"")"),"TERAMO Turkish Versalite Face 70 Round")</f>
        <v>TERAMO Turkish Versalite Face 70 Round</v>
      </c>
      <c r="E409" s="80" t="s">
        <v>1041</v>
      </c>
      <c r="F409" s="79"/>
      <c r="G409" s="75"/>
      <c r="H409" s="75"/>
      <c r="I409" s="75"/>
      <c r="J409" s="75"/>
      <c r="K409" s="75"/>
      <c r="L409" s="75"/>
      <c r="M409" s="75"/>
      <c r="N409" s="75"/>
      <c r="O409" s="75"/>
      <c r="P409" s="75"/>
    </row>
    <row r="410">
      <c r="A410" s="76" t="s">
        <v>1042</v>
      </c>
      <c r="B410" s="77">
        <v>1929.0</v>
      </c>
      <c r="C410" s="77" t="b">
        <v>0</v>
      </c>
      <c r="D410" s="79" t="str">
        <f>IFERROR(__xludf.DUMMYFUNCTION("GOOGLETRANSLATE(A410,""ar"", ""en"")"),"TERAMO Turkish Versalite Face 80*120")</f>
        <v>TERAMO Turkish Versalite Face 80*120</v>
      </c>
      <c r="E410" s="76" t="s">
        <v>1043</v>
      </c>
      <c r="F410" s="79"/>
      <c r="G410" s="75"/>
      <c r="H410" s="75"/>
      <c r="I410" s="75"/>
      <c r="J410" s="75"/>
      <c r="K410" s="75"/>
      <c r="L410" s="75"/>
      <c r="M410" s="75"/>
      <c r="N410" s="75"/>
      <c r="O410" s="75"/>
      <c r="P410" s="75"/>
    </row>
    <row r="411">
      <c r="A411" s="80" t="s">
        <v>1044</v>
      </c>
      <c r="B411" s="77">
        <v>1930.0</v>
      </c>
      <c r="C411" s="77" t="b">
        <v>0</v>
      </c>
      <c r="D411" s="79" t="str">
        <f>IFERROR(__xludf.DUMMYFUNCTION("GOOGLETRANSLATE(A411,""ar"", ""en"")"),"TERAMO Turkish Versalite Face 80*80")</f>
        <v>TERAMO Turkish Versalite Face 80*80</v>
      </c>
      <c r="E411" s="80" t="s">
        <v>1045</v>
      </c>
      <c r="F411" s="79"/>
      <c r="G411" s="75"/>
      <c r="H411" s="75"/>
      <c r="I411" s="75"/>
      <c r="J411" s="75"/>
      <c r="K411" s="75"/>
      <c r="L411" s="75"/>
      <c r="M411" s="75"/>
      <c r="N411" s="75"/>
      <c r="O411" s="75"/>
      <c r="P411" s="75"/>
    </row>
    <row r="412">
      <c r="A412" s="76" t="s">
        <v>1046</v>
      </c>
      <c r="B412" s="77">
        <v>1931.0</v>
      </c>
      <c r="C412" s="77" t="b">
        <v>0</v>
      </c>
      <c r="D412" s="79" t="str">
        <f>IFERROR(__xludf.DUMMYFUNCTION("GOOGLETRANSLATE(A412,""ar"", ""en"")"),"TERAMO Turkish Versalite Face 80 Round")</f>
        <v>TERAMO Turkish Versalite Face 80 Round</v>
      </c>
      <c r="E412" s="76" t="s">
        <v>1047</v>
      </c>
      <c r="F412" s="79"/>
      <c r="G412" s="75"/>
      <c r="H412" s="75"/>
      <c r="I412" s="75"/>
      <c r="J412" s="75"/>
      <c r="K412" s="75"/>
      <c r="L412" s="75"/>
      <c r="M412" s="75"/>
      <c r="N412" s="75"/>
      <c r="O412" s="75"/>
      <c r="P412" s="75"/>
    </row>
    <row r="413">
      <c r="A413" s="80" t="s">
        <v>1048</v>
      </c>
      <c r="B413" s="77">
        <v>1932.0</v>
      </c>
      <c r="C413" s="77" t="b">
        <v>0</v>
      </c>
      <c r="D413" s="79" t="str">
        <f>IFERROR(__xludf.DUMMYFUNCTION("GOOGLETRANSLATE(A413,""ar"", ""en"")"),"TERAMO Turkish Versalite Face 90 Round")</f>
        <v>TERAMO Turkish Versalite Face 90 Round</v>
      </c>
      <c r="E413" s="80" t="s">
        <v>1049</v>
      </c>
      <c r="F413" s="79"/>
      <c r="G413" s="75"/>
      <c r="H413" s="75"/>
      <c r="I413" s="75"/>
      <c r="J413" s="75"/>
      <c r="K413" s="75"/>
      <c r="L413" s="75"/>
      <c r="M413" s="75"/>
      <c r="N413" s="75"/>
      <c r="O413" s="75"/>
      <c r="P413" s="75"/>
    </row>
    <row r="414">
      <c r="A414" s="80" t="s">
        <v>1050</v>
      </c>
      <c r="B414" s="77">
        <v>1943.0</v>
      </c>
      <c r="C414" s="77" t="b">
        <v>0</v>
      </c>
      <c r="D414" s="79" t="str">
        <f>IFERROR(__xludf.DUMMYFUNCTION("GOOGLETRANSLATE(A414,""ar"", ""en"")"),"Arabic")</f>
        <v>Arabic</v>
      </c>
      <c r="E414" s="80" t="s">
        <v>1051</v>
      </c>
      <c r="F414" s="79"/>
      <c r="G414" s="75"/>
      <c r="H414" s="75"/>
      <c r="I414" s="75"/>
      <c r="J414" s="75"/>
      <c r="K414" s="75"/>
      <c r="L414" s="75"/>
      <c r="M414" s="75"/>
      <c r="N414" s="75"/>
      <c r="O414" s="75"/>
      <c r="P414" s="75"/>
    </row>
    <row r="415">
      <c r="A415" s="76" t="s">
        <v>1053</v>
      </c>
      <c r="B415" s="77">
        <v>1952.0</v>
      </c>
      <c r="C415" s="77" t="b">
        <v>0</v>
      </c>
      <c r="D415" s="79" t="str">
        <f>IFERROR(__xludf.DUMMYFUNCTION("GOOGLETRANSLATE(A415,""ar"", ""en"")"),"Manivelle 3m umbrella")</f>
        <v>Manivelle 3m umbrella</v>
      </c>
      <c r="E415" s="76" t="s">
        <v>1054</v>
      </c>
      <c r="F415" s="79"/>
      <c r="G415" s="75"/>
      <c r="H415" s="75"/>
      <c r="I415" s="75"/>
      <c r="J415" s="75"/>
      <c r="K415" s="75"/>
      <c r="L415" s="75"/>
      <c r="M415" s="75"/>
      <c r="N415" s="75"/>
      <c r="O415" s="75"/>
      <c r="P415" s="75"/>
    </row>
    <row r="416">
      <c r="A416" s="76" t="s">
        <v>1056</v>
      </c>
      <c r="B416" s="77">
        <v>1956.0</v>
      </c>
      <c r="C416" s="77" t="b">
        <v>0</v>
      </c>
      <c r="D416" s="79" t="str">
        <f>IFERROR(__xludf.DUMMYFUNCTION("GOOGLETRANSLATE(A416,""ar"", ""en"")"),"350 cm umbrella")</f>
        <v>350 cm umbrella</v>
      </c>
      <c r="E416" s="76" t="s">
        <v>1057</v>
      </c>
      <c r="F416" s="79"/>
      <c r="G416" s="75"/>
      <c r="H416" s="75"/>
      <c r="I416" s="75"/>
      <c r="J416" s="75"/>
      <c r="K416" s="75"/>
      <c r="L416" s="75"/>
      <c r="M416" s="75"/>
      <c r="N416" s="75"/>
      <c r="O416" s="75"/>
      <c r="P416" s="75"/>
    </row>
    <row r="417">
      <c r="A417" s="80" t="s">
        <v>1059</v>
      </c>
      <c r="B417" s="77">
        <v>1957.0</v>
      </c>
      <c r="C417" s="77" t="b">
        <v>0</v>
      </c>
      <c r="D417" s="79" t="str">
        <f>IFERROR(__xludf.DUMMYFUNCTION("GOOGLETRANSLATE(A417,""ar"", ""en"")"),"35 kg marble base")</f>
        <v>35 kg marble base</v>
      </c>
      <c r="E417" s="80" t="s">
        <v>1060</v>
      </c>
      <c r="F417" s="79"/>
      <c r="G417" s="75"/>
      <c r="H417" s="75"/>
      <c r="I417" s="75"/>
      <c r="J417" s="75"/>
      <c r="K417" s="75"/>
      <c r="L417" s="75"/>
      <c r="M417" s="75"/>
      <c r="N417" s="75"/>
      <c r="O417" s="75"/>
      <c r="P417" s="75"/>
    </row>
    <row r="418">
      <c r="A418" s="76" t="s">
        <v>1062</v>
      </c>
      <c r="B418" s="77">
        <v>1958.0</v>
      </c>
      <c r="C418" s="77" t="b">
        <v>0</v>
      </c>
      <c r="D418" s="79" t="str">
        <f>IFERROR(__xludf.DUMMYFUNCTION("GOOGLETRANSLATE(A418,""ar"", ""en"")"),"25 kg stone base")</f>
        <v>25 kg stone base</v>
      </c>
      <c r="E418" s="76" t="s">
        <v>1063</v>
      </c>
      <c r="F418" s="79"/>
      <c r="G418" s="75"/>
      <c r="H418" s="75"/>
      <c r="I418" s="75"/>
      <c r="J418" s="75"/>
      <c r="K418" s="75"/>
      <c r="L418" s="75"/>
      <c r="M418" s="75"/>
      <c r="N418" s="75"/>
      <c r="O418" s="75"/>
      <c r="P418" s="75"/>
    </row>
    <row r="419">
      <c r="A419" s="80" t="s">
        <v>1065</v>
      </c>
      <c r="B419" s="77">
        <v>1959.0</v>
      </c>
      <c r="C419" s="77" t="b">
        <v>0</v>
      </c>
      <c r="D419" s="79" t="str">
        <f>IFERROR(__xludf.DUMMYFUNCTION("GOOGLETRANSLATE(A419,""ar"", ""en"")"),"MARBLE BASE /2021")</f>
        <v>MARBLE BASE /2021</v>
      </c>
      <c r="E419" s="80" t="s">
        <v>1066</v>
      </c>
      <c r="F419" s="79"/>
      <c r="G419" s="75"/>
      <c r="H419" s="75"/>
      <c r="I419" s="75"/>
      <c r="J419" s="75"/>
      <c r="K419" s="75"/>
      <c r="L419" s="75"/>
      <c r="M419" s="75"/>
      <c r="N419" s="75"/>
      <c r="O419" s="75"/>
      <c r="P419" s="75"/>
    </row>
    <row r="420">
      <c r="A420" s="76" t="s">
        <v>1068</v>
      </c>
      <c r="B420" s="77">
        <v>1960.0</v>
      </c>
      <c r="C420" s="77" t="b">
        <v>0</v>
      </c>
      <c r="D420" s="79" t="str">
        <f>IFERROR(__xludf.DUMMYFUNCTION("GOOGLETRANSLATE(A420,""ar"", ""en"")"),"30 kg marble base cabinet")</f>
        <v>30 kg marble base cabinet</v>
      </c>
      <c r="E420" s="76" t="s">
        <v>1069</v>
      </c>
      <c r="F420" s="79"/>
      <c r="G420" s="75"/>
      <c r="H420" s="75"/>
      <c r="I420" s="75"/>
      <c r="J420" s="75"/>
      <c r="K420" s="75"/>
      <c r="L420" s="75"/>
      <c r="M420" s="75"/>
      <c r="N420" s="75"/>
      <c r="O420" s="75"/>
      <c r="P420" s="75"/>
    </row>
    <row r="421">
      <c r="A421" s="80" t="s">
        <v>1071</v>
      </c>
      <c r="B421" s="77">
        <v>1961.0</v>
      </c>
      <c r="C421" s="77" t="b">
        <v>0</v>
      </c>
      <c r="D421" s="79" t="str">
        <f>IFERROR(__xludf.DUMMYFUNCTION("GOOGLETRANSLATE(A421,""ar"", ""en"")"),"50 kg concrete base")</f>
        <v>50 kg concrete base</v>
      </c>
      <c r="E421" s="80" t="s">
        <v>1072</v>
      </c>
      <c r="F421" s="79"/>
      <c r="G421" s="75"/>
      <c r="H421" s="75"/>
      <c r="I421" s="75"/>
      <c r="J421" s="75"/>
      <c r="K421" s="75"/>
      <c r="L421" s="75"/>
      <c r="M421" s="75"/>
      <c r="N421" s="75"/>
      <c r="O421" s="75"/>
      <c r="P421" s="75"/>
    </row>
    <row r="422">
      <c r="A422" s="76" t="s">
        <v>1074</v>
      </c>
      <c r="B422" s="77">
        <v>1962.0</v>
      </c>
      <c r="C422" s="77" t="b">
        <v>0</v>
      </c>
      <c r="D422" s="79" t="str">
        <f>IFERROR(__xludf.DUMMYFUNCTION("GOOGLETRANSLATE(A422,""ar"", ""en"")"),"solar base")</f>
        <v>solar base</v>
      </c>
      <c r="E422" s="76" t="s">
        <v>1075</v>
      </c>
      <c r="F422" s="79"/>
      <c r="G422" s="75"/>
      <c r="H422" s="75"/>
      <c r="I422" s="75"/>
      <c r="J422" s="75"/>
      <c r="K422" s="75"/>
      <c r="L422" s="75"/>
      <c r="M422" s="75"/>
      <c r="N422" s="75"/>
      <c r="O422" s="75"/>
      <c r="P422" s="75"/>
    </row>
    <row r="423">
      <c r="A423" s="80" t="s">
        <v>1077</v>
      </c>
      <c r="B423" s="77">
        <v>1963.0</v>
      </c>
      <c r="C423" s="77" t="b">
        <v>0</v>
      </c>
      <c r="D423" s="79" t="str">
        <f>IFERROR(__xludf.DUMMYFUNCTION("GOOGLETRANSLATE(A423,""ar"", ""en"")"),"Rectangular sun base")</f>
        <v>Rectangular sun base</v>
      </c>
      <c r="E423" s="80" t="s">
        <v>1078</v>
      </c>
      <c r="F423" s="79"/>
      <c r="G423" s="75"/>
      <c r="H423" s="75"/>
      <c r="I423" s="75"/>
      <c r="J423" s="75"/>
      <c r="K423" s="75"/>
      <c r="L423" s="75"/>
      <c r="M423" s="75"/>
      <c r="N423" s="75"/>
      <c r="O423" s="75"/>
      <c r="P423" s="75"/>
    </row>
    <row r="424">
      <c r="A424" s="76" t="s">
        <v>1080</v>
      </c>
      <c r="B424" s="77">
        <v>1964.0</v>
      </c>
      <c r="C424" s="77" t="b">
        <v>0</v>
      </c>
      <c r="D424" s="79" t="str">
        <f>IFERROR(__xludf.DUMMYFUNCTION("GOOGLETRANSLATE(A424,""ar"", ""en"")"),"3m round manifold parasol")</f>
        <v>3m round manifold parasol</v>
      </c>
      <c r="E424" s="76" t="s">
        <v>1081</v>
      </c>
      <c r="F424" s="79"/>
      <c r="G424" s="75"/>
      <c r="H424" s="75"/>
      <c r="I424" s="75"/>
      <c r="J424" s="75"/>
      <c r="K424" s="75"/>
      <c r="L424" s="75"/>
      <c r="M424" s="75"/>
      <c r="N424" s="75"/>
      <c r="O424" s="75"/>
      <c r="P424" s="75"/>
    </row>
    <row r="425">
      <c r="A425" s="80" t="s">
        <v>1083</v>
      </c>
      <c r="B425" s="77">
        <v>1965.0</v>
      </c>
      <c r="C425" s="77" t="b">
        <v>0</v>
      </c>
      <c r="D425" s="79" t="str">
        <f>IFERROR(__xludf.DUMMYFUNCTION("GOOGLETRANSLATE(A425,""ar"", ""en"")"),"3*3 Manivel umbrella")</f>
        <v>3*3 Manivel umbrella</v>
      </c>
      <c r="E425" s="80" t="s">
        <v>1084</v>
      </c>
      <c r="F425" s="79"/>
      <c r="G425" s="75"/>
      <c r="H425" s="75"/>
      <c r="I425" s="75"/>
      <c r="J425" s="75"/>
      <c r="K425" s="75"/>
      <c r="L425" s="75"/>
      <c r="M425" s="75"/>
      <c r="N425" s="75"/>
      <c r="O425" s="75"/>
      <c r="P425" s="75"/>
    </row>
    <row r="426">
      <c r="A426" s="76" t="s">
        <v>1086</v>
      </c>
      <c r="B426" s="77">
        <v>1988.0</v>
      </c>
      <c r="C426" s="77" t="b">
        <v>0</v>
      </c>
      <c r="D426" s="79" t="str">
        <f>IFERROR(__xludf.DUMMYFUNCTION("GOOGLETRANSLATE(A426,""ar"", ""en"")"),"ROMAN 3*3 Elbow Parasol Without Ruffle with Base")</f>
        <v>ROMAN 3*3 Elbow Parasol Without Ruffle with Base</v>
      </c>
      <c r="E426" s="76" t="s">
        <v>1087</v>
      </c>
      <c r="F426" s="79"/>
      <c r="G426" s="75"/>
      <c r="H426" s="75"/>
      <c r="I426" s="75"/>
      <c r="J426" s="75"/>
      <c r="K426" s="75"/>
      <c r="L426" s="75"/>
      <c r="M426" s="75"/>
      <c r="N426" s="75"/>
      <c r="O426" s="75"/>
      <c r="P426" s="75"/>
    </row>
    <row r="427">
      <c r="A427" s="76" t="s">
        <v>1089</v>
      </c>
      <c r="B427" s="77">
        <v>1990.0</v>
      </c>
      <c r="C427" s="77" t="b">
        <v>0</v>
      </c>
      <c r="D427" s="79" t="str">
        <f>IFERROR(__xludf.DUMMYFUNCTION("GOOGLETRANSLATE(A427,""ar"", ""en"")"),"SOLAR UMB")</f>
        <v>SOLAR UMB</v>
      </c>
      <c r="E427" s="76" t="s">
        <v>1090</v>
      </c>
      <c r="F427" s="79"/>
      <c r="G427" s="75"/>
      <c r="H427" s="75"/>
      <c r="I427" s="75"/>
      <c r="J427" s="75"/>
      <c r="K427" s="75"/>
      <c r="L427" s="75"/>
      <c r="M427" s="75"/>
      <c r="N427" s="75"/>
      <c r="O427" s="75"/>
      <c r="P427" s="75"/>
    </row>
    <row r="428">
      <c r="A428" s="76" t="s">
        <v>1092</v>
      </c>
      <c r="B428" s="77">
        <v>1992.0</v>
      </c>
      <c r="C428" s="77" t="b">
        <v>0</v>
      </c>
      <c r="D428" s="79" t="str">
        <f>IFERROR(__xludf.DUMMYFUNCTION("GOOGLETRANSLATE(A428,""ar"", ""en"")"),"Double Head Umbrella 3m")</f>
        <v>Double Head Umbrella 3m</v>
      </c>
      <c r="E428" s="76" t="s">
        <v>1093</v>
      </c>
      <c r="F428" s="79"/>
      <c r="G428" s="75"/>
      <c r="H428" s="75"/>
      <c r="I428" s="75"/>
      <c r="J428" s="75"/>
      <c r="K428" s="75"/>
      <c r="L428" s="75"/>
      <c r="M428" s="75"/>
      <c r="N428" s="75"/>
      <c r="O428" s="75"/>
      <c r="P428" s="75"/>
    </row>
    <row r="429">
      <c r="A429" s="76" t="s">
        <v>1095</v>
      </c>
      <c r="B429" s="77">
        <v>1994.0</v>
      </c>
      <c r="C429" s="77" t="b">
        <v>0</v>
      </c>
      <c r="D429" s="79" t="str">
        <f>IFERROR(__xludf.DUMMYFUNCTION("GOOGLETRANSLATE(A429,""ar"", ""en"")"),"3*3 elbow umbrella with base")</f>
        <v>3*3 elbow umbrella with base</v>
      </c>
      <c r="E429" s="76" t="s">
        <v>1096</v>
      </c>
      <c r="F429" s="79"/>
      <c r="G429" s="75"/>
      <c r="H429" s="75"/>
      <c r="I429" s="75"/>
      <c r="J429" s="75"/>
      <c r="K429" s="75"/>
      <c r="L429" s="75"/>
      <c r="M429" s="75"/>
      <c r="N429" s="75"/>
      <c r="O429" s="75"/>
      <c r="P429" s="75"/>
    </row>
    <row r="430">
      <c r="A430" s="80" t="s">
        <v>1098</v>
      </c>
      <c r="B430" s="77">
        <v>1995.0</v>
      </c>
      <c r="C430" s="77" t="b">
        <v>0</v>
      </c>
      <c r="D430" s="79" t="str">
        <f>IFERROR(__xludf.DUMMYFUNCTION("GOOGLETRANSLATE(A430,""ar"", ""en"")"),"Round stone sun base")</f>
        <v>Round stone sun base</v>
      </c>
      <c r="E430" s="80" t="s">
        <v>1099</v>
      </c>
      <c r="F430" s="79"/>
      <c r="G430" s="75"/>
      <c r="H430" s="75"/>
      <c r="I430" s="75"/>
      <c r="J430" s="75"/>
      <c r="K430" s="75"/>
      <c r="L430" s="75"/>
      <c r="M430" s="75"/>
      <c r="N430" s="75"/>
      <c r="O430" s="75"/>
      <c r="P430" s="75"/>
    </row>
    <row r="431">
      <c r="A431" s="76" t="s">
        <v>1101</v>
      </c>
      <c r="B431" s="77">
        <v>1996.0</v>
      </c>
      <c r="C431" s="77" t="b">
        <v>0</v>
      </c>
      <c r="D431" s="79" t="str">
        <f>IFERROR(__xludf.DUMMYFUNCTION("GOOGLETRANSLATE(A431,""ar"", ""en"")"),"ROMAN solar base")</f>
        <v>ROMAN solar base</v>
      </c>
      <c r="E431" s="76" t="s">
        <v>1102</v>
      </c>
      <c r="F431" s="79"/>
      <c r="G431" s="75"/>
      <c r="H431" s="75"/>
      <c r="I431" s="75"/>
      <c r="J431" s="75"/>
      <c r="K431" s="75"/>
      <c r="L431" s="75"/>
      <c r="M431" s="75"/>
      <c r="N431" s="75"/>
      <c r="O431" s="75"/>
      <c r="P431" s="75"/>
    </row>
    <row r="432">
      <c r="A432" s="80" t="s">
        <v>1104</v>
      </c>
      <c r="B432" s="77">
        <v>1997.0</v>
      </c>
      <c r="C432" s="77" t="b">
        <v>0</v>
      </c>
      <c r="D432" s="79" t="str">
        <f>IFERROR(__xludf.DUMMYFUNCTION("GOOGLETRANSLATE(A432,""ar"", ""en"")"),"270 cm Manivelle parasol")</f>
        <v>270 cm Manivelle parasol</v>
      </c>
      <c r="E432" s="80" t="s">
        <v>1105</v>
      </c>
      <c r="F432" s="79"/>
      <c r="G432" s="75"/>
      <c r="H432" s="75"/>
      <c r="I432" s="75"/>
      <c r="J432" s="75"/>
      <c r="K432" s="75"/>
      <c r="L432" s="75"/>
      <c r="M432" s="75"/>
      <c r="N432" s="75"/>
      <c r="O432" s="75"/>
      <c r="P432" s="75"/>
    </row>
    <row r="433">
      <c r="A433" s="76" t="s">
        <v>1107</v>
      </c>
      <c r="B433" s="77">
        <v>1998.0</v>
      </c>
      <c r="C433" s="77" t="b">
        <v>0</v>
      </c>
      <c r="D433" s="79" t="str">
        <f>IFERROR(__xludf.DUMMYFUNCTION("GOOGLETRANSLATE(A433,""ar"", ""en"")"),"270 cm umbrella with base")</f>
        <v>270 cm umbrella with base</v>
      </c>
      <c r="E433" s="76" t="s">
        <v>1108</v>
      </c>
      <c r="F433" s="79"/>
      <c r="G433" s="75"/>
      <c r="H433" s="75"/>
      <c r="I433" s="75"/>
      <c r="J433" s="75"/>
      <c r="K433" s="75"/>
      <c r="L433" s="75"/>
      <c r="M433" s="75"/>
      <c r="N433" s="75"/>
      <c r="O433" s="75"/>
      <c r="P433" s="75"/>
    </row>
    <row r="434">
      <c r="A434" s="80" t="s">
        <v>1110</v>
      </c>
      <c r="B434" s="77">
        <v>1999.0</v>
      </c>
      <c r="C434" s="77" t="b">
        <v>0</v>
      </c>
      <c r="D434" s="79" t="str">
        <f>IFERROR(__xludf.DUMMYFUNCTION("GOOGLETRANSLATE(A434,""ar"", ""en"")"),"KAKI-BANANA 3m Round Elbow Parasol with Base")</f>
        <v>KAKI-BANANA 3m Round Elbow Parasol with Base</v>
      </c>
      <c r="E434" s="80" t="s">
        <v>1111</v>
      </c>
      <c r="F434" s="79"/>
      <c r="G434" s="75"/>
      <c r="H434" s="75"/>
      <c r="I434" s="75"/>
      <c r="J434" s="75"/>
      <c r="K434" s="75"/>
      <c r="L434" s="75"/>
      <c r="M434" s="75"/>
      <c r="N434" s="75"/>
      <c r="O434" s="75"/>
      <c r="P434" s="75"/>
    </row>
    <row r="435">
      <c r="A435" s="76" t="s">
        <v>1113</v>
      </c>
      <c r="B435" s="77">
        <v>2000.0</v>
      </c>
      <c r="C435" s="77" t="b">
        <v>0</v>
      </c>
      <c r="D435" s="79" t="str">
        <f>IFERROR(__xludf.DUMMYFUNCTION("GOOGLETRANSLATE(A435,""ar"", ""en"")"),"BEIGE-BANANA 3m Round Elbow Parasol with Base")</f>
        <v>BEIGE-BANANA 3m Round Elbow Parasol with Base</v>
      </c>
      <c r="E435" s="76" t="s">
        <v>1114</v>
      </c>
      <c r="F435" s="79"/>
      <c r="G435" s="75"/>
      <c r="H435" s="75"/>
      <c r="I435" s="75"/>
      <c r="J435" s="75"/>
      <c r="K435" s="75"/>
      <c r="L435" s="75"/>
      <c r="M435" s="75"/>
      <c r="N435" s="75"/>
      <c r="O435" s="75"/>
      <c r="P435" s="75"/>
    </row>
    <row r="436">
      <c r="A436" s="76" t="s">
        <v>1116</v>
      </c>
      <c r="B436" s="77">
        <v>2002.0</v>
      </c>
      <c r="C436" s="77" t="b">
        <v>0</v>
      </c>
      <c r="D436" s="79" t="str">
        <f>IFERROR(__xludf.DUMMYFUNCTION("GOOGLETRANSLATE(A436,""ar"", ""en"")"),"GREY-BANANA 3m Round Elbow Umbrella with Base")</f>
        <v>GREY-BANANA 3m Round Elbow Umbrella with Base</v>
      </c>
      <c r="E436" s="76" t="s">
        <v>1117</v>
      </c>
      <c r="F436" s="79"/>
      <c r="G436" s="75"/>
      <c r="H436" s="75"/>
      <c r="I436" s="75"/>
      <c r="J436" s="75"/>
      <c r="K436" s="75"/>
      <c r="L436" s="75"/>
      <c r="M436" s="75"/>
      <c r="N436" s="75"/>
      <c r="O436" s="75"/>
      <c r="P436" s="75"/>
    </row>
    <row r="437">
      <c r="A437" s="76" t="s">
        <v>1119</v>
      </c>
      <c r="B437" s="77">
        <v>2008.0</v>
      </c>
      <c r="C437" s="77" t="b">
        <v>0</v>
      </c>
      <c r="D437" s="79" t="str">
        <f>IFERROR(__xludf.DUMMYFUNCTION("GOOGLETRANSLATE(A437,""ar"", ""en"")"),"270 cm wooden parasol")</f>
        <v>270 cm wooden parasol</v>
      </c>
      <c r="E437" s="76" t="s">
        <v>1120</v>
      </c>
      <c r="F437" s="79"/>
      <c r="G437" s="75"/>
      <c r="H437" s="75"/>
      <c r="I437" s="75"/>
      <c r="J437" s="75"/>
      <c r="K437" s="75"/>
      <c r="L437" s="75"/>
      <c r="M437" s="75"/>
      <c r="N437" s="75"/>
      <c r="O437" s="75"/>
      <c r="P437" s="75"/>
    </row>
    <row r="438">
      <c r="A438" s="80" t="s">
        <v>1122</v>
      </c>
      <c r="B438" s="77">
        <v>2009.0</v>
      </c>
      <c r="C438" s="77" t="b">
        <v>0</v>
      </c>
      <c r="D438" s="79" t="str">
        <f>IFERROR(__xludf.DUMMYFUNCTION("GOOGLETRANSLATE(A438,""ar"", ""en"")"),"EXTRA 270 cm umbrella with a manifold pole")</f>
        <v>EXTRA 270 cm umbrella with a manifold pole</v>
      </c>
      <c r="E438" s="80" t="s">
        <v>1123</v>
      </c>
      <c r="F438" s="79"/>
      <c r="G438" s="75"/>
      <c r="H438" s="75"/>
      <c r="I438" s="75"/>
      <c r="J438" s="75"/>
      <c r="K438" s="75"/>
      <c r="L438" s="75"/>
      <c r="M438" s="75"/>
      <c r="N438" s="75"/>
      <c r="O438" s="75"/>
      <c r="P438" s="75"/>
    </row>
    <row r="439">
      <c r="A439" s="76" t="s">
        <v>1125</v>
      </c>
      <c r="B439" s="77">
        <v>2010.0</v>
      </c>
      <c r="C439" s="77" t="b">
        <v>0</v>
      </c>
      <c r="D439" s="79" t="str">
        <f>IFERROR(__xludf.DUMMYFUNCTION("GOOGLETRANSLATE(A439,""ar"", ""en"")"),"2*2 heavy duty aluminum umbrella, gray")</f>
        <v>2*2 heavy duty aluminum umbrella, gray</v>
      </c>
      <c r="E439" s="76" t="s">
        <v>1126</v>
      </c>
      <c r="F439" s="79"/>
      <c r="G439" s="75"/>
      <c r="H439" s="75"/>
      <c r="I439" s="75"/>
      <c r="J439" s="75"/>
      <c r="K439" s="75"/>
      <c r="L439" s="75"/>
      <c r="M439" s="75"/>
      <c r="N439" s="75"/>
      <c r="O439" s="75"/>
      <c r="P439" s="75"/>
    </row>
    <row r="440">
      <c r="A440" s="80" t="s">
        <v>1128</v>
      </c>
      <c r="B440" s="77">
        <v>2011.0</v>
      </c>
      <c r="C440" s="77" t="b">
        <v>0</v>
      </c>
      <c r="D440" s="79" t="str">
        <f>IFERROR(__xludf.DUMMYFUNCTION("GOOGLETRANSLATE(A440,""ar"", ""en"")"),"3m round heavy duty aluminum umbrella grey")</f>
        <v>3m round heavy duty aluminum umbrella grey</v>
      </c>
      <c r="E440" s="80" t="s">
        <v>1129</v>
      </c>
      <c r="F440" s="79"/>
      <c r="G440" s="75"/>
      <c r="H440" s="75"/>
      <c r="I440" s="75"/>
      <c r="J440" s="75"/>
      <c r="K440" s="75"/>
      <c r="L440" s="75"/>
      <c r="M440" s="75"/>
      <c r="N440" s="75"/>
      <c r="O440" s="75"/>
      <c r="P440" s="75"/>
    </row>
    <row r="441">
      <c r="A441" s="76" t="s">
        <v>1131</v>
      </c>
      <c r="B441" s="77">
        <v>2012.0</v>
      </c>
      <c r="C441" s="77" t="b">
        <v>0</v>
      </c>
      <c r="D441" s="79" t="str">
        <f>IFERROR(__xludf.DUMMYFUNCTION("GOOGLETRANSLATE(A441,""ar"", ""en"")"),"Half circle bag")</f>
        <v>Half circle bag</v>
      </c>
      <c r="E441" s="76" t="s">
        <v>1132</v>
      </c>
      <c r="F441" s="79"/>
      <c r="G441" s="75"/>
      <c r="H441" s="75"/>
      <c r="I441" s="75"/>
      <c r="J441" s="75"/>
      <c r="K441" s="75"/>
      <c r="L441" s="75"/>
      <c r="M441" s="75"/>
      <c r="N441" s="75"/>
      <c r="O441" s="75"/>
      <c r="P441" s="75"/>
    </row>
    <row r="442">
      <c r="A442" s="80" t="s">
        <v>1134</v>
      </c>
      <c r="B442" s="77">
        <v>2013.0</v>
      </c>
      <c r="C442" s="77" t="b">
        <v>0</v>
      </c>
      <c r="D442" s="79" t="str">
        <f>IFERROR(__xludf.DUMMYFUNCTION("GOOGLETRANSLATE(A442,""ar"", ""en"")"),"Futai sea cloth")</f>
        <v>Futai sea cloth</v>
      </c>
      <c r="E442" s="80" t="s">
        <v>1135</v>
      </c>
      <c r="F442" s="79"/>
      <c r="G442" s="75"/>
      <c r="H442" s="75"/>
      <c r="I442" s="75"/>
      <c r="J442" s="75"/>
      <c r="K442" s="75"/>
      <c r="L442" s="75"/>
      <c r="M442" s="75"/>
      <c r="N442" s="75"/>
      <c r="O442" s="75"/>
      <c r="P442" s="75"/>
    </row>
    <row r="443">
      <c r="A443" s="76" t="s">
        <v>1137</v>
      </c>
      <c r="B443" s="77">
        <v>2014.0</v>
      </c>
      <c r="C443" s="77" t="b">
        <v>0</v>
      </c>
      <c r="D443" s="79" t="str">
        <f>IFERROR(__xludf.DUMMYFUNCTION("GOOGLETRANSLATE(A443,""ar"", ""en"")"),"WTR PRF Futai Bahr")</f>
        <v>WTR PRF Futai Bahr</v>
      </c>
      <c r="E443" s="76" t="s">
        <v>1138</v>
      </c>
      <c r="F443" s="79"/>
      <c r="G443" s="75"/>
      <c r="H443" s="75"/>
      <c r="I443" s="75"/>
      <c r="J443" s="75"/>
      <c r="K443" s="75"/>
      <c r="L443" s="75"/>
      <c r="M443" s="75"/>
      <c r="N443" s="75"/>
      <c r="O443" s="75"/>
      <c r="P443" s="75"/>
    </row>
    <row r="444">
      <c r="A444" s="80" t="s">
        <v>1140</v>
      </c>
      <c r="B444" s="77">
        <v>2015.0</v>
      </c>
      <c r="C444" s="77" t="b">
        <v>0</v>
      </c>
      <c r="D444" s="79" t="str">
        <f>IFERROR(__xludf.DUMMYFUNCTION("GOOGLETRANSLATE(A444,""ar"", ""en"")"),"Beach chaise longue bag")</f>
        <v>Beach chaise longue bag</v>
      </c>
      <c r="E444" s="80" t="s">
        <v>1141</v>
      </c>
      <c r="F444" s="79"/>
      <c r="G444" s="75"/>
      <c r="H444" s="75"/>
      <c r="I444" s="75"/>
      <c r="J444" s="75"/>
      <c r="K444" s="75"/>
      <c r="L444" s="75"/>
      <c r="M444" s="75"/>
      <c r="N444" s="75"/>
      <c r="O444" s="75"/>
      <c r="P444" s="75"/>
    </row>
    <row r="445">
      <c r="A445" s="76" t="s">
        <v>1143</v>
      </c>
      <c r="B445" s="77">
        <v>2016.0</v>
      </c>
      <c r="C445" s="77" t="b">
        <v>0</v>
      </c>
      <c r="D445" s="79" t="str">
        <f>IFERROR(__xludf.DUMMYFUNCTION("GOOGLETRANSLATE(A445,""ar"", ""en"")"),"Triangular bag")</f>
        <v>Triangular bag</v>
      </c>
      <c r="E445" s="76" t="s">
        <v>1144</v>
      </c>
      <c r="F445" s="79"/>
      <c r="G445" s="75"/>
      <c r="H445" s="75"/>
      <c r="I445" s="75"/>
      <c r="J445" s="75"/>
      <c r="K445" s="75"/>
      <c r="L445" s="75"/>
      <c r="M445" s="75"/>
      <c r="N445" s="75"/>
      <c r="O445" s="75"/>
      <c r="P445" s="75"/>
    </row>
    <row r="446">
      <c r="A446" s="80" t="s">
        <v>1146</v>
      </c>
      <c r="B446" s="77">
        <v>2017.0</v>
      </c>
      <c r="C446" s="77" t="b">
        <v>0</v>
      </c>
      <c r="D446" s="79" t="str">
        <f>IFERROR(__xludf.DUMMYFUNCTION("GOOGLETRANSLATE(A446,""ar"", ""en"")"),"balloon bubble")</f>
        <v>balloon bubble</v>
      </c>
      <c r="E446" s="80" t="s">
        <v>1147</v>
      </c>
      <c r="F446" s="79"/>
      <c r="G446" s="75"/>
      <c r="H446" s="75"/>
      <c r="I446" s="75"/>
      <c r="J446" s="75"/>
      <c r="K446" s="75"/>
      <c r="L446" s="75"/>
      <c r="M446" s="75"/>
      <c r="N446" s="75"/>
      <c r="O446" s="75"/>
      <c r="P446" s="75"/>
    </row>
    <row r="447">
      <c r="A447" s="80" t="s">
        <v>1149</v>
      </c>
      <c r="B447" s="77">
        <v>2021.0</v>
      </c>
      <c r="C447" s="77" t="b">
        <v>0</v>
      </c>
      <c r="D447" s="79" t="str">
        <f>IFERROR(__xludf.DUMMYFUNCTION("GOOGLETRANSLATE(A447,""ar"", ""en"")"),"GAMING CHAIR")</f>
        <v>GAMING CHAIR</v>
      </c>
      <c r="E447" s="80" t="s">
        <v>1150</v>
      </c>
      <c r="F447" s="79"/>
      <c r="G447" s="75"/>
      <c r="H447" s="75"/>
      <c r="I447" s="75"/>
      <c r="J447" s="75"/>
      <c r="K447" s="75"/>
      <c r="L447" s="75"/>
      <c r="M447" s="75"/>
      <c r="N447" s="75"/>
      <c r="O447" s="75"/>
      <c r="P447" s="75"/>
    </row>
    <row r="448">
      <c r="A448" s="76" t="s">
        <v>1153</v>
      </c>
      <c r="B448" s="77">
        <v>2028.0</v>
      </c>
      <c r="C448" s="77" t="b">
        <v>0</v>
      </c>
      <c r="D448" s="79" t="str">
        <f>IFERROR(__xludf.DUMMYFUNCTION("GOOGLETRANSLATE(A448,""ar"", ""en"")"),"Colorful Starbucks Chair")</f>
        <v>Colorful Starbucks Chair</v>
      </c>
      <c r="E448" s="76" t="s">
        <v>1154</v>
      </c>
      <c r="F448" s="79"/>
      <c r="G448" s="75"/>
      <c r="H448" s="75"/>
      <c r="I448" s="75"/>
      <c r="J448" s="75"/>
      <c r="K448" s="75"/>
      <c r="L448" s="75"/>
      <c r="M448" s="75"/>
      <c r="N448" s="75"/>
      <c r="O448" s="75"/>
      <c r="P448" s="75"/>
    </row>
    <row r="449">
      <c r="A449" s="80" t="s">
        <v>1156</v>
      </c>
      <c r="B449" s="77">
        <v>2029.0</v>
      </c>
      <c r="C449" s="77" t="b">
        <v>0</v>
      </c>
      <c r="D449" s="79" t="str">
        <f>IFERROR(__xludf.DUMMYFUNCTION("GOOGLETRANSLATE(A449,""ar"", ""en"")"),"MIX resin chair")</f>
        <v>MIX resin chair</v>
      </c>
      <c r="E449" s="80" t="s">
        <v>1157</v>
      </c>
      <c r="F449" s="79"/>
      <c r="G449" s="75"/>
      <c r="H449" s="75"/>
      <c r="I449" s="75"/>
      <c r="J449" s="75"/>
      <c r="K449" s="75"/>
      <c r="L449" s="75"/>
      <c r="M449" s="75"/>
      <c r="N449" s="75"/>
      <c r="O449" s="75"/>
      <c r="P449" s="75"/>
    </row>
    <row r="450">
      <c r="A450" s="80" t="s">
        <v>1159</v>
      </c>
      <c r="B450" s="77">
        <v>2030.0</v>
      </c>
      <c r="C450" s="77" t="b">
        <v>0</v>
      </c>
      <c r="D450" s="79" t="str">
        <f>IFERROR(__xludf.DUMMYFUNCTION("GOOGLETRANSLATE(A450,""ar"", ""en"")"),"LILI Plastic Striped Chair")</f>
        <v>LILI Plastic Striped Chair</v>
      </c>
      <c r="E450" s="80" t="s">
        <v>1160</v>
      </c>
      <c r="F450" s="81" t="s">
        <v>1161</v>
      </c>
      <c r="G450" s="75"/>
      <c r="H450" s="75"/>
      <c r="I450" s="75"/>
      <c r="J450" s="75"/>
      <c r="K450" s="75"/>
      <c r="L450" s="75"/>
      <c r="M450" s="75"/>
      <c r="N450" s="75"/>
      <c r="O450" s="75"/>
      <c r="P450" s="75"/>
    </row>
    <row r="451">
      <c r="A451" s="76" t="s">
        <v>1159</v>
      </c>
      <c r="B451" s="77">
        <v>2031.0</v>
      </c>
      <c r="C451" s="77" t="b">
        <v>0</v>
      </c>
      <c r="D451" s="79" t="str">
        <f>IFERROR(__xludf.DUMMYFUNCTION("GOOGLETRANSLATE(A451,""ar"", ""en"")"),"LILI Plastic Striped Chair")</f>
        <v>LILI Plastic Striped Chair</v>
      </c>
      <c r="E451" s="76" t="s">
        <v>1163</v>
      </c>
      <c r="F451" s="79"/>
      <c r="G451" s="75"/>
      <c r="H451" s="75"/>
      <c r="I451" s="75"/>
      <c r="J451" s="75"/>
      <c r="K451" s="75"/>
      <c r="L451" s="75"/>
      <c r="M451" s="75"/>
      <c r="N451" s="75"/>
      <c r="O451" s="75"/>
      <c r="P451" s="75"/>
    </row>
    <row r="452">
      <c r="A452" s="80" t="s">
        <v>1159</v>
      </c>
      <c r="B452" s="77">
        <v>2032.0</v>
      </c>
      <c r="C452" s="77" t="b">
        <v>0</v>
      </c>
      <c r="D452" s="79" t="str">
        <f>IFERROR(__xludf.DUMMYFUNCTION("GOOGLETRANSLATE(A452,""ar"", ""en"")"),"LILI Plastic Striped Chair")</f>
        <v>LILI Plastic Striped Chair</v>
      </c>
      <c r="E452" s="80" t="s">
        <v>1164</v>
      </c>
      <c r="F452" s="79"/>
      <c r="G452" s="75"/>
      <c r="H452" s="75"/>
      <c r="I452" s="75"/>
      <c r="J452" s="75"/>
      <c r="K452" s="75"/>
      <c r="L452" s="75"/>
      <c r="M452" s="75"/>
      <c r="N452" s="75"/>
      <c r="O452" s="75"/>
      <c r="P452" s="75"/>
    </row>
    <row r="453">
      <c r="A453" s="76" t="s">
        <v>1159</v>
      </c>
      <c r="B453" s="77">
        <v>2033.0</v>
      </c>
      <c r="C453" s="77" t="b">
        <v>0</v>
      </c>
      <c r="D453" s="79" t="str">
        <f>IFERROR(__xludf.DUMMYFUNCTION("GOOGLETRANSLATE(A453,""ar"", ""en"")"),"LILI Plastic Striped Chair")</f>
        <v>LILI Plastic Striped Chair</v>
      </c>
      <c r="E453" s="76" t="s">
        <v>1165</v>
      </c>
      <c r="F453" s="79"/>
      <c r="G453" s="75"/>
      <c r="H453" s="75"/>
      <c r="I453" s="75"/>
      <c r="J453" s="75"/>
      <c r="K453" s="75"/>
      <c r="L453" s="75"/>
      <c r="M453" s="75"/>
      <c r="N453" s="75"/>
      <c r="O453" s="75"/>
      <c r="P453" s="75"/>
    </row>
    <row r="454">
      <c r="A454" s="80" t="s">
        <v>1159</v>
      </c>
      <c r="B454" s="77">
        <v>2034.0</v>
      </c>
      <c r="C454" s="77" t="b">
        <v>0</v>
      </c>
      <c r="D454" s="79" t="str">
        <f>IFERROR(__xludf.DUMMYFUNCTION("GOOGLETRANSLATE(A454,""ar"", ""en"")"),"LILI Plastic Striped Chair")</f>
        <v>LILI Plastic Striped Chair</v>
      </c>
      <c r="E454" s="80" t="s">
        <v>1166</v>
      </c>
      <c r="F454" s="79"/>
      <c r="G454" s="75"/>
      <c r="H454" s="75"/>
      <c r="I454" s="75"/>
      <c r="J454" s="75"/>
      <c r="K454" s="75"/>
      <c r="L454" s="75"/>
      <c r="M454" s="75"/>
      <c r="N454" s="75"/>
      <c r="O454" s="75"/>
      <c r="P454" s="75"/>
    </row>
    <row r="455">
      <c r="A455" s="80" t="s">
        <v>1167</v>
      </c>
      <c r="B455" s="77">
        <v>2043.0</v>
      </c>
      <c r="C455" s="77" t="b">
        <v>0</v>
      </c>
      <c r="D455" s="79" t="str">
        <f>IFERROR(__xludf.DUMMYFUNCTION("GOOGLETRANSLATE(A455,""ar"", ""en"")"),"Kwan Chair")</f>
        <v>Kwan Chair</v>
      </c>
      <c r="E455" s="80" t="s">
        <v>1168</v>
      </c>
      <c r="F455" s="79"/>
      <c r="G455" s="75"/>
      <c r="H455" s="75"/>
      <c r="I455" s="75"/>
      <c r="J455" s="75"/>
      <c r="K455" s="75"/>
      <c r="L455" s="75"/>
      <c r="M455" s="75"/>
      <c r="N455" s="75"/>
      <c r="O455" s="75"/>
      <c r="P455" s="75"/>
    </row>
    <row r="456">
      <c r="A456" s="76" t="s">
        <v>1171</v>
      </c>
      <c r="B456" s="77">
        <v>2044.0</v>
      </c>
      <c r="C456" s="77" t="b">
        <v>0</v>
      </c>
      <c r="D456" s="79" t="str">
        <f>IFERROR(__xludf.DUMMYFUNCTION("GOOGLETRANSLATE(A456,""ar"", ""en"")"),"Iron chair with fabric")</f>
        <v>Iron chair with fabric</v>
      </c>
      <c r="E456" s="76" t="s">
        <v>1172</v>
      </c>
      <c r="F456" s="79"/>
      <c r="G456" s="75"/>
      <c r="H456" s="75"/>
      <c r="I456" s="75"/>
      <c r="J456" s="75"/>
      <c r="K456" s="75"/>
      <c r="L456" s="75"/>
      <c r="M456" s="75"/>
      <c r="N456" s="75"/>
      <c r="O456" s="75"/>
      <c r="P456" s="75"/>
    </row>
    <row r="457">
      <c r="A457" s="80" t="s">
        <v>1174</v>
      </c>
      <c r="B457" s="77">
        <v>2045.0</v>
      </c>
      <c r="C457" s="77" t="b">
        <v>0</v>
      </c>
      <c r="D457" s="79" t="str">
        <f>IFERROR(__xludf.DUMMYFUNCTION("GOOGLETRANSLATE(A457,""ar"", ""en"")"),"LILI plastic mesh chair")</f>
        <v>LILI plastic mesh chair</v>
      </c>
      <c r="E457" s="80" t="s">
        <v>1175</v>
      </c>
      <c r="F457" s="81" t="s">
        <v>1176</v>
      </c>
      <c r="G457" s="75"/>
      <c r="H457" s="75"/>
      <c r="I457" s="75"/>
      <c r="J457" s="75"/>
      <c r="K457" s="75"/>
      <c r="L457" s="75"/>
      <c r="M457" s="75"/>
      <c r="N457" s="75"/>
      <c r="O457" s="75"/>
      <c r="P457" s="75"/>
    </row>
    <row r="458">
      <c r="A458" s="76" t="s">
        <v>1174</v>
      </c>
      <c r="B458" s="77">
        <v>2046.0</v>
      </c>
      <c r="C458" s="77" t="b">
        <v>0</v>
      </c>
      <c r="D458" s="79" t="str">
        <f>IFERROR(__xludf.DUMMYFUNCTION("GOOGLETRANSLATE(A458,""ar"", ""en"")"),"LILI plastic mesh chair")</f>
        <v>LILI plastic mesh chair</v>
      </c>
      <c r="E458" s="76" t="s">
        <v>1178</v>
      </c>
      <c r="F458" s="79"/>
      <c r="G458" s="75"/>
      <c r="H458" s="75"/>
      <c r="I458" s="75"/>
      <c r="J458" s="75"/>
      <c r="K458" s="75"/>
      <c r="L458" s="75"/>
      <c r="M458" s="75"/>
      <c r="N458" s="75"/>
      <c r="O458" s="75"/>
      <c r="P458" s="75"/>
    </row>
    <row r="459">
      <c r="A459" s="80" t="s">
        <v>1174</v>
      </c>
      <c r="B459" s="77">
        <v>2047.0</v>
      </c>
      <c r="C459" s="77" t="b">
        <v>0</v>
      </c>
      <c r="D459" s="79" t="str">
        <f>IFERROR(__xludf.DUMMYFUNCTION("GOOGLETRANSLATE(A459,""ar"", ""en"")"),"LILI plastic mesh chair")</f>
        <v>LILI plastic mesh chair</v>
      </c>
      <c r="E459" s="80" t="s">
        <v>1179</v>
      </c>
      <c r="F459" s="79"/>
      <c r="G459" s="75"/>
      <c r="H459" s="75"/>
      <c r="I459" s="75"/>
      <c r="J459" s="75"/>
      <c r="K459" s="75"/>
      <c r="L459" s="75"/>
      <c r="M459" s="75"/>
      <c r="N459" s="75"/>
      <c r="O459" s="75"/>
      <c r="P459" s="75"/>
    </row>
    <row r="460">
      <c r="A460" s="76" t="s">
        <v>1174</v>
      </c>
      <c r="B460" s="77">
        <v>2048.0</v>
      </c>
      <c r="C460" s="77" t="b">
        <v>0</v>
      </c>
      <c r="D460" s="79" t="str">
        <f>IFERROR(__xludf.DUMMYFUNCTION("GOOGLETRANSLATE(A460,""ar"", ""en"")"),"LILI plastic mesh chair")</f>
        <v>LILI plastic mesh chair</v>
      </c>
      <c r="E460" s="76" t="s">
        <v>1180</v>
      </c>
      <c r="F460" s="79"/>
      <c r="G460" s="75"/>
      <c r="H460" s="75"/>
      <c r="I460" s="75"/>
      <c r="J460" s="75"/>
      <c r="K460" s="75"/>
      <c r="L460" s="75"/>
      <c r="M460" s="75"/>
      <c r="N460" s="75"/>
      <c r="O460" s="75"/>
      <c r="P460" s="75"/>
    </row>
    <row r="461">
      <c r="A461" s="80" t="s">
        <v>1174</v>
      </c>
      <c r="B461" s="77">
        <v>2049.0</v>
      </c>
      <c r="C461" s="77" t="b">
        <v>0</v>
      </c>
      <c r="D461" s="79" t="str">
        <f>IFERROR(__xludf.DUMMYFUNCTION("GOOGLETRANSLATE(A461,""ar"", ""en"")"),"LILI plastic mesh chair")</f>
        <v>LILI plastic mesh chair</v>
      </c>
      <c r="E461" s="80" t="s">
        <v>1181</v>
      </c>
      <c r="F461" s="79"/>
      <c r="G461" s="75"/>
      <c r="H461" s="75"/>
      <c r="I461" s="75"/>
      <c r="J461" s="75"/>
      <c r="K461" s="75"/>
      <c r="L461" s="75"/>
      <c r="M461" s="75"/>
      <c r="N461" s="75"/>
      <c r="O461" s="75"/>
      <c r="P461" s="75"/>
    </row>
    <row r="462">
      <c r="A462" s="76" t="s">
        <v>1174</v>
      </c>
      <c r="B462" s="77">
        <v>2050.0</v>
      </c>
      <c r="C462" s="77" t="b">
        <v>0</v>
      </c>
      <c r="D462" s="79" t="str">
        <f>IFERROR(__xludf.DUMMYFUNCTION("GOOGLETRANSLATE(A462,""ar"", ""en"")"),"LILI plastic mesh chair")</f>
        <v>LILI plastic mesh chair</v>
      </c>
      <c r="E462" s="76" t="s">
        <v>1182</v>
      </c>
      <c r="F462" s="79"/>
      <c r="G462" s="75"/>
      <c r="H462" s="75"/>
      <c r="I462" s="75"/>
      <c r="J462" s="75"/>
      <c r="K462" s="75"/>
      <c r="L462" s="75"/>
      <c r="M462" s="75"/>
      <c r="N462" s="75"/>
      <c r="O462" s="75"/>
      <c r="P462" s="75"/>
    </row>
    <row r="463">
      <c r="A463" s="80" t="s">
        <v>1183</v>
      </c>
      <c r="B463" s="77">
        <v>2051.0</v>
      </c>
      <c r="C463" s="77" t="b">
        <v>0</v>
      </c>
      <c r="D463" s="79" t="str">
        <f>IFERROR(__xludf.DUMMYFUNCTION("GOOGLETRANSLATE(A463,""ar"", ""en"")"),"GREY office chair")</f>
        <v>GREY office chair</v>
      </c>
      <c r="E463" s="80" t="s">
        <v>1184</v>
      </c>
      <c r="F463" s="79"/>
      <c r="G463" s="75"/>
      <c r="H463" s="75"/>
      <c r="I463" s="75"/>
      <c r="J463" s="75"/>
      <c r="K463" s="75"/>
      <c r="L463" s="75"/>
      <c r="M463" s="75"/>
      <c r="N463" s="75"/>
      <c r="O463" s="75"/>
      <c r="P463" s="75"/>
    </row>
    <row r="464">
      <c r="A464" s="80" t="s">
        <v>1186</v>
      </c>
      <c r="B464" s="77">
        <v>2052.0</v>
      </c>
      <c r="C464" s="77" t="b">
        <v>0</v>
      </c>
      <c r="D464" s="79" t="str">
        <f>IFERROR(__xludf.DUMMYFUNCTION("GOOGLETRANSLATE(A464,""ar"", ""en"")"),"office chair")</f>
        <v>office chair</v>
      </c>
      <c r="E464" s="80" t="s">
        <v>1187</v>
      </c>
      <c r="F464" s="79"/>
      <c r="G464" s="75"/>
      <c r="H464" s="75"/>
      <c r="I464" s="75"/>
      <c r="J464" s="75"/>
      <c r="K464" s="75"/>
      <c r="L464" s="75"/>
      <c r="M464" s="75"/>
      <c r="N464" s="75"/>
      <c r="O464" s="75"/>
      <c r="P464" s="75"/>
    </row>
    <row r="465">
      <c r="A465" s="76" t="s">
        <v>1186</v>
      </c>
      <c r="B465" s="77">
        <v>2055.0</v>
      </c>
      <c r="C465" s="77" t="b">
        <v>0</v>
      </c>
      <c r="D465" s="79" t="str">
        <f>IFERROR(__xludf.DUMMYFUNCTION("GOOGLETRANSLATE(A465,""ar"", ""en"")"),"office chair")</f>
        <v>office chair</v>
      </c>
      <c r="E465" s="76" t="s">
        <v>1189</v>
      </c>
      <c r="F465" s="79"/>
      <c r="G465" s="75"/>
      <c r="H465" s="75"/>
      <c r="I465" s="75"/>
      <c r="J465" s="75"/>
      <c r="K465" s="75"/>
      <c r="L465" s="75"/>
      <c r="M465" s="75"/>
      <c r="N465" s="75"/>
      <c r="O465" s="75"/>
      <c r="P465" s="75"/>
    </row>
    <row r="466">
      <c r="A466" s="80" t="s">
        <v>1190</v>
      </c>
      <c r="B466" s="77">
        <v>2061.0</v>
      </c>
      <c r="C466" s="77" t="b">
        <v>0</v>
      </c>
      <c r="D466" s="79" t="str">
        <f>IFERROR(__xludf.DUMMYFUNCTION("GOOGLETRANSLATE(A466,""ar"", ""en"")"),"aluminum chair")</f>
        <v>aluminum chair</v>
      </c>
      <c r="E466" s="80" t="s">
        <v>1191</v>
      </c>
      <c r="F466" s="79"/>
      <c r="G466" s="75"/>
      <c r="H466" s="75"/>
      <c r="I466" s="75"/>
      <c r="J466" s="75"/>
      <c r="K466" s="75"/>
      <c r="L466" s="75"/>
      <c r="M466" s="75"/>
      <c r="N466" s="75"/>
      <c r="O466" s="75"/>
      <c r="P466" s="75"/>
    </row>
    <row r="467">
      <c r="A467" s="76" t="s">
        <v>1193</v>
      </c>
      <c r="B467" s="77">
        <v>2062.0</v>
      </c>
      <c r="C467" s="77" t="b">
        <v>0</v>
      </c>
      <c r="D467" s="79" t="str">
        <f>IFERROR(__xludf.DUMMYFUNCTION("GOOGLETRANSLATE(A467,""ar"", ""en"")"),"BLK Plastic Chair Without Handles")</f>
        <v>BLK Plastic Chair Without Handles</v>
      </c>
      <c r="E467" s="76" t="s">
        <v>1194</v>
      </c>
      <c r="F467" s="79"/>
      <c r="G467" s="75"/>
      <c r="H467" s="75"/>
      <c r="I467" s="75"/>
      <c r="J467" s="75"/>
      <c r="K467" s="75"/>
      <c r="L467" s="75"/>
      <c r="M467" s="75"/>
      <c r="N467" s="75"/>
      <c r="O467" s="75"/>
      <c r="P467" s="75"/>
    </row>
    <row r="468">
      <c r="A468" s="76" t="s">
        <v>1186</v>
      </c>
      <c r="B468" s="77">
        <v>2079.0</v>
      </c>
      <c r="C468" s="77" t="b">
        <v>0</v>
      </c>
      <c r="D468" s="79" t="str">
        <f>IFERROR(__xludf.DUMMYFUNCTION("GOOGLETRANSLATE(A468,""ar"", ""en"")"),"office chair")</f>
        <v>office chair</v>
      </c>
      <c r="E468" s="76" t="s">
        <v>1196</v>
      </c>
      <c r="F468" s="79"/>
      <c r="G468" s="75"/>
      <c r="H468" s="75"/>
      <c r="I468" s="75"/>
      <c r="J468" s="75"/>
      <c r="K468" s="75"/>
      <c r="L468" s="75"/>
      <c r="M468" s="75"/>
      <c r="N468" s="75"/>
      <c r="O468" s="75"/>
      <c r="P468" s="75"/>
    </row>
    <row r="469">
      <c r="A469" s="80" t="s">
        <v>1197</v>
      </c>
      <c r="B469" s="77">
        <v>2080.0</v>
      </c>
      <c r="C469" s="77" t="b">
        <v>0</v>
      </c>
      <c r="D469" s="79" t="str">
        <f>IFERROR(__xludf.DUMMYFUNCTION("GOOGLETRANSLATE(A469,""ar"", ""en"")"),"Fixed office chair")</f>
        <v>Fixed office chair</v>
      </c>
      <c r="E469" s="80" t="s">
        <v>1198</v>
      </c>
      <c r="F469" s="79"/>
      <c r="G469" s="75"/>
      <c r="H469" s="75"/>
      <c r="I469" s="75"/>
      <c r="J469" s="75"/>
      <c r="K469" s="75"/>
      <c r="L469" s="75"/>
      <c r="M469" s="75"/>
      <c r="N469" s="75"/>
      <c r="O469" s="75"/>
      <c r="P469" s="75"/>
    </row>
    <row r="470">
      <c r="A470" s="76" t="s">
        <v>1200</v>
      </c>
      <c r="B470" s="77">
        <v>2081.0</v>
      </c>
      <c r="C470" s="77" t="b">
        <v>0</v>
      </c>
      <c r="D470" s="79" t="str">
        <f>IFERROR(__xludf.DUMMYFUNCTION("GOOGLETRANSLATE(A470,""ar"", ""en"")"),"Plastic rose chair without handles")</f>
        <v>Plastic rose chair without handles</v>
      </c>
      <c r="E470" s="76" t="s">
        <v>1201</v>
      </c>
      <c r="F470" s="79"/>
      <c r="G470" s="75"/>
      <c r="H470" s="75"/>
      <c r="I470" s="75"/>
      <c r="J470" s="75"/>
      <c r="K470" s="75"/>
      <c r="L470" s="75"/>
      <c r="M470" s="75"/>
      <c r="N470" s="75"/>
      <c r="O470" s="75"/>
      <c r="P470" s="75"/>
    </row>
    <row r="471">
      <c r="A471" s="80" t="s">
        <v>1203</v>
      </c>
      <c r="B471" s="77">
        <v>2084.0</v>
      </c>
      <c r="C471" s="77" t="b">
        <v>0</v>
      </c>
      <c r="D471" s="79" t="str">
        <f>IFERROR(__xludf.DUMMYFUNCTION("GOOGLETRANSLATE(A471,""ar"", ""en"")"),"PLEXI chair with handle")</f>
        <v>PLEXI chair with handle</v>
      </c>
      <c r="E471" s="80" t="s">
        <v>1204</v>
      </c>
      <c r="F471" s="79"/>
      <c r="G471" s="75"/>
      <c r="H471" s="75"/>
      <c r="I471" s="75"/>
      <c r="J471" s="75"/>
      <c r="K471" s="75"/>
      <c r="L471" s="75"/>
      <c r="M471" s="75"/>
      <c r="N471" s="75"/>
      <c r="O471" s="75"/>
      <c r="P471" s="75"/>
    </row>
    <row r="472">
      <c r="A472" s="80" t="s">
        <v>174</v>
      </c>
      <c r="B472" s="77">
        <v>2088.0</v>
      </c>
      <c r="C472" s="77" t="b">
        <v>0</v>
      </c>
      <c r="D472" s="79" t="str">
        <f>IFERROR(__xludf.DUMMYFUNCTION("GOOGLETRANSLATE(A472,""ar"", ""en"")"),"plastic chair")</f>
        <v>plastic chair</v>
      </c>
      <c r="E472" s="80" t="s">
        <v>1206</v>
      </c>
      <c r="F472" s="79"/>
      <c r="G472" s="75"/>
      <c r="H472" s="75"/>
      <c r="I472" s="75"/>
      <c r="J472" s="75"/>
      <c r="K472" s="75"/>
      <c r="L472" s="75"/>
      <c r="M472" s="75"/>
      <c r="N472" s="75"/>
      <c r="O472" s="75"/>
      <c r="P472" s="75"/>
    </row>
    <row r="473">
      <c r="A473" s="76" t="s">
        <v>174</v>
      </c>
      <c r="B473" s="77">
        <v>2089.0</v>
      </c>
      <c r="C473" s="77" t="b">
        <v>0</v>
      </c>
      <c r="D473" s="79" t="str">
        <f>IFERROR(__xludf.DUMMYFUNCTION("GOOGLETRANSLATE(A473,""ar"", ""en"")"),"plastic chair")</f>
        <v>plastic chair</v>
      </c>
      <c r="E473" s="76" t="s">
        <v>1207</v>
      </c>
      <c r="F473" s="79"/>
      <c r="G473" s="75"/>
      <c r="H473" s="75"/>
      <c r="I473" s="75"/>
      <c r="J473" s="75"/>
      <c r="K473" s="75"/>
      <c r="L473" s="75"/>
      <c r="M473" s="75"/>
      <c r="N473" s="75"/>
      <c r="O473" s="75"/>
      <c r="P473" s="75"/>
    </row>
    <row r="474">
      <c r="A474" s="76" t="s">
        <v>1186</v>
      </c>
      <c r="B474" s="77">
        <v>2091.0</v>
      </c>
      <c r="C474" s="77" t="b">
        <v>0</v>
      </c>
      <c r="D474" s="79" t="str">
        <f>IFERROR(__xludf.DUMMYFUNCTION("GOOGLETRANSLATE(A474,""ar"", ""en"")"),"office chair")</f>
        <v>office chair</v>
      </c>
      <c r="E474" s="76" t="s">
        <v>1208</v>
      </c>
      <c r="F474" s="79"/>
      <c r="G474" s="75"/>
      <c r="H474" s="75"/>
      <c r="I474" s="75"/>
      <c r="J474" s="75"/>
      <c r="K474" s="75"/>
      <c r="L474" s="75"/>
      <c r="M474" s="75"/>
      <c r="N474" s="75"/>
      <c r="O474" s="75"/>
      <c r="P474" s="75"/>
    </row>
    <row r="475">
      <c r="A475" s="80" t="s">
        <v>1209</v>
      </c>
      <c r="B475" s="77">
        <v>2104.0</v>
      </c>
      <c r="C475" s="77" t="b">
        <v>0</v>
      </c>
      <c r="D475" s="79" t="str">
        <f>IFERROR(__xludf.DUMMYFUNCTION("GOOGLETRANSLATE(A475,""ar"", ""en"")"),"Plastic table with wood 80*120")</f>
        <v>Plastic table with wood 80*120</v>
      </c>
      <c r="E475" s="80" t="s">
        <v>1210</v>
      </c>
      <c r="F475" s="79"/>
      <c r="G475" s="75"/>
      <c r="H475" s="75"/>
      <c r="I475" s="75"/>
      <c r="J475" s="75"/>
      <c r="K475" s="75"/>
      <c r="L475" s="75"/>
      <c r="M475" s="75"/>
      <c r="N475" s="75"/>
      <c r="O475" s="75"/>
      <c r="P475" s="75"/>
    </row>
    <row r="476">
      <c r="A476" s="76" t="s">
        <v>1212</v>
      </c>
      <c r="B476" s="77">
        <v>2107.0</v>
      </c>
      <c r="C476" s="77" t="b">
        <v>0</v>
      </c>
      <c r="D476" s="79" t="str">
        <f>IFERROR(__xludf.DUMMYFUNCTION("GOOGLETRANSLATE(A476,""ar"", ""en"")"),"Plastic table with wood 80*80")</f>
        <v>Plastic table with wood 80*80</v>
      </c>
      <c r="E476" s="76" t="s">
        <v>1213</v>
      </c>
      <c r="F476" s="79"/>
      <c r="G476" s="75"/>
      <c r="H476" s="75"/>
      <c r="I476" s="75"/>
      <c r="J476" s="75"/>
      <c r="K476" s="75"/>
      <c r="L476" s="75"/>
      <c r="M476" s="75"/>
      <c r="N476" s="75"/>
      <c r="O476" s="75"/>
      <c r="P476" s="75"/>
    </row>
    <row r="477">
      <c r="A477" s="76" t="s">
        <v>1215</v>
      </c>
      <c r="B477" s="77">
        <v>2139.0</v>
      </c>
      <c r="C477" s="77" t="b">
        <v>0</v>
      </c>
      <c r="D477" s="79" t="str">
        <f>IFERROR(__xludf.DUMMYFUNCTION("GOOGLETRANSLATE(A477,""ar"", ""en"")"),"180 cm round wooden table")</f>
        <v>180 cm round wooden table</v>
      </c>
      <c r="E477" s="76" t="s">
        <v>1216</v>
      </c>
      <c r="F477" s="79"/>
      <c r="G477" s="75"/>
      <c r="H477" s="75"/>
      <c r="I477" s="75"/>
      <c r="J477" s="75"/>
      <c r="K477" s="75"/>
      <c r="L477" s="75"/>
      <c r="M477" s="75"/>
      <c r="N477" s="75"/>
      <c r="O477" s="75"/>
      <c r="P477" s="75"/>
    </row>
    <row r="478">
      <c r="A478" s="80" t="s">
        <v>1219</v>
      </c>
      <c r="B478" s="77">
        <v>2140.0</v>
      </c>
      <c r="C478" s="77" t="b">
        <v>0</v>
      </c>
      <c r="D478" s="79" t="str">
        <f>IFERROR(__xludf.DUMMYFUNCTION("GOOGLETRANSLATE(A478,""ar"", ""en"")"),"BLK Bar Table 60cm Round")</f>
        <v>BLK Bar Table 60cm Round</v>
      </c>
      <c r="E478" s="80" t="s">
        <v>1220</v>
      </c>
      <c r="F478" s="79"/>
      <c r="G478" s="75"/>
      <c r="H478" s="75"/>
      <c r="I478" s="75"/>
      <c r="J478" s="75"/>
      <c r="K478" s="75"/>
      <c r="L478" s="75"/>
      <c r="M478" s="75"/>
      <c r="N478" s="75"/>
      <c r="O478" s="75"/>
      <c r="P478" s="75"/>
    </row>
    <row r="479">
      <c r="A479" s="76" t="s">
        <v>1222</v>
      </c>
      <c r="B479" s="77">
        <v>2141.0</v>
      </c>
      <c r="C479" s="77" t="b">
        <v>0</v>
      </c>
      <c r="D479" s="79" t="str">
        <f>IFERROR(__xludf.DUMMYFUNCTION("GOOGLETRANSLATE(A479,""ar"", ""en"")"),"BLK&amp;GRY 60cm Round Bar Table")</f>
        <v>BLK&amp;GRY 60cm Round Bar Table</v>
      </c>
      <c r="E479" s="76" t="s">
        <v>1223</v>
      </c>
      <c r="F479" s="79"/>
      <c r="G479" s="75"/>
      <c r="H479" s="75"/>
      <c r="I479" s="75"/>
      <c r="J479" s="75"/>
      <c r="K479" s="75"/>
      <c r="L479" s="75"/>
      <c r="M479" s="75"/>
      <c r="N479" s="75"/>
      <c r="O479" s="75"/>
      <c r="P479" s="75"/>
    </row>
    <row r="480">
      <c r="A480" s="80" t="s">
        <v>1225</v>
      </c>
      <c r="B480" s="77">
        <v>2144.0</v>
      </c>
      <c r="C480" s="77" t="b">
        <v>0</v>
      </c>
      <c r="D480" s="79" t="str">
        <f>IFERROR(__xludf.DUMMYFUNCTION("GOOGLETRANSLATE(A480,""ar"", ""en"")"),"BLK 80 cm round table")</f>
        <v>BLK 80 cm round table</v>
      </c>
      <c r="E480" s="80" t="s">
        <v>1226</v>
      </c>
      <c r="F480" s="79"/>
      <c r="G480" s="75"/>
      <c r="H480" s="75"/>
      <c r="I480" s="75"/>
      <c r="J480" s="75"/>
      <c r="K480" s="75"/>
      <c r="L480" s="75"/>
      <c r="M480" s="75"/>
      <c r="N480" s="75"/>
      <c r="O480" s="75"/>
      <c r="P480" s="75"/>
    </row>
    <row r="481">
      <c r="A481" s="76" t="s">
        <v>1228</v>
      </c>
      <c r="B481" s="77">
        <v>2147.0</v>
      </c>
      <c r="C481" s="77" t="b">
        <v>0</v>
      </c>
      <c r="D481" s="79" t="str">
        <f>IFERROR(__xludf.DUMMYFUNCTION("GOOGLETRANSLATE(A481,""ar"", ""en"")"),"Wooden fabric chair without handle")</f>
        <v>Wooden fabric chair without handle</v>
      </c>
      <c r="E481" s="76" t="s">
        <v>1229</v>
      </c>
      <c r="F481" s="79"/>
      <c r="G481" s="75"/>
      <c r="H481" s="75"/>
      <c r="I481" s="75"/>
      <c r="J481" s="75"/>
      <c r="K481" s="75"/>
      <c r="L481" s="75"/>
      <c r="M481" s="75"/>
      <c r="N481" s="75"/>
      <c r="O481" s="75"/>
      <c r="P481" s="75"/>
    </row>
    <row r="482">
      <c r="A482" s="76" t="s">
        <v>1231</v>
      </c>
      <c r="B482" s="77">
        <v>2151.0</v>
      </c>
      <c r="C482" s="77" t="b">
        <v>0</v>
      </c>
      <c r="D482" s="79" t="str">
        <f>IFERROR(__xludf.DUMMYFUNCTION("GOOGLETRANSLATE(A482,""ar"", ""en"")"),"Wide leather dining chair with handle")</f>
        <v>Wide leather dining chair with handle</v>
      </c>
      <c r="E482" s="76" t="s">
        <v>1232</v>
      </c>
      <c r="F482" s="79"/>
      <c r="G482" s="75"/>
      <c r="H482" s="75"/>
      <c r="I482" s="75"/>
      <c r="J482" s="75"/>
      <c r="K482" s="75"/>
      <c r="L482" s="75"/>
      <c r="M482" s="75"/>
      <c r="N482" s="75"/>
      <c r="O482" s="75"/>
      <c r="P482" s="75"/>
    </row>
    <row r="483">
      <c r="A483" s="76" t="s">
        <v>1234</v>
      </c>
      <c r="B483" s="77">
        <v>2158.0</v>
      </c>
      <c r="C483" s="77" t="b">
        <v>0</v>
      </c>
      <c r="D483" s="79" t="str">
        <f>IFERROR(__xludf.DUMMYFUNCTION("GOOGLETRANSLATE(A483,""ar"", ""en"")"),"Original 80*80 aluminum face")</f>
        <v>Original 80*80 aluminum face</v>
      </c>
      <c r="E483" s="76" t="s">
        <v>1235</v>
      </c>
      <c r="F483" s="79"/>
      <c r="G483" s="75"/>
      <c r="H483" s="75"/>
      <c r="I483" s="75"/>
      <c r="J483" s="75"/>
      <c r="K483" s="75"/>
      <c r="L483" s="75"/>
      <c r="M483" s="75"/>
      <c r="N483" s="75"/>
      <c r="O483" s="75"/>
      <c r="P483" s="75"/>
    </row>
    <row r="484">
      <c r="A484" s="80" t="s">
        <v>1237</v>
      </c>
      <c r="B484" s="77">
        <v>2159.0</v>
      </c>
      <c r="C484" s="77" t="b">
        <v>0</v>
      </c>
      <c r="D484" s="79" t="str">
        <f>IFERROR(__xludf.DUMMYFUNCTION("GOOGLETRANSLATE(A484,""ar"", ""en"")"),"Stainless steel base")</f>
        <v>Stainless steel base</v>
      </c>
      <c r="E484" s="80" t="s">
        <v>1238</v>
      </c>
      <c r="F484" s="79"/>
      <c r="G484" s="75"/>
      <c r="H484" s="75"/>
      <c r="I484" s="75"/>
      <c r="J484" s="75"/>
      <c r="K484" s="75"/>
      <c r="L484" s="75"/>
      <c r="M484" s="75"/>
      <c r="N484" s="75"/>
      <c r="O484" s="75"/>
      <c r="P484" s="75"/>
    </row>
    <row r="485">
      <c r="A485" s="76" t="s">
        <v>1240</v>
      </c>
      <c r="B485" s="77">
        <v>2161.0</v>
      </c>
      <c r="C485" s="77" t="b">
        <v>0</v>
      </c>
      <c r="D485" s="79" t="str">
        <f>IFERROR(__xludf.DUMMYFUNCTION("GOOGLETRANSLATE(A485,""ar"", ""en"")"),"120*80 table top")</f>
        <v>120*80 table top</v>
      </c>
      <c r="E485" s="76" t="s">
        <v>1241</v>
      </c>
      <c r="F485" s="79"/>
      <c r="G485" s="75"/>
      <c r="H485" s="75"/>
      <c r="I485" s="75"/>
      <c r="J485" s="75"/>
      <c r="K485" s="75"/>
      <c r="L485" s="75"/>
      <c r="M485" s="75"/>
      <c r="N485" s="75"/>
      <c r="O485" s="75"/>
      <c r="P485" s="75"/>
    </row>
    <row r="486">
      <c r="A486" s="80" t="s">
        <v>629</v>
      </c>
      <c r="B486" s="77">
        <v>2162.0</v>
      </c>
      <c r="C486" s="77" t="b">
        <v>0</v>
      </c>
      <c r="D486" s="79" t="str">
        <f>IFERROR(__xludf.DUMMYFUNCTION("GOOGLETRANSLATE(A486,""ar"", ""en"")"),"80*80 table top")</f>
        <v>80*80 table top</v>
      </c>
      <c r="E486" s="80" t="s">
        <v>1243</v>
      </c>
      <c r="F486" s="81" t="s">
        <v>1244</v>
      </c>
      <c r="G486" s="75"/>
      <c r="H486" s="75"/>
      <c r="I486" s="75"/>
      <c r="J486" s="75"/>
      <c r="K486" s="75"/>
      <c r="L486" s="75"/>
      <c r="M486" s="75"/>
      <c r="N486" s="75"/>
      <c r="O486" s="75"/>
      <c r="P486" s="75"/>
    </row>
    <row r="487">
      <c r="A487" s="76" t="s">
        <v>1240</v>
      </c>
      <c r="B487" s="77">
        <v>2165.0</v>
      </c>
      <c r="C487" s="77" t="b">
        <v>0</v>
      </c>
      <c r="D487" s="79" t="str">
        <f>IFERROR(__xludf.DUMMYFUNCTION("GOOGLETRANSLATE(A487,""ar"", ""en"")"),"120*80 table top")</f>
        <v>120*80 table top</v>
      </c>
      <c r="E487" s="76" t="s">
        <v>1246</v>
      </c>
      <c r="F487" s="79"/>
      <c r="G487" s="75"/>
      <c r="H487" s="75"/>
      <c r="I487" s="75"/>
      <c r="J487" s="75"/>
      <c r="K487" s="75"/>
      <c r="L487" s="75"/>
      <c r="M487" s="75"/>
      <c r="N487" s="75"/>
      <c r="O487" s="75"/>
      <c r="P487" s="75"/>
    </row>
    <row r="488">
      <c r="A488" s="80" t="s">
        <v>621</v>
      </c>
      <c r="B488" s="77">
        <v>2166.0</v>
      </c>
      <c r="C488" s="77" t="b">
        <v>0</v>
      </c>
      <c r="D488" s="79" t="str">
        <f>IFERROR(__xludf.DUMMYFUNCTION("GOOGLETRANSLATE(A488,""ar"", ""en"")"),"60*60 table top")</f>
        <v>60*60 table top</v>
      </c>
      <c r="E488" s="80" t="s">
        <v>1247</v>
      </c>
      <c r="F488" s="79"/>
      <c r="G488" s="75"/>
      <c r="H488" s="75"/>
      <c r="I488" s="75"/>
      <c r="J488" s="75"/>
      <c r="K488" s="75"/>
      <c r="L488" s="75"/>
      <c r="M488" s="75"/>
      <c r="N488" s="75"/>
      <c r="O488" s="75"/>
      <c r="P488" s="75"/>
    </row>
    <row r="489">
      <c r="A489" s="80" t="s">
        <v>621</v>
      </c>
      <c r="B489" s="77">
        <v>2168.0</v>
      </c>
      <c r="C489" s="77" t="b">
        <v>0</v>
      </c>
      <c r="D489" s="79" t="str">
        <f>IFERROR(__xludf.DUMMYFUNCTION("GOOGLETRANSLATE(A489,""ar"", ""en"")"),"60*60 table top")</f>
        <v>60*60 table top</v>
      </c>
      <c r="E489" s="80" t="s">
        <v>1249</v>
      </c>
      <c r="F489" s="81" t="s">
        <v>1250</v>
      </c>
      <c r="G489" s="75"/>
      <c r="H489" s="75"/>
      <c r="I489" s="75"/>
      <c r="J489" s="75"/>
      <c r="K489" s="75"/>
      <c r="L489" s="75"/>
      <c r="M489" s="75"/>
      <c r="N489" s="75"/>
      <c r="O489" s="75"/>
      <c r="P489" s="75"/>
    </row>
    <row r="490">
      <c r="A490" s="76" t="s">
        <v>625</v>
      </c>
      <c r="B490" s="77">
        <v>2169.0</v>
      </c>
      <c r="C490" s="77" t="b">
        <v>0</v>
      </c>
      <c r="D490" s="79" t="str">
        <f>IFERROR(__xludf.DUMMYFUNCTION("GOOGLETRANSLATE(A490,""ar"", ""en"")"),"70*70 table top")</f>
        <v>70*70 table top</v>
      </c>
      <c r="E490" s="76" t="s">
        <v>1251</v>
      </c>
      <c r="F490" s="79"/>
      <c r="G490" s="75"/>
      <c r="H490" s="75"/>
      <c r="I490" s="75"/>
      <c r="J490" s="75"/>
      <c r="K490" s="75"/>
      <c r="L490" s="75"/>
      <c r="M490" s="75"/>
      <c r="N490" s="75"/>
      <c r="O490" s="75"/>
      <c r="P490" s="75"/>
    </row>
    <row r="491">
      <c r="A491" s="80" t="s">
        <v>850</v>
      </c>
      <c r="B491" s="77">
        <v>2170.0</v>
      </c>
      <c r="C491" s="77" t="b">
        <v>0</v>
      </c>
      <c r="D491" s="79" t="str">
        <f>IFERROR(__xludf.DUMMYFUNCTION("GOOGLETRANSLATE(A491,""ar"", ""en"")"),"Stainless steel bar base")</f>
        <v>Stainless steel bar base</v>
      </c>
      <c r="E491" s="80" t="s">
        <v>1253</v>
      </c>
      <c r="F491" s="79"/>
      <c r="G491" s="75"/>
      <c r="H491" s="75"/>
      <c r="I491" s="75"/>
      <c r="J491" s="75"/>
      <c r="K491" s="75"/>
      <c r="L491" s="75"/>
      <c r="M491" s="75"/>
      <c r="N491" s="75"/>
      <c r="O491" s="75"/>
      <c r="P491" s="75"/>
    </row>
    <row r="492">
      <c r="A492" s="76" t="s">
        <v>627</v>
      </c>
      <c r="B492" s="77">
        <v>2171.0</v>
      </c>
      <c r="C492" s="77" t="b">
        <v>0</v>
      </c>
      <c r="D492" s="79" t="str">
        <f>IFERROR(__xludf.DUMMYFUNCTION("GOOGLETRANSLATE(A492,""ar"", ""en"")"),"80*120 table top")</f>
        <v>80*120 table top</v>
      </c>
      <c r="E492" s="76" t="s">
        <v>1254</v>
      </c>
      <c r="F492" s="79"/>
      <c r="G492" s="75"/>
      <c r="H492" s="75"/>
      <c r="I492" s="75"/>
      <c r="J492" s="75"/>
      <c r="K492" s="75"/>
      <c r="L492" s="75"/>
      <c r="M492" s="75"/>
      <c r="N492" s="75"/>
      <c r="O492" s="75"/>
      <c r="P492" s="75"/>
    </row>
    <row r="493">
      <c r="A493" s="80" t="s">
        <v>625</v>
      </c>
      <c r="B493" s="77">
        <v>2172.0</v>
      </c>
      <c r="C493" s="77" t="b">
        <v>0</v>
      </c>
      <c r="D493" s="79" t="str">
        <f>IFERROR(__xludf.DUMMYFUNCTION("GOOGLETRANSLATE(A493,""ar"", ""en"")"),"70*70 table top")</f>
        <v>70*70 table top</v>
      </c>
      <c r="E493" s="80" t="s">
        <v>1256</v>
      </c>
      <c r="F493" s="81" t="s">
        <v>1257</v>
      </c>
      <c r="G493" s="75"/>
      <c r="H493" s="75"/>
      <c r="I493" s="75"/>
      <c r="J493" s="75"/>
      <c r="K493" s="75"/>
      <c r="L493" s="75"/>
      <c r="M493" s="75"/>
      <c r="N493" s="75"/>
      <c r="O493" s="75"/>
      <c r="P493" s="75"/>
    </row>
    <row r="494">
      <c r="A494" s="76" t="s">
        <v>1258</v>
      </c>
      <c r="B494" s="77">
        <v>2173.0</v>
      </c>
      <c r="C494" s="77" t="b">
        <v>0</v>
      </c>
      <c r="D494" s="79" t="str">
        <f>IFERROR(__xludf.DUMMYFUNCTION("GOOGLETRANSLATE(A494,""ar"", ""en"")"),"Resin face 60*60")</f>
        <v>Resin face 60*60</v>
      </c>
      <c r="E494" s="76" t="s">
        <v>1259</v>
      </c>
      <c r="F494" s="81" t="s">
        <v>1260</v>
      </c>
      <c r="G494" s="75"/>
      <c r="H494" s="75"/>
      <c r="I494" s="75"/>
      <c r="J494" s="75"/>
      <c r="K494" s="75"/>
      <c r="L494" s="75"/>
      <c r="M494" s="75"/>
      <c r="N494" s="75"/>
      <c r="O494" s="75"/>
      <c r="P494" s="75"/>
    </row>
    <row r="495">
      <c r="A495" s="80" t="s">
        <v>1262</v>
      </c>
      <c r="B495" s="77">
        <v>2174.0</v>
      </c>
      <c r="C495" s="77" t="b">
        <v>0</v>
      </c>
      <c r="D495" s="79" t="str">
        <f>IFERROR(__xludf.DUMMYFUNCTION("GOOGLETRANSLATE(A495,""ar"", ""en"")"),"Resin face 70*70")</f>
        <v>Resin face 70*70</v>
      </c>
      <c r="E495" s="80" t="s">
        <v>1263</v>
      </c>
      <c r="F495" s="79"/>
      <c r="G495" s="75"/>
      <c r="H495" s="75"/>
      <c r="I495" s="75"/>
      <c r="J495" s="75"/>
      <c r="K495" s="75"/>
      <c r="L495" s="75"/>
      <c r="M495" s="75"/>
      <c r="N495" s="75"/>
      <c r="O495" s="75"/>
      <c r="P495" s="75"/>
    </row>
    <row r="496">
      <c r="A496" s="76" t="s">
        <v>1265</v>
      </c>
      <c r="B496" s="77">
        <v>2175.0</v>
      </c>
      <c r="C496" s="77" t="b">
        <v>0</v>
      </c>
      <c r="D496" s="79" t="str">
        <f>IFERROR(__xludf.DUMMYFUNCTION("GOOGLETRANSLATE(A496,""ar"", ""en"")"),"Resin face 80*80")</f>
        <v>Resin face 80*80</v>
      </c>
      <c r="E496" s="76" t="s">
        <v>1266</v>
      </c>
      <c r="F496" s="79"/>
      <c r="G496" s="75"/>
      <c r="H496" s="75"/>
      <c r="I496" s="75"/>
      <c r="J496" s="75"/>
      <c r="K496" s="75"/>
      <c r="L496" s="75"/>
      <c r="M496" s="75"/>
      <c r="N496" s="75"/>
      <c r="O496" s="75"/>
      <c r="P496" s="75"/>
    </row>
    <row r="497">
      <c r="A497" s="80" t="s">
        <v>1268</v>
      </c>
      <c r="B497" s="77">
        <v>2176.0</v>
      </c>
      <c r="C497" s="77" t="b">
        <v>0</v>
      </c>
      <c r="D497" s="79" t="str">
        <f>IFERROR(__xludf.DUMMYFUNCTION("GOOGLETRANSLATE(A497,""ar"", ""en"")"),"Resin face 70*120")</f>
        <v>Resin face 70*120</v>
      </c>
      <c r="E497" s="80" t="s">
        <v>1269</v>
      </c>
      <c r="F497" s="79"/>
      <c r="G497" s="75"/>
      <c r="H497" s="75"/>
      <c r="I497" s="75"/>
      <c r="J497" s="75"/>
      <c r="K497" s="75"/>
      <c r="L497" s="75"/>
      <c r="M497" s="75"/>
      <c r="N497" s="75"/>
      <c r="O497" s="75"/>
      <c r="P497" s="75"/>
    </row>
    <row r="498">
      <c r="A498" s="76" t="s">
        <v>1271</v>
      </c>
      <c r="B498" s="77">
        <v>2177.0</v>
      </c>
      <c r="C498" s="77" t="b">
        <v>0</v>
      </c>
      <c r="D498" s="79" t="str">
        <f>IFERROR(__xludf.DUMMYFUNCTION("GOOGLETRANSLATE(A498,""ar"", ""en"")"),"Resin face 80*130")</f>
        <v>Resin face 80*130</v>
      </c>
      <c r="E498" s="76" t="s">
        <v>1272</v>
      </c>
      <c r="F498" s="79"/>
      <c r="G498" s="75"/>
      <c r="H498" s="75"/>
      <c r="I498" s="75"/>
      <c r="J498" s="75"/>
      <c r="K498" s="75"/>
      <c r="L498" s="75"/>
      <c r="M498" s="75"/>
      <c r="N498" s="75"/>
      <c r="O498" s="75"/>
      <c r="P498" s="75"/>
    </row>
    <row r="499">
      <c r="A499" s="80" t="s">
        <v>621</v>
      </c>
      <c r="B499" s="77">
        <v>2178.0</v>
      </c>
      <c r="C499" s="77" t="b">
        <v>0</v>
      </c>
      <c r="D499" s="79" t="str">
        <f>IFERROR(__xludf.DUMMYFUNCTION("GOOGLETRANSLATE(A499,""ar"", ""en"")"),"60*60 table top")</f>
        <v>60*60 table top</v>
      </c>
      <c r="E499" s="80" t="s">
        <v>1274</v>
      </c>
      <c r="F499" s="81" t="s">
        <v>1275</v>
      </c>
      <c r="G499" s="75"/>
      <c r="H499" s="75"/>
      <c r="I499" s="75"/>
      <c r="J499" s="75"/>
      <c r="K499" s="75"/>
      <c r="L499" s="75"/>
      <c r="M499" s="75"/>
      <c r="N499" s="75"/>
      <c r="O499" s="75"/>
      <c r="P499" s="75"/>
    </row>
    <row r="500">
      <c r="A500" s="76" t="s">
        <v>625</v>
      </c>
      <c r="B500" s="77">
        <v>2179.0</v>
      </c>
      <c r="C500" s="77" t="b">
        <v>0</v>
      </c>
      <c r="D500" s="79" t="str">
        <f>IFERROR(__xludf.DUMMYFUNCTION("GOOGLETRANSLATE(A500,""ar"", ""en"")"),"70*70 table top")</f>
        <v>70*70 table top</v>
      </c>
      <c r="E500" s="76" t="s">
        <v>1276</v>
      </c>
      <c r="F500" s="79"/>
      <c r="G500" s="75"/>
      <c r="H500" s="75"/>
      <c r="I500" s="75"/>
      <c r="J500" s="75"/>
      <c r="K500" s="75"/>
      <c r="L500" s="75"/>
      <c r="M500" s="75"/>
      <c r="N500" s="75"/>
      <c r="O500" s="75"/>
      <c r="P500" s="75"/>
    </row>
    <row r="501">
      <c r="A501" s="80" t="s">
        <v>629</v>
      </c>
      <c r="B501" s="77">
        <v>2180.0</v>
      </c>
      <c r="C501" s="77" t="b">
        <v>0</v>
      </c>
      <c r="D501" s="79" t="str">
        <f>IFERROR(__xludf.DUMMYFUNCTION("GOOGLETRANSLATE(A501,""ar"", ""en"")"),"80*80 table top")</f>
        <v>80*80 table top</v>
      </c>
      <c r="E501" s="80" t="s">
        <v>1277</v>
      </c>
      <c r="F501" s="79"/>
      <c r="G501" s="75"/>
      <c r="H501" s="75"/>
      <c r="I501" s="75"/>
      <c r="J501" s="75"/>
      <c r="K501" s="75"/>
      <c r="L501" s="75"/>
      <c r="M501" s="75"/>
      <c r="N501" s="75"/>
      <c r="O501" s="75"/>
      <c r="P501" s="75"/>
    </row>
    <row r="502">
      <c r="A502" s="76" t="s">
        <v>1278</v>
      </c>
      <c r="B502" s="77">
        <v>2181.0</v>
      </c>
      <c r="C502" s="77" t="b">
        <v>0</v>
      </c>
      <c r="D502" s="79" t="str">
        <f>IFERROR(__xludf.DUMMYFUNCTION("GOOGLETRANSLATE(A502,""ar"", ""en"")"),"90*90 table top")</f>
        <v>90*90 table top</v>
      </c>
      <c r="E502" s="76" t="s">
        <v>1279</v>
      </c>
      <c r="F502" s="79"/>
      <c r="G502" s="75"/>
      <c r="H502" s="75"/>
      <c r="I502" s="75"/>
      <c r="J502" s="75"/>
      <c r="K502" s="75"/>
      <c r="L502" s="75"/>
      <c r="M502" s="75"/>
      <c r="N502" s="75"/>
      <c r="O502" s="75"/>
      <c r="P502" s="75"/>
    </row>
    <row r="503">
      <c r="A503" s="76" t="s">
        <v>738</v>
      </c>
      <c r="B503" s="77">
        <v>2183.0</v>
      </c>
      <c r="C503" s="77" t="b">
        <v>0</v>
      </c>
      <c r="D503" s="79" t="str">
        <f>IFERROR(__xludf.DUMMYFUNCTION("GOOGLETRANSLATE(A503,""ar"", ""en"")"),"Resin table 80*80")</f>
        <v>Resin table 80*80</v>
      </c>
      <c r="E503" s="76" t="s">
        <v>1281</v>
      </c>
      <c r="F503" s="79"/>
      <c r="G503" s="75"/>
      <c r="H503" s="75"/>
      <c r="I503" s="75"/>
      <c r="J503" s="75"/>
      <c r="K503" s="75"/>
      <c r="L503" s="75"/>
      <c r="M503" s="75"/>
      <c r="N503" s="75"/>
      <c r="O503" s="75"/>
      <c r="P503" s="75"/>
    </row>
    <row r="504">
      <c r="A504" s="76" t="s">
        <v>738</v>
      </c>
      <c r="B504" s="77">
        <v>2185.0</v>
      </c>
      <c r="C504" s="77" t="b">
        <v>0</v>
      </c>
      <c r="D504" s="79" t="str">
        <f>IFERROR(__xludf.DUMMYFUNCTION("GOOGLETRANSLATE(A504,""ar"", ""en"")"),"Resin table 80*80")</f>
        <v>Resin table 80*80</v>
      </c>
      <c r="E504" s="76" t="s">
        <v>1282</v>
      </c>
      <c r="F504" s="79"/>
      <c r="G504" s="75"/>
      <c r="H504" s="75"/>
      <c r="I504" s="75"/>
      <c r="J504" s="75"/>
      <c r="K504" s="75"/>
      <c r="L504" s="75"/>
      <c r="M504" s="75"/>
      <c r="N504" s="75"/>
      <c r="O504" s="75"/>
      <c r="P504" s="75"/>
    </row>
    <row r="505">
      <c r="A505" s="76" t="s">
        <v>1283</v>
      </c>
      <c r="B505" s="77">
        <v>2186.0</v>
      </c>
      <c r="C505" s="77" t="b">
        <v>0</v>
      </c>
      <c r="D505" s="79" t="str">
        <f>IFERROR(__xludf.DUMMYFUNCTION("GOOGLETRANSLATE(A505,""ar"", ""en"")"),"Grey two-seat resin set")</f>
        <v>Grey two-seat resin set</v>
      </c>
      <c r="E505" s="76" t="s">
        <v>1284</v>
      </c>
      <c r="F505" s="79"/>
      <c r="G505" s="75"/>
      <c r="H505" s="75"/>
      <c r="I505" s="75"/>
      <c r="J505" s="75"/>
      <c r="K505" s="75"/>
      <c r="L505" s="75"/>
      <c r="M505" s="75"/>
      <c r="N505" s="75"/>
      <c r="O505" s="75"/>
      <c r="P505" s="75"/>
    </row>
    <row r="506">
      <c r="A506" s="80" t="s">
        <v>738</v>
      </c>
      <c r="B506" s="77">
        <v>2187.0</v>
      </c>
      <c r="C506" s="77" t="b">
        <v>0</v>
      </c>
      <c r="D506" s="79" t="str">
        <f>IFERROR(__xludf.DUMMYFUNCTION("GOOGLETRANSLATE(A506,""ar"", ""en"")"),"Resin table 80*80")</f>
        <v>Resin table 80*80</v>
      </c>
      <c r="E506" s="80" t="s">
        <v>1286</v>
      </c>
      <c r="F506" s="79"/>
      <c r="G506" s="75"/>
      <c r="H506" s="75"/>
      <c r="I506" s="75"/>
      <c r="J506" s="75"/>
      <c r="K506" s="75"/>
      <c r="L506" s="75"/>
      <c r="M506" s="75"/>
      <c r="N506" s="75"/>
      <c r="O506" s="75"/>
      <c r="P506" s="75"/>
    </row>
    <row r="507">
      <c r="A507" s="76" t="s">
        <v>1287</v>
      </c>
      <c r="B507" s="77">
        <v>2194.0</v>
      </c>
      <c r="C507" s="77" t="b">
        <v>0</v>
      </c>
      <c r="D507" s="79" t="str">
        <f>IFERROR(__xludf.DUMMYFUNCTION("GOOGLETRANSLATE(A507,""ar"", ""en"")"),"Original 80*120 stainless steel table top")</f>
        <v>Original 80*120 stainless steel table top</v>
      </c>
      <c r="E507" s="76" t="s">
        <v>1288</v>
      </c>
      <c r="F507" s="81"/>
      <c r="G507" s="75"/>
      <c r="H507" s="75"/>
      <c r="I507" s="75"/>
      <c r="J507" s="75"/>
      <c r="K507" s="75"/>
      <c r="L507" s="75"/>
      <c r="M507" s="75"/>
      <c r="N507" s="75"/>
      <c r="O507" s="75"/>
      <c r="P507" s="75"/>
    </row>
    <row r="508">
      <c r="A508" s="80" t="s">
        <v>1290</v>
      </c>
      <c r="B508" s="77">
        <v>2195.0</v>
      </c>
      <c r="C508" s="77" t="b">
        <v>0</v>
      </c>
      <c r="D508" s="79" t="str">
        <f>IFERROR(__xludf.DUMMYFUNCTION("GOOGLETRANSLATE(A508,""ar"", ""en"")"),"Original 60 round stainless steel table top")</f>
        <v>Original 60 round stainless steel table top</v>
      </c>
      <c r="E508" s="80" t="s">
        <v>1291</v>
      </c>
      <c r="F508" s="81" t="s">
        <v>1292</v>
      </c>
      <c r="G508" s="75"/>
      <c r="H508" s="75"/>
      <c r="I508" s="75"/>
      <c r="J508" s="75"/>
      <c r="K508" s="75"/>
      <c r="L508" s="75"/>
      <c r="M508" s="75"/>
      <c r="N508" s="75"/>
      <c r="O508" s="75"/>
      <c r="P508" s="75"/>
    </row>
    <row r="509">
      <c r="A509" s="76" t="s">
        <v>1294</v>
      </c>
      <c r="B509" s="77">
        <v>2196.0</v>
      </c>
      <c r="C509" s="77" t="b">
        <v>0</v>
      </c>
      <c r="D509" s="79" t="str">
        <f>IFERROR(__xludf.DUMMYFUNCTION("GOOGLETRANSLATE(A509,""ar"", ""en"")"),"Original 70*70 stainless steel table top")</f>
        <v>Original 70*70 stainless steel table top</v>
      </c>
      <c r="E509" s="76" t="s">
        <v>1295</v>
      </c>
      <c r="F509" s="81" t="s">
        <v>1296</v>
      </c>
      <c r="G509" s="75"/>
      <c r="H509" s="75"/>
      <c r="I509" s="75"/>
      <c r="J509" s="75"/>
      <c r="K509" s="75"/>
      <c r="L509" s="75"/>
      <c r="M509" s="75"/>
      <c r="N509" s="75"/>
      <c r="O509" s="75"/>
      <c r="P509" s="75"/>
    </row>
    <row r="510">
      <c r="A510" s="80" t="s">
        <v>1298</v>
      </c>
      <c r="B510" s="77">
        <v>2197.0</v>
      </c>
      <c r="C510" s="77" t="b">
        <v>0</v>
      </c>
      <c r="D510" s="79" t="str">
        <f>IFERROR(__xludf.DUMMYFUNCTION("GOOGLETRANSLATE(A510,""ar"", ""en"")"),"Original round 70 stainless steel table top")</f>
        <v>Original round 70 stainless steel table top</v>
      </c>
      <c r="E510" s="80" t="s">
        <v>1299</v>
      </c>
      <c r="F510" s="79"/>
      <c r="G510" s="75"/>
      <c r="H510" s="75"/>
      <c r="I510" s="75"/>
      <c r="J510" s="75"/>
      <c r="K510" s="75"/>
      <c r="L510" s="75"/>
      <c r="M510" s="75"/>
      <c r="N510" s="75"/>
      <c r="O510" s="75"/>
      <c r="P510" s="75"/>
    </row>
    <row r="511">
      <c r="A511" s="76" t="s">
        <v>1301</v>
      </c>
      <c r="B511" s="77">
        <v>2198.0</v>
      </c>
      <c r="C511" s="77" t="b">
        <v>0</v>
      </c>
      <c r="D511" s="79" t="str">
        <f>IFERROR(__xludf.DUMMYFUNCTION("GOOGLETRANSLATE(A511,""ar"", ""en"")"),"Long square two-story shoes")</f>
        <v>Long square two-story shoes</v>
      </c>
      <c r="E511" s="76" t="s">
        <v>1302</v>
      </c>
      <c r="F511" s="79"/>
      <c r="G511" s="75"/>
      <c r="H511" s="75"/>
      <c r="I511" s="75"/>
      <c r="J511" s="75"/>
      <c r="K511" s="75"/>
      <c r="L511" s="75"/>
      <c r="M511" s="75"/>
      <c r="N511" s="75"/>
      <c r="O511" s="75"/>
      <c r="P511" s="75"/>
    </row>
    <row r="512">
      <c r="A512" s="80" t="s">
        <v>1305</v>
      </c>
      <c r="B512" s="77">
        <v>2203.0</v>
      </c>
      <c r="C512" s="77" t="b">
        <v>0</v>
      </c>
      <c r="D512" s="79" t="str">
        <f>IFERROR(__xludf.DUMMYFUNCTION("GOOGLETRANSLATE(A512,""ar"", ""en"")"),"Heavy duty 4-legged aluminum base")</f>
        <v>Heavy duty 4-legged aluminum base</v>
      </c>
      <c r="E512" s="80" t="s">
        <v>1306</v>
      </c>
      <c r="F512" s="79"/>
      <c r="G512" s="75"/>
      <c r="H512" s="75"/>
      <c r="I512" s="75"/>
      <c r="J512" s="75"/>
      <c r="K512" s="75"/>
      <c r="L512" s="75"/>
      <c r="M512" s="75"/>
      <c r="N512" s="75"/>
      <c r="O512" s="75"/>
      <c r="P512" s="75"/>
    </row>
    <row r="513">
      <c r="A513" s="80" t="s">
        <v>1308</v>
      </c>
      <c r="B513" s="77">
        <v>2207.0</v>
      </c>
      <c r="C513" s="77" t="b">
        <v>0</v>
      </c>
      <c r="D513" s="79" t="str">
        <f>IFERROR(__xludf.DUMMYFUNCTION("GOOGLETRANSLATE(A513,""ar"", ""en"")"),"Large X Stainless Base")</f>
        <v>Large X Stainless Base</v>
      </c>
      <c r="E513" s="80" t="s">
        <v>1309</v>
      </c>
      <c r="F513" s="79"/>
      <c r="G513" s="75"/>
      <c r="H513" s="75"/>
      <c r="I513" s="75"/>
      <c r="J513" s="75"/>
      <c r="K513" s="75"/>
      <c r="L513" s="75"/>
      <c r="M513" s="75"/>
      <c r="N513" s="75"/>
      <c r="O513" s="75"/>
      <c r="P513" s="75"/>
    </row>
    <row r="514">
      <c r="A514" s="76" t="s">
        <v>1311</v>
      </c>
      <c r="B514" s="77">
        <v>2208.0</v>
      </c>
      <c r="C514" s="77" t="b">
        <v>0</v>
      </c>
      <c r="D514" s="79" t="str">
        <f>IFERROR(__xludf.DUMMYFUNCTION("GOOGLETRANSLATE(A514,""ar"", ""en"")"),"Small X Stainless Base")</f>
        <v>Small X Stainless Base</v>
      </c>
      <c r="E514" s="76" t="s">
        <v>1312</v>
      </c>
      <c r="F514" s="79"/>
      <c r="G514" s="75"/>
      <c r="H514" s="75"/>
      <c r="I514" s="75"/>
      <c r="J514" s="75"/>
      <c r="K514" s="75"/>
      <c r="L514" s="75"/>
      <c r="M514" s="75"/>
      <c r="N514" s="75"/>
      <c r="O514" s="75"/>
      <c r="P514" s="75"/>
    </row>
    <row r="515">
      <c r="A515" s="80" t="s">
        <v>1314</v>
      </c>
      <c r="B515" s="77">
        <v>2211.0</v>
      </c>
      <c r="C515" s="77" t="b">
        <v>0</v>
      </c>
      <c r="D515" s="79" t="str">
        <f>IFERROR(__xludf.DUMMYFUNCTION("GOOGLETRANSLATE(A515,""ar"", ""en"")"),"Versalite rectangular table top 80*120")</f>
        <v>Versalite rectangular table top 80*120</v>
      </c>
      <c r="E515" s="80" t="s">
        <v>1315</v>
      </c>
      <c r="F515" s="81" t="s">
        <v>1316</v>
      </c>
      <c r="G515" s="75"/>
      <c r="H515" s="75"/>
      <c r="I515" s="75"/>
      <c r="J515" s="75"/>
      <c r="K515" s="75"/>
      <c r="L515" s="75"/>
      <c r="M515" s="75"/>
      <c r="N515" s="75"/>
      <c r="O515" s="75"/>
      <c r="P515" s="75"/>
    </row>
    <row r="516">
      <c r="A516" s="80" t="s">
        <v>1318</v>
      </c>
      <c r="B516" s="77">
        <v>2213.0</v>
      </c>
      <c r="C516" s="77" t="b">
        <v>0</v>
      </c>
      <c r="D516" s="79" t="str">
        <f>IFERROR(__xludf.DUMMYFUNCTION("GOOGLETRANSLATE(A516,""ar"", ""en"")"),"Versalite 60 round table top")</f>
        <v>Versalite 60 round table top</v>
      </c>
      <c r="E516" s="80" t="s">
        <v>1319</v>
      </c>
      <c r="F516" s="81" t="s">
        <v>1320</v>
      </c>
      <c r="G516" s="75"/>
      <c r="H516" s="75"/>
      <c r="I516" s="75"/>
      <c r="J516" s="75"/>
      <c r="K516" s="75"/>
      <c r="L516" s="75"/>
      <c r="M516" s="75"/>
      <c r="N516" s="75"/>
      <c r="O516" s="75"/>
      <c r="P516" s="75"/>
    </row>
    <row r="517">
      <c r="A517" s="76" t="s">
        <v>1322</v>
      </c>
      <c r="B517" s="77">
        <v>2214.0</v>
      </c>
      <c r="C517" s="77" t="b">
        <v>0</v>
      </c>
      <c r="D517" s="79" t="str">
        <f>IFERROR(__xludf.DUMMYFUNCTION("GOOGLETRANSLATE(A517,""ar"", ""en"")"),"Heavy wood face 60*60")</f>
        <v>Heavy wood face 60*60</v>
      </c>
      <c r="E517" s="76" t="s">
        <v>1323</v>
      </c>
      <c r="F517" s="79"/>
      <c r="G517" s="75"/>
      <c r="H517" s="75"/>
      <c r="I517" s="75"/>
      <c r="J517" s="75"/>
      <c r="K517" s="75"/>
      <c r="L517" s="75"/>
      <c r="M517" s="75"/>
      <c r="N517" s="75"/>
      <c r="O517" s="75"/>
      <c r="P517" s="75"/>
    </row>
    <row r="518">
      <c r="A518" s="80" t="s">
        <v>1325</v>
      </c>
      <c r="B518" s="77">
        <v>2217.0</v>
      </c>
      <c r="C518" s="77" t="b">
        <v>0</v>
      </c>
      <c r="D518" s="79" t="str">
        <f>IFERROR(__xludf.DUMMYFUNCTION("GOOGLETRANSLATE(A518,""ar"", ""en"")"),"Heavy wood face 90*90")</f>
        <v>Heavy wood face 90*90</v>
      </c>
      <c r="E518" s="80" t="s">
        <v>1326</v>
      </c>
      <c r="F518" s="79"/>
      <c r="G518" s="75"/>
      <c r="H518" s="75"/>
      <c r="I518" s="75"/>
      <c r="J518" s="75"/>
      <c r="K518" s="75"/>
      <c r="L518" s="75"/>
      <c r="M518" s="75"/>
      <c r="N518" s="75"/>
      <c r="O518" s="75"/>
      <c r="P518" s="75"/>
    </row>
    <row r="519">
      <c r="A519" s="76" t="s">
        <v>1328</v>
      </c>
      <c r="B519" s="77">
        <v>2220.0</v>
      </c>
      <c r="C519" s="77" t="b">
        <v>0</v>
      </c>
      <c r="D519" s="79" t="str">
        <f>IFERROR(__xludf.DUMMYFUNCTION("GOOGLETRANSLATE(A519,""ar"", ""en"")"),"70*70 square versalite table top")</f>
        <v>70*70 square versalite table top</v>
      </c>
      <c r="E519" s="76" t="s">
        <v>1329</v>
      </c>
      <c r="F519" s="79"/>
      <c r="G519" s="75"/>
      <c r="H519" s="75"/>
      <c r="I519" s="75"/>
      <c r="J519" s="75"/>
      <c r="K519" s="75"/>
      <c r="L519" s="75"/>
      <c r="M519" s="75"/>
      <c r="N519" s="75"/>
      <c r="O519" s="75"/>
      <c r="P519" s="75"/>
    </row>
    <row r="520">
      <c r="A520" s="80" t="s">
        <v>1331</v>
      </c>
      <c r="B520" s="77">
        <v>2221.0</v>
      </c>
      <c r="C520" s="77" t="b">
        <v>0</v>
      </c>
      <c r="D520" s="79" t="str">
        <f>IFERROR(__xludf.DUMMYFUNCTION("GOOGLETRANSLATE(A520,""ar"", ""en"")"),"Versalite 70 round table top")</f>
        <v>Versalite 70 round table top</v>
      </c>
      <c r="E520" s="80" t="s">
        <v>1332</v>
      </c>
      <c r="F520" s="79"/>
      <c r="G520" s="75"/>
      <c r="H520" s="75"/>
      <c r="I520" s="75"/>
      <c r="J520" s="75"/>
      <c r="K520" s="75"/>
      <c r="L520" s="75"/>
      <c r="M520" s="75"/>
      <c r="N520" s="75"/>
      <c r="O520" s="75"/>
      <c r="P520" s="75"/>
    </row>
    <row r="521">
      <c r="A521" s="80" t="s">
        <v>1334</v>
      </c>
      <c r="B521" s="77">
        <v>2223.0</v>
      </c>
      <c r="C521" s="77" t="b">
        <v>0</v>
      </c>
      <c r="D521" s="79" t="str">
        <f>IFERROR(__xludf.DUMMYFUNCTION("GOOGLETRANSLATE(A521,""ar"", ""en"")"),"80*80 square versalite table top")</f>
        <v>80*80 square versalite table top</v>
      </c>
      <c r="E521" s="80" t="s">
        <v>1335</v>
      </c>
      <c r="F521" s="79"/>
      <c r="G521" s="75"/>
      <c r="H521" s="75"/>
      <c r="I521" s="75"/>
      <c r="J521" s="75"/>
      <c r="K521" s="75"/>
      <c r="L521" s="75"/>
      <c r="M521" s="75"/>
      <c r="N521" s="75"/>
      <c r="O521" s="75"/>
      <c r="P521" s="75"/>
    </row>
    <row r="522">
      <c r="A522" s="80" t="s">
        <v>1337</v>
      </c>
      <c r="B522" s="77">
        <v>2225.0</v>
      </c>
      <c r="C522" s="77" t="b">
        <v>0</v>
      </c>
      <c r="D522" s="79" t="str">
        <f>IFERROR(__xludf.DUMMYFUNCTION("GOOGLETRANSLATE(A522,""ar"", ""en"")"),"Natural wood table top 80*80")</f>
        <v>Natural wood table top 80*80</v>
      </c>
      <c r="E522" s="80" t="s">
        <v>1338</v>
      </c>
      <c r="F522" s="79"/>
      <c r="G522" s="75"/>
      <c r="H522" s="75"/>
      <c r="I522" s="75"/>
      <c r="J522" s="75"/>
      <c r="K522" s="75"/>
      <c r="L522" s="75"/>
      <c r="M522" s="75"/>
      <c r="N522" s="75"/>
      <c r="O522" s="75"/>
      <c r="P522" s="75"/>
    </row>
    <row r="523">
      <c r="A523" s="76" t="s">
        <v>1340</v>
      </c>
      <c r="B523" s="77">
        <v>2227.0</v>
      </c>
      <c r="C523" s="77" t="b">
        <v>0</v>
      </c>
      <c r="D523" s="79" t="str">
        <f>IFERROR(__xludf.DUMMYFUNCTION("GOOGLETRANSLATE(A523,""ar"", ""en"")"),"Wood perfume")</f>
        <v>Wood perfume</v>
      </c>
      <c r="E523" s="76" t="s">
        <v>1341</v>
      </c>
      <c r="F523" s="79"/>
      <c r="G523" s="75"/>
      <c r="H523" s="75"/>
      <c r="I523" s="75"/>
      <c r="J523" s="75"/>
      <c r="K523" s="75"/>
      <c r="L523" s="75"/>
      <c r="M523" s="75"/>
      <c r="N523" s="75"/>
      <c r="O523" s="75"/>
      <c r="P523" s="75"/>
    </row>
    <row r="524">
      <c r="A524" s="80" t="s">
        <v>1343</v>
      </c>
      <c r="B524" s="77">
        <v>2228.0</v>
      </c>
      <c r="C524" s="77" t="b">
        <v>0</v>
      </c>
      <c r="D524" s="79" t="str">
        <f>IFERROR(__xludf.DUMMYFUNCTION("GOOGLETRANSLATE(A524,""ar"", ""en"")"),"Solid aluminum face")</f>
        <v>Solid aluminum face</v>
      </c>
      <c r="E524" s="80" t="s">
        <v>1344</v>
      </c>
      <c r="F524" s="79"/>
      <c r="G524" s="75"/>
      <c r="H524" s="75"/>
      <c r="I524" s="75"/>
      <c r="J524" s="75"/>
      <c r="K524" s="75"/>
      <c r="L524" s="75"/>
      <c r="M524" s="75"/>
      <c r="N524" s="75"/>
      <c r="O524" s="75"/>
      <c r="P524" s="75"/>
    </row>
    <row r="525">
      <c r="A525" s="76" t="s">
        <v>1346</v>
      </c>
      <c r="B525" s="77">
        <v>2236.0</v>
      </c>
      <c r="C525" s="77" t="b">
        <v>0</v>
      </c>
      <c r="D525" s="79" t="str">
        <f>IFERROR(__xludf.DUMMYFUNCTION("GOOGLETRANSLATE(A525,""ar"", ""en"")"),"Perfume - 1000")</f>
        <v>Perfume - 1000</v>
      </c>
      <c r="E525" s="76" t="s">
        <v>1347</v>
      </c>
      <c r="F525" s="79"/>
      <c r="G525" s="75"/>
      <c r="H525" s="75"/>
      <c r="I525" s="75"/>
      <c r="J525" s="75"/>
      <c r="K525" s="75"/>
      <c r="L525" s="75"/>
      <c r="M525" s="75"/>
      <c r="N525" s="75"/>
      <c r="O525" s="75"/>
      <c r="P525" s="75"/>
    </row>
    <row r="526">
      <c r="A526" s="83" t="s">
        <v>1349</v>
      </c>
      <c r="B526" s="79">
        <v>2251.0</v>
      </c>
      <c r="C526" s="79" t="b">
        <v>0</v>
      </c>
      <c r="D526" s="79" t="str">
        <f>IFERROR(__xludf.DUMMYFUNCTION("GOOGLETRANSLATE(A526,""ar"", ""en"")"),"GAMING CHAIR 1 BLK + 9 BLK&amp;GREY")</f>
        <v>GAMING CHAIR 1 BLK + 9 BLK&amp;GREY</v>
      </c>
      <c r="E526" s="83" t="s">
        <v>1150</v>
      </c>
      <c r="F526" s="79"/>
      <c r="G526" s="75"/>
      <c r="H526" s="75"/>
      <c r="I526" s="75"/>
      <c r="J526" s="75"/>
      <c r="K526" s="75"/>
      <c r="L526" s="75"/>
      <c r="M526" s="75"/>
      <c r="N526" s="75"/>
      <c r="O526" s="75"/>
      <c r="P526" s="75"/>
    </row>
    <row r="527">
      <c r="A527" s="84" t="s">
        <v>1350</v>
      </c>
      <c r="B527" s="79">
        <v>2252.0</v>
      </c>
      <c r="C527" s="79" t="b">
        <v>0</v>
      </c>
      <c r="D527" s="79" t="str">
        <f>IFERROR(__xludf.DUMMYFUNCTION("GOOGLETRANSLATE(A527,""ar"", ""en"")"),"BLK Iron Hotel Chair Matt Black Fabric")</f>
        <v>BLK Iron Hotel Chair Matt Black Fabric</v>
      </c>
      <c r="E527" s="83" t="s">
        <v>1351</v>
      </c>
      <c r="F527" s="79"/>
      <c r="G527" s="75"/>
      <c r="H527" s="75"/>
      <c r="I527" s="75"/>
      <c r="J527" s="75"/>
      <c r="K527" s="75"/>
      <c r="L527" s="75"/>
      <c r="M527" s="75"/>
      <c r="N527" s="75"/>
      <c r="O527" s="75"/>
      <c r="P527" s="75"/>
    </row>
    <row r="528">
      <c r="A528" s="84" t="s">
        <v>1352</v>
      </c>
      <c r="B528" s="79">
        <v>2253.0</v>
      </c>
      <c r="C528" s="79" t="b">
        <v>0</v>
      </c>
      <c r="D528" s="79" t="str">
        <f>IFERROR(__xludf.DUMMYFUNCTION("GOOGLETRANSLATE(A528,""ar"", ""en"")"),"GOLD+ RED Hotel Chair Iron Fabric 68+153")</f>
        <v>GOLD+ RED Hotel Chair Iron Fabric 68+153</v>
      </c>
      <c r="E528" s="83" t="s">
        <v>1353</v>
      </c>
      <c r="F528" s="79"/>
      <c r="G528" s="75"/>
      <c r="H528" s="75"/>
      <c r="I528" s="75"/>
      <c r="J528" s="75"/>
      <c r="K528" s="75"/>
      <c r="L528" s="75"/>
      <c r="M528" s="75"/>
      <c r="N528" s="75"/>
      <c r="O528" s="75"/>
      <c r="P528" s="75"/>
    </row>
    <row r="529">
      <c r="A529" s="84" t="s">
        <v>1354</v>
      </c>
      <c r="B529" s="79">
        <v>2254.0</v>
      </c>
      <c r="C529" s="79" t="b">
        <v>0</v>
      </c>
      <c r="D529" s="79" t="str">
        <f>IFERROR(__xludf.DUMMYFUNCTION("GOOGLETRANSLATE(A529,""ar"", ""en"")"),"335/72 Font Base Permitted")</f>
        <v>335/72 Font Base Permitted</v>
      </c>
      <c r="E529" s="83" t="s">
        <v>827</v>
      </c>
      <c r="F529" s="79"/>
      <c r="G529" s="75"/>
      <c r="H529" s="75"/>
      <c r="I529" s="75"/>
      <c r="J529" s="75"/>
      <c r="K529" s="75"/>
      <c r="L529" s="75"/>
      <c r="M529" s="75"/>
      <c r="N529" s="75"/>
      <c r="O529" s="75"/>
      <c r="P529" s="75"/>
    </row>
    <row r="530">
      <c r="A530" s="84" t="s">
        <v>1355</v>
      </c>
      <c r="B530" s="79">
        <v>2256.0</v>
      </c>
      <c r="C530" s="79" t="b">
        <v>0</v>
      </c>
      <c r="D530" s="79" t="str">
        <f>IFERROR(__xludf.DUMMYFUNCTION("GOOGLETRANSLATE(A530,""ar"", ""en"")"),"H 64 base font allowed")</f>
        <v>H 64 base font allowed</v>
      </c>
      <c r="E530" s="83" t="s">
        <v>1356</v>
      </c>
      <c r="F530" s="79"/>
      <c r="G530" s="75"/>
      <c r="H530" s="75"/>
      <c r="I530" s="75"/>
      <c r="J530" s="75"/>
      <c r="K530" s="75"/>
      <c r="L530" s="75"/>
      <c r="M530" s="75"/>
      <c r="N530" s="75"/>
      <c r="O530" s="75"/>
      <c r="P530" s="75"/>
    </row>
    <row r="531">
      <c r="A531" s="83" t="s">
        <v>1357</v>
      </c>
      <c r="B531" s="79">
        <v>2257.0</v>
      </c>
      <c r="C531" s="79" t="b">
        <v>0</v>
      </c>
      <c r="D531" s="79" t="str">
        <f>IFERROR(__xludf.DUMMYFUNCTION("GOOGLETRANSLATE(A531,""ar"", ""en"")"),"AUSTRLIAN SND STN ceramic face 80*130")</f>
        <v>AUSTRLIAN SND STN ceramic face 80*130</v>
      </c>
      <c r="E531" s="83" t="s">
        <v>1358</v>
      </c>
      <c r="F531" s="79"/>
      <c r="G531" s="75"/>
      <c r="H531" s="75"/>
      <c r="I531" s="75"/>
      <c r="J531" s="75"/>
      <c r="K531" s="75"/>
      <c r="L531" s="75"/>
      <c r="M531" s="75"/>
      <c r="N531" s="75"/>
      <c r="O531" s="75"/>
      <c r="P531" s="75"/>
    </row>
    <row r="532">
      <c r="A532" s="84" t="s">
        <v>1359</v>
      </c>
      <c r="B532" s="79">
        <v>2258.0</v>
      </c>
      <c r="C532" s="79" t="b">
        <v>0</v>
      </c>
      <c r="D532" s="79" t="str">
        <f>IFERROR(__xludf.DUMMYFUNCTION("GOOGLETRANSLATE(A532,""ar"", ""en"")"),"ARMANI GREY 60mm round ceramic face")</f>
        <v>ARMANI GREY 60mm round ceramic face</v>
      </c>
      <c r="E532" s="83" t="s">
        <v>1360</v>
      </c>
      <c r="F532" s="79"/>
      <c r="G532" s="75"/>
      <c r="H532" s="75"/>
      <c r="I532" s="75"/>
      <c r="J532" s="75"/>
      <c r="K532" s="75"/>
      <c r="L532" s="75"/>
      <c r="M532" s="75"/>
      <c r="N532" s="75"/>
      <c r="O532" s="75"/>
      <c r="P532" s="75"/>
    </row>
    <row r="533">
      <c r="A533" s="84" t="s">
        <v>1362</v>
      </c>
      <c r="B533" s="79">
        <v>2259.0</v>
      </c>
      <c r="C533" s="79" t="b">
        <v>0</v>
      </c>
      <c r="D533" s="79" t="str">
        <f>IFERROR(__xludf.DUMMYFUNCTION("GOOGLETRANSLATE(A533,""ar"", ""en"")"),"ARMANI GREY Ceramic Face 70 Round")</f>
        <v>ARMANI GREY Ceramic Face 70 Round</v>
      </c>
      <c r="E533" s="83" t="s">
        <v>1363</v>
      </c>
      <c r="F533" s="79"/>
      <c r="G533" s="75"/>
      <c r="H533" s="75"/>
      <c r="I533" s="75"/>
      <c r="J533" s="75"/>
      <c r="K533" s="75"/>
      <c r="L533" s="75"/>
      <c r="M533" s="75"/>
      <c r="N533" s="75"/>
      <c r="O533" s="75"/>
      <c r="P533" s="75"/>
    </row>
    <row r="534">
      <c r="A534" s="84" t="s">
        <v>1365</v>
      </c>
      <c r="B534" s="79">
        <v>2260.0</v>
      </c>
      <c r="C534" s="79" t="b">
        <v>0</v>
      </c>
      <c r="D534" s="79" t="str">
        <f>IFERROR(__xludf.DUMMYFUNCTION("GOOGLETRANSLATE(A534,""ar"", ""en"")"),"ARMANI GREY ceramic face 80*130")</f>
        <v>ARMANI GREY ceramic face 80*130</v>
      </c>
      <c r="E534" s="83" t="s">
        <v>1366</v>
      </c>
      <c r="F534" s="79"/>
      <c r="G534" s="75"/>
      <c r="H534" s="75"/>
      <c r="I534" s="75"/>
      <c r="J534" s="75"/>
      <c r="K534" s="75"/>
      <c r="L534" s="75"/>
      <c r="M534" s="75"/>
      <c r="N534" s="75"/>
      <c r="O534" s="75"/>
      <c r="P534" s="75"/>
    </row>
    <row r="535">
      <c r="A535" s="84" t="s">
        <v>1368</v>
      </c>
      <c r="B535" s="79">
        <v>2261.0</v>
      </c>
      <c r="C535" s="79" t="b">
        <v>0</v>
      </c>
      <c r="D535" s="79" t="str">
        <f>IFERROR(__xludf.DUMMYFUNCTION("GOOGLETRANSLATE(A535,""ar"", ""en"")"),"ARMANI GREY ceramic face 70*120")</f>
        <v>ARMANI GREY ceramic face 70*120</v>
      </c>
      <c r="E535" s="83" t="s">
        <v>1369</v>
      </c>
      <c r="F535" s="79"/>
      <c r="G535" s="75"/>
      <c r="H535" s="75"/>
      <c r="I535" s="75"/>
      <c r="J535" s="75"/>
      <c r="K535" s="75"/>
      <c r="L535" s="75"/>
      <c r="M535" s="75"/>
      <c r="N535" s="75"/>
      <c r="O535" s="75"/>
      <c r="P535" s="75"/>
    </row>
    <row r="536">
      <c r="A536" s="84" t="s">
        <v>1371</v>
      </c>
      <c r="B536" s="79">
        <v>2262.0</v>
      </c>
      <c r="C536" s="79" t="b">
        <v>0</v>
      </c>
      <c r="D536" s="79" t="str">
        <f>IFERROR(__xludf.DUMMYFUNCTION("GOOGLETRANSLATE(A536,""ar"", ""en"")"),"ARMANI GREY ceramic face 90*160")</f>
        <v>ARMANI GREY ceramic face 90*160</v>
      </c>
      <c r="E536" s="83" t="s">
        <v>1372</v>
      </c>
      <c r="F536" s="79"/>
      <c r="G536" s="75"/>
      <c r="H536" s="75"/>
      <c r="I536" s="75"/>
      <c r="J536" s="75"/>
      <c r="K536" s="75"/>
      <c r="L536" s="75"/>
      <c r="M536" s="75"/>
      <c r="N536" s="75"/>
      <c r="O536" s="75"/>
      <c r="P536" s="75"/>
    </row>
    <row r="537">
      <c r="A537" s="84" t="s">
        <v>1374</v>
      </c>
      <c r="B537" s="79">
        <v>2263.0</v>
      </c>
      <c r="C537" s="79" t="b">
        <v>0</v>
      </c>
      <c r="D537" s="79" t="str">
        <f>IFERROR(__xludf.DUMMYFUNCTION("GOOGLETRANSLATE(A537,""ar"", ""en"")"),"LAUREN BLK GOLD Ceramic Face 70 Round")</f>
        <v>LAUREN BLK GOLD Ceramic Face 70 Round</v>
      </c>
      <c r="E537" s="83" t="s">
        <v>1375</v>
      </c>
      <c r="F537" s="79"/>
      <c r="G537" s="75"/>
      <c r="H537" s="75"/>
      <c r="I537" s="75"/>
      <c r="J537" s="75"/>
      <c r="K537" s="75"/>
      <c r="L537" s="75"/>
      <c r="M537" s="75"/>
      <c r="N537" s="75"/>
      <c r="O537" s="75"/>
      <c r="P537" s="75"/>
    </row>
    <row r="538">
      <c r="A538" s="83" t="s">
        <v>1377</v>
      </c>
      <c r="B538" s="79">
        <v>2264.0</v>
      </c>
      <c r="C538" s="79" t="b">
        <v>0</v>
      </c>
      <c r="D538" s="79" t="str">
        <f>IFERROR(__xludf.DUMMYFUNCTION("GOOGLETRANSLATE(A538,""ar"", ""en"")"),"LAUREN BLK GOLD Ceramic Face 80*130")</f>
        <v>LAUREN BLK GOLD Ceramic Face 80*130</v>
      </c>
      <c r="E538" s="83" t="s">
        <v>1378</v>
      </c>
      <c r="F538" s="79"/>
      <c r="G538" s="75"/>
      <c r="H538" s="75"/>
      <c r="I538" s="75"/>
      <c r="J538" s="75"/>
      <c r="K538" s="75"/>
      <c r="L538" s="75"/>
      <c r="M538" s="75"/>
      <c r="N538" s="75"/>
      <c r="O538" s="75"/>
      <c r="P538" s="75"/>
    </row>
    <row r="539">
      <c r="A539" s="83" t="s">
        <v>1380</v>
      </c>
      <c r="B539" s="79">
        <v>2265.0</v>
      </c>
      <c r="C539" s="79" t="b">
        <v>0</v>
      </c>
      <c r="D539" s="79" t="str">
        <f>IFERROR(__xludf.DUMMYFUNCTION("GOOGLETRANSLATE(A539,""ar"", ""en"")"),"LAUREN BLK GOLD Ceramic Face 70*120")</f>
        <v>LAUREN BLK GOLD Ceramic Face 70*120</v>
      </c>
      <c r="E539" s="83" t="s">
        <v>1381</v>
      </c>
      <c r="F539" s="79"/>
      <c r="G539" s="75"/>
      <c r="H539" s="75"/>
      <c r="I539" s="75"/>
      <c r="J539" s="75"/>
      <c r="K539" s="75"/>
      <c r="L539" s="75"/>
      <c r="M539" s="75"/>
      <c r="N539" s="75"/>
      <c r="O539" s="75"/>
      <c r="P539" s="75"/>
    </row>
    <row r="540">
      <c r="A540" s="83" t="s">
        <v>1383</v>
      </c>
      <c r="B540" s="79">
        <v>2266.0</v>
      </c>
      <c r="C540" s="79" t="b">
        <v>0</v>
      </c>
      <c r="D540" s="79" t="str">
        <f>IFERROR(__xludf.DUMMYFUNCTION("GOOGLETRANSLATE(A540,""ar"", ""en"")"),"LAUREN BLK GOLD Ceramic Face 90*160")</f>
        <v>LAUREN BLK GOLD Ceramic Face 90*160</v>
      </c>
      <c r="E540" s="83" t="s">
        <v>1384</v>
      </c>
      <c r="F540" s="79"/>
      <c r="G540" s="75"/>
      <c r="H540" s="75"/>
      <c r="I540" s="75"/>
      <c r="J540" s="75"/>
      <c r="K540" s="75"/>
      <c r="L540" s="75"/>
      <c r="M540" s="75"/>
      <c r="N540" s="75"/>
      <c r="O540" s="75"/>
      <c r="P540" s="75"/>
    </row>
    <row r="541">
      <c r="A541" s="83" t="s">
        <v>1386</v>
      </c>
      <c r="B541" s="79">
        <v>2267.0</v>
      </c>
      <c r="C541" s="79" t="b">
        <v>0</v>
      </c>
      <c r="D541" s="79" t="str">
        <f>IFERROR(__xludf.DUMMYFUNCTION("GOOGLETRANSLATE(A541,""ar"", ""en"")"),"SNOW MWNTN WHITE MAT 60 Round Ceramic Face")</f>
        <v>SNOW MWNTN WHITE MAT 60 Round Ceramic Face</v>
      </c>
      <c r="E541" s="83" t="s">
        <v>1387</v>
      </c>
      <c r="F541" s="79"/>
      <c r="G541" s="75"/>
      <c r="H541" s="75"/>
      <c r="I541" s="75"/>
      <c r="J541" s="75"/>
      <c r="K541" s="75"/>
      <c r="L541" s="75"/>
      <c r="M541" s="75"/>
      <c r="N541" s="75"/>
      <c r="O541" s="75"/>
      <c r="P541" s="75"/>
    </row>
    <row r="542">
      <c r="A542" s="83" t="s">
        <v>1389</v>
      </c>
      <c r="B542" s="79">
        <v>2268.0</v>
      </c>
      <c r="C542" s="79" t="b">
        <v>0</v>
      </c>
      <c r="D542" s="79" t="str">
        <f>IFERROR(__xludf.DUMMYFUNCTION("GOOGLETRANSLATE(A542,""ar"", ""en"")"),"SNOW MWNTN WHITE MAT Ceramic Face 80*130")</f>
        <v>SNOW MWNTN WHITE MAT Ceramic Face 80*130</v>
      </c>
      <c r="E542" s="83" t="s">
        <v>1390</v>
      </c>
      <c r="F542" s="79"/>
      <c r="G542" s="75"/>
      <c r="H542" s="75"/>
      <c r="I542" s="75"/>
      <c r="J542" s="75"/>
      <c r="K542" s="75"/>
      <c r="L542" s="75"/>
      <c r="M542" s="75"/>
      <c r="N542" s="75"/>
      <c r="O542" s="75"/>
      <c r="P542" s="75"/>
    </row>
    <row r="543">
      <c r="A543" s="84" t="s">
        <v>1392</v>
      </c>
      <c r="B543" s="79">
        <v>2282.0</v>
      </c>
      <c r="C543" s="79" t="b">
        <v>0</v>
      </c>
      <c r="D543" s="79" t="str">
        <f>IFERROR(__xludf.DUMMYFUNCTION("GOOGLETRANSLATE(A543,""ar"", ""en"")"),"Ceramic table 90*180")</f>
        <v>Ceramic table 90*180</v>
      </c>
      <c r="E543" s="83" t="s">
        <v>1393</v>
      </c>
      <c r="F543" s="79"/>
      <c r="G543" s="75"/>
      <c r="H543" s="75"/>
      <c r="I543" s="75"/>
      <c r="J543" s="75"/>
      <c r="K543" s="75"/>
      <c r="L543" s="75"/>
      <c r="M543" s="75"/>
      <c r="N543" s="75"/>
      <c r="O543" s="75"/>
      <c r="P543" s="75"/>
    </row>
    <row r="544">
      <c r="A544" s="84" t="s">
        <v>1394</v>
      </c>
      <c r="B544" s="79">
        <v>2283.0</v>
      </c>
      <c r="C544" s="79" t="b">
        <v>0</v>
      </c>
      <c r="D544" s="79" t="str">
        <f>IFERROR(__xludf.DUMMYFUNCTION("GOOGLETRANSLATE(A544,""ar"", ""en"")"),"Font base 4 legs slim tube")</f>
        <v>Font base 4 legs slim tube</v>
      </c>
      <c r="E544" s="83" t="s">
        <v>1395</v>
      </c>
      <c r="F544" s="79"/>
      <c r="G544" s="75"/>
      <c r="H544" s="75"/>
      <c r="I544" s="75"/>
      <c r="J544" s="75"/>
      <c r="K544" s="75"/>
      <c r="L544" s="75"/>
      <c r="M544" s="75"/>
      <c r="N544" s="75"/>
      <c r="O544" s="75"/>
      <c r="P544" s="75"/>
    </row>
    <row r="545">
      <c r="A545" s="84" t="s">
        <v>189</v>
      </c>
      <c r="B545" s="79">
        <v>2284.0</v>
      </c>
      <c r="C545" s="79" t="b">
        <v>0</v>
      </c>
      <c r="D545" s="79" t="str">
        <f>IFERROR(__xludf.DUMMYFUNCTION("GOOGLETRANSLATE(A545,""ar"", ""en"")"),"45cm Black Square Capsule Base")</f>
        <v>45cm Black Square Capsule Base</v>
      </c>
      <c r="E545" s="83" t="s">
        <v>190</v>
      </c>
      <c r="F545" s="79"/>
      <c r="G545" s="75"/>
      <c r="H545" s="75"/>
      <c r="I545" s="75"/>
      <c r="J545" s="75"/>
      <c r="K545" s="75"/>
      <c r="L545" s="75"/>
      <c r="M545" s="75"/>
      <c r="N545" s="75"/>
      <c r="O545" s="75"/>
      <c r="P545" s="75"/>
    </row>
    <row r="546">
      <c r="A546" s="84" t="s">
        <v>1186</v>
      </c>
      <c r="B546" s="79">
        <v>2286.0</v>
      </c>
      <c r="C546" s="79" t="b">
        <v>0</v>
      </c>
      <c r="D546" s="79" t="str">
        <f>IFERROR(__xludf.DUMMYFUNCTION("GOOGLETRANSLATE(A546,""ar"", ""en"")"),"office chair")</f>
        <v>office chair</v>
      </c>
      <c r="E546" s="83" t="s">
        <v>1196</v>
      </c>
      <c r="F546" s="79"/>
      <c r="G546" s="75"/>
      <c r="H546" s="75"/>
      <c r="I546" s="75"/>
      <c r="J546" s="75"/>
      <c r="K546" s="75"/>
      <c r="L546" s="75"/>
      <c r="M546" s="75"/>
      <c r="N546" s="75"/>
      <c r="O546" s="75"/>
      <c r="P546" s="75"/>
    </row>
    <row r="547">
      <c r="A547" s="84" t="s">
        <v>1186</v>
      </c>
      <c r="B547" s="79">
        <v>2287.0</v>
      </c>
      <c r="C547" s="79" t="b">
        <v>0</v>
      </c>
      <c r="D547" s="79" t="str">
        <f>IFERROR(__xludf.DUMMYFUNCTION("GOOGLETRANSLATE(A547,""ar"", ""en"")"),"office chair")</f>
        <v>office chair</v>
      </c>
      <c r="E547" s="83" t="s">
        <v>1396</v>
      </c>
      <c r="F547" s="79"/>
      <c r="G547" s="75"/>
      <c r="H547" s="75"/>
      <c r="I547" s="75"/>
      <c r="J547" s="75"/>
      <c r="K547" s="75"/>
      <c r="L547" s="75"/>
      <c r="M547" s="75"/>
      <c r="N547" s="75"/>
      <c r="O547" s="75"/>
      <c r="P547" s="75"/>
    </row>
    <row r="548">
      <c r="A548" s="84" t="s">
        <v>1397</v>
      </c>
      <c r="B548" s="79">
        <v>2288.0</v>
      </c>
      <c r="C548" s="79" t="b">
        <v>0</v>
      </c>
      <c r="D548" s="79" t="str">
        <f>IFERROR(__xludf.DUMMYFUNCTION("GOOGLETRANSLATE(A548,""ar"", ""en"")"),"AUSTRLIAN SND STN Ceramic Face 60 Round")</f>
        <v>AUSTRLIAN SND STN Ceramic Face 60 Round</v>
      </c>
      <c r="E548" s="83" t="s">
        <v>1398</v>
      </c>
      <c r="F548" s="79"/>
      <c r="G548" s="75"/>
      <c r="H548" s="75"/>
      <c r="I548" s="75"/>
      <c r="J548" s="75"/>
      <c r="K548" s="75"/>
      <c r="L548" s="75"/>
      <c r="M548" s="75"/>
      <c r="N548" s="75"/>
      <c r="O548" s="75"/>
      <c r="P548" s="75"/>
    </row>
    <row r="549">
      <c r="A549" s="83" t="s">
        <v>1400</v>
      </c>
      <c r="B549" s="79">
        <v>2289.0</v>
      </c>
      <c r="C549" s="79" t="b">
        <v>0</v>
      </c>
      <c r="D549" s="79" t="str">
        <f>IFERROR(__xludf.DUMMYFUNCTION("GOOGLETRANSLATE(A549,""ar"", ""en"")"),"AUSTRLIAN SND STN ceramic face 60*60")</f>
        <v>AUSTRLIAN SND STN ceramic face 60*60</v>
      </c>
      <c r="E549" s="83" t="s">
        <v>1401</v>
      </c>
      <c r="F549" s="79"/>
      <c r="G549" s="75"/>
      <c r="H549" s="75"/>
      <c r="I549" s="75"/>
      <c r="J549" s="75"/>
      <c r="K549" s="75"/>
      <c r="L549" s="75"/>
      <c r="M549" s="75"/>
      <c r="N549" s="75"/>
      <c r="O549" s="75"/>
      <c r="P549" s="75"/>
    </row>
    <row r="550">
      <c r="A550" s="83" t="s">
        <v>1403</v>
      </c>
      <c r="B550" s="79">
        <v>2290.0</v>
      </c>
      <c r="C550" s="79" t="b">
        <v>0</v>
      </c>
      <c r="D550" s="79" t="str">
        <f>IFERROR(__xludf.DUMMYFUNCTION("GOOGLETRANSLATE(A550,""ar"", ""en"")"),"AUSTRLIAN SND STN ceramic face 80*80")</f>
        <v>AUSTRLIAN SND STN ceramic face 80*80</v>
      </c>
      <c r="E550" s="83" t="s">
        <v>1404</v>
      </c>
      <c r="F550" s="79"/>
      <c r="G550" s="75"/>
      <c r="H550" s="75"/>
      <c r="I550" s="75"/>
      <c r="J550" s="75"/>
      <c r="K550" s="75"/>
      <c r="L550" s="75"/>
      <c r="M550" s="75"/>
      <c r="N550" s="75"/>
      <c r="O550" s="75"/>
      <c r="P550" s="75"/>
    </row>
    <row r="551">
      <c r="A551" s="83" t="s">
        <v>1406</v>
      </c>
      <c r="B551" s="79">
        <v>2291.0</v>
      </c>
      <c r="C551" s="79" t="b">
        <v>0</v>
      </c>
      <c r="D551" s="79" t="str">
        <f>IFERROR(__xludf.DUMMYFUNCTION("GOOGLETRANSLATE(A551,""ar"", ""en"")"),"AUSTRLIAN SND STN ceramic face 90*90")</f>
        <v>AUSTRLIAN SND STN ceramic face 90*90</v>
      </c>
      <c r="E551" s="83" t="s">
        <v>1407</v>
      </c>
      <c r="F551" s="79"/>
      <c r="G551" s="75"/>
      <c r="H551" s="75"/>
      <c r="I551" s="75"/>
      <c r="J551" s="75"/>
      <c r="K551" s="75"/>
      <c r="L551" s="75"/>
      <c r="M551" s="75"/>
      <c r="N551" s="75"/>
      <c r="O551" s="75"/>
      <c r="P551" s="75"/>
    </row>
    <row r="552">
      <c r="A552" s="84" t="s">
        <v>1409</v>
      </c>
      <c r="B552" s="79">
        <v>2292.0</v>
      </c>
      <c r="C552" s="79" t="b">
        <v>0</v>
      </c>
      <c r="D552" s="79" t="str">
        <f>IFERROR(__xludf.DUMMYFUNCTION("GOOGLETRANSLATE(A552,""ar"", ""en"")"),"ARMANI GREY ceramic face 60*60")</f>
        <v>ARMANI GREY ceramic face 60*60</v>
      </c>
      <c r="E552" s="83" t="s">
        <v>1410</v>
      </c>
      <c r="F552" s="79"/>
      <c r="G552" s="75"/>
      <c r="H552" s="75"/>
      <c r="I552" s="75"/>
      <c r="J552" s="75"/>
      <c r="K552" s="75"/>
      <c r="L552" s="75"/>
      <c r="M552" s="75"/>
      <c r="N552" s="75"/>
      <c r="O552" s="75"/>
      <c r="P552" s="75"/>
    </row>
    <row r="553">
      <c r="A553" s="84" t="s">
        <v>1412</v>
      </c>
      <c r="B553" s="79">
        <v>2293.0</v>
      </c>
      <c r="C553" s="79" t="b">
        <v>0</v>
      </c>
      <c r="D553" s="79" t="str">
        <f>IFERROR(__xludf.DUMMYFUNCTION("GOOGLETRANSLATE(A553,""ar"", ""en"")"),"ARMANI GREY ceramic face 70*70")</f>
        <v>ARMANI GREY ceramic face 70*70</v>
      </c>
      <c r="E553" s="83" t="s">
        <v>1413</v>
      </c>
      <c r="F553" s="79"/>
      <c r="G553" s="75"/>
      <c r="H553" s="75"/>
      <c r="I553" s="75"/>
      <c r="J553" s="75"/>
      <c r="K553" s="75"/>
      <c r="L553" s="75"/>
      <c r="M553" s="75"/>
      <c r="N553" s="75"/>
      <c r="O553" s="75"/>
      <c r="P553" s="75"/>
    </row>
    <row r="554">
      <c r="A554" s="84" t="s">
        <v>1415</v>
      </c>
      <c r="B554" s="79">
        <v>2294.0</v>
      </c>
      <c r="C554" s="79" t="b">
        <v>0</v>
      </c>
      <c r="D554" s="79" t="str">
        <f>IFERROR(__xludf.DUMMYFUNCTION("GOOGLETRANSLATE(A554,""ar"", ""en"")"),"ARMANI GREY ceramic face 80*80")</f>
        <v>ARMANI GREY ceramic face 80*80</v>
      </c>
      <c r="E554" s="83" t="s">
        <v>1416</v>
      </c>
      <c r="F554" s="79"/>
      <c r="G554" s="75"/>
      <c r="H554" s="75"/>
      <c r="I554" s="75"/>
      <c r="J554" s="75"/>
      <c r="K554" s="75"/>
      <c r="L554" s="75"/>
      <c r="M554" s="75"/>
      <c r="N554" s="75"/>
      <c r="O554" s="75"/>
      <c r="P554" s="75"/>
    </row>
    <row r="555">
      <c r="A555" s="84" t="s">
        <v>1418</v>
      </c>
      <c r="B555" s="79">
        <v>2295.0</v>
      </c>
      <c r="C555" s="79" t="b">
        <v>0</v>
      </c>
      <c r="D555" s="79" t="str">
        <f>IFERROR(__xludf.DUMMYFUNCTION("GOOGLETRANSLATE(A555,""ar"", ""en"")"),"ARMANI GREY ceramic face 90*90")</f>
        <v>ARMANI GREY ceramic face 90*90</v>
      </c>
      <c r="E555" s="83" t="s">
        <v>1419</v>
      </c>
      <c r="F555" s="79"/>
      <c r="G555" s="75"/>
      <c r="H555" s="75"/>
      <c r="I555" s="75"/>
      <c r="J555" s="75"/>
      <c r="K555" s="75"/>
      <c r="L555" s="75"/>
      <c r="M555" s="75"/>
      <c r="N555" s="75"/>
      <c r="O555" s="75"/>
      <c r="P555" s="75"/>
    </row>
    <row r="556">
      <c r="A556" s="84" t="s">
        <v>1421</v>
      </c>
      <c r="B556" s="79">
        <v>2296.0</v>
      </c>
      <c r="C556" s="79" t="b">
        <v>0</v>
      </c>
      <c r="D556" s="79" t="str">
        <f>IFERROR(__xludf.DUMMYFUNCTION("GOOGLETRANSLATE(A556,""ar"", ""en"")"),"LAUREN BLK GOLD Ceramic Face 60 Round")</f>
        <v>LAUREN BLK GOLD Ceramic Face 60 Round</v>
      </c>
      <c r="E556" s="83" t="s">
        <v>1422</v>
      </c>
      <c r="F556" s="79"/>
      <c r="G556" s="75"/>
      <c r="H556" s="75"/>
      <c r="I556" s="75"/>
      <c r="J556" s="75"/>
      <c r="K556" s="75"/>
      <c r="L556" s="75"/>
      <c r="M556" s="75"/>
      <c r="N556" s="75"/>
      <c r="O556" s="75"/>
      <c r="P556" s="75"/>
    </row>
    <row r="557">
      <c r="A557" s="83" t="s">
        <v>1424</v>
      </c>
      <c r="B557" s="79">
        <v>2297.0</v>
      </c>
      <c r="C557" s="79" t="b">
        <v>0</v>
      </c>
      <c r="D557" s="79" t="str">
        <f>IFERROR(__xludf.DUMMYFUNCTION("GOOGLETRANSLATE(A557,""ar"", ""en"")"),"LAUREN BLK GOLD Ceramic Face 60*60")</f>
        <v>LAUREN BLK GOLD Ceramic Face 60*60</v>
      </c>
      <c r="E557" s="83" t="s">
        <v>1425</v>
      </c>
      <c r="F557" s="79"/>
      <c r="G557" s="75"/>
      <c r="H557" s="75"/>
      <c r="I557" s="75"/>
      <c r="J557" s="75"/>
      <c r="K557" s="75"/>
      <c r="L557" s="75"/>
      <c r="M557" s="75"/>
      <c r="N557" s="75"/>
      <c r="O557" s="75"/>
      <c r="P557" s="75"/>
    </row>
    <row r="558">
      <c r="A558" s="83" t="s">
        <v>1427</v>
      </c>
      <c r="B558" s="79">
        <v>2298.0</v>
      </c>
      <c r="C558" s="79" t="b">
        <v>0</v>
      </c>
      <c r="D558" s="79" t="str">
        <f>IFERROR(__xludf.DUMMYFUNCTION("GOOGLETRANSLATE(A558,""ar"", ""en"")"),"LAUREN BLK GOLD Ceramic Face 70*70")</f>
        <v>LAUREN BLK GOLD Ceramic Face 70*70</v>
      </c>
      <c r="E558" s="83" t="s">
        <v>1428</v>
      </c>
      <c r="F558" s="79"/>
      <c r="G558" s="75"/>
      <c r="H558" s="75"/>
      <c r="I558" s="75"/>
      <c r="J558" s="75"/>
      <c r="K558" s="75"/>
      <c r="L558" s="75"/>
      <c r="M558" s="75"/>
      <c r="N558" s="75"/>
      <c r="O558" s="75"/>
      <c r="P558" s="75"/>
    </row>
    <row r="559">
      <c r="A559" s="83" t="s">
        <v>1430</v>
      </c>
      <c r="B559" s="79">
        <v>2299.0</v>
      </c>
      <c r="C559" s="79" t="b">
        <v>0</v>
      </c>
      <c r="D559" s="79" t="str">
        <f>IFERROR(__xludf.DUMMYFUNCTION("GOOGLETRANSLATE(A559,""ar"", ""en"")"),"LAUREN BLK GOLD Ceramic Face 80*80")</f>
        <v>LAUREN BLK GOLD Ceramic Face 80*80</v>
      </c>
      <c r="E559" s="83" t="s">
        <v>1431</v>
      </c>
      <c r="F559" s="79"/>
      <c r="G559" s="75"/>
      <c r="H559" s="75"/>
      <c r="I559" s="75"/>
      <c r="J559" s="75"/>
      <c r="K559" s="75"/>
      <c r="L559" s="75"/>
      <c r="M559" s="75"/>
      <c r="N559" s="75"/>
      <c r="O559" s="75"/>
      <c r="P559" s="75"/>
    </row>
    <row r="560">
      <c r="A560" s="83" t="s">
        <v>1433</v>
      </c>
      <c r="B560" s="79">
        <v>2300.0</v>
      </c>
      <c r="C560" s="79" t="b">
        <v>0</v>
      </c>
      <c r="D560" s="79" t="str">
        <f>IFERROR(__xludf.DUMMYFUNCTION("GOOGLETRANSLATE(A560,""ar"", ""en"")"),"LAUREN BLK GOLD Ceramic Face 90*90")</f>
        <v>LAUREN BLK GOLD Ceramic Face 90*90</v>
      </c>
      <c r="E560" s="83" t="s">
        <v>1434</v>
      </c>
      <c r="F560" s="79"/>
      <c r="G560" s="75"/>
      <c r="H560" s="75"/>
      <c r="I560" s="75"/>
      <c r="J560" s="75"/>
      <c r="K560" s="75"/>
      <c r="L560" s="75"/>
      <c r="M560" s="75"/>
      <c r="N560" s="75"/>
      <c r="O560" s="75"/>
      <c r="P560" s="75"/>
    </row>
    <row r="561">
      <c r="A561" s="83" t="s">
        <v>1436</v>
      </c>
      <c r="B561" s="79">
        <v>2301.0</v>
      </c>
      <c r="C561" s="79" t="b">
        <v>0</v>
      </c>
      <c r="D561" s="79" t="str">
        <f>IFERROR(__xludf.DUMMYFUNCTION("GOOGLETRANSLATE(A561,""ar"", ""en"")"),"SNOW MWNTN WHITE MAT Ceramic Face 60*60")</f>
        <v>SNOW MWNTN WHITE MAT Ceramic Face 60*60</v>
      </c>
      <c r="E561" s="83" t="s">
        <v>1437</v>
      </c>
      <c r="F561" s="79"/>
      <c r="G561" s="75"/>
      <c r="H561" s="75"/>
      <c r="I561" s="75"/>
      <c r="J561" s="75"/>
      <c r="K561" s="75"/>
      <c r="L561" s="75"/>
      <c r="M561" s="75"/>
      <c r="N561" s="75"/>
      <c r="O561" s="75"/>
      <c r="P561" s="75"/>
    </row>
    <row r="562">
      <c r="A562" s="84" t="s">
        <v>1439</v>
      </c>
      <c r="B562" s="79">
        <v>2302.0</v>
      </c>
      <c r="C562" s="79" t="b">
        <v>0</v>
      </c>
      <c r="D562" s="79" t="str">
        <f>IFERROR(__xludf.DUMMYFUNCTION("GOOGLETRANSLATE(A562,""ar"", ""en"")"),"SNOW MWNTN WHITE MAT Ceramic Face 70 Round")</f>
        <v>SNOW MWNTN WHITE MAT Ceramic Face 70 Round</v>
      </c>
      <c r="E562" s="83" t="s">
        <v>1440</v>
      </c>
      <c r="F562" s="79"/>
      <c r="G562" s="75"/>
      <c r="H562" s="75"/>
      <c r="I562" s="75"/>
      <c r="J562" s="75"/>
      <c r="K562" s="75"/>
      <c r="L562" s="75"/>
      <c r="M562" s="75"/>
      <c r="N562" s="75"/>
      <c r="O562" s="75"/>
      <c r="P562" s="75"/>
    </row>
    <row r="563">
      <c r="A563" s="83" t="s">
        <v>1442</v>
      </c>
      <c r="B563" s="79">
        <v>2303.0</v>
      </c>
      <c r="C563" s="79" t="b">
        <v>0</v>
      </c>
      <c r="D563" s="79" t="str">
        <f>IFERROR(__xludf.DUMMYFUNCTION("GOOGLETRANSLATE(A563,""ar"", ""en"")"),"SNOW MWNTN WHITE MAT Ceramic Face 70*70")</f>
        <v>SNOW MWNTN WHITE MAT Ceramic Face 70*70</v>
      </c>
      <c r="E563" s="83" t="s">
        <v>1443</v>
      </c>
      <c r="F563" s="79"/>
      <c r="G563" s="75"/>
      <c r="H563" s="75"/>
      <c r="I563" s="75"/>
      <c r="J563" s="75"/>
      <c r="K563" s="75"/>
      <c r="L563" s="75"/>
      <c r="M563" s="75"/>
      <c r="N563" s="75"/>
      <c r="O563" s="75"/>
      <c r="P563" s="75"/>
    </row>
    <row r="564">
      <c r="A564" s="84" t="s">
        <v>1445</v>
      </c>
      <c r="B564" s="79">
        <v>2304.0</v>
      </c>
      <c r="C564" s="79" t="b">
        <v>0</v>
      </c>
      <c r="D564" s="79" t="str">
        <f>IFERROR(__xludf.DUMMYFUNCTION("GOOGLETRANSLATE(A564,""ar"", ""en"")"),"SNOW MWNTN WHITE MAT Ceramic Face 80 Round")</f>
        <v>SNOW MWNTN WHITE MAT Ceramic Face 80 Round</v>
      </c>
      <c r="E564" s="83" t="s">
        <v>1446</v>
      </c>
      <c r="F564" s="79"/>
      <c r="G564" s="75"/>
      <c r="H564" s="75"/>
      <c r="I564" s="75"/>
      <c r="J564" s="75"/>
      <c r="K564" s="75"/>
      <c r="L564" s="75"/>
      <c r="M564" s="75"/>
      <c r="N564" s="75"/>
      <c r="O564" s="75"/>
      <c r="P564" s="75"/>
    </row>
    <row r="565">
      <c r="A565" s="83" t="s">
        <v>1448</v>
      </c>
      <c r="B565" s="79">
        <v>2305.0</v>
      </c>
      <c r="C565" s="79" t="b">
        <v>0</v>
      </c>
      <c r="D565" s="79" t="str">
        <f>IFERROR(__xludf.DUMMYFUNCTION("GOOGLETRANSLATE(A565,""ar"", ""en"")"),"SNOW MWNTN WHITE MAT Ceramic Face 80*80")</f>
        <v>SNOW MWNTN WHITE MAT Ceramic Face 80*80</v>
      </c>
      <c r="E565" s="83" t="s">
        <v>1449</v>
      </c>
      <c r="F565" s="79"/>
      <c r="G565" s="75"/>
      <c r="H565" s="75"/>
      <c r="I565" s="75"/>
      <c r="J565" s="75"/>
      <c r="K565" s="75"/>
      <c r="L565" s="75"/>
      <c r="M565" s="75"/>
      <c r="N565" s="75"/>
      <c r="O565" s="75"/>
      <c r="P565" s="75"/>
    </row>
    <row r="566">
      <c r="A566" s="84" t="s">
        <v>1451</v>
      </c>
      <c r="B566" s="79">
        <v>2308.0</v>
      </c>
      <c r="C566" s="79" t="b">
        <v>0</v>
      </c>
      <c r="D566" s="79" t="str">
        <f>IFERROR(__xludf.DUMMYFUNCTION("GOOGLETRANSLATE(A566,""ar"", ""en"")"),"GREY leather dining chair")</f>
        <v>GREY leather dining chair</v>
      </c>
      <c r="E566" s="83" t="s">
        <v>1452</v>
      </c>
      <c r="F566" s="79"/>
      <c r="G566" s="75"/>
      <c r="H566" s="75"/>
      <c r="I566" s="75"/>
      <c r="J566" s="75"/>
      <c r="K566" s="75"/>
      <c r="L566" s="75"/>
      <c r="M566" s="75"/>
      <c r="N566" s="75"/>
      <c r="O566" s="75"/>
      <c r="P566" s="75"/>
    </row>
    <row r="567">
      <c r="A567" s="85" t="s">
        <v>1453</v>
      </c>
      <c r="B567" s="79">
        <v>2316.0</v>
      </c>
      <c r="C567" s="79" t="b">
        <v>0</v>
      </c>
      <c r="D567" s="79" t="str">
        <f>IFERROR(__xludf.DUMMYFUNCTION("GOOGLETRANSLATE(A567,""ar"", ""en"")"),"plastic chair without handles")</f>
        <v>plastic chair without handles</v>
      </c>
      <c r="E567" s="86" t="s">
        <v>1454</v>
      </c>
      <c r="F567" s="79"/>
      <c r="G567" s="75"/>
      <c r="H567" s="75"/>
      <c r="I567" s="75"/>
      <c r="J567" s="75"/>
      <c r="K567" s="75"/>
      <c r="L567" s="75"/>
      <c r="M567" s="75"/>
      <c r="N567" s="75"/>
      <c r="O567" s="75"/>
      <c r="P567" s="75"/>
    </row>
    <row r="568">
      <c r="A568" s="85" t="s">
        <v>1455</v>
      </c>
      <c r="B568" s="79">
        <v>2319.0</v>
      </c>
      <c r="C568" s="79" t="b">
        <v>0</v>
      </c>
      <c r="D568" s="79" t="str">
        <f>IFERROR(__xludf.DUMMYFUNCTION("GOOGLETRANSLATE(A568,""ar"", ""en"")"),"GREY plastic chair")</f>
        <v>GREY plastic chair</v>
      </c>
      <c r="E568" s="86" t="s">
        <v>1456</v>
      </c>
      <c r="F568" s="79"/>
      <c r="G568" s="75"/>
      <c r="H568" s="75"/>
      <c r="I568" s="75"/>
      <c r="J568" s="75"/>
      <c r="K568" s="75"/>
      <c r="L568" s="75"/>
      <c r="M568" s="75"/>
      <c r="N568" s="75"/>
      <c r="O568" s="75"/>
      <c r="P568" s="75"/>
    </row>
    <row r="569">
      <c r="A569" s="85" t="s">
        <v>1457</v>
      </c>
      <c r="B569" s="79">
        <v>2321.0</v>
      </c>
      <c r="C569" s="79" t="b">
        <v>0</v>
      </c>
      <c r="D569" s="79" t="str">
        <f>IFERROR(__xludf.DUMMYFUNCTION("GOOGLETRANSLATE(A569,""ar"", ""en"")"),"BLK Wide Plastic Chair")</f>
        <v>BLK Wide Plastic Chair</v>
      </c>
      <c r="E569" s="86" t="s">
        <v>1458</v>
      </c>
      <c r="F569" s="79"/>
      <c r="G569" s="75"/>
      <c r="H569" s="75"/>
      <c r="I569" s="75"/>
      <c r="J569" s="75"/>
      <c r="K569" s="75"/>
      <c r="L569" s="75"/>
      <c r="M569" s="75"/>
      <c r="N569" s="75"/>
      <c r="O569" s="75"/>
      <c r="P569" s="75"/>
    </row>
    <row r="570">
      <c r="A570" s="85" t="s">
        <v>1453</v>
      </c>
      <c r="B570" s="79">
        <v>2324.0</v>
      </c>
      <c r="C570" s="79" t="b">
        <v>0</v>
      </c>
      <c r="D570" s="79" t="str">
        <f>IFERROR(__xludf.DUMMYFUNCTION("GOOGLETRANSLATE(A570,""ar"", ""en"")"),"plastic chair without handles")</f>
        <v>plastic chair without handles</v>
      </c>
      <c r="E570" s="86" t="s">
        <v>1459</v>
      </c>
      <c r="F570" s="79"/>
      <c r="G570" s="75"/>
      <c r="H570" s="75"/>
      <c r="I570" s="75"/>
      <c r="J570" s="75"/>
      <c r="K570" s="75"/>
      <c r="L570" s="75"/>
      <c r="M570" s="75"/>
      <c r="N570" s="75"/>
      <c r="O570" s="75"/>
      <c r="P570" s="75"/>
    </row>
    <row r="571">
      <c r="A571" s="85" t="s">
        <v>1460</v>
      </c>
      <c r="B571" s="79">
        <v>2325.0</v>
      </c>
      <c r="C571" s="79" t="b">
        <v>0</v>
      </c>
      <c r="D571" s="79" t="str">
        <f>IFERROR(__xludf.DUMMYFUNCTION("GOOGLETRANSLATE(A571,""ar"", ""en"")"),"BLK X Plastic Chair")</f>
        <v>BLK X Plastic Chair</v>
      </c>
      <c r="E571" s="86" t="s">
        <v>1461</v>
      </c>
      <c r="F571" s="79"/>
      <c r="G571" s="75"/>
      <c r="H571" s="75"/>
      <c r="I571" s="75"/>
      <c r="J571" s="75"/>
      <c r="K571" s="75"/>
      <c r="L571" s="75"/>
      <c r="M571" s="75"/>
      <c r="N571" s="75"/>
      <c r="O571" s="75"/>
      <c r="P571" s="75"/>
    </row>
    <row r="572">
      <c r="A572" s="85" t="s">
        <v>1462</v>
      </c>
      <c r="B572" s="79">
        <v>2326.0</v>
      </c>
      <c r="C572" s="79" t="b">
        <v>0</v>
      </c>
      <c r="D572" s="79" t="str">
        <f>IFERROR(__xludf.DUMMYFUNCTION("GOOGLETRANSLATE(A572,""ar"", ""en"")"),"306/Large Wide X 4 Leg Font Base")</f>
        <v>306/Large Wide X 4 Leg Font Base</v>
      </c>
      <c r="E572" s="86" t="s">
        <v>1463</v>
      </c>
      <c r="F572" s="79"/>
      <c r="G572" s="75"/>
      <c r="H572" s="75"/>
      <c r="I572" s="75"/>
      <c r="J572" s="75"/>
      <c r="K572" s="75"/>
      <c r="L572" s="75"/>
      <c r="M572" s="75"/>
      <c r="N572" s="75"/>
      <c r="O572" s="75"/>
      <c r="P572" s="75"/>
    </row>
    <row r="573">
      <c r="A573" s="85" t="s">
        <v>1464</v>
      </c>
      <c r="B573" s="79">
        <v>2327.0</v>
      </c>
      <c r="C573" s="79" t="b">
        <v>0</v>
      </c>
      <c r="D573" s="79" t="str">
        <f>IFERROR(__xludf.DUMMYFUNCTION("GOOGLETRANSLATE(A573,""ar"", ""en"")"),"H 108CM/50 square font parmeless base")</f>
        <v>H 108CM/50 square font parmeless base</v>
      </c>
      <c r="E573" s="86" t="s">
        <v>1465</v>
      </c>
      <c r="F573" s="79"/>
      <c r="G573" s="75"/>
      <c r="H573" s="75"/>
      <c r="I573" s="75"/>
      <c r="J573" s="75"/>
      <c r="K573" s="75"/>
      <c r="L573" s="75"/>
      <c r="M573" s="75"/>
      <c r="N573" s="75"/>
      <c r="O573" s="75"/>
      <c r="P573" s="75"/>
    </row>
    <row r="574">
      <c r="A574" s="85" t="s">
        <v>1466</v>
      </c>
      <c r="B574" s="79">
        <v>2329.0</v>
      </c>
      <c r="C574" s="79" t="b">
        <v>0</v>
      </c>
      <c r="D574" s="79" t="str">
        <f>IFERROR(__xludf.DUMMYFUNCTION("GOOGLETRANSLATE(A574,""ar"", ""en"")"),"306 Wide Small X 4 Leg Font Base")</f>
        <v>306 Wide Small X 4 Leg Font Base</v>
      </c>
      <c r="E574" s="86" t="s">
        <v>1467</v>
      </c>
      <c r="F574" s="79"/>
      <c r="G574" s="75"/>
      <c r="H574" s="75"/>
      <c r="I574" s="75"/>
      <c r="J574" s="75"/>
      <c r="K574" s="75"/>
      <c r="L574" s="75"/>
      <c r="M574" s="75"/>
      <c r="N574" s="75"/>
      <c r="O574" s="75"/>
      <c r="P574" s="75"/>
    </row>
    <row r="575">
      <c r="A575" s="85" t="s">
        <v>1468</v>
      </c>
      <c r="B575" s="79">
        <v>2330.0</v>
      </c>
      <c r="C575" s="79" t="b">
        <v>0</v>
      </c>
      <c r="D575" s="79" t="str">
        <f>IFERROR(__xludf.DUMMYFUNCTION("GOOGLETRANSLATE(A575,""ar"", ""en"")"),"Small 3-legged font base")</f>
        <v>Small 3-legged font base</v>
      </c>
      <c r="E575" s="86" t="s">
        <v>1469</v>
      </c>
      <c r="F575" s="79"/>
      <c r="G575" s="75"/>
      <c r="H575" s="75"/>
      <c r="I575" s="75"/>
      <c r="J575" s="75"/>
      <c r="K575" s="75"/>
      <c r="L575" s="75"/>
      <c r="M575" s="75"/>
      <c r="N575" s="75"/>
      <c r="O575" s="75"/>
      <c r="P575" s="75"/>
    </row>
    <row r="576">
      <c r="A576" s="85" t="s">
        <v>1470</v>
      </c>
      <c r="B576" s="79">
        <v>2331.0</v>
      </c>
      <c r="C576" s="79" t="b">
        <v>0</v>
      </c>
      <c r="D576" s="79" t="str">
        <f>IFERROR(__xludf.DUMMYFUNCTION("GOOGLETRANSLATE(A576,""ar"", ""en"")"),"Small 4-legged font base")</f>
        <v>Small 4-legged font base</v>
      </c>
      <c r="E576" s="86" t="s">
        <v>1471</v>
      </c>
      <c r="F576" s="79"/>
      <c r="G576" s="75"/>
      <c r="H576" s="75"/>
      <c r="I576" s="75"/>
      <c r="J576" s="75"/>
      <c r="K576" s="75"/>
      <c r="L576" s="75"/>
      <c r="M576" s="75"/>
      <c r="N576" s="75"/>
      <c r="O576" s="75"/>
      <c r="P576" s="75"/>
    </row>
    <row r="577">
      <c r="A577" s="75"/>
      <c r="B577" s="75"/>
      <c r="C577" s="75"/>
      <c r="D577" s="75"/>
      <c r="E577" s="75"/>
      <c r="F577" s="75"/>
      <c r="G577" s="75"/>
      <c r="H577" s="75"/>
      <c r="I577" s="75"/>
      <c r="J577" s="75"/>
      <c r="K577" s="75"/>
      <c r="L577" s="75"/>
      <c r="M577" s="75"/>
      <c r="N577" s="75"/>
      <c r="O577" s="75"/>
      <c r="P577" s="75"/>
    </row>
    <row r="578">
      <c r="A578" s="75"/>
      <c r="B578" s="75"/>
      <c r="C578" s="75"/>
      <c r="D578" s="75"/>
      <c r="E578" s="75"/>
      <c r="F578" s="75"/>
      <c r="G578" s="75"/>
      <c r="H578" s="75"/>
      <c r="I578" s="75"/>
      <c r="J578" s="75"/>
      <c r="K578" s="75"/>
      <c r="L578" s="75"/>
      <c r="M578" s="75"/>
      <c r="N578" s="75"/>
      <c r="O578" s="75"/>
      <c r="P578" s="75"/>
    </row>
    <row r="579">
      <c r="A579" s="75"/>
      <c r="B579" s="75"/>
      <c r="C579" s="75"/>
      <c r="D579" s="75"/>
      <c r="E579" s="75"/>
      <c r="F579" s="75"/>
      <c r="G579" s="75"/>
      <c r="H579" s="75"/>
      <c r="I579" s="75"/>
      <c r="J579" s="75"/>
      <c r="K579" s="75"/>
      <c r="L579" s="75"/>
      <c r="M579" s="75"/>
      <c r="N579" s="75"/>
      <c r="O579" s="75"/>
      <c r="P579" s="75"/>
    </row>
    <row r="580">
      <c r="A580" s="75"/>
      <c r="B580" s="75"/>
      <c r="C580" s="75"/>
      <c r="D580" s="75"/>
      <c r="E580" s="75"/>
      <c r="F580" s="75"/>
      <c r="G580" s="75"/>
      <c r="H580" s="75"/>
      <c r="I580" s="75"/>
      <c r="J580" s="75"/>
      <c r="K580" s="75"/>
      <c r="L580" s="75"/>
      <c r="M580" s="75"/>
      <c r="N580" s="75"/>
      <c r="O580" s="75"/>
      <c r="P580" s="75"/>
    </row>
    <row r="581">
      <c r="A581" s="75"/>
      <c r="B581" s="75"/>
      <c r="C581" s="75"/>
      <c r="D581" s="75"/>
      <c r="E581" s="75"/>
      <c r="F581" s="75"/>
      <c r="G581" s="75"/>
      <c r="H581" s="75"/>
      <c r="I581" s="75"/>
      <c r="J581" s="75"/>
      <c r="K581" s="75"/>
      <c r="L581" s="75"/>
      <c r="M581" s="75"/>
      <c r="N581" s="75"/>
      <c r="O581" s="75"/>
      <c r="P581" s="75"/>
    </row>
    <row r="582">
      <c r="A582" s="75"/>
      <c r="B582" s="75"/>
      <c r="C582" s="75"/>
      <c r="D582" s="75"/>
      <c r="E582" s="75"/>
      <c r="F582" s="75"/>
      <c r="G582" s="75"/>
      <c r="H582" s="75"/>
      <c r="I582" s="75"/>
      <c r="J582" s="75"/>
      <c r="K582" s="75"/>
      <c r="L582" s="75"/>
      <c r="M582" s="75"/>
      <c r="N582" s="75"/>
      <c r="O582" s="75"/>
      <c r="P582" s="75"/>
    </row>
    <row r="583">
      <c r="A583" s="75"/>
      <c r="B583" s="75"/>
      <c r="C583" s="75"/>
      <c r="D583" s="75"/>
      <c r="E583" s="75"/>
      <c r="F583" s="75"/>
      <c r="G583" s="75"/>
      <c r="H583" s="75"/>
      <c r="I583" s="75"/>
      <c r="J583" s="75"/>
      <c r="K583" s="75"/>
      <c r="L583" s="75"/>
      <c r="M583" s="75"/>
      <c r="N583" s="75"/>
      <c r="O583" s="75"/>
      <c r="P583" s="75"/>
    </row>
    <row r="584">
      <c r="A584" s="75"/>
      <c r="B584" s="75"/>
      <c r="C584" s="75"/>
      <c r="D584" s="75"/>
      <c r="E584" s="75"/>
      <c r="F584" s="75"/>
      <c r="G584" s="75"/>
      <c r="H584" s="75"/>
      <c r="I584" s="75"/>
      <c r="J584" s="75"/>
      <c r="K584" s="75"/>
      <c r="L584" s="75"/>
      <c r="M584" s="75"/>
      <c r="N584" s="75"/>
      <c r="O584" s="75"/>
      <c r="P584" s="75"/>
    </row>
    <row r="585">
      <c r="A585" s="75"/>
      <c r="B585" s="75"/>
      <c r="C585" s="75"/>
      <c r="D585" s="75"/>
      <c r="E585" s="75"/>
      <c r="F585" s="75"/>
      <c r="G585" s="75"/>
      <c r="H585" s="75"/>
      <c r="I585" s="75"/>
      <c r="J585" s="75"/>
      <c r="K585" s="75"/>
      <c r="L585" s="75"/>
      <c r="M585" s="75"/>
      <c r="N585" s="75"/>
      <c r="O585" s="75"/>
      <c r="P585" s="75"/>
    </row>
    <row r="586">
      <c r="A586" s="75"/>
      <c r="B586" s="75"/>
      <c r="C586" s="75"/>
      <c r="D586" s="75"/>
      <c r="E586" s="75"/>
      <c r="F586" s="75"/>
      <c r="G586" s="75"/>
      <c r="H586" s="75"/>
      <c r="I586" s="75"/>
      <c r="J586" s="75"/>
      <c r="K586" s="75"/>
      <c r="L586" s="75"/>
      <c r="M586" s="75"/>
      <c r="N586" s="75"/>
      <c r="O586" s="75"/>
      <c r="P586" s="75"/>
    </row>
    <row r="587">
      <c r="A587" s="75"/>
      <c r="B587" s="75"/>
      <c r="C587" s="75"/>
      <c r="D587" s="75"/>
      <c r="E587" s="75"/>
      <c r="F587" s="75"/>
      <c r="G587" s="75"/>
      <c r="H587" s="75"/>
      <c r="I587" s="75"/>
      <c r="J587" s="75"/>
      <c r="K587" s="75"/>
      <c r="L587" s="75"/>
      <c r="M587" s="75"/>
      <c r="N587" s="75"/>
      <c r="O587" s="75"/>
      <c r="P587" s="75"/>
    </row>
    <row r="588">
      <c r="A588" s="75"/>
      <c r="B588" s="75"/>
      <c r="C588" s="75"/>
      <c r="D588" s="75"/>
      <c r="E588" s="75"/>
      <c r="F588" s="75"/>
      <c r="G588" s="75"/>
      <c r="H588" s="75"/>
      <c r="I588" s="75"/>
      <c r="J588" s="75"/>
      <c r="K588" s="75"/>
      <c r="L588" s="75"/>
      <c r="M588" s="75"/>
      <c r="N588" s="75"/>
      <c r="O588" s="75"/>
      <c r="P588" s="75"/>
    </row>
    <row r="589">
      <c r="A589" s="75"/>
      <c r="B589" s="75"/>
      <c r="C589" s="75"/>
      <c r="D589" s="75"/>
      <c r="E589" s="75"/>
      <c r="F589" s="75"/>
      <c r="G589" s="75"/>
      <c r="H589" s="75"/>
      <c r="I589" s="75"/>
      <c r="J589" s="75"/>
      <c r="K589" s="75"/>
      <c r="L589" s="75"/>
      <c r="M589" s="75"/>
      <c r="N589" s="75"/>
      <c r="O589" s="75"/>
      <c r="P589" s="75"/>
    </row>
    <row r="590">
      <c r="A590" s="75"/>
      <c r="B590" s="75"/>
      <c r="C590" s="75"/>
      <c r="D590" s="75"/>
      <c r="E590" s="75"/>
      <c r="F590" s="75"/>
      <c r="G590" s="75"/>
      <c r="H590" s="75"/>
      <c r="I590" s="75"/>
      <c r="J590" s="75"/>
      <c r="K590" s="75"/>
      <c r="L590" s="75"/>
      <c r="M590" s="75"/>
      <c r="N590" s="75"/>
      <c r="O590" s="75"/>
      <c r="P590" s="75"/>
    </row>
    <row r="591">
      <c r="A591" s="75"/>
      <c r="B591" s="75"/>
      <c r="C591" s="75"/>
      <c r="D591" s="75"/>
      <c r="E591" s="75"/>
      <c r="F591" s="75"/>
      <c r="G591" s="75"/>
      <c r="H591" s="75"/>
      <c r="I591" s="75"/>
      <c r="J591" s="75"/>
      <c r="K591" s="75"/>
      <c r="L591" s="75"/>
      <c r="M591" s="75"/>
      <c r="N591" s="75"/>
      <c r="O591" s="75"/>
      <c r="P591" s="75"/>
    </row>
    <row r="592">
      <c r="A592" s="75"/>
      <c r="B592" s="75"/>
      <c r="C592" s="75"/>
      <c r="D592" s="75"/>
      <c r="E592" s="75"/>
      <c r="F592" s="75"/>
      <c r="G592" s="75"/>
      <c r="H592" s="75"/>
      <c r="I592" s="75"/>
      <c r="J592" s="75"/>
      <c r="K592" s="75"/>
      <c r="L592" s="75"/>
      <c r="M592" s="75"/>
      <c r="N592" s="75"/>
      <c r="O592" s="75"/>
      <c r="P592" s="75"/>
    </row>
    <row r="593">
      <c r="A593" s="75"/>
      <c r="B593" s="75"/>
      <c r="C593" s="75"/>
      <c r="D593" s="75"/>
      <c r="E593" s="75"/>
      <c r="F593" s="75"/>
      <c r="G593" s="75"/>
      <c r="H593" s="75"/>
      <c r="I593" s="75"/>
      <c r="J593" s="75"/>
      <c r="K593" s="75"/>
      <c r="L593" s="75"/>
      <c r="M593" s="75"/>
      <c r="N593" s="75"/>
      <c r="O593" s="75"/>
      <c r="P593" s="75"/>
    </row>
    <row r="594">
      <c r="A594" s="75"/>
      <c r="B594" s="75"/>
      <c r="C594" s="75"/>
      <c r="D594" s="75"/>
      <c r="E594" s="75"/>
      <c r="F594" s="75"/>
      <c r="G594" s="75"/>
      <c r="H594" s="75"/>
      <c r="I594" s="75"/>
      <c r="J594" s="75"/>
      <c r="K594" s="75"/>
      <c r="L594" s="75"/>
      <c r="M594" s="75"/>
      <c r="N594" s="75"/>
      <c r="O594" s="75"/>
      <c r="P594" s="75"/>
    </row>
    <row r="595">
      <c r="A595" s="75"/>
      <c r="B595" s="75"/>
      <c r="C595" s="75"/>
      <c r="D595" s="75"/>
      <c r="E595" s="75"/>
      <c r="F595" s="75"/>
      <c r="G595" s="75"/>
      <c r="H595" s="75"/>
      <c r="I595" s="75"/>
      <c r="J595" s="75"/>
      <c r="K595" s="75"/>
      <c r="L595" s="75"/>
      <c r="M595" s="75"/>
      <c r="N595" s="75"/>
      <c r="O595" s="75"/>
      <c r="P595" s="75"/>
    </row>
    <row r="596">
      <c r="A596" s="75"/>
      <c r="B596" s="75"/>
      <c r="C596" s="75"/>
      <c r="D596" s="75"/>
      <c r="E596" s="75"/>
      <c r="F596" s="75"/>
      <c r="G596" s="75"/>
      <c r="H596" s="75"/>
      <c r="I596" s="75"/>
      <c r="J596" s="75"/>
      <c r="K596" s="75"/>
      <c r="L596" s="75"/>
      <c r="M596" s="75"/>
      <c r="N596" s="75"/>
      <c r="O596" s="75"/>
      <c r="P596" s="75"/>
    </row>
    <row r="597">
      <c r="A597" s="75"/>
      <c r="B597" s="75"/>
      <c r="C597" s="75"/>
      <c r="D597" s="75"/>
      <c r="E597" s="75"/>
      <c r="F597" s="75"/>
      <c r="G597" s="75"/>
      <c r="H597" s="75"/>
      <c r="I597" s="75"/>
      <c r="J597" s="75"/>
      <c r="K597" s="75"/>
      <c r="L597" s="75"/>
      <c r="M597" s="75"/>
      <c r="N597" s="75"/>
      <c r="O597" s="75"/>
      <c r="P597" s="75"/>
    </row>
    <row r="598">
      <c r="A598" s="75"/>
      <c r="B598" s="75"/>
      <c r="C598" s="75"/>
      <c r="D598" s="75"/>
      <c r="E598" s="75"/>
      <c r="F598" s="75"/>
      <c r="G598" s="75"/>
      <c r="H598" s="75"/>
      <c r="I598" s="75"/>
      <c r="J598" s="75"/>
      <c r="K598" s="75"/>
      <c r="L598" s="75"/>
      <c r="M598" s="75"/>
      <c r="N598" s="75"/>
      <c r="O598" s="75"/>
      <c r="P598" s="75"/>
    </row>
    <row r="599">
      <c r="A599" s="75"/>
      <c r="B599" s="75"/>
      <c r="C599" s="75"/>
      <c r="D599" s="75"/>
      <c r="E599" s="75"/>
      <c r="F599" s="75"/>
      <c r="G599" s="75"/>
      <c r="H599" s="75"/>
      <c r="I599" s="75"/>
      <c r="J599" s="75"/>
      <c r="K599" s="75"/>
      <c r="L599" s="75"/>
      <c r="M599" s="75"/>
      <c r="N599" s="75"/>
      <c r="O599" s="75"/>
      <c r="P599" s="75"/>
    </row>
    <row r="600">
      <c r="A600" s="75"/>
      <c r="B600" s="75"/>
      <c r="C600" s="75"/>
      <c r="D600" s="75"/>
      <c r="E600" s="75"/>
      <c r="F600" s="75"/>
      <c r="G600" s="75"/>
      <c r="H600" s="75"/>
      <c r="I600" s="75"/>
      <c r="J600" s="75"/>
      <c r="K600" s="75"/>
      <c r="L600" s="75"/>
      <c r="M600" s="75"/>
      <c r="N600" s="75"/>
      <c r="O600" s="75"/>
      <c r="P600" s="75"/>
    </row>
    <row r="601">
      <c r="A601" s="75"/>
      <c r="B601" s="75"/>
      <c r="C601" s="75"/>
      <c r="D601" s="75"/>
      <c r="E601" s="75"/>
      <c r="F601" s="75"/>
      <c r="G601" s="75"/>
      <c r="H601" s="75"/>
      <c r="I601" s="75"/>
      <c r="J601" s="75"/>
      <c r="K601" s="75"/>
      <c r="L601" s="75"/>
      <c r="M601" s="75"/>
      <c r="N601" s="75"/>
      <c r="O601" s="75"/>
      <c r="P601" s="75"/>
    </row>
    <row r="602">
      <c r="A602" s="75"/>
      <c r="B602" s="75"/>
      <c r="C602" s="75"/>
      <c r="D602" s="75"/>
      <c r="E602" s="75"/>
      <c r="F602" s="75"/>
      <c r="G602" s="75"/>
      <c r="H602" s="75"/>
      <c r="I602" s="75"/>
      <c r="J602" s="75"/>
      <c r="K602" s="75"/>
      <c r="L602" s="75"/>
      <c r="M602" s="75"/>
      <c r="N602" s="75"/>
      <c r="O602" s="75"/>
      <c r="P602" s="75"/>
    </row>
    <row r="603">
      <c r="A603" s="75"/>
      <c r="B603" s="75"/>
      <c r="C603" s="75"/>
      <c r="D603" s="75"/>
      <c r="E603" s="75"/>
      <c r="F603" s="75"/>
      <c r="G603" s="75"/>
      <c r="H603" s="75"/>
      <c r="I603" s="75"/>
      <c r="J603" s="75"/>
      <c r="K603" s="75"/>
      <c r="L603" s="75"/>
      <c r="M603" s="75"/>
      <c r="N603" s="75"/>
      <c r="O603" s="75"/>
      <c r="P603" s="75"/>
    </row>
    <row r="604">
      <c r="A604" s="75"/>
      <c r="B604" s="75"/>
      <c r="C604" s="75"/>
      <c r="D604" s="75"/>
      <c r="E604" s="75"/>
      <c r="F604" s="75"/>
      <c r="G604" s="75"/>
      <c r="H604" s="75"/>
      <c r="I604" s="75"/>
      <c r="J604" s="75"/>
      <c r="K604" s="75"/>
      <c r="L604" s="75"/>
      <c r="M604" s="75"/>
      <c r="N604" s="75"/>
      <c r="O604" s="75"/>
      <c r="P604" s="75"/>
    </row>
    <row r="605">
      <c r="A605" s="75"/>
      <c r="B605" s="75"/>
      <c r="C605" s="75"/>
      <c r="D605" s="75"/>
      <c r="E605" s="75"/>
      <c r="F605" s="75"/>
      <c r="G605" s="75"/>
      <c r="H605" s="75"/>
      <c r="I605" s="75"/>
      <c r="J605" s="75"/>
      <c r="K605" s="75"/>
      <c r="L605" s="75"/>
      <c r="M605" s="75"/>
      <c r="N605" s="75"/>
      <c r="O605" s="75"/>
      <c r="P605" s="75"/>
    </row>
    <row r="606">
      <c r="A606" s="75"/>
      <c r="B606" s="75"/>
      <c r="C606" s="75"/>
      <c r="D606" s="75"/>
      <c r="E606" s="75"/>
      <c r="F606" s="75"/>
      <c r="G606" s="75"/>
      <c r="H606" s="75"/>
      <c r="I606" s="75"/>
      <c r="J606" s="75"/>
      <c r="K606" s="75"/>
      <c r="L606" s="75"/>
      <c r="M606" s="75"/>
      <c r="N606" s="75"/>
      <c r="O606" s="75"/>
      <c r="P606" s="75"/>
    </row>
    <row r="607">
      <c r="A607" s="75"/>
      <c r="B607" s="75"/>
      <c r="C607" s="75"/>
      <c r="D607" s="75"/>
      <c r="E607" s="75"/>
      <c r="F607" s="75"/>
      <c r="G607" s="75"/>
      <c r="H607" s="75"/>
      <c r="I607" s="75"/>
      <c r="J607" s="75"/>
      <c r="K607" s="75"/>
      <c r="L607" s="75"/>
      <c r="M607" s="75"/>
      <c r="N607" s="75"/>
      <c r="O607" s="75"/>
      <c r="P607" s="75"/>
    </row>
    <row r="608">
      <c r="A608" s="75"/>
      <c r="B608" s="75"/>
      <c r="C608" s="75"/>
      <c r="D608" s="75"/>
      <c r="E608" s="75"/>
      <c r="F608" s="75"/>
      <c r="G608" s="75"/>
      <c r="H608" s="75"/>
      <c r="I608" s="75"/>
      <c r="J608" s="75"/>
      <c r="K608" s="75"/>
      <c r="L608" s="75"/>
      <c r="M608" s="75"/>
      <c r="N608" s="75"/>
      <c r="O608" s="75"/>
      <c r="P608" s="75"/>
    </row>
    <row r="609">
      <c r="A609" s="75"/>
      <c r="B609" s="75"/>
      <c r="C609" s="75"/>
      <c r="D609" s="75"/>
      <c r="E609" s="75"/>
      <c r="F609" s="75"/>
      <c r="G609" s="75"/>
      <c r="H609" s="75"/>
      <c r="I609" s="75"/>
      <c r="J609" s="75"/>
      <c r="K609" s="75"/>
      <c r="L609" s="75"/>
      <c r="M609" s="75"/>
      <c r="N609" s="75"/>
      <c r="O609" s="75"/>
      <c r="P609" s="75"/>
    </row>
    <row r="610">
      <c r="A610" s="75"/>
      <c r="B610" s="75"/>
      <c r="C610" s="75"/>
      <c r="D610" s="75"/>
      <c r="E610" s="75"/>
      <c r="F610" s="75"/>
      <c r="G610" s="75"/>
      <c r="H610" s="75"/>
      <c r="I610" s="75"/>
      <c r="J610" s="75"/>
      <c r="K610" s="75"/>
      <c r="L610" s="75"/>
      <c r="M610" s="75"/>
      <c r="N610" s="75"/>
      <c r="O610" s="75"/>
      <c r="P610" s="75"/>
    </row>
    <row r="611">
      <c r="A611" s="75"/>
      <c r="B611" s="75"/>
      <c r="C611" s="75"/>
      <c r="D611" s="75"/>
      <c r="E611" s="75"/>
      <c r="F611" s="75"/>
      <c r="G611" s="75"/>
      <c r="H611" s="75"/>
      <c r="I611" s="75"/>
      <c r="J611" s="75"/>
      <c r="K611" s="75"/>
      <c r="L611" s="75"/>
      <c r="M611" s="75"/>
      <c r="N611" s="75"/>
      <c r="O611" s="75"/>
      <c r="P611" s="75"/>
    </row>
    <row r="612">
      <c r="A612" s="75"/>
      <c r="B612" s="75"/>
      <c r="C612" s="75"/>
      <c r="D612" s="75"/>
      <c r="E612" s="75"/>
      <c r="F612" s="75"/>
      <c r="G612" s="75"/>
      <c r="H612" s="75"/>
      <c r="I612" s="75"/>
      <c r="J612" s="75"/>
      <c r="K612" s="75"/>
      <c r="L612" s="75"/>
      <c r="M612" s="75"/>
      <c r="N612" s="75"/>
      <c r="O612" s="75"/>
      <c r="P612" s="75"/>
    </row>
    <row r="613">
      <c r="A613" s="75"/>
      <c r="B613" s="75"/>
      <c r="C613" s="75"/>
      <c r="D613" s="75"/>
      <c r="E613" s="75"/>
      <c r="F613" s="75"/>
      <c r="G613" s="75"/>
      <c r="H613" s="75"/>
      <c r="I613" s="75"/>
      <c r="J613" s="75"/>
      <c r="K613" s="75"/>
      <c r="L613" s="75"/>
      <c r="M613" s="75"/>
      <c r="N613" s="75"/>
      <c r="O613" s="75"/>
      <c r="P613" s="75"/>
    </row>
    <row r="614">
      <c r="A614" s="75"/>
      <c r="B614" s="75"/>
      <c r="C614" s="75"/>
      <c r="D614" s="75"/>
      <c r="E614" s="75"/>
      <c r="F614" s="75"/>
      <c r="G614" s="75"/>
      <c r="H614" s="75"/>
      <c r="I614" s="75"/>
      <c r="J614" s="75"/>
      <c r="K614" s="75"/>
      <c r="L614" s="75"/>
      <c r="M614" s="75"/>
      <c r="N614" s="75"/>
      <c r="O614" s="75"/>
      <c r="P614" s="75"/>
    </row>
    <row r="615">
      <c r="A615" s="75"/>
      <c r="B615" s="75"/>
      <c r="C615" s="75"/>
      <c r="D615" s="75"/>
      <c r="E615" s="75"/>
      <c r="F615" s="75"/>
      <c r="G615" s="75"/>
      <c r="H615" s="75"/>
      <c r="I615" s="75"/>
      <c r="J615" s="75"/>
      <c r="K615" s="75"/>
      <c r="L615" s="75"/>
      <c r="M615" s="75"/>
      <c r="N615" s="75"/>
      <c r="O615" s="75"/>
      <c r="P615" s="75"/>
    </row>
    <row r="616">
      <c r="A616" s="75"/>
      <c r="B616" s="75"/>
      <c r="C616" s="75"/>
      <c r="D616" s="75"/>
      <c r="E616" s="75"/>
      <c r="F616" s="75"/>
      <c r="G616" s="75"/>
      <c r="H616" s="75"/>
      <c r="I616" s="75"/>
      <c r="J616" s="75"/>
      <c r="K616" s="75"/>
      <c r="L616" s="75"/>
      <c r="M616" s="75"/>
      <c r="N616" s="75"/>
      <c r="O616" s="75"/>
      <c r="P616" s="75"/>
    </row>
    <row r="617">
      <c r="A617" s="75"/>
      <c r="B617" s="75"/>
      <c r="C617" s="75"/>
      <c r="D617" s="75"/>
      <c r="E617" s="75"/>
      <c r="F617" s="75"/>
      <c r="G617" s="75"/>
      <c r="H617" s="75"/>
      <c r="I617" s="75"/>
      <c r="J617" s="75"/>
      <c r="K617" s="75"/>
      <c r="L617" s="75"/>
      <c r="M617" s="75"/>
      <c r="N617" s="75"/>
      <c r="O617" s="75"/>
      <c r="P617" s="75"/>
    </row>
    <row r="618">
      <c r="A618" s="75"/>
      <c r="B618" s="75"/>
      <c r="C618" s="75"/>
      <c r="D618" s="75"/>
      <c r="E618" s="75"/>
      <c r="F618" s="75"/>
      <c r="G618" s="75"/>
      <c r="H618" s="75"/>
      <c r="I618" s="75"/>
      <c r="J618" s="75"/>
      <c r="K618" s="75"/>
      <c r="L618" s="75"/>
      <c r="M618" s="75"/>
      <c r="N618" s="75"/>
      <c r="O618" s="75"/>
      <c r="P618" s="75"/>
    </row>
    <row r="619">
      <c r="A619" s="75"/>
      <c r="B619" s="75"/>
      <c r="C619" s="75"/>
      <c r="D619" s="75"/>
      <c r="E619" s="75"/>
      <c r="F619" s="75"/>
      <c r="G619" s="75"/>
      <c r="H619" s="75"/>
      <c r="I619" s="75"/>
      <c r="J619" s="75"/>
      <c r="K619" s="75"/>
      <c r="L619" s="75"/>
      <c r="M619" s="75"/>
      <c r="N619" s="75"/>
      <c r="O619" s="75"/>
      <c r="P619" s="75"/>
    </row>
    <row r="620">
      <c r="A620" s="75"/>
      <c r="B620" s="75"/>
      <c r="C620" s="75"/>
      <c r="D620" s="75"/>
      <c r="E620" s="75"/>
      <c r="F620" s="75"/>
      <c r="G620" s="75"/>
      <c r="H620" s="75"/>
      <c r="I620" s="75"/>
      <c r="J620" s="75"/>
      <c r="K620" s="75"/>
      <c r="L620" s="75"/>
      <c r="M620" s="75"/>
      <c r="N620" s="75"/>
      <c r="O620" s="75"/>
      <c r="P620" s="75"/>
    </row>
    <row r="621">
      <c r="A621" s="75"/>
      <c r="B621" s="75"/>
      <c r="C621" s="75"/>
      <c r="D621" s="75"/>
      <c r="E621" s="75"/>
      <c r="F621" s="75"/>
      <c r="G621" s="75"/>
      <c r="H621" s="75"/>
      <c r="I621" s="75"/>
      <c r="J621" s="75"/>
      <c r="K621" s="75"/>
      <c r="L621" s="75"/>
      <c r="M621" s="75"/>
      <c r="N621" s="75"/>
      <c r="O621" s="75"/>
      <c r="P621" s="75"/>
    </row>
    <row r="622">
      <c r="A622" s="75"/>
      <c r="B622" s="75"/>
      <c r="C622" s="75"/>
      <c r="D622" s="75"/>
      <c r="E622" s="75"/>
      <c r="F622" s="75"/>
      <c r="G622" s="75"/>
      <c r="H622" s="75"/>
      <c r="I622" s="75"/>
      <c r="J622" s="75"/>
      <c r="K622" s="75"/>
      <c r="L622" s="75"/>
      <c r="M622" s="75"/>
      <c r="N622" s="75"/>
      <c r="O622" s="75"/>
      <c r="P622" s="75"/>
    </row>
    <row r="623">
      <c r="A623" s="75"/>
      <c r="B623" s="75"/>
      <c r="C623" s="75"/>
      <c r="D623" s="75"/>
      <c r="E623" s="75"/>
      <c r="F623" s="75"/>
      <c r="G623" s="75"/>
      <c r="H623" s="75"/>
      <c r="I623" s="75"/>
      <c r="J623" s="75"/>
      <c r="K623" s="75"/>
      <c r="L623" s="75"/>
      <c r="M623" s="75"/>
      <c r="N623" s="75"/>
      <c r="O623" s="75"/>
      <c r="P623" s="75"/>
    </row>
    <row r="624">
      <c r="A624" s="75"/>
      <c r="B624" s="75"/>
      <c r="C624" s="75"/>
      <c r="D624" s="75"/>
      <c r="E624" s="75"/>
      <c r="F624" s="75"/>
      <c r="G624" s="75"/>
      <c r="H624" s="75"/>
      <c r="I624" s="75"/>
      <c r="J624" s="75"/>
      <c r="K624" s="75"/>
      <c r="L624" s="75"/>
      <c r="M624" s="75"/>
      <c r="N624" s="75"/>
      <c r="O624" s="75"/>
      <c r="P624" s="75"/>
    </row>
    <row r="625">
      <c r="A625" s="75"/>
      <c r="B625" s="75"/>
      <c r="C625" s="75"/>
      <c r="D625" s="75"/>
      <c r="E625" s="75"/>
      <c r="F625" s="75"/>
      <c r="G625" s="75"/>
      <c r="H625" s="75"/>
      <c r="I625" s="75"/>
      <c r="J625" s="75"/>
      <c r="K625" s="75"/>
      <c r="L625" s="75"/>
      <c r="M625" s="75"/>
      <c r="N625" s="75"/>
      <c r="O625" s="75"/>
      <c r="P625" s="75"/>
    </row>
    <row r="626">
      <c r="A626" s="75"/>
      <c r="B626" s="75"/>
      <c r="C626" s="75"/>
      <c r="D626" s="75"/>
      <c r="E626" s="75"/>
      <c r="F626" s="75"/>
      <c r="G626" s="75"/>
      <c r="H626" s="75"/>
      <c r="I626" s="75"/>
      <c r="J626" s="75"/>
      <c r="K626" s="75"/>
      <c r="L626" s="75"/>
      <c r="M626" s="75"/>
      <c r="N626" s="75"/>
      <c r="O626" s="75"/>
      <c r="P626" s="75"/>
    </row>
    <row r="627">
      <c r="A627" s="75"/>
      <c r="B627" s="75"/>
      <c r="C627" s="75"/>
      <c r="D627" s="75"/>
      <c r="E627" s="75"/>
      <c r="F627" s="75"/>
      <c r="G627" s="75"/>
      <c r="H627" s="75"/>
      <c r="I627" s="75"/>
      <c r="J627" s="75"/>
      <c r="K627" s="75"/>
      <c r="L627" s="75"/>
      <c r="M627" s="75"/>
      <c r="N627" s="75"/>
      <c r="O627" s="75"/>
      <c r="P627" s="75"/>
    </row>
    <row r="628">
      <c r="A628" s="75"/>
      <c r="B628" s="75"/>
      <c r="C628" s="75"/>
      <c r="D628" s="75"/>
      <c r="E628" s="75"/>
      <c r="F628" s="75"/>
      <c r="G628" s="75"/>
      <c r="H628" s="75"/>
      <c r="I628" s="75"/>
      <c r="J628" s="75"/>
      <c r="K628" s="75"/>
      <c r="L628" s="75"/>
      <c r="M628" s="75"/>
      <c r="N628" s="75"/>
      <c r="O628" s="75"/>
      <c r="P628" s="75"/>
    </row>
    <row r="629">
      <c r="A629" s="75"/>
      <c r="B629" s="75"/>
      <c r="C629" s="75"/>
      <c r="D629" s="75"/>
      <c r="E629" s="75"/>
      <c r="F629" s="75"/>
      <c r="G629" s="75"/>
      <c r="H629" s="75"/>
      <c r="I629" s="75"/>
      <c r="J629" s="75"/>
      <c r="K629" s="75"/>
      <c r="L629" s="75"/>
      <c r="M629" s="75"/>
      <c r="N629" s="75"/>
      <c r="O629" s="75"/>
      <c r="P629" s="75"/>
    </row>
    <row r="630">
      <c r="A630" s="75"/>
      <c r="B630" s="75"/>
      <c r="C630" s="75"/>
      <c r="D630" s="75"/>
      <c r="E630" s="75"/>
      <c r="F630" s="75"/>
      <c r="G630" s="75"/>
      <c r="H630" s="75"/>
      <c r="I630" s="75"/>
      <c r="J630" s="75"/>
      <c r="K630" s="75"/>
      <c r="L630" s="75"/>
      <c r="M630" s="75"/>
      <c r="N630" s="75"/>
      <c r="O630" s="75"/>
      <c r="P630" s="75"/>
    </row>
    <row r="631">
      <c r="A631" s="75"/>
      <c r="B631" s="75"/>
      <c r="C631" s="75"/>
      <c r="D631" s="75"/>
      <c r="E631" s="75"/>
      <c r="F631" s="75"/>
      <c r="G631" s="75"/>
      <c r="H631" s="75"/>
      <c r="I631" s="75"/>
      <c r="J631" s="75"/>
      <c r="K631" s="75"/>
      <c r="L631" s="75"/>
      <c r="M631" s="75"/>
      <c r="N631" s="75"/>
      <c r="O631" s="75"/>
      <c r="P631" s="75"/>
    </row>
    <row r="632">
      <c r="A632" s="75"/>
      <c r="B632" s="75"/>
      <c r="C632" s="75"/>
      <c r="D632" s="75"/>
      <c r="E632" s="75"/>
      <c r="F632" s="75"/>
      <c r="G632" s="75"/>
      <c r="H632" s="75"/>
      <c r="I632" s="75"/>
      <c r="J632" s="75"/>
      <c r="K632" s="75"/>
      <c r="L632" s="75"/>
      <c r="M632" s="75"/>
      <c r="N632" s="75"/>
      <c r="O632" s="75"/>
      <c r="P632" s="75"/>
    </row>
    <row r="633">
      <c r="A633" s="75"/>
      <c r="B633" s="75"/>
      <c r="C633" s="75"/>
      <c r="D633" s="75"/>
      <c r="E633" s="75"/>
      <c r="F633" s="75"/>
      <c r="G633" s="75"/>
      <c r="H633" s="75"/>
      <c r="I633" s="75"/>
      <c r="J633" s="75"/>
      <c r="K633" s="75"/>
      <c r="L633" s="75"/>
      <c r="M633" s="75"/>
      <c r="N633" s="75"/>
      <c r="O633" s="75"/>
      <c r="P633" s="75"/>
    </row>
    <row r="634">
      <c r="A634" s="75"/>
      <c r="B634" s="75"/>
      <c r="C634" s="75"/>
      <c r="D634" s="75"/>
      <c r="E634" s="75"/>
      <c r="F634" s="75"/>
      <c r="G634" s="75"/>
      <c r="H634" s="75"/>
      <c r="I634" s="75"/>
      <c r="J634" s="75"/>
      <c r="K634" s="75"/>
      <c r="L634" s="75"/>
      <c r="M634" s="75"/>
      <c r="N634" s="75"/>
      <c r="O634" s="75"/>
      <c r="P634" s="75"/>
    </row>
    <row r="635">
      <c r="A635" s="75"/>
      <c r="B635" s="75"/>
      <c r="C635" s="75"/>
      <c r="D635" s="75"/>
      <c r="E635" s="75"/>
      <c r="F635" s="75"/>
      <c r="G635" s="75"/>
      <c r="H635" s="75"/>
      <c r="I635" s="75"/>
      <c r="J635" s="75"/>
      <c r="K635" s="75"/>
      <c r="L635" s="75"/>
      <c r="M635" s="75"/>
      <c r="N635" s="75"/>
      <c r="O635" s="75"/>
      <c r="P635" s="75"/>
    </row>
    <row r="636">
      <c r="A636" s="75"/>
      <c r="B636" s="75"/>
      <c r="C636" s="75"/>
      <c r="D636" s="75"/>
      <c r="E636" s="75"/>
      <c r="F636" s="75"/>
      <c r="G636" s="75"/>
      <c r="H636" s="75"/>
      <c r="I636" s="75"/>
      <c r="J636" s="75"/>
      <c r="K636" s="75"/>
      <c r="L636" s="75"/>
      <c r="M636" s="75"/>
      <c r="N636" s="75"/>
      <c r="O636" s="75"/>
      <c r="P636" s="75"/>
    </row>
    <row r="637">
      <c r="A637" s="75"/>
      <c r="B637" s="75"/>
      <c r="C637" s="75"/>
      <c r="D637" s="75"/>
      <c r="E637" s="75"/>
      <c r="F637" s="75"/>
      <c r="G637" s="75"/>
      <c r="H637" s="75"/>
      <c r="I637" s="75"/>
      <c r="J637" s="75"/>
      <c r="K637" s="75"/>
      <c r="L637" s="75"/>
      <c r="M637" s="75"/>
      <c r="N637" s="75"/>
      <c r="O637" s="75"/>
      <c r="P637" s="75"/>
    </row>
    <row r="638">
      <c r="A638" s="75"/>
      <c r="B638" s="75"/>
      <c r="C638" s="75"/>
      <c r="D638" s="75"/>
      <c r="E638" s="75"/>
      <c r="F638" s="75"/>
      <c r="G638" s="75"/>
      <c r="H638" s="75"/>
      <c r="I638" s="75"/>
      <c r="J638" s="75"/>
      <c r="K638" s="75"/>
      <c r="L638" s="75"/>
      <c r="M638" s="75"/>
      <c r="N638" s="75"/>
      <c r="O638" s="75"/>
      <c r="P638" s="75"/>
    </row>
    <row r="639">
      <c r="A639" s="75"/>
      <c r="B639" s="75"/>
      <c r="C639" s="75"/>
      <c r="D639" s="75"/>
      <c r="E639" s="75"/>
      <c r="F639" s="75"/>
      <c r="G639" s="75"/>
      <c r="H639" s="75"/>
      <c r="I639" s="75"/>
      <c r="J639" s="75"/>
      <c r="K639" s="75"/>
      <c r="L639" s="75"/>
      <c r="M639" s="75"/>
      <c r="N639" s="75"/>
      <c r="O639" s="75"/>
      <c r="P639" s="75"/>
    </row>
    <row r="640">
      <c r="A640" s="75"/>
      <c r="B640" s="75"/>
      <c r="C640" s="75"/>
      <c r="D640" s="75"/>
      <c r="E640" s="75"/>
      <c r="F640" s="75"/>
      <c r="G640" s="75"/>
      <c r="H640" s="75"/>
      <c r="I640" s="75"/>
      <c r="J640" s="75"/>
      <c r="K640" s="75"/>
      <c r="L640" s="75"/>
      <c r="M640" s="75"/>
      <c r="N640" s="75"/>
      <c r="O640" s="75"/>
      <c r="P640" s="75"/>
    </row>
    <row r="641">
      <c r="A641" s="75"/>
      <c r="B641" s="75"/>
      <c r="C641" s="75"/>
      <c r="D641" s="75"/>
      <c r="E641" s="75"/>
      <c r="F641" s="75"/>
      <c r="G641" s="75"/>
      <c r="H641" s="75"/>
      <c r="I641" s="75"/>
      <c r="J641" s="75"/>
      <c r="K641" s="75"/>
      <c r="L641" s="75"/>
      <c r="M641" s="75"/>
      <c r="N641" s="75"/>
      <c r="O641" s="75"/>
      <c r="P641" s="75"/>
    </row>
    <row r="642">
      <c r="A642" s="75"/>
      <c r="B642" s="75"/>
      <c r="C642" s="75"/>
      <c r="D642" s="75"/>
      <c r="E642" s="75"/>
      <c r="F642" s="75"/>
      <c r="G642" s="75"/>
      <c r="H642" s="75"/>
      <c r="I642" s="75"/>
      <c r="J642" s="75"/>
      <c r="K642" s="75"/>
      <c r="L642" s="75"/>
      <c r="M642" s="75"/>
      <c r="N642" s="75"/>
      <c r="O642" s="75"/>
      <c r="P642" s="75"/>
    </row>
    <row r="643">
      <c r="A643" s="75"/>
      <c r="B643" s="75"/>
      <c r="C643" s="75"/>
      <c r="D643" s="75"/>
      <c r="E643" s="75"/>
      <c r="F643" s="75"/>
      <c r="G643" s="75"/>
      <c r="H643" s="75"/>
      <c r="I643" s="75"/>
      <c r="J643" s="75"/>
      <c r="K643" s="75"/>
      <c r="L643" s="75"/>
      <c r="M643" s="75"/>
      <c r="N643" s="75"/>
      <c r="O643" s="75"/>
      <c r="P643" s="75"/>
    </row>
    <row r="644">
      <c r="A644" s="75"/>
      <c r="B644" s="75"/>
      <c r="C644" s="75"/>
      <c r="D644" s="75"/>
      <c r="E644" s="75"/>
      <c r="F644" s="75"/>
      <c r="G644" s="75"/>
      <c r="H644" s="75"/>
      <c r="I644" s="75"/>
      <c r="J644" s="75"/>
      <c r="K644" s="75"/>
      <c r="L644" s="75"/>
      <c r="M644" s="75"/>
      <c r="N644" s="75"/>
      <c r="O644" s="75"/>
      <c r="P644" s="75"/>
    </row>
    <row r="645">
      <c r="A645" s="75"/>
      <c r="B645" s="75"/>
      <c r="C645" s="75"/>
      <c r="D645" s="75"/>
      <c r="E645" s="75"/>
      <c r="F645" s="75"/>
      <c r="G645" s="75"/>
      <c r="H645" s="75"/>
      <c r="I645" s="75"/>
      <c r="J645" s="75"/>
      <c r="K645" s="75"/>
      <c r="L645" s="75"/>
      <c r="M645" s="75"/>
      <c r="N645" s="75"/>
      <c r="O645" s="75"/>
      <c r="P645" s="75"/>
    </row>
    <row r="646">
      <c r="A646" s="75"/>
      <c r="B646" s="75"/>
      <c r="C646" s="75"/>
      <c r="D646" s="75"/>
      <c r="E646" s="75"/>
      <c r="F646" s="75"/>
      <c r="G646" s="75"/>
      <c r="H646" s="75"/>
      <c r="I646" s="75"/>
      <c r="J646" s="75"/>
      <c r="K646" s="75"/>
      <c r="L646" s="75"/>
      <c r="M646" s="75"/>
      <c r="N646" s="75"/>
      <c r="O646" s="75"/>
      <c r="P646" s="75"/>
    </row>
    <row r="647">
      <c r="A647" s="75"/>
      <c r="B647" s="75"/>
      <c r="C647" s="75"/>
      <c r="D647" s="75"/>
      <c r="E647" s="75"/>
      <c r="F647" s="75"/>
      <c r="G647" s="75"/>
      <c r="H647" s="75"/>
      <c r="I647" s="75"/>
      <c r="J647" s="75"/>
      <c r="K647" s="75"/>
      <c r="L647" s="75"/>
      <c r="M647" s="75"/>
      <c r="N647" s="75"/>
      <c r="O647" s="75"/>
      <c r="P647" s="75"/>
    </row>
    <row r="648">
      <c r="A648" s="75"/>
      <c r="B648" s="75"/>
      <c r="C648" s="75"/>
      <c r="D648" s="75"/>
      <c r="E648" s="75"/>
      <c r="F648" s="75"/>
      <c r="G648" s="75"/>
      <c r="H648" s="75"/>
      <c r="I648" s="75"/>
      <c r="J648" s="75"/>
      <c r="K648" s="75"/>
      <c r="L648" s="75"/>
      <c r="M648" s="75"/>
      <c r="N648" s="75"/>
      <c r="O648" s="75"/>
      <c r="P648" s="75"/>
    </row>
    <row r="649">
      <c r="A649" s="75"/>
      <c r="B649" s="75"/>
      <c r="C649" s="75"/>
      <c r="D649" s="75"/>
      <c r="E649" s="75"/>
      <c r="F649" s="75"/>
      <c r="G649" s="75"/>
      <c r="H649" s="75"/>
      <c r="I649" s="75"/>
      <c r="J649" s="75"/>
      <c r="K649" s="75"/>
      <c r="L649" s="75"/>
      <c r="M649" s="75"/>
      <c r="N649" s="75"/>
      <c r="O649" s="75"/>
      <c r="P649" s="75"/>
    </row>
    <row r="650">
      <c r="A650" s="75"/>
      <c r="B650" s="75"/>
      <c r="C650" s="75"/>
      <c r="D650" s="75"/>
      <c r="E650" s="75"/>
      <c r="F650" s="75"/>
      <c r="G650" s="75"/>
      <c r="H650" s="75"/>
      <c r="I650" s="75"/>
      <c r="J650" s="75"/>
      <c r="K650" s="75"/>
      <c r="L650" s="75"/>
      <c r="M650" s="75"/>
      <c r="N650" s="75"/>
      <c r="O650" s="75"/>
      <c r="P650" s="75"/>
    </row>
    <row r="651">
      <c r="A651" s="75"/>
      <c r="B651" s="75"/>
      <c r="C651" s="75"/>
      <c r="D651" s="75"/>
      <c r="E651" s="75"/>
      <c r="F651" s="75"/>
      <c r="G651" s="75"/>
      <c r="H651" s="75"/>
      <c r="I651" s="75"/>
      <c r="J651" s="75"/>
      <c r="K651" s="75"/>
      <c r="L651" s="75"/>
      <c r="M651" s="75"/>
      <c r="N651" s="75"/>
      <c r="O651" s="75"/>
      <c r="P651" s="75"/>
    </row>
    <row r="652">
      <c r="A652" s="75"/>
      <c r="B652" s="75"/>
      <c r="C652" s="75"/>
      <c r="D652" s="75"/>
      <c r="E652" s="75"/>
      <c r="F652" s="75"/>
      <c r="G652" s="75"/>
      <c r="H652" s="75"/>
      <c r="I652" s="75"/>
      <c r="J652" s="75"/>
      <c r="K652" s="75"/>
      <c r="L652" s="75"/>
      <c r="M652" s="75"/>
      <c r="N652" s="75"/>
      <c r="O652" s="75"/>
      <c r="P652" s="75"/>
    </row>
    <row r="653">
      <c r="A653" s="75"/>
      <c r="B653" s="75"/>
      <c r="C653" s="75"/>
      <c r="D653" s="75"/>
      <c r="E653" s="75"/>
      <c r="F653" s="75"/>
      <c r="G653" s="75"/>
      <c r="H653" s="75"/>
      <c r="I653" s="75"/>
      <c r="J653" s="75"/>
      <c r="K653" s="75"/>
      <c r="L653" s="75"/>
      <c r="M653" s="75"/>
      <c r="N653" s="75"/>
      <c r="O653" s="75"/>
      <c r="P653" s="75"/>
    </row>
    <row r="654">
      <c r="A654" s="75"/>
      <c r="B654" s="75"/>
      <c r="C654" s="75"/>
      <c r="D654" s="75"/>
      <c r="E654" s="75"/>
      <c r="F654" s="75"/>
      <c r="G654" s="75"/>
      <c r="H654" s="75"/>
      <c r="I654" s="75"/>
      <c r="J654" s="75"/>
      <c r="K654" s="75"/>
      <c r="L654" s="75"/>
      <c r="M654" s="75"/>
      <c r="N654" s="75"/>
      <c r="O654" s="75"/>
      <c r="P654" s="75"/>
    </row>
    <row r="655">
      <c r="A655" s="75"/>
      <c r="B655" s="75"/>
      <c r="C655" s="75"/>
      <c r="D655" s="75"/>
      <c r="E655" s="75"/>
      <c r="F655" s="75"/>
      <c r="G655" s="75"/>
      <c r="H655" s="75"/>
      <c r="I655" s="75"/>
      <c r="J655" s="75"/>
      <c r="K655" s="75"/>
      <c r="L655" s="75"/>
      <c r="M655" s="75"/>
      <c r="N655" s="75"/>
      <c r="O655" s="75"/>
      <c r="P655" s="75"/>
    </row>
    <row r="656">
      <c r="A656" s="75"/>
      <c r="B656" s="75"/>
      <c r="C656" s="75"/>
      <c r="D656" s="75"/>
      <c r="E656" s="75"/>
      <c r="F656" s="75"/>
      <c r="G656" s="75"/>
      <c r="H656" s="75"/>
      <c r="I656" s="75"/>
      <c r="J656" s="75"/>
      <c r="K656" s="75"/>
      <c r="L656" s="75"/>
      <c r="M656" s="75"/>
      <c r="N656" s="75"/>
      <c r="O656" s="75"/>
      <c r="P656" s="75"/>
    </row>
    <row r="657">
      <c r="A657" s="75"/>
      <c r="B657" s="75"/>
      <c r="C657" s="75"/>
      <c r="D657" s="75"/>
      <c r="E657" s="75"/>
      <c r="F657" s="75"/>
      <c r="G657" s="75"/>
      <c r="H657" s="75"/>
      <c r="I657" s="75"/>
      <c r="J657" s="75"/>
      <c r="K657" s="75"/>
      <c r="L657" s="75"/>
      <c r="M657" s="75"/>
      <c r="N657" s="75"/>
      <c r="O657" s="75"/>
      <c r="P657" s="75"/>
    </row>
    <row r="658">
      <c r="A658" s="75"/>
      <c r="B658" s="75"/>
      <c r="C658" s="75"/>
      <c r="D658" s="75"/>
      <c r="E658" s="75"/>
      <c r="F658" s="75"/>
      <c r="G658" s="75"/>
      <c r="H658" s="75"/>
      <c r="I658" s="75"/>
      <c r="J658" s="75"/>
      <c r="K658" s="75"/>
      <c r="L658" s="75"/>
      <c r="M658" s="75"/>
      <c r="N658" s="75"/>
      <c r="O658" s="75"/>
      <c r="P658" s="75"/>
    </row>
    <row r="659">
      <c r="A659" s="75"/>
      <c r="B659" s="75"/>
      <c r="C659" s="75"/>
      <c r="D659" s="75"/>
      <c r="E659" s="75"/>
      <c r="F659" s="75"/>
      <c r="G659" s="75"/>
      <c r="H659" s="75"/>
      <c r="I659" s="75"/>
      <c r="J659" s="75"/>
      <c r="K659" s="75"/>
      <c r="L659" s="75"/>
      <c r="M659" s="75"/>
      <c r="N659" s="75"/>
      <c r="O659" s="75"/>
      <c r="P659" s="75"/>
    </row>
    <row r="660">
      <c r="A660" s="75"/>
      <c r="B660" s="75"/>
      <c r="C660" s="75"/>
      <c r="D660" s="75"/>
      <c r="E660" s="75"/>
      <c r="F660" s="75"/>
      <c r="G660" s="75"/>
      <c r="H660" s="75"/>
      <c r="I660" s="75"/>
      <c r="J660" s="75"/>
      <c r="K660" s="75"/>
      <c r="L660" s="75"/>
      <c r="M660" s="75"/>
      <c r="N660" s="75"/>
      <c r="O660" s="75"/>
      <c r="P660" s="75"/>
    </row>
    <row r="661">
      <c r="A661" s="75"/>
      <c r="B661" s="75"/>
      <c r="C661" s="75"/>
      <c r="D661" s="75"/>
      <c r="E661" s="75"/>
      <c r="F661" s="75"/>
      <c r="G661" s="75"/>
      <c r="H661" s="75"/>
      <c r="I661" s="75"/>
      <c r="J661" s="75"/>
      <c r="K661" s="75"/>
      <c r="L661" s="75"/>
      <c r="M661" s="75"/>
      <c r="N661" s="75"/>
      <c r="O661" s="75"/>
      <c r="P661" s="75"/>
    </row>
    <row r="662">
      <c r="A662" s="75"/>
      <c r="B662" s="75"/>
      <c r="C662" s="75"/>
      <c r="D662" s="75"/>
      <c r="E662" s="75"/>
      <c r="F662" s="75"/>
      <c r="G662" s="75"/>
      <c r="H662" s="75"/>
      <c r="I662" s="75"/>
      <c r="J662" s="75"/>
      <c r="K662" s="75"/>
      <c r="L662" s="75"/>
      <c r="M662" s="75"/>
      <c r="N662" s="75"/>
      <c r="O662" s="75"/>
      <c r="P662" s="75"/>
    </row>
    <row r="663">
      <c r="A663" s="75"/>
      <c r="B663" s="75"/>
      <c r="C663" s="75"/>
      <c r="D663" s="75"/>
      <c r="E663" s="75"/>
      <c r="F663" s="75"/>
      <c r="G663" s="75"/>
      <c r="H663" s="75"/>
      <c r="I663" s="75"/>
      <c r="J663" s="75"/>
      <c r="K663" s="75"/>
      <c r="L663" s="75"/>
      <c r="M663" s="75"/>
      <c r="N663" s="75"/>
      <c r="O663" s="75"/>
      <c r="P663" s="75"/>
    </row>
    <row r="664">
      <c r="A664" s="75"/>
      <c r="B664" s="75"/>
      <c r="C664" s="75"/>
      <c r="D664" s="75"/>
      <c r="E664" s="75"/>
      <c r="F664" s="75"/>
      <c r="G664" s="75"/>
      <c r="H664" s="75"/>
      <c r="I664" s="75"/>
      <c r="J664" s="75"/>
      <c r="K664" s="75"/>
      <c r="L664" s="75"/>
      <c r="M664" s="75"/>
      <c r="N664" s="75"/>
      <c r="O664" s="75"/>
      <c r="P664" s="75"/>
    </row>
    <row r="665">
      <c r="A665" s="75"/>
      <c r="B665" s="75"/>
      <c r="C665" s="75"/>
      <c r="D665" s="75"/>
      <c r="E665" s="75"/>
      <c r="F665" s="75"/>
      <c r="G665" s="75"/>
      <c r="H665" s="75"/>
      <c r="I665" s="75"/>
      <c r="J665" s="75"/>
      <c r="K665" s="75"/>
      <c r="L665" s="75"/>
      <c r="M665" s="75"/>
      <c r="N665" s="75"/>
      <c r="O665" s="75"/>
      <c r="P665" s="75"/>
    </row>
    <row r="666">
      <c r="A666" s="75"/>
      <c r="B666" s="75"/>
      <c r="C666" s="75"/>
      <c r="D666" s="75"/>
      <c r="E666" s="75"/>
      <c r="F666" s="75"/>
      <c r="G666" s="75"/>
      <c r="H666" s="75"/>
      <c r="I666" s="75"/>
      <c r="J666" s="75"/>
      <c r="K666" s="75"/>
      <c r="L666" s="75"/>
      <c r="M666" s="75"/>
      <c r="N666" s="75"/>
      <c r="O666" s="75"/>
      <c r="P666" s="75"/>
    </row>
    <row r="667">
      <c r="A667" s="75"/>
      <c r="B667" s="75"/>
      <c r="C667" s="75"/>
      <c r="D667" s="75"/>
      <c r="E667" s="75"/>
      <c r="F667" s="75"/>
      <c r="G667" s="75"/>
      <c r="H667" s="75"/>
      <c r="I667" s="75"/>
      <c r="J667" s="75"/>
      <c r="K667" s="75"/>
      <c r="L667" s="75"/>
      <c r="M667" s="75"/>
      <c r="N667" s="75"/>
      <c r="O667" s="75"/>
      <c r="P667" s="75"/>
    </row>
    <row r="668">
      <c r="A668" s="75"/>
      <c r="B668" s="75"/>
      <c r="C668" s="75"/>
      <c r="D668" s="75"/>
      <c r="E668" s="75"/>
      <c r="F668" s="75"/>
      <c r="G668" s="75"/>
      <c r="H668" s="75"/>
      <c r="I668" s="75"/>
      <c r="J668" s="75"/>
      <c r="K668" s="75"/>
      <c r="L668" s="75"/>
      <c r="M668" s="75"/>
      <c r="N668" s="75"/>
      <c r="O668" s="75"/>
      <c r="P668" s="75"/>
    </row>
    <row r="669">
      <c r="A669" s="75"/>
      <c r="B669" s="75"/>
      <c r="C669" s="75"/>
      <c r="D669" s="75"/>
      <c r="E669" s="75"/>
      <c r="F669" s="75"/>
      <c r="G669" s="75"/>
      <c r="H669" s="75"/>
      <c r="I669" s="75"/>
      <c r="J669" s="75"/>
      <c r="K669" s="75"/>
      <c r="L669" s="75"/>
      <c r="M669" s="75"/>
      <c r="N669" s="75"/>
      <c r="O669" s="75"/>
      <c r="P669" s="75"/>
    </row>
    <row r="670">
      <c r="A670" s="75"/>
      <c r="B670" s="75"/>
      <c r="C670" s="75"/>
      <c r="D670" s="75"/>
      <c r="E670" s="75"/>
      <c r="F670" s="75"/>
      <c r="G670" s="75"/>
      <c r="H670" s="75"/>
      <c r="I670" s="75"/>
      <c r="J670" s="75"/>
      <c r="K670" s="75"/>
      <c r="L670" s="75"/>
      <c r="M670" s="75"/>
      <c r="N670" s="75"/>
      <c r="O670" s="75"/>
      <c r="P670" s="75"/>
    </row>
    <row r="671">
      <c r="A671" s="75"/>
      <c r="B671" s="75"/>
      <c r="C671" s="75"/>
      <c r="D671" s="75"/>
      <c r="E671" s="75"/>
      <c r="F671" s="75"/>
      <c r="G671" s="75"/>
      <c r="H671" s="75"/>
      <c r="I671" s="75"/>
      <c r="J671" s="75"/>
      <c r="K671" s="75"/>
      <c r="L671" s="75"/>
      <c r="M671" s="75"/>
      <c r="N671" s="75"/>
      <c r="O671" s="75"/>
      <c r="P671" s="75"/>
    </row>
    <row r="672">
      <c r="A672" s="75"/>
      <c r="B672" s="75"/>
      <c r="C672" s="75"/>
      <c r="D672" s="75"/>
      <c r="E672" s="75"/>
      <c r="F672" s="75"/>
      <c r="G672" s="75"/>
      <c r="H672" s="75"/>
      <c r="I672" s="75"/>
      <c r="J672" s="75"/>
      <c r="K672" s="75"/>
      <c r="L672" s="75"/>
      <c r="M672" s="75"/>
      <c r="N672" s="75"/>
      <c r="O672" s="75"/>
      <c r="P672" s="75"/>
    </row>
    <row r="673">
      <c r="A673" s="75"/>
      <c r="B673" s="75"/>
      <c r="C673" s="75"/>
      <c r="D673" s="75"/>
      <c r="E673" s="75"/>
      <c r="F673" s="75"/>
      <c r="G673" s="75"/>
      <c r="H673" s="75"/>
      <c r="I673" s="75"/>
      <c r="J673" s="75"/>
      <c r="K673" s="75"/>
      <c r="L673" s="75"/>
      <c r="M673" s="75"/>
      <c r="N673" s="75"/>
      <c r="O673" s="75"/>
      <c r="P673" s="75"/>
    </row>
    <row r="674">
      <c r="A674" s="75"/>
      <c r="B674" s="75"/>
      <c r="C674" s="75"/>
      <c r="D674" s="75"/>
      <c r="E674" s="75"/>
      <c r="F674" s="75"/>
      <c r="G674" s="75"/>
      <c r="H674" s="75"/>
      <c r="I674" s="75"/>
      <c r="J674" s="75"/>
      <c r="K674" s="75"/>
      <c r="L674" s="75"/>
      <c r="M674" s="75"/>
      <c r="N674" s="75"/>
      <c r="O674" s="75"/>
      <c r="P674" s="75"/>
    </row>
    <row r="675">
      <c r="A675" s="75"/>
      <c r="B675" s="75"/>
      <c r="C675" s="75"/>
      <c r="D675" s="75"/>
      <c r="E675" s="75"/>
      <c r="F675" s="75"/>
      <c r="G675" s="75"/>
      <c r="H675" s="75"/>
      <c r="I675" s="75"/>
      <c r="J675" s="75"/>
      <c r="K675" s="75"/>
      <c r="L675" s="75"/>
      <c r="M675" s="75"/>
      <c r="N675" s="75"/>
      <c r="O675" s="75"/>
      <c r="P675" s="75"/>
    </row>
    <row r="676">
      <c r="A676" s="75"/>
      <c r="B676" s="75"/>
      <c r="C676" s="75"/>
      <c r="D676" s="75"/>
      <c r="E676" s="75"/>
      <c r="F676" s="75"/>
      <c r="G676" s="75"/>
      <c r="H676" s="75"/>
      <c r="I676" s="75"/>
      <c r="J676" s="75"/>
      <c r="K676" s="75"/>
      <c r="L676" s="75"/>
      <c r="M676" s="75"/>
      <c r="N676" s="75"/>
      <c r="O676" s="75"/>
      <c r="P676" s="75"/>
    </row>
    <row r="677">
      <c r="A677" s="75"/>
      <c r="B677" s="75"/>
      <c r="C677" s="75"/>
      <c r="D677" s="75"/>
      <c r="E677" s="75"/>
      <c r="F677" s="75"/>
      <c r="G677" s="75"/>
      <c r="H677" s="75"/>
      <c r="I677" s="75"/>
      <c r="J677" s="75"/>
      <c r="K677" s="75"/>
      <c r="L677" s="75"/>
      <c r="M677" s="75"/>
      <c r="N677" s="75"/>
      <c r="O677" s="75"/>
      <c r="P677" s="75"/>
    </row>
    <row r="678">
      <c r="A678" s="75"/>
      <c r="B678" s="75"/>
      <c r="C678" s="75"/>
      <c r="D678" s="75"/>
      <c r="E678" s="75"/>
      <c r="F678" s="75"/>
      <c r="G678" s="75"/>
      <c r="H678" s="75"/>
      <c r="I678" s="75"/>
      <c r="J678" s="75"/>
      <c r="K678" s="75"/>
      <c r="L678" s="75"/>
      <c r="M678" s="75"/>
      <c r="N678" s="75"/>
      <c r="O678" s="75"/>
      <c r="P678" s="75"/>
    </row>
    <row r="679">
      <c r="A679" s="75"/>
      <c r="B679" s="75"/>
      <c r="C679" s="75"/>
      <c r="D679" s="75"/>
      <c r="E679" s="75"/>
      <c r="F679" s="75"/>
      <c r="G679" s="75"/>
      <c r="H679" s="75"/>
      <c r="I679" s="75"/>
      <c r="J679" s="75"/>
      <c r="K679" s="75"/>
      <c r="L679" s="75"/>
      <c r="M679" s="75"/>
      <c r="N679" s="75"/>
      <c r="O679" s="75"/>
      <c r="P679" s="75"/>
    </row>
    <row r="680">
      <c r="A680" s="75"/>
      <c r="B680" s="75"/>
      <c r="C680" s="75"/>
      <c r="D680" s="75"/>
      <c r="E680" s="75"/>
      <c r="F680" s="75"/>
      <c r="G680" s="75"/>
      <c r="H680" s="75"/>
      <c r="I680" s="75"/>
      <c r="J680" s="75"/>
      <c r="K680" s="75"/>
      <c r="L680" s="75"/>
      <c r="M680" s="75"/>
      <c r="N680" s="75"/>
      <c r="O680" s="75"/>
      <c r="P680" s="75"/>
    </row>
    <row r="681">
      <c r="A681" s="75"/>
      <c r="B681" s="75"/>
      <c r="C681" s="75"/>
      <c r="D681" s="75"/>
      <c r="E681" s="75"/>
      <c r="F681" s="75"/>
      <c r="G681" s="75"/>
      <c r="H681" s="75"/>
      <c r="I681" s="75"/>
      <c r="J681" s="75"/>
      <c r="K681" s="75"/>
      <c r="L681" s="75"/>
      <c r="M681" s="75"/>
      <c r="N681" s="75"/>
      <c r="O681" s="75"/>
      <c r="P681" s="75"/>
    </row>
    <row r="682">
      <c r="A682" s="75"/>
      <c r="B682" s="75"/>
      <c r="C682" s="75"/>
      <c r="D682" s="75"/>
      <c r="E682" s="75"/>
      <c r="F682" s="75"/>
      <c r="G682" s="75"/>
      <c r="H682" s="75"/>
      <c r="I682" s="75"/>
      <c r="J682" s="75"/>
      <c r="K682" s="75"/>
      <c r="L682" s="75"/>
      <c r="M682" s="75"/>
      <c r="N682" s="75"/>
      <c r="O682" s="75"/>
      <c r="P682" s="75"/>
    </row>
    <row r="683">
      <c r="A683" s="75"/>
      <c r="B683" s="75"/>
      <c r="C683" s="75"/>
      <c r="D683" s="75"/>
      <c r="E683" s="75"/>
      <c r="F683" s="75"/>
      <c r="G683" s="75"/>
      <c r="H683" s="75"/>
      <c r="I683" s="75"/>
      <c r="J683" s="75"/>
      <c r="K683" s="75"/>
      <c r="L683" s="75"/>
      <c r="M683" s="75"/>
      <c r="N683" s="75"/>
      <c r="O683" s="75"/>
      <c r="P683" s="75"/>
    </row>
    <row r="684">
      <c r="A684" s="75"/>
      <c r="B684" s="75"/>
      <c r="C684" s="75"/>
      <c r="D684" s="75"/>
      <c r="E684" s="75"/>
      <c r="F684" s="75"/>
      <c r="G684" s="75"/>
      <c r="H684" s="75"/>
      <c r="I684" s="75"/>
      <c r="J684" s="75"/>
      <c r="K684" s="75"/>
      <c r="L684" s="75"/>
      <c r="M684" s="75"/>
      <c r="N684" s="75"/>
      <c r="O684" s="75"/>
      <c r="P684" s="75"/>
    </row>
    <row r="685">
      <c r="A685" s="75"/>
      <c r="B685" s="75"/>
      <c r="C685" s="75"/>
      <c r="D685" s="75"/>
      <c r="E685" s="75"/>
      <c r="F685" s="75"/>
      <c r="G685" s="75"/>
      <c r="H685" s="75"/>
      <c r="I685" s="75"/>
      <c r="J685" s="75"/>
      <c r="K685" s="75"/>
      <c r="L685" s="75"/>
      <c r="M685" s="75"/>
      <c r="N685" s="75"/>
      <c r="O685" s="75"/>
      <c r="P685" s="75"/>
    </row>
    <row r="686">
      <c r="A686" s="75"/>
      <c r="B686" s="75"/>
      <c r="C686" s="75"/>
      <c r="D686" s="75"/>
      <c r="E686" s="75"/>
      <c r="F686" s="75"/>
      <c r="G686" s="75"/>
      <c r="H686" s="75"/>
      <c r="I686" s="75"/>
      <c r="J686" s="75"/>
      <c r="K686" s="75"/>
      <c r="L686" s="75"/>
      <c r="M686" s="75"/>
      <c r="N686" s="75"/>
      <c r="O686" s="75"/>
      <c r="P686" s="75"/>
    </row>
    <row r="687">
      <c r="A687" s="75"/>
      <c r="B687" s="75"/>
      <c r="C687" s="75"/>
      <c r="D687" s="75"/>
      <c r="E687" s="75"/>
      <c r="F687" s="75"/>
      <c r="G687" s="75"/>
      <c r="H687" s="75"/>
      <c r="I687" s="75"/>
      <c r="J687" s="75"/>
      <c r="K687" s="75"/>
      <c r="L687" s="75"/>
      <c r="M687" s="75"/>
      <c r="N687" s="75"/>
      <c r="O687" s="75"/>
      <c r="P687" s="75"/>
    </row>
    <row r="688">
      <c r="A688" s="75"/>
      <c r="B688" s="75"/>
      <c r="C688" s="75"/>
      <c r="D688" s="75"/>
      <c r="E688" s="75"/>
      <c r="F688" s="75"/>
      <c r="G688" s="75"/>
      <c r="H688" s="75"/>
      <c r="I688" s="75"/>
      <c r="J688" s="75"/>
      <c r="K688" s="75"/>
      <c r="L688" s="75"/>
      <c r="M688" s="75"/>
      <c r="N688" s="75"/>
      <c r="O688" s="75"/>
      <c r="P688" s="75"/>
    </row>
    <row r="689">
      <c r="A689" s="75"/>
      <c r="B689" s="75"/>
      <c r="C689" s="75"/>
      <c r="D689" s="75"/>
      <c r="E689" s="75"/>
      <c r="F689" s="75"/>
      <c r="G689" s="75"/>
      <c r="H689" s="75"/>
      <c r="I689" s="75"/>
      <c r="J689" s="75"/>
      <c r="K689" s="75"/>
      <c r="L689" s="75"/>
      <c r="M689" s="75"/>
      <c r="N689" s="75"/>
      <c r="O689" s="75"/>
      <c r="P689" s="75"/>
    </row>
    <row r="690">
      <c r="A690" s="75"/>
      <c r="B690" s="75"/>
      <c r="C690" s="75"/>
      <c r="D690" s="75"/>
      <c r="E690" s="75"/>
      <c r="F690" s="75"/>
      <c r="G690" s="75"/>
      <c r="H690" s="75"/>
      <c r="I690" s="75"/>
      <c r="J690" s="75"/>
      <c r="K690" s="75"/>
      <c r="L690" s="75"/>
      <c r="M690" s="75"/>
      <c r="N690" s="75"/>
      <c r="O690" s="75"/>
      <c r="P690" s="75"/>
    </row>
    <row r="691">
      <c r="A691" s="75"/>
      <c r="B691" s="75"/>
      <c r="C691" s="75"/>
      <c r="D691" s="75"/>
      <c r="E691" s="75"/>
      <c r="F691" s="75"/>
      <c r="G691" s="75"/>
      <c r="H691" s="75"/>
      <c r="I691" s="75"/>
      <c r="J691" s="75"/>
      <c r="K691" s="75"/>
      <c r="L691" s="75"/>
      <c r="M691" s="75"/>
      <c r="N691" s="75"/>
      <c r="O691" s="75"/>
      <c r="P691" s="75"/>
    </row>
    <row r="692">
      <c r="A692" s="75"/>
      <c r="B692" s="75"/>
      <c r="C692" s="75"/>
      <c r="D692" s="75"/>
      <c r="E692" s="75"/>
      <c r="F692" s="75"/>
      <c r="G692" s="75"/>
      <c r="H692" s="75"/>
      <c r="I692" s="75"/>
      <c r="J692" s="75"/>
      <c r="K692" s="75"/>
      <c r="L692" s="75"/>
      <c r="M692" s="75"/>
      <c r="N692" s="75"/>
      <c r="O692" s="75"/>
      <c r="P692" s="75"/>
    </row>
    <row r="693">
      <c r="A693" s="75"/>
      <c r="B693" s="75"/>
      <c r="C693" s="75"/>
      <c r="D693" s="75"/>
      <c r="E693" s="75"/>
      <c r="F693" s="75"/>
      <c r="G693" s="75"/>
      <c r="H693" s="75"/>
      <c r="I693" s="75"/>
      <c r="J693" s="75"/>
      <c r="K693" s="75"/>
      <c r="L693" s="75"/>
      <c r="M693" s="75"/>
      <c r="N693" s="75"/>
      <c r="O693" s="75"/>
      <c r="P693" s="75"/>
    </row>
    <row r="694">
      <c r="A694" s="75"/>
      <c r="B694" s="75"/>
      <c r="C694" s="75"/>
      <c r="D694" s="75"/>
      <c r="E694" s="75"/>
      <c r="F694" s="75"/>
      <c r="G694" s="75"/>
      <c r="H694" s="75"/>
      <c r="I694" s="75"/>
      <c r="J694" s="75"/>
      <c r="K694" s="75"/>
      <c r="L694" s="75"/>
      <c r="M694" s="75"/>
      <c r="N694" s="75"/>
      <c r="O694" s="75"/>
      <c r="P694" s="75"/>
    </row>
    <row r="695">
      <c r="A695" s="75"/>
      <c r="B695" s="75"/>
      <c r="C695" s="75"/>
      <c r="D695" s="75"/>
      <c r="E695" s="75"/>
      <c r="F695" s="75"/>
      <c r="G695" s="75"/>
      <c r="H695" s="75"/>
      <c r="I695" s="75"/>
      <c r="J695" s="75"/>
      <c r="K695" s="75"/>
      <c r="L695" s="75"/>
      <c r="M695" s="75"/>
      <c r="N695" s="75"/>
      <c r="O695" s="75"/>
      <c r="P695" s="75"/>
    </row>
    <row r="696">
      <c r="A696" s="75"/>
      <c r="B696" s="75"/>
      <c r="C696" s="75"/>
      <c r="D696" s="75"/>
      <c r="E696" s="75"/>
      <c r="F696" s="75"/>
      <c r="G696" s="75"/>
      <c r="H696" s="75"/>
      <c r="I696" s="75"/>
      <c r="J696" s="75"/>
      <c r="K696" s="75"/>
      <c r="L696" s="75"/>
      <c r="M696" s="75"/>
      <c r="N696" s="75"/>
      <c r="O696" s="75"/>
      <c r="P696" s="75"/>
    </row>
    <row r="697">
      <c r="A697" s="75"/>
      <c r="B697" s="75"/>
      <c r="C697" s="75"/>
      <c r="D697" s="75"/>
      <c r="E697" s="75"/>
      <c r="F697" s="75"/>
      <c r="G697" s="75"/>
      <c r="H697" s="75"/>
      <c r="I697" s="75"/>
      <c r="J697" s="75"/>
      <c r="K697" s="75"/>
      <c r="L697" s="75"/>
      <c r="M697" s="75"/>
      <c r="N697" s="75"/>
      <c r="O697" s="75"/>
      <c r="P697" s="75"/>
    </row>
    <row r="698">
      <c r="A698" s="75"/>
      <c r="B698" s="75"/>
      <c r="C698" s="75"/>
      <c r="D698" s="75"/>
      <c r="E698" s="75"/>
      <c r="F698" s="75"/>
      <c r="G698" s="75"/>
      <c r="H698" s="75"/>
      <c r="I698" s="75"/>
      <c r="J698" s="75"/>
      <c r="K698" s="75"/>
      <c r="L698" s="75"/>
      <c r="M698" s="75"/>
      <c r="N698" s="75"/>
      <c r="O698" s="75"/>
      <c r="P698" s="75"/>
    </row>
    <row r="699">
      <c r="A699" s="75"/>
      <c r="B699" s="75"/>
      <c r="C699" s="75"/>
      <c r="D699" s="75"/>
      <c r="E699" s="75"/>
      <c r="F699" s="75"/>
      <c r="G699" s="75"/>
      <c r="H699" s="75"/>
      <c r="I699" s="75"/>
      <c r="J699" s="75"/>
      <c r="K699" s="75"/>
      <c r="L699" s="75"/>
      <c r="M699" s="75"/>
      <c r="N699" s="75"/>
      <c r="O699" s="75"/>
      <c r="P699" s="75"/>
    </row>
    <row r="700">
      <c r="A700" s="75"/>
      <c r="B700" s="75"/>
      <c r="C700" s="75"/>
      <c r="D700" s="75"/>
      <c r="E700" s="75"/>
      <c r="F700" s="75"/>
      <c r="G700" s="75"/>
      <c r="H700" s="75"/>
      <c r="I700" s="75"/>
      <c r="J700" s="75"/>
      <c r="K700" s="75"/>
      <c r="L700" s="75"/>
      <c r="M700" s="75"/>
      <c r="N700" s="75"/>
      <c r="O700" s="75"/>
      <c r="P700" s="75"/>
    </row>
    <row r="701">
      <c r="A701" s="75"/>
      <c r="B701" s="75"/>
      <c r="C701" s="75"/>
      <c r="D701" s="75"/>
      <c r="E701" s="75"/>
      <c r="F701" s="75"/>
      <c r="G701" s="75"/>
      <c r="H701" s="75"/>
      <c r="I701" s="75"/>
      <c r="J701" s="75"/>
      <c r="K701" s="75"/>
      <c r="L701" s="75"/>
      <c r="M701" s="75"/>
      <c r="N701" s="75"/>
      <c r="O701" s="75"/>
      <c r="P701" s="75"/>
    </row>
    <row r="702">
      <c r="A702" s="75"/>
      <c r="B702" s="75"/>
      <c r="C702" s="75"/>
      <c r="D702" s="75"/>
      <c r="E702" s="75"/>
      <c r="F702" s="75"/>
      <c r="G702" s="75"/>
      <c r="H702" s="75"/>
      <c r="I702" s="75"/>
      <c r="J702" s="75"/>
      <c r="K702" s="75"/>
      <c r="L702" s="75"/>
      <c r="M702" s="75"/>
      <c r="N702" s="75"/>
      <c r="O702" s="75"/>
      <c r="P702" s="75"/>
    </row>
    <row r="703">
      <c r="A703" s="75"/>
      <c r="B703" s="75"/>
      <c r="C703" s="75"/>
      <c r="D703" s="75"/>
      <c r="E703" s="75"/>
      <c r="F703" s="75"/>
      <c r="G703" s="75"/>
      <c r="H703" s="75"/>
      <c r="I703" s="75"/>
      <c r="J703" s="75"/>
      <c r="K703" s="75"/>
      <c r="L703" s="75"/>
      <c r="M703" s="75"/>
      <c r="N703" s="75"/>
      <c r="O703" s="75"/>
      <c r="P703" s="75"/>
    </row>
    <row r="704">
      <c r="A704" s="75"/>
      <c r="B704" s="75"/>
      <c r="C704" s="75"/>
      <c r="D704" s="75"/>
      <c r="E704" s="75"/>
      <c r="F704" s="75"/>
      <c r="G704" s="75"/>
      <c r="H704" s="75"/>
      <c r="I704" s="75"/>
      <c r="J704" s="75"/>
      <c r="K704" s="75"/>
      <c r="L704" s="75"/>
      <c r="M704" s="75"/>
      <c r="N704" s="75"/>
      <c r="O704" s="75"/>
      <c r="P704" s="75"/>
    </row>
    <row r="705">
      <c r="A705" s="75"/>
      <c r="B705" s="75"/>
      <c r="C705" s="75"/>
      <c r="D705" s="75"/>
      <c r="E705" s="75"/>
      <c r="F705" s="75"/>
      <c r="G705" s="75"/>
      <c r="H705" s="75"/>
      <c r="I705" s="75"/>
      <c r="J705" s="75"/>
      <c r="K705" s="75"/>
      <c r="L705" s="75"/>
      <c r="M705" s="75"/>
      <c r="N705" s="75"/>
      <c r="O705" s="75"/>
      <c r="P705" s="75"/>
    </row>
    <row r="706">
      <c r="A706" s="75"/>
      <c r="B706" s="75"/>
      <c r="C706" s="75"/>
      <c r="D706" s="75"/>
      <c r="E706" s="75"/>
      <c r="F706" s="75"/>
      <c r="G706" s="75"/>
      <c r="H706" s="75"/>
      <c r="I706" s="75"/>
      <c r="J706" s="75"/>
      <c r="K706" s="75"/>
      <c r="L706" s="75"/>
      <c r="M706" s="75"/>
      <c r="N706" s="75"/>
      <c r="O706" s="75"/>
      <c r="P706" s="75"/>
    </row>
    <row r="707">
      <c r="A707" s="75"/>
      <c r="B707" s="75"/>
      <c r="C707" s="75"/>
      <c r="D707" s="75"/>
      <c r="E707" s="75"/>
      <c r="F707" s="75"/>
      <c r="G707" s="75"/>
      <c r="H707" s="75"/>
      <c r="I707" s="75"/>
      <c r="J707" s="75"/>
      <c r="K707" s="75"/>
      <c r="L707" s="75"/>
      <c r="M707" s="75"/>
      <c r="N707" s="75"/>
      <c r="O707" s="75"/>
      <c r="P707" s="75"/>
    </row>
    <row r="708">
      <c r="A708" s="75"/>
      <c r="B708" s="75"/>
      <c r="C708" s="75"/>
      <c r="D708" s="75"/>
      <c r="E708" s="75"/>
      <c r="F708" s="75"/>
      <c r="G708" s="75"/>
      <c r="H708" s="75"/>
      <c r="I708" s="75"/>
      <c r="J708" s="75"/>
      <c r="K708" s="75"/>
      <c r="L708" s="75"/>
      <c r="M708" s="75"/>
      <c r="N708" s="75"/>
      <c r="O708" s="75"/>
      <c r="P708" s="75"/>
    </row>
    <row r="709">
      <c r="A709" s="75"/>
      <c r="B709" s="75"/>
      <c r="C709" s="75"/>
      <c r="D709" s="75"/>
      <c r="E709" s="75"/>
      <c r="F709" s="75"/>
      <c r="G709" s="75"/>
      <c r="H709" s="75"/>
      <c r="I709" s="75"/>
      <c r="J709" s="75"/>
      <c r="K709" s="75"/>
      <c r="L709" s="75"/>
      <c r="M709" s="75"/>
      <c r="N709" s="75"/>
      <c r="O709" s="75"/>
      <c r="P709" s="75"/>
    </row>
    <row r="710">
      <c r="A710" s="75"/>
      <c r="B710" s="75"/>
      <c r="C710" s="75"/>
      <c r="D710" s="75"/>
      <c r="E710" s="75"/>
      <c r="F710" s="75"/>
      <c r="G710" s="75"/>
      <c r="H710" s="75"/>
      <c r="I710" s="75"/>
      <c r="J710" s="75"/>
      <c r="K710" s="75"/>
      <c r="L710" s="75"/>
      <c r="M710" s="75"/>
      <c r="N710" s="75"/>
      <c r="O710" s="75"/>
      <c r="P710" s="75"/>
    </row>
    <row r="711">
      <c r="A711" s="75"/>
      <c r="B711" s="75"/>
      <c r="C711" s="75"/>
      <c r="D711" s="75"/>
      <c r="E711" s="75"/>
      <c r="F711" s="75"/>
      <c r="G711" s="75"/>
      <c r="H711" s="75"/>
      <c r="I711" s="75"/>
      <c r="J711" s="75"/>
      <c r="K711" s="75"/>
      <c r="L711" s="75"/>
      <c r="M711" s="75"/>
      <c r="N711" s="75"/>
      <c r="O711" s="75"/>
      <c r="P711" s="75"/>
    </row>
    <row r="712">
      <c r="A712" s="75"/>
      <c r="B712" s="75"/>
      <c r="C712" s="75"/>
      <c r="D712" s="75"/>
      <c r="E712" s="75"/>
      <c r="F712" s="75"/>
      <c r="G712" s="75"/>
      <c r="H712" s="75"/>
      <c r="I712" s="75"/>
      <c r="J712" s="75"/>
      <c r="K712" s="75"/>
      <c r="L712" s="75"/>
      <c r="M712" s="75"/>
      <c r="N712" s="75"/>
      <c r="O712" s="75"/>
      <c r="P712" s="75"/>
    </row>
    <row r="713">
      <c r="A713" s="75"/>
      <c r="B713" s="75"/>
      <c r="C713" s="75"/>
      <c r="D713" s="75"/>
      <c r="E713" s="75"/>
      <c r="F713" s="75"/>
      <c r="G713" s="75"/>
      <c r="H713" s="75"/>
      <c r="I713" s="75"/>
      <c r="J713" s="75"/>
      <c r="K713" s="75"/>
      <c r="L713" s="75"/>
      <c r="M713" s="75"/>
      <c r="N713" s="75"/>
      <c r="O713" s="75"/>
      <c r="P713" s="75"/>
    </row>
    <row r="714">
      <c r="A714" s="75"/>
      <c r="B714" s="75"/>
      <c r="C714" s="75"/>
      <c r="D714" s="75"/>
      <c r="E714" s="75"/>
      <c r="F714" s="75"/>
      <c r="G714" s="75"/>
      <c r="H714" s="75"/>
      <c r="I714" s="75"/>
      <c r="J714" s="75"/>
      <c r="K714" s="75"/>
      <c r="L714" s="75"/>
      <c r="M714" s="75"/>
      <c r="N714" s="75"/>
      <c r="O714" s="75"/>
      <c r="P714" s="75"/>
    </row>
    <row r="715">
      <c r="A715" s="75"/>
      <c r="B715" s="75"/>
      <c r="C715" s="75"/>
      <c r="D715" s="75"/>
      <c r="E715" s="75"/>
      <c r="F715" s="75"/>
      <c r="G715" s="75"/>
      <c r="H715" s="75"/>
      <c r="I715" s="75"/>
      <c r="J715" s="75"/>
      <c r="K715" s="75"/>
      <c r="L715" s="75"/>
      <c r="M715" s="75"/>
      <c r="N715" s="75"/>
      <c r="O715" s="75"/>
      <c r="P715" s="75"/>
    </row>
    <row r="716">
      <c r="A716" s="75"/>
      <c r="B716" s="75"/>
      <c r="C716" s="75"/>
      <c r="D716" s="75"/>
      <c r="E716" s="75"/>
      <c r="F716" s="75"/>
      <c r="G716" s="75"/>
      <c r="H716" s="75"/>
      <c r="I716" s="75"/>
      <c r="J716" s="75"/>
      <c r="K716" s="75"/>
      <c r="L716" s="75"/>
      <c r="M716" s="75"/>
      <c r="N716" s="75"/>
      <c r="O716" s="75"/>
      <c r="P716" s="75"/>
    </row>
    <row r="717">
      <c r="A717" s="75"/>
      <c r="B717" s="75"/>
      <c r="C717" s="75"/>
      <c r="D717" s="75"/>
      <c r="E717" s="75"/>
      <c r="F717" s="75"/>
      <c r="G717" s="75"/>
      <c r="H717" s="75"/>
      <c r="I717" s="75"/>
      <c r="J717" s="75"/>
      <c r="K717" s="75"/>
      <c r="L717" s="75"/>
      <c r="M717" s="75"/>
      <c r="N717" s="75"/>
      <c r="O717" s="75"/>
      <c r="P717" s="75"/>
    </row>
    <row r="718">
      <c r="A718" s="75"/>
      <c r="B718" s="75"/>
      <c r="C718" s="75"/>
      <c r="D718" s="75"/>
      <c r="E718" s="75"/>
      <c r="F718" s="75"/>
      <c r="G718" s="75"/>
      <c r="H718" s="75"/>
      <c r="I718" s="75"/>
      <c r="J718" s="75"/>
      <c r="K718" s="75"/>
      <c r="L718" s="75"/>
      <c r="M718" s="75"/>
      <c r="N718" s="75"/>
      <c r="O718" s="75"/>
      <c r="P718" s="75"/>
    </row>
    <row r="719">
      <c r="A719" s="75"/>
      <c r="B719" s="75"/>
      <c r="C719" s="75"/>
      <c r="D719" s="75"/>
      <c r="E719" s="75"/>
      <c r="F719" s="75"/>
      <c r="G719" s="75"/>
      <c r="H719" s="75"/>
      <c r="I719" s="75"/>
      <c r="J719" s="75"/>
      <c r="K719" s="75"/>
      <c r="L719" s="75"/>
      <c r="M719" s="75"/>
      <c r="N719" s="75"/>
      <c r="O719" s="75"/>
      <c r="P719" s="75"/>
    </row>
    <row r="720">
      <c r="A720" s="75"/>
      <c r="B720" s="75"/>
      <c r="C720" s="75"/>
      <c r="D720" s="75"/>
      <c r="E720" s="75"/>
      <c r="F720" s="75"/>
      <c r="G720" s="75"/>
      <c r="H720" s="75"/>
      <c r="I720" s="75"/>
      <c r="J720" s="75"/>
      <c r="K720" s="75"/>
      <c r="L720" s="75"/>
      <c r="M720" s="75"/>
      <c r="N720" s="75"/>
      <c r="O720" s="75"/>
      <c r="P720" s="75"/>
    </row>
    <row r="721">
      <c r="A721" s="75"/>
      <c r="B721" s="75"/>
      <c r="C721" s="75"/>
      <c r="D721" s="75"/>
      <c r="E721" s="75"/>
      <c r="F721" s="75"/>
      <c r="G721" s="75"/>
      <c r="H721" s="75"/>
      <c r="I721" s="75"/>
      <c r="J721" s="75"/>
      <c r="K721" s="75"/>
      <c r="L721" s="75"/>
      <c r="M721" s="75"/>
      <c r="N721" s="75"/>
      <c r="O721" s="75"/>
      <c r="P721" s="75"/>
    </row>
    <row r="722">
      <c r="A722" s="75"/>
      <c r="B722" s="75"/>
      <c r="C722" s="75"/>
      <c r="D722" s="75"/>
      <c r="E722" s="75"/>
      <c r="F722" s="75"/>
      <c r="G722" s="75"/>
      <c r="H722" s="75"/>
      <c r="I722" s="75"/>
      <c r="J722" s="75"/>
      <c r="K722" s="75"/>
      <c r="L722" s="75"/>
      <c r="M722" s="75"/>
      <c r="N722" s="75"/>
      <c r="O722" s="75"/>
      <c r="P722" s="75"/>
    </row>
    <row r="723">
      <c r="A723" s="75"/>
      <c r="B723" s="75"/>
      <c r="C723" s="75"/>
      <c r="D723" s="75"/>
      <c r="E723" s="75"/>
      <c r="F723" s="75"/>
      <c r="G723" s="75"/>
      <c r="H723" s="75"/>
      <c r="I723" s="75"/>
      <c r="J723" s="75"/>
      <c r="K723" s="75"/>
      <c r="L723" s="75"/>
      <c r="M723" s="75"/>
      <c r="N723" s="75"/>
      <c r="O723" s="75"/>
      <c r="P723" s="75"/>
    </row>
    <row r="724">
      <c r="A724" s="75"/>
      <c r="B724" s="75"/>
      <c r="C724" s="75"/>
      <c r="D724" s="75"/>
      <c r="E724" s="75"/>
      <c r="F724" s="75"/>
      <c r="G724" s="75"/>
      <c r="H724" s="75"/>
      <c r="I724" s="75"/>
      <c r="J724" s="75"/>
      <c r="K724" s="75"/>
      <c r="L724" s="75"/>
      <c r="M724" s="75"/>
      <c r="N724" s="75"/>
      <c r="O724" s="75"/>
      <c r="P724" s="75"/>
    </row>
    <row r="725">
      <c r="A725" s="75"/>
      <c r="B725" s="75"/>
      <c r="C725" s="75"/>
      <c r="D725" s="75"/>
      <c r="E725" s="75"/>
      <c r="F725" s="75"/>
      <c r="G725" s="75"/>
      <c r="H725" s="75"/>
      <c r="I725" s="75"/>
      <c r="J725" s="75"/>
      <c r="K725" s="75"/>
      <c r="L725" s="75"/>
      <c r="M725" s="75"/>
      <c r="N725" s="75"/>
      <c r="O725" s="75"/>
      <c r="P725" s="75"/>
    </row>
    <row r="726">
      <c r="A726" s="75"/>
      <c r="B726" s="75"/>
      <c r="C726" s="75"/>
      <c r="D726" s="75"/>
      <c r="E726" s="75"/>
      <c r="F726" s="75"/>
      <c r="G726" s="75"/>
      <c r="H726" s="75"/>
      <c r="I726" s="75"/>
      <c r="J726" s="75"/>
      <c r="K726" s="75"/>
      <c r="L726" s="75"/>
      <c r="M726" s="75"/>
      <c r="N726" s="75"/>
      <c r="O726" s="75"/>
      <c r="P726" s="75"/>
    </row>
    <row r="727">
      <c r="A727" s="75"/>
      <c r="B727" s="75"/>
      <c r="C727" s="75"/>
      <c r="D727" s="75"/>
      <c r="E727" s="75"/>
      <c r="F727" s="75"/>
      <c r="G727" s="75"/>
      <c r="H727" s="75"/>
      <c r="I727" s="75"/>
      <c r="J727" s="75"/>
      <c r="K727" s="75"/>
      <c r="L727" s="75"/>
      <c r="M727" s="75"/>
      <c r="N727" s="75"/>
      <c r="O727" s="75"/>
      <c r="P727" s="75"/>
    </row>
    <row r="728">
      <c r="A728" s="75"/>
      <c r="B728" s="75"/>
      <c r="C728" s="75"/>
      <c r="D728" s="75"/>
      <c r="E728" s="75"/>
      <c r="F728" s="75"/>
      <c r="G728" s="75"/>
      <c r="H728" s="75"/>
      <c r="I728" s="75"/>
      <c r="J728" s="75"/>
      <c r="K728" s="75"/>
      <c r="L728" s="75"/>
      <c r="M728" s="75"/>
      <c r="N728" s="75"/>
      <c r="O728" s="75"/>
      <c r="P728" s="75"/>
    </row>
    <row r="729">
      <c r="A729" s="75"/>
      <c r="B729" s="75"/>
      <c r="C729" s="75"/>
      <c r="D729" s="75"/>
      <c r="E729" s="75"/>
      <c r="F729" s="75"/>
      <c r="G729" s="75"/>
      <c r="H729" s="75"/>
      <c r="I729" s="75"/>
      <c r="J729" s="75"/>
      <c r="K729" s="75"/>
      <c r="L729" s="75"/>
      <c r="M729" s="75"/>
      <c r="N729" s="75"/>
      <c r="O729" s="75"/>
      <c r="P729" s="75"/>
    </row>
    <row r="730">
      <c r="A730" s="75"/>
      <c r="B730" s="75"/>
      <c r="C730" s="75"/>
      <c r="D730" s="75"/>
      <c r="E730" s="75"/>
      <c r="F730" s="75"/>
      <c r="G730" s="75"/>
      <c r="H730" s="75"/>
      <c r="I730" s="75"/>
      <c r="J730" s="75"/>
      <c r="K730" s="75"/>
      <c r="L730" s="75"/>
      <c r="M730" s="75"/>
      <c r="N730" s="75"/>
      <c r="O730" s="75"/>
      <c r="P730" s="75"/>
    </row>
    <row r="731">
      <c r="A731" s="75"/>
      <c r="B731" s="75"/>
      <c r="C731" s="75"/>
      <c r="D731" s="75"/>
      <c r="E731" s="75"/>
      <c r="F731" s="75"/>
      <c r="G731" s="75"/>
      <c r="H731" s="75"/>
      <c r="I731" s="75"/>
      <c r="J731" s="75"/>
      <c r="K731" s="75"/>
      <c r="L731" s="75"/>
      <c r="M731" s="75"/>
      <c r="N731" s="75"/>
      <c r="O731" s="75"/>
      <c r="P731" s="75"/>
    </row>
    <row r="732">
      <c r="A732" s="75"/>
      <c r="B732" s="75"/>
      <c r="C732" s="75"/>
      <c r="D732" s="75"/>
      <c r="E732" s="75"/>
      <c r="F732" s="75"/>
      <c r="G732" s="75"/>
      <c r="H732" s="75"/>
      <c r="I732" s="75"/>
      <c r="J732" s="75"/>
      <c r="K732" s="75"/>
      <c r="L732" s="75"/>
      <c r="M732" s="75"/>
      <c r="N732" s="75"/>
      <c r="O732" s="75"/>
      <c r="P732" s="75"/>
    </row>
    <row r="733">
      <c r="A733" s="75"/>
      <c r="B733" s="75"/>
      <c r="C733" s="75"/>
      <c r="D733" s="75"/>
      <c r="E733" s="75"/>
      <c r="F733" s="75"/>
      <c r="G733" s="75"/>
      <c r="H733" s="75"/>
      <c r="I733" s="75"/>
      <c r="J733" s="75"/>
      <c r="K733" s="75"/>
      <c r="L733" s="75"/>
      <c r="M733" s="75"/>
      <c r="N733" s="75"/>
      <c r="O733" s="75"/>
      <c r="P733" s="75"/>
    </row>
    <row r="734">
      <c r="A734" s="75"/>
      <c r="B734" s="75"/>
      <c r="C734" s="75"/>
      <c r="D734" s="75"/>
      <c r="E734" s="75"/>
      <c r="F734" s="75"/>
      <c r="G734" s="75"/>
      <c r="H734" s="75"/>
      <c r="I734" s="75"/>
      <c r="J734" s="75"/>
      <c r="K734" s="75"/>
      <c r="L734" s="75"/>
      <c r="M734" s="75"/>
      <c r="N734" s="75"/>
      <c r="O734" s="75"/>
      <c r="P734" s="75"/>
    </row>
    <row r="735">
      <c r="A735" s="75"/>
      <c r="B735" s="75"/>
      <c r="C735" s="75"/>
      <c r="D735" s="75"/>
      <c r="E735" s="75"/>
      <c r="F735" s="75"/>
      <c r="G735" s="75"/>
      <c r="H735" s="75"/>
      <c r="I735" s="75"/>
      <c r="J735" s="75"/>
      <c r="K735" s="75"/>
      <c r="L735" s="75"/>
      <c r="M735" s="75"/>
      <c r="N735" s="75"/>
      <c r="O735" s="75"/>
      <c r="P735" s="75"/>
    </row>
    <row r="736">
      <c r="A736" s="75"/>
      <c r="B736" s="75"/>
      <c r="C736" s="75"/>
      <c r="D736" s="75"/>
      <c r="E736" s="75"/>
      <c r="F736" s="75"/>
      <c r="G736" s="75"/>
      <c r="H736" s="75"/>
      <c r="I736" s="75"/>
      <c r="J736" s="75"/>
      <c r="K736" s="75"/>
      <c r="L736" s="75"/>
      <c r="M736" s="75"/>
      <c r="N736" s="75"/>
      <c r="O736" s="75"/>
      <c r="P736" s="75"/>
    </row>
    <row r="737">
      <c r="A737" s="75"/>
      <c r="B737" s="75"/>
      <c r="C737" s="75"/>
      <c r="D737" s="75"/>
      <c r="E737" s="75"/>
      <c r="F737" s="75"/>
      <c r="G737" s="75"/>
      <c r="H737" s="75"/>
      <c r="I737" s="75"/>
      <c r="J737" s="75"/>
      <c r="K737" s="75"/>
      <c r="L737" s="75"/>
      <c r="M737" s="75"/>
      <c r="N737" s="75"/>
      <c r="O737" s="75"/>
      <c r="P737" s="75"/>
    </row>
    <row r="738">
      <c r="A738" s="75"/>
      <c r="B738" s="75"/>
      <c r="C738" s="75"/>
      <c r="D738" s="75"/>
      <c r="E738" s="75"/>
      <c r="F738" s="75"/>
      <c r="G738" s="75"/>
      <c r="H738" s="75"/>
      <c r="I738" s="75"/>
      <c r="J738" s="75"/>
      <c r="K738" s="75"/>
      <c r="L738" s="75"/>
      <c r="M738" s="75"/>
      <c r="N738" s="75"/>
      <c r="O738" s="75"/>
      <c r="P738" s="75"/>
    </row>
    <row r="739">
      <c r="A739" s="75"/>
      <c r="B739" s="75"/>
      <c r="C739" s="75"/>
      <c r="D739" s="75"/>
      <c r="E739" s="75"/>
      <c r="F739" s="75"/>
      <c r="G739" s="75"/>
      <c r="H739" s="75"/>
      <c r="I739" s="75"/>
      <c r="J739" s="75"/>
      <c r="K739" s="75"/>
      <c r="L739" s="75"/>
      <c r="M739" s="75"/>
      <c r="N739" s="75"/>
      <c r="O739" s="75"/>
      <c r="P739" s="75"/>
    </row>
    <row r="740">
      <c r="A740" s="75"/>
      <c r="B740" s="75"/>
      <c r="C740" s="75"/>
      <c r="D740" s="75"/>
      <c r="E740" s="75"/>
      <c r="F740" s="75"/>
      <c r="G740" s="75"/>
      <c r="H740" s="75"/>
      <c r="I740" s="75"/>
      <c r="J740" s="75"/>
      <c r="K740" s="75"/>
      <c r="L740" s="75"/>
      <c r="M740" s="75"/>
      <c r="N740" s="75"/>
      <c r="O740" s="75"/>
      <c r="P740" s="75"/>
    </row>
    <row r="741">
      <c r="A741" s="75"/>
      <c r="B741" s="75"/>
      <c r="C741" s="75"/>
      <c r="D741" s="75"/>
      <c r="E741" s="75"/>
      <c r="F741" s="75"/>
      <c r="G741" s="75"/>
      <c r="H741" s="75"/>
      <c r="I741" s="75"/>
      <c r="J741" s="75"/>
      <c r="K741" s="75"/>
      <c r="L741" s="75"/>
      <c r="M741" s="75"/>
      <c r="N741" s="75"/>
      <c r="O741" s="75"/>
      <c r="P741" s="75"/>
    </row>
    <row r="742">
      <c r="A742" s="75"/>
      <c r="B742" s="75"/>
      <c r="C742" s="75"/>
      <c r="D742" s="75"/>
      <c r="E742" s="75"/>
      <c r="F742" s="75"/>
      <c r="G742" s="75"/>
      <c r="H742" s="75"/>
      <c r="I742" s="75"/>
      <c r="J742" s="75"/>
      <c r="K742" s="75"/>
      <c r="L742" s="75"/>
      <c r="M742" s="75"/>
      <c r="N742" s="75"/>
      <c r="O742" s="75"/>
      <c r="P742" s="75"/>
    </row>
    <row r="743">
      <c r="A743" s="75"/>
      <c r="B743" s="75"/>
      <c r="C743" s="75"/>
      <c r="D743" s="75"/>
      <c r="E743" s="75"/>
      <c r="F743" s="75"/>
      <c r="G743" s="75"/>
      <c r="H743" s="75"/>
      <c r="I743" s="75"/>
      <c r="J743" s="75"/>
      <c r="K743" s="75"/>
      <c r="L743" s="75"/>
      <c r="M743" s="75"/>
      <c r="N743" s="75"/>
      <c r="O743" s="75"/>
      <c r="P743" s="75"/>
    </row>
    <row r="744">
      <c r="A744" s="75"/>
      <c r="B744" s="75"/>
      <c r="C744" s="75"/>
      <c r="D744" s="75"/>
      <c r="E744" s="75"/>
      <c r="F744" s="75"/>
      <c r="G744" s="75"/>
      <c r="H744" s="75"/>
      <c r="I744" s="75"/>
      <c r="J744" s="75"/>
      <c r="K744" s="75"/>
      <c r="L744" s="75"/>
      <c r="M744" s="75"/>
      <c r="N744" s="75"/>
      <c r="O744" s="75"/>
      <c r="P744" s="75"/>
    </row>
    <row r="745">
      <c r="A745" s="75"/>
      <c r="B745" s="75"/>
      <c r="C745" s="75"/>
      <c r="D745" s="75"/>
      <c r="E745" s="75"/>
      <c r="F745" s="75"/>
      <c r="G745" s="75"/>
      <c r="H745" s="75"/>
      <c r="I745" s="75"/>
      <c r="J745" s="75"/>
      <c r="K745" s="75"/>
      <c r="L745" s="75"/>
      <c r="M745" s="75"/>
      <c r="N745" s="75"/>
      <c r="O745" s="75"/>
      <c r="P745" s="75"/>
    </row>
    <row r="746">
      <c r="A746" s="75"/>
      <c r="B746" s="75"/>
      <c r="C746" s="75"/>
      <c r="D746" s="75"/>
      <c r="E746" s="75"/>
      <c r="F746" s="75"/>
      <c r="G746" s="75"/>
      <c r="H746" s="75"/>
      <c r="I746" s="75"/>
      <c r="J746" s="75"/>
      <c r="K746" s="75"/>
      <c r="L746" s="75"/>
      <c r="M746" s="75"/>
      <c r="N746" s="75"/>
      <c r="O746" s="75"/>
      <c r="P746" s="75"/>
    </row>
    <row r="747">
      <c r="A747" s="75"/>
      <c r="B747" s="75"/>
      <c r="C747" s="75"/>
      <c r="D747" s="75"/>
      <c r="E747" s="75"/>
      <c r="F747" s="75"/>
      <c r="G747" s="75"/>
      <c r="H747" s="75"/>
      <c r="I747" s="75"/>
      <c r="J747" s="75"/>
      <c r="K747" s="75"/>
      <c r="L747" s="75"/>
      <c r="M747" s="75"/>
      <c r="N747" s="75"/>
      <c r="O747" s="75"/>
      <c r="P747" s="75"/>
    </row>
    <row r="748">
      <c r="A748" s="75"/>
      <c r="B748" s="75"/>
      <c r="C748" s="75"/>
      <c r="D748" s="75"/>
      <c r="E748" s="75"/>
      <c r="F748" s="75"/>
      <c r="G748" s="75"/>
      <c r="H748" s="75"/>
      <c r="I748" s="75"/>
      <c r="J748" s="75"/>
      <c r="K748" s="75"/>
      <c r="L748" s="75"/>
      <c r="M748" s="75"/>
      <c r="N748" s="75"/>
      <c r="O748" s="75"/>
      <c r="P748" s="75"/>
    </row>
    <row r="749">
      <c r="A749" s="75"/>
      <c r="B749" s="75"/>
      <c r="C749" s="75"/>
      <c r="D749" s="75"/>
      <c r="E749" s="75"/>
      <c r="F749" s="75"/>
      <c r="G749" s="75"/>
      <c r="H749" s="75"/>
      <c r="I749" s="75"/>
      <c r="J749" s="75"/>
      <c r="K749" s="75"/>
      <c r="L749" s="75"/>
      <c r="M749" s="75"/>
      <c r="N749" s="75"/>
      <c r="O749" s="75"/>
      <c r="P749" s="75"/>
    </row>
    <row r="750">
      <c r="A750" s="75"/>
      <c r="B750" s="75"/>
      <c r="C750" s="75"/>
      <c r="D750" s="75"/>
      <c r="E750" s="75"/>
      <c r="F750" s="75"/>
      <c r="G750" s="75"/>
      <c r="H750" s="75"/>
      <c r="I750" s="75"/>
      <c r="J750" s="75"/>
      <c r="K750" s="75"/>
      <c r="L750" s="75"/>
      <c r="M750" s="75"/>
      <c r="N750" s="75"/>
      <c r="O750" s="75"/>
      <c r="P750" s="75"/>
    </row>
    <row r="751">
      <c r="A751" s="75"/>
      <c r="B751" s="75"/>
      <c r="C751" s="75"/>
      <c r="D751" s="75"/>
      <c r="E751" s="75"/>
      <c r="F751" s="75"/>
      <c r="G751" s="75"/>
      <c r="H751" s="75"/>
      <c r="I751" s="75"/>
      <c r="J751" s="75"/>
      <c r="K751" s="75"/>
      <c r="L751" s="75"/>
      <c r="M751" s="75"/>
      <c r="N751" s="75"/>
      <c r="O751" s="75"/>
      <c r="P751" s="75"/>
    </row>
    <row r="752">
      <c r="A752" s="75"/>
      <c r="B752" s="75"/>
      <c r="C752" s="75"/>
      <c r="D752" s="75"/>
      <c r="E752" s="75"/>
      <c r="F752" s="75"/>
      <c r="G752" s="75"/>
      <c r="H752" s="75"/>
      <c r="I752" s="75"/>
      <c r="J752" s="75"/>
      <c r="K752" s="75"/>
      <c r="L752" s="75"/>
      <c r="M752" s="75"/>
      <c r="N752" s="75"/>
      <c r="O752" s="75"/>
      <c r="P752" s="75"/>
    </row>
    <row r="753">
      <c r="A753" s="75"/>
      <c r="B753" s="75"/>
      <c r="C753" s="75"/>
      <c r="D753" s="75"/>
      <c r="E753" s="75"/>
      <c r="F753" s="75"/>
      <c r="G753" s="75"/>
      <c r="H753" s="75"/>
      <c r="I753" s="75"/>
      <c r="J753" s="75"/>
      <c r="K753" s="75"/>
      <c r="L753" s="75"/>
      <c r="M753" s="75"/>
      <c r="N753" s="75"/>
      <c r="O753" s="75"/>
      <c r="P753" s="75"/>
    </row>
    <row r="754">
      <c r="A754" s="75"/>
      <c r="B754" s="75"/>
      <c r="C754" s="75"/>
      <c r="D754" s="75"/>
      <c r="E754" s="75"/>
      <c r="F754" s="75"/>
      <c r="G754" s="75"/>
      <c r="H754" s="75"/>
      <c r="I754" s="75"/>
      <c r="J754" s="75"/>
      <c r="K754" s="75"/>
      <c r="L754" s="75"/>
      <c r="M754" s="75"/>
      <c r="N754" s="75"/>
      <c r="O754" s="75"/>
      <c r="P754" s="75"/>
    </row>
    <row r="755">
      <c r="A755" s="75"/>
      <c r="B755" s="75"/>
      <c r="C755" s="75"/>
      <c r="D755" s="75"/>
      <c r="E755" s="75"/>
      <c r="F755" s="75"/>
      <c r="G755" s="75"/>
      <c r="H755" s="75"/>
      <c r="I755" s="75"/>
      <c r="J755" s="75"/>
      <c r="K755" s="75"/>
      <c r="L755" s="75"/>
      <c r="M755" s="75"/>
      <c r="N755" s="75"/>
      <c r="O755" s="75"/>
      <c r="P755" s="75"/>
    </row>
    <row r="756">
      <c r="A756" s="75"/>
      <c r="B756" s="75"/>
      <c r="C756" s="75"/>
      <c r="D756" s="75"/>
      <c r="E756" s="75"/>
      <c r="F756" s="75"/>
      <c r="G756" s="75"/>
      <c r="H756" s="75"/>
      <c r="I756" s="75"/>
      <c r="J756" s="75"/>
      <c r="K756" s="75"/>
      <c r="L756" s="75"/>
      <c r="M756" s="75"/>
      <c r="N756" s="75"/>
      <c r="O756" s="75"/>
      <c r="P756" s="75"/>
    </row>
    <row r="757">
      <c r="A757" s="75"/>
      <c r="B757" s="75"/>
      <c r="C757" s="75"/>
      <c r="D757" s="75"/>
      <c r="E757" s="75"/>
      <c r="F757" s="75"/>
      <c r="G757" s="75"/>
      <c r="H757" s="75"/>
      <c r="I757" s="75"/>
      <c r="J757" s="75"/>
      <c r="K757" s="75"/>
      <c r="L757" s="75"/>
      <c r="M757" s="75"/>
      <c r="N757" s="75"/>
      <c r="O757" s="75"/>
      <c r="P757" s="75"/>
    </row>
    <row r="758">
      <c r="A758" s="75"/>
      <c r="B758" s="75"/>
      <c r="C758" s="75"/>
      <c r="D758" s="75"/>
      <c r="E758" s="75"/>
      <c r="F758" s="75"/>
      <c r="G758" s="75"/>
      <c r="H758" s="75"/>
      <c r="I758" s="75"/>
      <c r="J758" s="75"/>
      <c r="K758" s="75"/>
      <c r="L758" s="75"/>
      <c r="M758" s="75"/>
      <c r="N758" s="75"/>
      <c r="O758" s="75"/>
      <c r="P758" s="75"/>
    </row>
    <row r="759">
      <c r="A759" s="75"/>
      <c r="B759" s="75"/>
      <c r="C759" s="75"/>
      <c r="D759" s="75"/>
      <c r="E759" s="75"/>
      <c r="F759" s="75"/>
      <c r="G759" s="75"/>
      <c r="H759" s="75"/>
      <c r="I759" s="75"/>
      <c r="J759" s="75"/>
      <c r="K759" s="75"/>
      <c r="L759" s="75"/>
      <c r="M759" s="75"/>
      <c r="N759" s="75"/>
      <c r="O759" s="75"/>
      <c r="P759" s="75"/>
    </row>
    <row r="760">
      <c r="A760" s="75"/>
      <c r="B760" s="75"/>
      <c r="C760" s="75"/>
      <c r="D760" s="75"/>
      <c r="E760" s="75"/>
      <c r="F760" s="75"/>
      <c r="G760" s="75"/>
      <c r="H760" s="75"/>
      <c r="I760" s="75"/>
      <c r="J760" s="75"/>
      <c r="K760" s="75"/>
      <c r="L760" s="75"/>
      <c r="M760" s="75"/>
      <c r="N760" s="75"/>
      <c r="O760" s="75"/>
      <c r="P760" s="75"/>
    </row>
    <row r="761">
      <c r="A761" s="75"/>
      <c r="B761" s="75"/>
      <c r="C761" s="75"/>
      <c r="D761" s="75"/>
      <c r="E761" s="75"/>
      <c r="F761" s="75"/>
      <c r="G761" s="75"/>
      <c r="H761" s="75"/>
      <c r="I761" s="75"/>
      <c r="J761" s="75"/>
      <c r="K761" s="75"/>
      <c r="L761" s="75"/>
      <c r="M761" s="75"/>
      <c r="N761" s="75"/>
      <c r="O761" s="75"/>
      <c r="P761" s="75"/>
    </row>
    <row r="762">
      <c r="A762" s="75"/>
      <c r="B762" s="75"/>
      <c r="C762" s="75"/>
      <c r="D762" s="75"/>
      <c r="E762" s="75"/>
      <c r="F762" s="75"/>
      <c r="G762" s="75"/>
      <c r="H762" s="75"/>
      <c r="I762" s="75"/>
      <c r="J762" s="75"/>
      <c r="K762" s="75"/>
      <c r="L762" s="75"/>
      <c r="M762" s="75"/>
      <c r="N762" s="75"/>
      <c r="O762" s="75"/>
      <c r="P762" s="75"/>
    </row>
    <row r="763">
      <c r="A763" s="75"/>
      <c r="B763" s="75"/>
      <c r="C763" s="75"/>
      <c r="D763" s="75"/>
      <c r="E763" s="75"/>
      <c r="F763" s="75"/>
      <c r="G763" s="75"/>
      <c r="H763" s="75"/>
      <c r="I763" s="75"/>
      <c r="J763" s="75"/>
      <c r="K763" s="75"/>
      <c r="L763" s="75"/>
      <c r="M763" s="75"/>
      <c r="N763" s="75"/>
      <c r="O763" s="75"/>
      <c r="P763" s="75"/>
    </row>
    <row r="764">
      <c r="A764" s="75"/>
      <c r="B764" s="75"/>
      <c r="C764" s="75"/>
      <c r="D764" s="75"/>
      <c r="E764" s="75"/>
      <c r="F764" s="75"/>
      <c r="G764" s="75"/>
      <c r="H764" s="75"/>
      <c r="I764" s="75"/>
      <c r="J764" s="75"/>
      <c r="K764" s="75"/>
      <c r="L764" s="75"/>
      <c r="M764" s="75"/>
      <c r="N764" s="75"/>
      <c r="O764" s="75"/>
      <c r="P764" s="75"/>
    </row>
    <row r="765">
      <c r="A765" s="75"/>
      <c r="B765" s="75"/>
      <c r="C765" s="75"/>
      <c r="D765" s="75"/>
      <c r="E765" s="75"/>
      <c r="F765" s="75"/>
      <c r="G765" s="75"/>
      <c r="H765" s="75"/>
      <c r="I765" s="75"/>
      <c r="J765" s="75"/>
      <c r="K765" s="75"/>
      <c r="L765" s="75"/>
      <c r="M765" s="75"/>
      <c r="N765" s="75"/>
      <c r="O765" s="75"/>
      <c r="P765" s="75"/>
    </row>
    <row r="766">
      <c r="A766" s="75"/>
      <c r="B766" s="75"/>
      <c r="C766" s="75"/>
      <c r="D766" s="75"/>
      <c r="E766" s="75"/>
      <c r="F766" s="75"/>
      <c r="G766" s="75"/>
      <c r="H766" s="75"/>
      <c r="I766" s="75"/>
      <c r="J766" s="75"/>
      <c r="K766" s="75"/>
      <c r="L766" s="75"/>
      <c r="M766" s="75"/>
      <c r="N766" s="75"/>
      <c r="O766" s="75"/>
      <c r="P766" s="75"/>
    </row>
    <row r="767">
      <c r="A767" s="75"/>
      <c r="B767" s="75"/>
      <c r="C767" s="75"/>
      <c r="D767" s="75"/>
      <c r="E767" s="75"/>
      <c r="F767" s="75"/>
      <c r="G767" s="75"/>
      <c r="H767" s="75"/>
      <c r="I767" s="75"/>
      <c r="J767" s="75"/>
      <c r="K767" s="75"/>
      <c r="L767" s="75"/>
      <c r="M767" s="75"/>
      <c r="N767" s="75"/>
      <c r="O767" s="75"/>
      <c r="P767" s="75"/>
    </row>
    <row r="768">
      <c r="A768" s="75"/>
      <c r="B768" s="75"/>
      <c r="C768" s="75"/>
      <c r="D768" s="75"/>
      <c r="E768" s="75"/>
      <c r="F768" s="75"/>
      <c r="G768" s="75"/>
      <c r="H768" s="75"/>
      <c r="I768" s="75"/>
      <c r="J768" s="75"/>
      <c r="K768" s="75"/>
      <c r="L768" s="75"/>
      <c r="M768" s="75"/>
      <c r="N768" s="75"/>
      <c r="O768" s="75"/>
      <c r="P768" s="75"/>
    </row>
    <row r="769">
      <c r="A769" s="75"/>
      <c r="B769" s="75"/>
      <c r="C769" s="75"/>
      <c r="D769" s="75"/>
      <c r="E769" s="75"/>
      <c r="F769" s="75"/>
      <c r="G769" s="75"/>
      <c r="H769" s="75"/>
      <c r="I769" s="75"/>
      <c r="J769" s="75"/>
      <c r="K769" s="75"/>
      <c r="L769" s="75"/>
      <c r="M769" s="75"/>
      <c r="N769" s="75"/>
      <c r="O769" s="75"/>
      <c r="P769" s="75"/>
    </row>
    <row r="770">
      <c r="A770" s="75"/>
      <c r="B770" s="75"/>
      <c r="C770" s="75"/>
      <c r="D770" s="75"/>
      <c r="E770" s="75"/>
      <c r="F770" s="75"/>
      <c r="G770" s="75"/>
      <c r="H770" s="75"/>
      <c r="I770" s="75"/>
      <c r="J770" s="75"/>
      <c r="K770" s="75"/>
      <c r="L770" s="75"/>
      <c r="M770" s="75"/>
      <c r="N770" s="75"/>
      <c r="O770" s="75"/>
      <c r="P770" s="75"/>
    </row>
    <row r="771">
      <c r="A771" s="75"/>
      <c r="B771" s="75"/>
      <c r="C771" s="75"/>
      <c r="D771" s="75"/>
      <c r="E771" s="75"/>
      <c r="F771" s="75"/>
      <c r="G771" s="75"/>
      <c r="H771" s="75"/>
      <c r="I771" s="75"/>
      <c r="J771" s="75"/>
      <c r="K771" s="75"/>
      <c r="L771" s="75"/>
      <c r="M771" s="75"/>
      <c r="N771" s="75"/>
      <c r="O771" s="75"/>
      <c r="P771" s="75"/>
    </row>
    <row r="772">
      <c r="A772" s="75"/>
      <c r="B772" s="75"/>
      <c r="C772" s="75"/>
      <c r="D772" s="75"/>
      <c r="E772" s="75"/>
      <c r="F772" s="75"/>
      <c r="G772" s="75"/>
      <c r="H772" s="75"/>
      <c r="I772" s="75"/>
      <c r="J772" s="75"/>
      <c r="K772" s="75"/>
      <c r="L772" s="75"/>
      <c r="M772" s="75"/>
      <c r="N772" s="75"/>
      <c r="O772" s="75"/>
      <c r="P772" s="75"/>
    </row>
    <row r="773">
      <c r="A773" s="75"/>
      <c r="B773" s="75"/>
      <c r="C773" s="75"/>
      <c r="D773" s="75"/>
      <c r="E773" s="75"/>
      <c r="F773" s="75"/>
      <c r="G773" s="75"/>
      <c r="H773" s="75"/>
      <c r="I773" s="75"/>
      <c r="J773" s="75"/>
      <c r="K773" s="75"/>
      <c r="L773" s="75"/>
      <c r="M773" s="75"/>
      <c r="N773" s="75"/>
      <c r="O773" s="75"/>
      <c r="P773" s="75"/>
    </row>
    <row r="774">
      <c r="A774" s="75"/>
      <c r="B774" s="75"/>
      <c r="C774" s="75"/>
      <c r="D774" s="75"/>
      <c r="E774" s="75"/>
      <c r="F774" s="75"/>
      <c r="G774" s="75"/>
      <c r="H774" s="75"/>
      <c r="I774" s="75"/>
      <c r="J774" s="75"/>
      <c r="K774" s="75"/>
      <c r="L774" s="75"/>
      <c r="M774" s="75"/>
      <c r="N774" s="75"/>
      <c r="O774" s="75"/>
      <c r="P774" s="75"/>
    </row>
    <row r="775">
      <c r="A775" s="75"/>
      <c r="B775" s="75"/>
      <c r="C775" s="75"/>
      <c r="D775" s="75"/>
      <c r="E775" s="75"/>
      <c r="F775" s="75"/>
      <c r="G775" s="75"/>
      <c r="H775" s="75"/>
      <c r="I775" s="75"/>
      <c r="J775" s="75"/>
      <c r="K775" s="75"/>
      <c r="L775" s="75"/>
      <c r="M775" s="75"/>
      <c r="N775" s="75"/>
      <c r="O775" s="75"/>
      <c r="P775" s="75"/>
    </row>
    <row r="776">
      <c r="A776" s="75"/>
      <c r="B776" s="75"/>
      <c r="C776" s="75"/>
      <c r="D776" s="75"/>
      <c r="E776" s="75"/>
      <c r="F776" s="75"/>
      <c r="G776" s="75"/>
      <c r="H776" s="75"/>
      <c r="I776" s="75"/>
      <c r="J776" s="75"/>
      <c r="K776" s="75"/>
      <c r="L776" s="75"/>
      <c r="M776" s="75"/>
      <c r="N776" s="75"/>
      <c r="O776" s="75"/>
      <c r="P776" s="75"/>
    </row>
    <row r="777">
      <c r="A777" s="75"/>
      <c r="B777" s="75"/>
      <c r="C777" s="75"/>
      <c r="D777" s="75"/>
      <c r="E777" s="75"/>
      <c r="F777" s="75"/>
      <c r="G777" s="75"/>
      <c r="H777" s="75"/>
      <c r="I777" s="75"/>
      <c r="J777" s="75"/>
      <c r="K777" s="75"/>
      <c r="L777" s="75"/>
      <c r="M777" s="75"/>
      <c r="N777" s="75"/>
      <c r="O777" s="75"/>
      <c r="P777" s="75"/>
    </row>
    <row r="778">
      <c r="A778" s="75"/>
      <c r="B778" s="75"/>
      <c r="C778" s="75"/>
      <c r="D778" s="75"/>
      <c r="E778" s="75"/>
      <c r="F778" s="75"/>
      <c r="G778" s="75"/>
      <c r="H778" s="75"/>
      <c r="I778" s="75"/>
      <c r="J778" s="75"/>
      <c r="K778" s="75"/>
      <c r="L778" s="75"/>
      <c r="M778" s="75"/>
      <c r="N778" s="75"/>
      <c r="O778" s="75"/>
      <c r="P778" s="75"/>
    </row>
    <row r="779">
      <c r="A779" s="75"/>
      <c r="B779" s="75"/>
      <c r="C779" s="75"/>
      <c r="D779" s="75"/>
      <c r="E779" s="75"/>
      <c r="F779" s="75"/>
      <c r="G779" s="75"/>
      <c r="H779" s="75"/>
      <c r="I779" s="75"/>
      <c r="J779" s="75"/>
      <c r="K779" s="75"/>
      <c r="L779" s="75"/>
      <c r="M779" s="75"/>
      <c r="N779" s="75"/>
      <c r="O779" s="75"/>
      <c r="P779" s="75"/>
    </row>
    <row r="780">
      <c r="A780" s="75"/>
      <c r="B780" s="75"/>
      <c r="C780" s="75"/>
      <c r="D780" s="75"/>
      <c r="E780" s="75"/>
      <c r="F780" s="75"/>
      <c r="G780" s="75"/>
      <c r="H780" s="75"/>
      <c r="I780" s="75"/>
      <c r="J780" s="75"/>
      <c r="K780" s="75"/>
      <c r="L780" s="75"/>
      <c r="M780" s="75"/>
      <c r="N780" s="75"/>
      <c r="O780" s="75"/>
      <c r="P780" s="75"/>
    </row>
    <row r="781">
      <c r="A781" s="75"/>
      <c r="B781" s="75"/>
      <c r="C781" s="75"/>
      <c r="D781" s="75"/>
      <c r="E781" s="75"/>
      <c r="F781" s="75"/>
      <c r="G781" s="75"/>
      <c r="H781" s="75"/>
      <c r="I781" s="75"/>
      <c r="J781" s="75"/>
      <c r="K781" s="75"/>
      <c r="L781" s="75"/>
      <c r="M781" s="75"/>
      <c r="N781" s="75"/>
      <c r="O781" s="75"/>
      <c r="P781" s="75"/>
    </row>
    <row r="782">
      <c r="A782" s="75"/>
      <c r="B782" s="75"/>
      <c r="C782" s="75"/>
      <c r="D782" s="75"/>
      <c r="E782" s="75"/>
      <c r="F782" s="75"/>
      <c r="G782" s="75"/>
      <c r="H782" s="75"/>
      <c r="I782" s="75"/>
      <c r="J782" s="75"/>
      <c r="K782" s="75"/>
      <c r="L782" s="75"/>
      <c r="M782" s="75"/>
      <c r="N782" s="75"/>
      <c r="O782" s="75"/>
      <c r="P782" s="75"/>
    </row>
    <row r="783">
      <c r="A783" s="75"/>
      <c r="B783" s="75"/>
      <c r="C783" s="75"/>
      <c r="D783" s="75"/>
      <c r="E783" s="75"/>
      <c r="F783" s="75"/>
      <c r="G783" s="75"/>
      <c r="H783" s="75"/>
      <c r="I783" s="75"/>
      <c r="J783" s="75"/>
      <c r="K783" s="75"/>
      <c r="L783" s="75"/>
      <c r="M783" s="75"/>
      <c r="N783" s="75"/>
      <c r="O783" s="75"/>
      <c r="P783" s="75"/>
    </row>
    <row r="784">
      <c r="A784" s="75"/>
      <c r="B784" s="75"/>
      <c r="C784" s="75"/>
      <c r="D784" s="75"/>
      <c r="E784" s="75"/>
      <c r="F784" s="75"/>
      <c r="G784" s="75"/>
      <c r="H784" s="75"/>
      <c r="I784" s="75"/>
      <c r="J784" s="75"/>
      <c r="K784" s="75"/>
      <c r="L784" s="75"/>
      <c r="M784" s="75"/>
      <c r="N784" s="75"/>
      <c r="O784" s="75"/>
      <c r="P784" s="75"/>
    </row>
    <row r="785">
      <c r="A785" s="75"/>
      <c r="B785" s="75"/>
      <c r="C785" s="75"/>
      <c r="D785" s="75"/>
      <c r="E785" s="75"/>
      <c r="F785" s="75"/>
      <c r="G785" s="75"/>
      <c r="H785" s="75"/>
      <c r="I785" s="75"/>
      <c r="J785" s="75"/>
      <c r="K785" s="75"/>
      <c r="L785" s="75"/>
      <c r="M785" s="75"/>
      <c r="N785" s="75"/>
      <c r="O785" s="75"/>
      <c r="P785" s="75"/>
    </row>
    <row r="786">
      <c r="A786" s="75"/>
      <c r="B786" s="75"/>
      <c r="C786" s="75"/>
      <c r="D786" s="75"/>
      <c r="E786" s="75"/>
      <c r="F786" s="75"/>
      <c r="G786" s="75"/>
      <c r="H786" s="75"/>
      <c r="I786" s="75"/>
      <c r="J786" s="75"/>
      <c r="K786" s="75"/>
      <c r="L786" s="75"/>
      <c r="M786" s="75"/>
      <c r="N786" s="75"/>
      <c r="O786" s="75"/>
      <c r="P786" s="75"/>
    </row>
    <row r="787">
      <c r="A787" s="75"/>
      <c r="B787" s="75"/>
      <c r="C787" s="75"/>
      <c r="D787" s="75"/>
      <c r="E787" s="75"/>
      <c r="F787" s="75"/>
      <c r="G787" s="75"/>
      <c r="H787" s="75"/>
      <c r="I787" s="75"/>
      <c r="J787" s="75"/>
      <c r="K787" s="75"/>
      <c r="L787" s="75"/>
      <c r="M787" s="75"/>
      <c r="N787" s="75"/>
      <c r="O787" s="75"/>
      <c r="P787" s="75"/>
    </row>
    <row r="788">
      <c r="A788" s="75"/>
      <c r="B788" s="75"/>
      <c r="C788" s="75"/>
      <c r="D788" s="75"/>
      <c r="E788" s="75"/>
      <c r="F788" s="75"/>
      <c r="G788" s="75"/>
      <c r="H788" s="75"/>
      <c r="I788" s="75"/>
      <c r="J788" s="75"/>
      <c r="K788" s="75"/>
      <c r="L788" s="75"/>
      <c r="M788" s="75"/>
      <c r="N788" s="75"/>
      <c r="O788" s="75"/>
      <c r="P788" s="75"/>
    </row>
    <row r="789">
      <c r="A789" s="75"/>
      <c r="B789" s="75"/>
      <c r="C789" s="75"/>
      <c r="D789" s="75"/>
      <c r="E789" s="75"/>
      <c r="F789" s="75"/>
      <c r="G789" s="75"/>
      <c r="H789" s="75"/>
      <c r="I789" s="75"/>
      <c r="J789" s="75"/>
      <c r="K789" s="75"/>
      <c r="L789" s="75"/>
      <c r="M789" s="75"/>
      <c r="N789" s="75"/>
      <c r="O789" s="75"/>
      <c r="P789" s="75"/>
    </row>
    <row r="790">
      <c r="A790" s="75"/>
      <c r="B790" s="75"/>
      <c r="C790" s="75"/>
      <c r="D790" s="75"/>
      <c r="E790" s="75"/>
      <c r="F790" s="75"/>
      <c r="G790" s="75"/>
      <c r="H790" s="75"/>
      <c r="I790" s="75"/>
      <c r="J790" s="75"/>
      <c r="K790" s="75"/>
      <c r="L790" s="75"/>
      <c r="M790" s="75"/>
      <c r="N790" s="75"/>
      <c r="O790" s="75"/>
      <c r="P790" s="75"/>
    </row>
    <row r="791">
      <c r="A791" s="75"/>
      <c r="B791" s="75"/>
      <c r="C791" s="75"/>
      <c r="D791" s="75"/>
      <c r="E791" s="75"/>
      <c r="F791" s="75"/>
      <c r="G791" s="75"/>
      <c r="H791" s="75"/>
      <c r="I791" s="75"/>
      <c r="J791" s="75"/>
      <c r="K791" s="75"/>
      <c r="L791" s="75"/>
      <c r="M791" s="75"/>
      <c r="N791" s="75"/>
      <c r="O791" s="75"/>
      <c r="P791" s="75"/>
    </row>
    <row r="792">
      <c r="A792" s="75"/>
      <c r="B792" s="75"/>
      <c r="C792" s="75"/>
      <c r="D792" s="75"/>
      <c r="E792" s="75"/>
      <c r="F792" s="75"/>
      <c r="G792" s="75"/>
      <c r="H792" s="75"/>
      <c r="I792" s="75"/>
      <c r="J792" s="75"/>
      <c r="K792" s="75"/>
      <c r="L792" s="75"/>
      <c r="M792" s="75"/>
      <c r="N792" s="75"/>
      <c r="O792" s="75"/>
      <c r="P792" s="75"/>
    </row>
    <row r="793">
      <c r="A793" s="75"/>
      <c r="B793" s="75"/>
      <c r="C793" s="75"/>
      <c r="D793" s="75"/>
      <c r="E793" s="75"/>
      <c r="F793" s="75"/>
      <c r="G793" s="75"/>
      <c r="H793" s="75"/>
      <c r="I793" s="75"/>
      <c r="J793" s="75"/>
      <c r="K793" s="75"/>
      <c r="L793" s="75"/>
      <c r="M793" s="75"/>
      <c r="N793" s="75"/>
      <c r="O793" s="75"/>
      <c r="P793" s="75"/>
    </row>
    <row r="794">
      <c r="A794" s="75"/>
      <c r="B794" s="75"/>
      <c r="C794" s="75"/>
      <c r="D794" s="75"/>
      <c r="E794" s="75"/>
      <c r="F794" s="75"/>
      <c r="G794" s="75"/>
      <c r="H794" s="75"/>
      <c r="I794" s="75"/>
      <c r="J794" s="75"/>
      <c r="K794" s="75"/>
      <c r="L794" s="75"/>
      <c r="M794" s="75"/>
      <c r="N794" s="75"/>
      <c r="O794" s="75"/>
      <c r="P794" s="75"/>
    </row>
    <row r="795">
      <c r="A795" s="75"/>
      <c r="B795" s="75"/>
      <c r="C795" s="75"/>
      <c r="D795" s="75"/>
      <c r="E795" s="75"/>
      <c r="F795" s="75"/>
      <c r="G795" s="75"/>
      <c r="H795" s="75"/>
      <c r="I795" s="75"/>
      <c r="J795" s="75"/>
      <c r="K795" s="75"/>
      <c r="L795" s="75"/>
      <c r="M795" s="75"/>
      <c r="N795" s="75"/>
      <c r="O795" s="75"/>
      <c r="P795" s="75"/>
    </row>
    <row r="796">
      <c r="A796" s="75"/>
      <c r="B796" s="75"/>
      <c r="C796" s="75"/>
      <c r="D796" s="75"/>
      <c r="E796" s="75"/>
      <c r="F796" s="75"/>
      <c r="G796" s="75"/>
      <c r="H796" s="75"/>
      <c r="I796" s="75"/>
      <c r="J796" s="75"/>
      <c r="K796" s="75"/>
      <c r="L796" s="75"/>
      <c r="M796" s="75"/>
      <c r="N796" s="75"/>
      <c r="O796" s="75"/>
      <c r="P796" s="75"/>
    </row>
    <row r="797">
      <c r="A797" s="75"/>
      <c r="B797" s="75"/>
      <c r="C797" s="75"/>
      <c r="D797" s="75"/>
      <c r="E797" s="75"/>
      <c r="F797" s="75"/>
      <c r="G797" s="75"/>
      <c r="H797" s="75"/>
      <c r="I797" s="75"/>
      <c r="J797" s="75"/>
      <c r="K797" s="75"/>
      <c r="L797" s="75"/>
      <c r="M797" s="75"/>
      <c r="N797" s="75"/>
      <c r="O797" s="75"/>
      <c r="P797" s="75"/>
    </row>
    <row r="798">
      <c r="A798" s="75"/>
      <c r="B798" s="75"/>
      <c r="C798" s="75"/>
      <c r="D798" s="75"/>
      <c r="E798" s="75"/>
      <c r="F798" s="75"/>
      <c r="G798" s="75"/>
      <c r="H798" s="75"/>
      <c r="I798" s="75"/>
      <c r="J798" s="75"/>
      <c r="K798" s="75"/>
      <c r="L798" s="75"/>
      <c r="M798" s="75"/>
      <c r="N798" s="75"/>
      <c r="O798" s="75"/>
      <c r="P798" s="75"/>
    </row>
    <row r="799">
      <c r="A799" s="75"/>
      <c r="B799" s="75"/>
      <c r="C799" s="75"/>
      <c r="D799" s="75"/>
      <c r="E799" s="75"/>
      <c r="F799" s="75"/>
      <c r="G799" s="75"/>
      <c r="H799" s="75"/>
      <c r="I799" s="75"/>
      <c r="J799" s="75"/>
      <c r="K799" s="75"/>
      <c r="L799" s="75"/>
      <c r="M799" s="75"/>
      <c r="N799" s="75"/>
      <c r="O799" s="75"/>
      <c r="P799" s="75"/>
    </row>
    <row r="800">
      <c r="A800" s="75"/>
      <c r="B800" s="75"/>
      <c r="C800" s="75"/>
      <c r="D800" s="75"/>
      <c r="E800" s="75"/>
      <c r="F800" s="75"/>
      <c r="G800" s="75"/>
      <c r="H800" s="75"/>
      <c r="I800" s="75"/>
      <c r="J800" s="75"/>
      <c r="K800" s="75"/>
      <c r="L800" s="75"/>
      <c r="M800" s="75"/>
      <c r="N800" s="75"/>
      <c r="O800" s="75"/>
      <c r="P800" s="75"/>
    </row>
    <row r="801">
      <c r="A801" s="75"/>
      <c r="B801" s="75"/>
      <c r="C801" s="75"/>
      <c r="D801" s="75"/>
      <c r="E801" s="75"/>
      <c r="F801" s="75"/>
      <c r="G801" s="75"/>
      <c r="H801" s="75"/>
      <c r="I801" s="75"/>
      <c r="J801" s="75"/>
      <c r="K801" s="75"/>
      <c r="L801" s="75"/>
      <c r="M801" s="75"/>
      <c r="N801" s="75"/>
      <c r="O801" s="75"/>
      <c r="P801" s="75"/>
    </row>
    <row r="802">
      <c r="A802" s="75"/>
      <c r="B802" s="75"/>
      <c r="C802" s="75"/>
      <c r="D802" s="75"/>
      <c r="E802" s="75"/>
      <c r="F802" s="75"/>
      <c r="G802" s="75"/>
      <c r="H802" s="75"/>
      <c r="I802" s="75"/>
      <c r="J802" s="75"/>
      <c r="K802" s="75"/>
      <c r="L802" s="75"/>
      <c r="M802" s="75"/>
      <c r="N802" s="75"/>
      <c r="O802" s="75"/>
      <c r="P802" s="75"/>
    </row>
    <row r="803">
      <c r="A803" s="75"/>
      <c r="B803" s="75"/>
      <c r="C803" s="75"/>
      <c r="D803" s="75"/>
      <c r="E803" s="75"/>
      <c r="F803" s="75"/>
      <c r="G803" s="75"/>
      <c r="H803" s="75"/>
      <c r="I803" s="75"/>
      <c r="J803" s="75"/>
      <c r="K803" s="75"/>
      <c r="L803" s="75"/>
      <c r="M803" s="75"/>
      <c r="N803" s="75"/>
      <c r="O803" s="75"/>
      <c r="P803" s="75"/>
    </row>
    <row r="804">
      <c r="A804" s="75"/>
      <c r="B804" s="75"/>
      <c r="C804" s="75"/>
      <c r="D804" s="75"/>
      <c r="E804" s="75"/>
      <c r="F804" s="75"/>
      <c r="G804" s="75"/>
      <c r="H804" s="75"/>
      <c r="I804" s="75"/>
      <c r="J804" s="75"/>
      <c r="K804" s="75"/>
      <c r="L804" s="75"/>
      <c r="M804" s="75"/>
      <c r="N804" s="75"/>
      <c r="O804" s="75"/>
      <c r="P804" s="75"/>
    </row>
    <row r="805">
      <c r="A805" s="75"/>
      <c r="B805" s="75"/>
      <c r="C805" s="75"/>
      <c r="D805" s="75"/>
      <c r="E805" s="75"/>
      <c r="F805" s="75"/>
      <c r="G805" s="75"/>
      <c r="H805" s="75"/>
      <c r="I805" s="75"/>
      <c r="J805" s="75"/>
      <c r="K805" s="75"/>
      <c r="L805" s="75"/>
      <c r="M805" s="75"/>
      <c r="N805" s="75"/>
      <c r="O805" s="75"/>
      <c r="P805" s="75"/>
    </row>
    <row r="806">
      <c r="A806" s="75"/>
      <c r="B806" s="75"/>
      <c r="C806" s="75"/>
      <c r="D806" s="75"/>
      <c r="E806" s="75"/>
      <c r="F806" s="75"/>
      <c r="G806" s="75"/>
      <c r="H806" s="75"/>
      <c r="I806" s="75"/>
      <c r="J806" s="75"/>
      <c r="K806" s="75"/>
      <c r="L806" s="75"/>
      <c r="M806" s="75"/>
      <c r="N806" s="75"/>
      <c r="O806" s="75"/>
      <c r="P806" s="75"/>
    </row>
    <row r="807">
      <c r="A807" s="75"/>
      <c r="B807" s="75"/>
      <c r="C807" s="75"/>
      <c r="D807" s="75"/>
      <c r="E807" s="75"/>
      <c r="F807" s="75"/>
      <c r="G807" s="75"/>
      <c r="H807" s="75"/>
      <c r="I807" s="75"/>
      <c r="J807" s="75"/>
      <c r="K807" s="75"/>
      <c r="L807" s="75"/>
      <c r="M807" s="75"/>
      <c r="N807" s="75"/>
      <c r="O807" s="75"/>
      <c r="P807" s="75"/>
    </row>
    <row r="808">
      <c r="A808" s="75"/>
      <c r="B808" s="75"/>
      <c r="C808" s="75"/>
      <c r="D808" s="75"/>
      <c r="E808" s="75"/>
      <c r="F808" s="75"/>
      <c r="G808" s="75"/>
      <c r="H808" s="75"/>
      <c r="I808" s="75"/>
      <c r="J808" s="75"/>
      <c r="K808" s="75"/>
      <c r="L808" s="75"/>
      <c r="M808" s="75"/>
      <c r="N808" s="75"/>
      <c r="O808" s="75"/>
      <c r="P808" s="75"/>
    </row>
    <row r="809">
      <c r="A809" s="75"/>
      <c r="B809" s="75"/>
      <c r="C809" s="75"/>
      <c r="D809" s="75"/>
      <c r="E809" s="75"/>
      <c r="F809" s="75"/>
      <c r="G809" s="75"/>
      <c r="H809" s="75"/>
      <c r="I809" s="75"/>
      <c r="J809" s="75"/>
      <c r="K809" s="75"/>
      <c r="L809" s="75"/>
      <c r="M809" s="75"/>
      <c r="N809" s="75"/>
      <c r="O809" s="75"/>
      <c r="P809" s="75"/>
    </row>
    <row r="810">
      <c r="A810" s="75"/>
      <c r="B810" s="75"/>
      <c r="C810" s="75"/>
      <c r="D810" s="75"/>
      <c r="E810" s="75"/>
      <c r="F810" s="75"/>
      <c r="G810" s="75"/>
      <c r="H810" s="75"/>
      <c r="I810" s="75"/>
      <c r="J810" s="75"/>
      <c r="K810" s="75"/>
      <c r="L810" s="75"/>
      <c r="M810" s="75"/>
      <c r="N810" s="75"/>
      <c r="O810" s="75"/>
      <c r="P810" s="75"/>
    </row>
    <row r="811">
      <c r="A811" s="75"/>
      <c r="B811" s="75"/>
      <c r="C811" s="75"/>
      <c r="D811" s="75"/>
      <c r="E811" s="75"/>
      <c r="F811" s="75"/>
      <c r="G811" s="75"/>
      <c r="H811" s="75"/>
      <c r="I811" s="75"/>
      <c r="J811" s="75"/>
      <c r="K811" s="75"/>
      <c r="L811" s="75"/>
      <c r="M811" s="75"/>
      <c r="N811" s="75"/>
      <c r="O811" s="75"/>
      <c r="P811" s="75"/>
    </row>
    <row r="812">
      <c r="A812" s="75"/>
      <c r="B812" s="75"/>
      <c r="C812" s="75"/>
      <c r="D812" s="75"/>
      <c r="E812" s="75"/>
      <c r="F812" s="75"/>
      <c r="G812" s="75"/>
      <c r="H812" s="75"/>
      <c r="I812" s="75"/>
      <c r="J812" s="75"/>
      <c r="K812" s="75"/>
      <c r="L812" s="75"/>
      <c r="M812" s="75"/>
      <c r="N812" s="75"/>
      <c r="O812" s="75"/>
      <c r="P812" s="75"/>
    </row>
    <row r="813">
      <c r="A813" s="75"/>
      <c r="B813" s="75"/>
      <c r="C813" s="75"/>
      <c r="D813" s="75"/>
      <c r="E813" s="75"/>
      <c r="F813" s="75"/>
      <c r="G813" s="75"/>
      <c r="H813" s="75"/>
      <c r="I813" s="75"/>
      <c r="J813" s="75"/>
      <c r="K813" s="75"/>
      <c r="L813" s="75"/>
      <c r="M813" s="75"/>
      <c r="N813" s="75"/>
      <c r="O813" s="75"/>
      <c r="P813" s="75"/>
    </row>
    <row r="814">
      <c r="A814" s="75"/>
      <c r="B814" s="75"/>
      <c r="C814" s="75"/>
      <c r="D814" s="75"/>
      <c r="E814" s="75"/>
      <c r="F814" s="75"/>
      <c r="G814" s="75"/>
      <c r="H814" s="75"/>
      <c r="I814" s="75"/>
      <c r="J814" s="75"/>
      <c r="K814" s="75"/>
      <c r="L814" s="75"/>
      <c r="M814" s="75"/>
      <c r="N814" s="75"/>
      <c r="O814" s="75"/>
      <c r="P814" s="75"/>
    </row>
    <row r="815">
      <c r="A815" s="75"/>
      <c r="B815" s="75"/>
      <c r="C815" s="75"/>
      <c r="D815" s="75"/>
      <c r="E815" s="75"/>
      <c r="F815" s="75"/>
      <c r="G815" s="75"/>
      <c r="H815" s="75"/>
      <c r="I815" s="75"/>
      <c r="J815" s="75"/>
      <c r="K815" s="75"/>
      <c r="L815" s="75"/>
      <c r="M815" s="75"/>
      <c r="N815" s="75"/>
      <c r="O815" s="75"/>
      <c r="P815" s="75"/>
    </row>
    <row r="816">
      <c r="A816" s="75"/>
      <c r="B816" s="75"/>
      <c r="C816" s="75"/>
      <c r="D816" s="75"/>
      <c r="E816" s="75"/>
      <c r="F816" s="75"/>
      <c r="G816" s="75"/>
      <c r="H816" s="75"/>
      <c r="I816" s="75"/>
      <c r="J816" s="75"/>
      <c r="K816" s="75"/>
      <c r="L816" s="75"/>
      <c r="M816" s="75"/>
      <c r="N816" s="75"/>
      <c r="O816" s="75"/>
      <c r="P816" s="75"/>
    </row>
    <row r="817">
      <c r="A817" s="75"/>
      <c r="B817" s="75"/>
      <c r="C817" s="75"/>
      <c r="D817" s="75"/>
      <c r="E817" s="75"/>
      <c r="F817" s="75"/>
      <c r="G817" s="75"/>
      <c r="H817" s="75"/>
      <c r="I817" s="75"/>
      <c r="J817" s="75"/>
      <c r="K817" s="75"/>
      <c r="L817" s="75"/>
      <c r="M817" s="75"/>
      <c r="N817" s="75"/>
      <c r="O817" s="75"/>
      <c r="P817" s="75"/>
    </row>
    <row r="818">
      <c r="A818" s="75"/>
      <c r="B818" s="75"/>
      <c r="C818" s="75"/>
      <c r="D818" s="75"/>
      <c r="E818" s="75"/>
      <c r="F818" s="75"/>
      <c r="G818" s="75"/>
      <c r="H818" s="75"/>
      <c r="I818" s="75"/>
      <c r="J818" s="75"/>
      <c r="K818" s="75"/>
      <c r="L818" s="75"/>
      <c r="M818" s="75"/>
      <c r="N818" s="75"/>
      <c r="O818" s="75"/>
      <c r="P818" s="75"/>
    </row>
    <row r="819">
      <c r="A819" s="75"/>
      <c r="B819" s="75"/>
      <c r="C819" s="75"/>
      <c r="D819" s="75"/>
      <c r="E819" s="75"/>
      <c r="F819" s="75"/>
      <c r="G819" s="75"/>
      <c r="H819" s="75"/>
      <c r="I819" s="75"/>
      <c r="J819" s="75"/>
      <c r="K819" s="75"/>
      <c r="L819" s="75"/>
      <c r="M819" s="75"/>
      <c r="N819" s="75"/>
      <c r="O819" s="75"/>
      <c r="P819" s="75"/>
    </row>
    <row r="820">
      <c r="A820" s="75"/>
      <c r="B820" s="75"/>
      <c r="C820" s="75"/>
      <c r="D820" s="75"/>
      <c r="E820" s="75"/>
      <c r="F820" s="75"/>
      <c r="G820" s="75"/>
      <c r="H820" s="75"/>
      <c r="I820" s="75"/>
      <c r="J820" s="75"/>
      <c r="K820" s="75"/>
      <c r="L820" s="75"/>
      <c r="M820" s="75"/>
      <c r="N820" s="75"/>
      <c r="O820" s="75"/>
      <c r="P820" s="75"/>
    </row>
    <row r="821">
      <c r="A821" s="75"/>
      <c r="B821" s="75"/>
      <c r="C821" s="75"/>
      <c r="D821" s="75"/>
      <c r="E821" s="75"/>
      <c r="F821" s="75"/>
      <c r="G821" s="75"/>
      <c r="H821" s="75"/>
      <c r="I821" s="75"/>
      <c r="J821" s="75"/>
      <c r="K821" s="75"/>
      <c r="L821" s="75"/>
      <c r="M821" s="75"/>
      <c r="N821" s="75"/>
      <c r="O821" s="75"/>
      <c r="P821" s="75"/>
    </row>
    <row r="822">
      <c r="A822" s="75"/>
      <c r="B822" s="75"/>
      <c r="C822" s="75"/>
      <c r="D822" s="75"/>
      <c r="E822" s="75"/>
      <c r="F822" s="75"/>
      <c r="G822" s="75"/>
      <c r="H822" s="75"/>
      <c r="I822" s="75"/>
      <c r="J822" s="75"/>
      <c r="K822" s="75"/>
      <c r="L822" s="75"/>
      <c r="M822" s="75"/>
      <c r="N822" s="75"/>
      <c r="O822" s="75"/>
      <c r="P822" s="75"/>
    </row>
    <row r="823">
      <c r="A823" s="75"/>
      <c r="B823" s="75"/>
      <c r="C823" s="75"/>
      <c r="D823" s="75"/>
      <c r="E823" s="75"/>
      <c r="F823" s="75"/>
      <c r="G823" s="75"/>
      <c r="H823" s="75"/>
      <c r="I823" s="75"/>
      <c r="J823" s="75"/>
      <c r="K823" s="75"/>
      <c r="L823" s="75"/>
      <c r="M823" s="75"/>
      <c r="N823" s="75"/>
      <c r="O823" s="75"/>
      <c r="P823" s="75"/>
    </row>
    <row r="824">
      <c r="A824" s="75"/>
      <c r="B824" s="75"/>
      <c r="C824" s="75"/>
      <c r="D824" s="75"/>
      <c r="E824" s="75"/>
      <c r="F824" s="75"/>
      <c r="G824" s="75"/>
      <c r="H824" s="75"/>
      <c r="I824" s="75"/>
      <c r="J824" s="75"/>
      <c r="K824" s="75"/>
      <c r="L824" s="75"/>
      <c r="M824" s="75"/>
      <c r="N824" s="75"/>
      <c r="O824" s="75"/>
      <c r="P824" s="75"/>
    </row>
    <row r="825">
      <c r="A825" s="75"/>
      <c r="B825" s="75"/>
      <c r="C825" s="75"/>
      <c r="D825" s="75"/>
      <c r="E825" s="75"/>
      <c r="F825" s="75"/>
      <c r="G825" s="75"/>
      <c r="H825" s="75"/>
      <c r="I825" s="75"/>
      <c r="J825" s="75"/>
      <c r="K825" s="75"/>
      <c r="L825" s="75"/>
      <c r="M825" s="75"/>
      <c r="N825" s="75"/>
      <c r="O825" s="75"/>
      <c r="P825" s="75"/>
    </row>
    <row r="826">
      <c r="A826" s="75"/>
      <c r="B826" s="75"/>
      <c r="C826" s="75"/>
      <c r="D826" s="75"/>
      <c r="E826" s="75"/>
      <c r="F826" s="75"/>
      <c r="G826" s="75"/>
      <c r="H826" s="75"/>
      <c r="I826" s="75"/>
      <c r="J826" s="75"/>
      <c r="K826" s="75"/>
      <c r="L826" s="75"/>
      <c r="M826" s="75"/>
      <c r="N826" s="75"/>
      <c r="O826" s="75"/>
      <c r="P826" s="75"/>
    </row>
    <row r="827">
      <c r="A827" s="75"/>
      <c r="B827" s="75"/>
      <c r="C827" s="75"/>
      <c r="D827" s="75"/>
      <c r="E827" s="75"/>
      <c r="F827" s="75"/>
      <c r="G827" s="75"/>
      <c r="H827" s="75"/>
      <c r="I827" s="75"/>
      <c r="J827" s="75"/>
      <c r="K827" s="75"/>
      <c r="L827" s="75"/>
      <c r="M827" s="75"/>
      <c r="N827" s="75"/>
      <c r="O827" s="75"/>
      <c r="P827" s="75"/>
    </row>
    <row r="828">
      <c r="A828" s="75"/>
      <c r="B828" s="75"/>
      <c r="C828" s="75"/>
      <c r="D828" s="75"/>
      <c r="E828" s="75"/>
      <c r="F828" s="75"/>
      <c r="G828" s="75"/>
      <c r="H828" s="75"/>
      <c r="I828" s="75"/>
      <c r="J828" s="75"/>
      <c r="K828" s="75"/>
      <c r="L828" s="75"/>
      <c r="M828" s="75"/>
      <c r="N828" s="75"/>
      <c r="O828" s="75"/>
      <c r="P828" s="75"/>
    </row>
    <row r="829">
      <c r="A829" s="75"/>
      <c r="B829" s="75"/>
      <c r="C829" s="75"/>
      <c r="D829" s="75"/>
      <c r="E829" s="75"/>
      <c r="F829" s="75"/>
      <c r="G829" s="75"/>
      <c r="H829" s="75"/>
      <c r="I829" s="75"/>
      <c r="J829" s="75"/>
      <c r="K829" s="75"/>
      <c r="L829" s="75"/>
      <c r="M829" s="75"/>
      <c r="N829" s="75"/>
      <c r="O829" s="75"/>
      <c r="P829" s="75"/>
    </row>
    <row r="830">
      <c r="A830" s="75"/>
      <c r="B830" s="75"/>
      <c r="C830" s="75"/>
      <c r="D830" s="75"/>
      <c r="E830" s="75"/>
      <c r="F830" s="75"/>
      <c r="G830" s="75"/>
      <c r="H830" s="75"/>
      <c r="I830" s="75"/>
      <c r="J830" s="75"/>
      <c r="K830" s="75"/>
      <c r="L830" s="75"/>
      <c r="M830" s="75"/>
      <c r="N830" s="75"/>
      <c r="O830" s="75"/>
      <c r="P830" s="75"/>
    </row>
    <row r="831">
      <c r="A831" s="75"/>
      <c r="B831" s="75"/>
      <c r="C831" s="75"/>
      <c r="D831" s="75"/>
      <c r="E831" s="75"/>
      <c r="F831" s="75"/>
      <c r="G831" s="75"/>
      <c r="H831" s="75"/>
      <c r="I831" s="75"/>
      <c r="J831" s="75"/>
      <c r="K831" s="75"/>
      <c r="L831" s="75"/>
      <c r="M831" s="75"/>
      <c r="N831" s="75"/>
      <c r="O831" s="75"/>
      <c r="P831" s="75"/>
    </row>
    <row r="832">
      <c r="A832" s="75"/>
      <c r="B832" s="75"/>
      <c r="C832" s="75"/>
      <c r="D832" s="75"/>
      <c r="E832" s="75"/>
      <c r="F832" s="75"/>
      <c r="G832" s="75"/>
      <c r="H832" s="75"/>
      <c r="I832" s="75"/>
      <c r="J832" s="75"/>
      <c r="K832" s="75"/>
      <c r="L832" s="75"/>
      <c r="M832" s="75"/>
      <c r="N832" s="75"/>
      <c r="O832" s="75"/>
      <c r="P832" s="75"/>
    </row>
    <row r="833">
      <c r="A833" s="75"/>
      <c r="B833" s="75"/>
      <c r="C833" s="75"/>
      <c r="D833" s="75"/>
      <c r="E833" s="75"/>
      <c r="F833" s="75"/>
      <c r="G833" s="75"/>
      <c r="H833" s="75"/>
      <c r="I833" s="75"/>
      <c r="J833" s="75"/>
      <c r="K833" s="75"/>
      <c r="L833" s="75"/>
      <c r="M833" s="75"/>
      <c r="N833" s="75"/>
      <c r="O833" s="75"/>
      <c r="P833" s="75"/>
    </row>
    <row r="834">
      <c r="A834" s="75"/>
      <c r="B834" s="75"/>
      <c r="C834" s="75"/>
      <c r="D834" s="75"/>
      <c r="E834" s="75"/>
      <c r="F834" s="75"/>
      <c r="G834" s="75"/>
      <c r="H834" s="75"/>
      <c r="I834" s="75"/>
      <c r="J834" s="75"/>
      <c r="K834" s="75"/>
      <c r="L834" s="75"/>
      <c r="M834" s="75"/>
      <c r="N834" s="75"/>
      <c r="O834" s="75"/>
      <c r="P834" s="75"/>
    </row>
    <row r="835">
      <c r="A835" s="75"/>
      <c r="B835" s="75"/>
      <c r="C835" s="75"/>
      <c r="D835" s="75"/>
      <c r="E835" s="75"/>
      <c r="F835" s="75"/>
      <c r="G835" s="75"/>
      <c r="H835" s="75"/>
      <c r="I835" s="75"/>
      <c r="J835" s="75"/>
      <c r="K835" s="75"/>
      <c r="L835" s="75"/>
      <c r="M835" s="75"/>
      <c r="N835" s="75"/>
      <c r="O835" s="75"/>
      <c r="P835" s="75"/>
    </row>
    <row r="836">
      <c r="A836" s="75"/>
      <c r="B836" s="75"/>
      <c r="C836" s="75"/>
      <c r="D836" s="75"/>
      <c r="E836" s="75"/>
      <c r="F836" s="75"/>
      <c r="G836" s="75"/>
      <c r="H836" s="75"/>
      <c r="I836" s="75"/>
      <c r="J836" s="75"/>
      <c r="K836" s="75"/>
      <c r="L836" s="75"/>
      <c r="M836" s="75"/>
      <c r="N836" s="75"/>
      <c r="O836" s="75"/>
      <c r="P836" s="75"/>
    </row>
    <row r="837">
      <c r="A837" s="75"/>
      <c r="B837" s="75"/>
      <c r="C837" s="75"/>
      <c r="D837" s="75"/>
      <c r="E837" s="75"/>
      <c r="F837" s="75"/>
      <c r="G837" s="75"/>
      <c r="H837" s="75"/>
      <c r="I837" s="75"/>
      <c r="J837" s="75"/>
      <c r="K837" s="75"/>
      <c r="L837" s="75"/>
      <c r="M837" s="75"/>
      <c r="N837" s="75"/>
      <c r="O837" s="75"/>
      <c r="P837" s="75"/>
    </row>
    <row r="838">
      <c r="A838" s="75"/>
      <c r="B838" s="75"/>
      <c r="C838" s="75"/>
      <c r="D838" s="75"/>
      <c r="E838" s="75"/>
      <c r="F838" s="75"/>
      <c r="G838" s="75"/>
      <c r="H838" s="75"/>
      <c r="I838" s="75"/>
      <c r="J838" s="75"/>
      <c r="K838" s="75"/>
      <c r="L838" s="75"/>
      <c r="M838" s="75"/>
      <c r="N838" s="75"/>
      <c r="O838" s="75"/>
      <c r="P838" s="75"/>
    </row>
    <row r="839">
      <c r="A839" s="75"/>
      <c r="B839" s="75"/>
      <c r="C839" s="75"/>
      <c r="D839" s="75"/>
      <c r="E839" s="75"/>
      <c r="F839" s="75"/>
      <c r="G839" s="75"/>
      <c r="H839" s="75"/>
      <c r="I839" s="75"/>
      <c r="J839" s="75"/>
      <c r="K839" s="75"/>
      <c r="L839" s="75"/>
      <c r="M839" s="75"/>
      <c r="N839" s="75"/>
      <c r="O839" s="75"/>
      <c r="P839" s="75"/>
    </row>
    <row r="840">
      <c r="A840" s="75"/>
      <c r="B840" s="75"/>
      <c r="C840" s="75"/>
      <c r="D840" s="75"/>
      <c r="E840" s="75"/>
      <c r="F840" s="75"/>
      <c r="G840" s="75"/>
      <c r="H840" s="75"/>
      <c r="I840" s="75"/>
      <c r="J840" s="75"/>
      <c r="K840" s="75"/>
      <c r="L840" s="75"/>
      <c r="M840" s="75"/>
      <c r="N840" s="75"/>
      <c r="O840" s="75"/>
      <c r="P840" s="75"/>
    </row>
    <row r="841">
      <c r="A841" s="75"/>
      <c r="B841" s="75"/>
      <c r="C841" s="75"/>
      <c r="D841" s="75"/>
      <c r="E841" s="75"/>
      <c r="F841" s="75"/>
      <c r="G841" s="75"/>
      <c r="H841" s="75"/>
      <c r="I841" s="75"/>
      <c r="J841" s="75"/>
      <c r="K841" s="75"/>
      <c r="L841" s="75"/>
      <c r="M841" s="75"/>
      <c r="N841" s="75"/>
      <c r="O841" s="75"/>
      <c r="P841" s="75"/>
    </row>
    <row r="842">
      <c r="A842" s="75"/>
      <c r="B842" s="75"/>
      <c r="C842" s="75"/>
      <c r="D842" s="75"/>
      <c r="E842" s="75"/>
      <c r="F842" s="75"/>
      <c r="G842" s="75"/>
      <c r="H842" s="75"/>
      <c r="I842" s="75"/>
      <c r="J842" s="75"/>
      <c r="K842" s="75"/>
      <c r="L842" s="75"/>
      <c r="M842" s="75"/>
      <c r="N842" s="75"/>
      <c r="O842" s="75"/>
      <c r="P842" s="75"/>
    </row>
    <row r="843">
      <c r="A843" s="75"/>
      <c r="B843" s="75"/>
      <c r="C843" s="75"/>
      <c r="D843" s="75"/>
      <c r="E843" s="75"/>
      <c r="F843" s="75"/>
      <c r="G843" s="75"/>
      <c r="H843" s="75"/>
      <c r="I843" s="75"/>
      <c r="J843" s="75"/>
      <c r="K843" s="75"/>
      <c r="L843" s="75"/>
      <c r="M843" s="75"/>
      <c r="N843" s="75"/>
      <c r="O843" s="75"/>
      <c r="P843" s="75"/>
    </row>
    <row r="844">
      <c r="A844" s="75"/>
      <c r="B844" s="75"/>
      <c r="C844" s="75"/>
      <c r="D844" s="75"/>
      <c r="E844" s="75"/>
      <c r="F844" s="75"/>
      <c r="G844" s="75"/>
      <c r="H844" s="75"/>
      <c r="I844" s="75"/>
      <c r="J844" s="75"/>
      <c r="K844" s="75"/>
      <c r="L844" s="75"/>
      <c r="M844" s="75"/>
      <c r="N844" s="75"/>
      <c r="O844" s="75"/>
      <c r="P844" s="75"/>
    </row>
    <row r="845">
      <c r="A845" s="75"/>
      <c r="B845" s="75"/>
      <c r="C845" s="75"/>
      <c r="D845" s="75"/>
      <c r="E845" s="75"/>
      <c r="F845" s="75"/>
      <c r="G845" s="75"/>
      <c r="H845" s="75"/>
      <c r="I845" s="75"/>
      <c r="J845" s="75"/>
      <c r="K845" s="75"/>
      <c r="L845" s="75"/>
      <c r="M845" s="75"/>
      <c r="N845" s="75"/>
      <c r="O845" s="75"/>
      <c r="P845" s="75"/>
    </row>
    <row r="846">
      <c r="A846" s="75"/>
      <c r="B846" s="75"/>
      <c r="C846" s="75"/>
      <c r="D846" s="75"/>
      <c r="E846" s="75"/>
      <c r="F846" s="75"/>
      <c r="G846" s="75"/>
      <c r="H846" s="75"/>
      <c r="I846" s="75"/>
      <c r="J846" s="75"/>
      <c r="K846" s="75"/>
      <c r="L846" s="75"/>
      <c r="M846" s="75"/>
      <c r="N846" s="75"/>
      <c r="O846" s="75"/>
      <c r="P846" s="75"/>
    </row>
    <row r="847">
      <c r="A847" s="75"/>
      <c r="B847" s="75"/>
      <c r="C847" s="75"/>
      <c r="D847" s="75"/>
      <c r="E847" s="75"/>
      <c r="F847" s="75"/>
      <c r="G847" s="75"/>
      <c r="H847" s="75"/>
      <c r="I847" s="75"/>
      <c r="J847" s="75"/>
      <c r="K847" s="75"/>
      <c r="L847" s="75"/>
      <c r="M847" s="75"/>
      <c r="N847" s="75"/>
      <c r="O847" s="75"/>
      <c r="P847" s="75"/>
    </row>
    <row r="848">
      <c r="A848" s="75"/>
      <c r="B848" s="75"/>
      <c r="C848" s="75"/>
      <c r="D848" s="75"/>
      <c r="E848" s="75"/>
      <c r="F848" s="75"/>
      <c r="G848" s="75"/>
      <c r="H848" s="75"/>
      <c r="I848" s="75"/>
      <c r="J848" s="75"/>
      <c r="K848" s="75"/>
      <c r="L848" s="75"/>
      <c r="M848" s="75"/>
      <c r="N848" s="75"/>
      <c r="O848" s="75"/>
      <c r="P848" s="75"/>
    </row>
    <row r="849">
      <c r="A849" s="75"/>
      <c r="B849" s="75"/>
      <c r="C849" s="75"/>
      <c r="D849" s="75"/>
      <c r="E849" s="75"/>
      <c r="F849" s="75"/>
      <c r="G849" s="75"/>
      <c r="H849" s="75"/>
      <c r="I849" s="75"/>
      <c r="J849" s="75"/>
      <c r="K849" s="75"/>
      <c r="L849" s="75"/>
      <c r="M849" s="75"/>
      <c r="N849" s="75"/>
      <c r="O849" s="75"/>
      <c r="P849" s="75"/>
    </row>
    <row r="850">
      <c r="A850" s="75"/>
      <c r="B850" s="75"/>
      <c r="C850" s="75"/>
      <c r="D850" s="75"/>
      <c r="E850" s="75"/>
      <c r="F850" s="75"/>
      <c r="G850" s="75"/>
      <c r="H850" s="75"/>
      <c r="I850" s="75"/>
      <c r="J850" s="75"/>
      <c r="K850" s="75"/>
      <c r="L850" s="75"/>
      <c r="M850" s="75"/>
      <c r="N850" s="75"/>
      <c r="O850" s="75"/>
      <c r="P850" s="75"/>
    </row>
    <row r="851">
      <c r="A851" s="75"/>
      <c r="B851" s="75"/>
      <c r="C851" s="75"/>
      <c r="D851" s="75"/>
      <c r="E851" s="75"/>
      <c r="F851" s="75"/>
      <c r="G851" s="75"/>
      <c r="H851" s="75"/>
      <c r="I851" s="75"/>
      <c r="J851" s="75"/>
      <c r="K851" s="75"/>
      <c r="L851" s="75"/>
      <c r="M851" s="75"/>
      <c r="N851" s="75"/>
      <c r="O851" s="75"/>
      <c r="P851" s="75"/>
    </row>
    <row r="852">
      <c r="A852" s="75"/>
      <c r="B852" s="75"/>
      <c r="C852" s="75"/>
      <c r="D852" s="75"/>
      <c r="E852" s="75"/>
      <c r="F852" s="75"/>
      <c r="G852" s="75"/>
      <c r="H852" s="75"/>
      <c r="I852" s="75"/>
      <c r="J852" s="75"/>
      <c r="K852" s="75"/>
      <c r="L852" s="75"/>
      <c r="M852" s="75"/>
      <c r="N852" s="75"/>
      <c r="O852" s="75"/>
      <c r="P852" s="75"/>
    </row>
    <row r="853">
      <c r="A853" s="75"/>
      <c r="B853" s="75"/>
      <c r="C853" s="75"/>
      <c r="D853" s="75"/>
      <c r="E853" s="75"/>
      <c r="F853" s="75"/>
      <c r="G853" s="75"/>
      <c r="H853" s="75"/>
      <c r="I853" s="75"/>
      <c r="J853" s="75"/>
      <c r="K853" s="75"/>
      <c r="L853" s="75"/>
      <c r="M853" s="75"/>
      <c r="N853" s="75"/>
      <c r="O853" s="75"/>
      <c r="P853" s="75"/>
    </row>
    <row r="854">
      <c r="A854" s="75"/>
      <c r="B854" s="75"/>
      <c r="C854" s="75"/>
      <c r="D854" s="75"/>
      <c r="E854" s="75"/>
      <c r="F854" s="75"/>
      <c r="G854" s="75"/>
      <c r="H854" s="75"/>
      <c r="I854" s="75"/>
      <c r="J854" s="75"/>
      <c r="K854" s="75"/>
      <c r="L854" s="75"/>
      <c r="M854" s="75"/>
      <c r="N854" s="75"/>
      <c r="O854" s="75"/>
      <c r="P854" s="75"/>
    </row>
    <row r="855">
      <c r="A855" s="75"/>
      <c r="B855" s="75"/>
      <c r="C855" s="75"/>
      <c r="D855" s="75"/>
      <c r="E855" s="75"/>
      <c r="F855" s="75"/>
      <c r="G855" s="75"/>
      <c r="H855" s="75"/>
      <c r="I855" s="75"/>
      <c r="J855" s="75"/>
      <c r="K855" s="75"/>
      <c r="L855" s="75"/>
      <c r="M855" s="75"/>
      <c r="N855" s="75"/>
      <c r="O855" s="75"/>
      <c r="P855" s="75"/>
    </row>
    <row r="856">
      <c r="A856" s="75"/>
      <c r="B856" s="75"/>
      <c r="C856" s="75"/>
      <c r="D856" s="75"/>
      <c r="E856" s="75"/>
      <c r="F856" s="75"/>
      <c r="G856" s="75"/>
      <c r="H856" s="75"/>
      <c r="I856" s="75"/>
      <c r="J856" s="75"/>
      <c r="K856" s="75"/>
      <c r="L856" s="75"/>
      <c r="M856" s="75"/>
      <c r="N856" s="75"/>
      <c r="O856" s="75"/>
      <c r="P856" s="75"/>
    </row>
    <row r="857">
      <c r="A857" s="75"/>
      <c r="B857" s="75"/>
      <c r="C857" s="75"/>
      <c r="D857" s="75"/>
      <c r="E857" s="75"/>
      <c r="F857" s="75"/>
      <c r="G857" s="75"/>
      <c r="H857" s="75"/>
      <c r="I857" s="75"/>
      <c r="J857" s="75"/>
      <c r="K857" s="75"/>
      <c r="L857" s="75"/>
      <c r="M857" s="75"/>
      <c r="N857" s="75"/>
      <c r="O857" s="75"/>
      <c r="P857" s="75"/>
    </row>
    <row r="858">
      <c r="A858" s="75"/>
      <c r="B858" s="75"/>
      <c r="C858" s="75"/>
      <c r="D858" s="75"/>
      <c r="E858" s="75"/>
      <c r="F858" s="75"/>
      <c r="G858" s="75"/>
      <c r="H858" s="75"/>
      <c r="I858" s="75"/>
      <c r="J858" s="75"/>
      <c r="K858" s="75"/>
      <c r="L858" s="75"/>
      <c r="M858" s="75"/>
      <c r="N858" s="75"/>
      <c r="O858" s="75"/>
      <c r="P858" s="75"/>
    </row>
    <row r="859">
      <c r="A859" s="75"/>
      <c r="B859" s="75"/>
      <c r="C859" s="75"/>
      <c r="D859" s="75"/>
      <c r="E859" s="75"/>
      <c r="F859" s="75"/>
      <c r="G859" s="75"/>
      <c r="H859" s="75"/>
      <c r="I859" s="75"/>
      <c r="J859" s="75"/>
      <c r="K859" s="75"/>
      <c r="L859" s="75"/>
      <c r="M859" s="75"/>
      <c r="N859" s="75"/>
      <c r="O859" s="75"/>
      <c r="P859" s="75"/>
    </row>
    <row r="860">
      <c r="A860" s="75"/>
      <c r="B860" s="75"/>
      <c r="C860" s="75"/>
      <c r="D860" s="75"/>
      <c r="E860" s="75"/>
      <c r="F860" s="75"/>
      <c r="G860" s="75"/>
      <c r="H860" s="75"/>
      <c r="I860" s="75"/>
      <c r="J860" s="75"/>
      <c r="K860" s="75"/>
      <c r="L860" s="75"/>
      <c r="M860" s="75"/>
      <c r="N860" s="75"/>
      <c r="O860" s="75"/>
      <c r="P860" s="75"/>
    </row>
    <row r="861">
      <c r="A861" s="75"/>
      <c r="B861" s="75"/>
      <c r="C861" s="75"/>
      <c r="D861" s="75"/>
      <c r="E861" s="75"/>
      <c r="F861" s="75"/>
      <c r="G861" s="75"/>
      <c r="H861" s="75"/>
      <c r="I861" s="75"/>
      <c r="J861" s="75"/>
      <c r="K861" s="75"/>
      <c r="L861" s="75"/>
      <c r="M861" s="75"/>
      <c r="N861" s="75"/>
      <c r="O861" s="75"/>
      <c r="P861" s="75"/>
    </row>
    <row r="862">
      <c r="A862" s="75"/>
      <c r="B862" s="75"/>
      <c r="C862" s="75"/>
      <c r="D862" s="75"/>
      <c r="E862" s="75"/>
      <c r="F862" s="75"/>
      <c r="G862" s="75"/>
      <c r="H862" s="75"/>
      <c r="I862" s="75"/>
      <c r="J862" s="75"/>
      <c r="K862" s="75"/>
      <c r="L862" s="75"/>
      <c r="M862" s="75"/>
      <c r="N862" s="75"/>
      <c r="O862" s="75"/>
      <c r="P862" s="75"/>
    </row>
    <row r="863">
      <c r="A863" s="75"/>
      <c r="B863" s="75"/>
      <c r="C863" s="75"/>
      <c r="D863" s="75"/>
      <c r="E863" s="75"/>
      <c r="F863" s="75"/>
      <c r="G863" s="75"/>
      <c r="H863" s="75"/>
      <c r="I863" s="75"/>
      <c r="J863" s="75"/>
      <c r="K863" s="75"/>
      <c r="L863" s="75"/>
      <c r="M863" s="75"/>
      <c r="N863" s="75"/>
      <c r="O863" s="75"/>
      <c r="P863" s="75"/>
    </row>
    <row r="864">
      <c r="A864" s="75"/>
      <c r="B864" s="75"/>
      <c r="C864" s="75"/>
      <c r="D864" s="75"/>
      <c r="E864" s="75"/>
      <c r="F864" s="75"/>
      <c r="G864" s="75"/>
      <c r="H864" s="75"/>
      <c r="I864" s="75"/>
      <c r="J864" s="75"/>
      <c r="K864" s="75"/>
      <c r="L864" s="75"/>
      <c r="M864" s="75"/>
      <c r="N864" s="75"/>
      <c r="O864" s="75"/>
      <c r="P864" s="75"/>
    </row>
    <row r="865">
      <c r="A865" s="75"/>
      <c r="B865" s="75"/>
      <c r="C865" s="75"/>
      <c r="D865" s="75"/>
      <c r="E865" s="75"/>
      <c r="F865" s="75"/>
      <c r="G865" s="75"/>
      <c r="H865" s="75"/>
      <c r="I865" s="75"/>
      <c r="J865" s="75"/>
      <c r="K865" s="75"/>
      <c r="L865" s="75"/>
      <c r="M865" s="75"/>
      <c r="N865" s="75"/>
      <c r="O865" s="75"/>
      <c r="P865" s="75"/>
    </row>
    <row r="866">
      <c r="A866" s="75"/>
      <c r="B866" s="75"/>
      <c r="C866" s="75"/>
      <c r="D866" s="75"/>
      <c r="E866" s="75"/>
      <c r="F866" s="75"/>
      <c r="G866" s="75"/>
      <c r="H866" s="75"/>
      <c r="I866" s="75"/>
      <c r="J866" s="75"/>
      <c r="K866" s="75"/>
      <c r="L866" s="75"/>
      <c r="M866" s="75"/>
      <c r="N866" s="75"/>
      <c r="O866" s="75"/>
      <c r="P866" s="75"/>
    </row>
    <row r="867">
      <c r="A867" s="75"/>
      <c r="B867" s="75"/>
      <c r="C867" s="75"/>
      <c r="D867" s="75"/>
      <c r="E867" s="75"/>
      <c r="F867" s="75"/>
      <c r="G867" s="75"/>
      <c r="H867" s="75"/>
      <c r="I867" s="75"/>
      <c r="J867" s="75"/>
      <c r="K867" s="75"/>
      <c r="L867" s="75"/>
      <c r="M867" s="75"/>
      <c r="N867" s="75"/>
      <c r="O867" s="75"/>
      <c r="P867" s="75"/>
    </row>
    <row r="868">
      <c r="A868" s="75"/>
      <c r="B868" s="75"/>
      <c r="C868" s="75"/>
      <c r="D868" s="75"/>
      <c r="E868" s="75"/>
      <c r="F868" s="75"/>
      <c r="G868" s="75"/>
      <c r="H868" s="75"/>
      <c r="I868" s="75"/>
      <c r="J868" s="75"/>
      <c r="K868" s="75"/>
      <c r="L868" s="75"/>
      <c r="M868" s="75"/>
      <c r="N868" s="75"/>
      <c r="O868" s="75"/>
      <c r="P868" s="75"/>
    </row>
    <row r="869">
      <c r="A869" s="75"/>
      <c r="B869" s="75"/>
      <c r="C869" s="75"/>
      <c r="D869" s="75"/>
      <c r="E869" s="75"/>
      <c r="F869" s="75"/>
      <c r="G869" s="75"/>
      <c r="H869" s="75"/>
      <c r="I869" s="75"/>
      <c r="J869" s="75"/>
      <c r="K869" s="75"/>
      <c r="L869" s="75"/>
      <c r="M869" s="75"/>
      <c r="N869" s="75"/>
      <c r="O869" s="75"/>
      <c r="P869" s="75"/>
    </row>
    <row r="870">
      <c r="A870" s="75"/>
      <c r="B870" s="75"/>
      <c r="C870" s="75"/>
      <c r="D870" s="75"/>
      <c r="E870" s="75"/>
      <c r="F870" s="75"/>
      <c r="G870" s="75"/>
      <c r="H870" s="75"/>
      <c r="I870" s="75"/>
      <c r="J870" s="75"/>
      <c r="K870" s="75"/>
      <c r="L870" s="75"/>
      <c r="M870" s="75"/>
      <c r="N870" s="75"/>
      <c r="O870" s="75"/>
      <c r="P870" s="75"/>
    </row>
    <row r="871">
      <c r="A871" s="75"/>
      <c r="B871" s="75"/>
      <c r="C871" s="75"/>
      <c r="D871" s="75"/>
      <c r="E871" s="75"/>
      <c r="F871" s="75"/>
      <c r="G871" s="75"/>
      <c r="H871" s="75"/>
      <c r="I871" s="75"/>
      <c r="J871" s="75"/>
      <c r="K871" s="75"/>
      <c r="L871" s="75"/>
      <c r="M871" s="75"/>
      <c r="N871" s="75"/>
      <c r="O871" s="75"/>
      <c r="P871" s="75"/>
    </row>
    <row r="872">
      <c r="A872" s="75"/>
      <c r="B872" s="75"/>
      <c r="C872" s="75"/>
      <c r="D872" s="75"/>
      <c r="E872" s="75"/>
      <c r="F872" s="75"/>
      <c r="G872" s="75"/>
      <c r="H872" s="75"/>
      <c r="I872" s="75"/>
      <c r="J872" s="75"/>
      <c r="K872" s="75"/>
      <c r="L872" s="75"/>
      <c r="M872" s="75"/>
      <c r="N872" s="75"/>
      <c r="O872" s="75"/>
      <c r="P872" s="75"/>
    </row>
    <row r="873">
      <c r="A873" s="75"/>
      <c r="B873" s="75"/>
      <c r="C873" s="75"/>
      <c r="D873" s="75"/>
      <c r="E873" s="75"/>
      <c r="F873" s="75"/>
      <c r="G873" s="75"/>
      <c r="H873" s="75"/>
      <c r="I873" s="75"/>
      <c r="J873" s="75"/>
      <c r="K873" s="75"/>
      <c r="L873" s="75"/>
      <c r="M873" s="75"/>
      <c r="N873" s="75"/>
      <c r="O873" s="75"/>
      <c r="P873" s="75"/>
    </row>
    <row r="874">
      <c r="A874" s="75"/>
      <c r="B874" s="75"/>
      <c r="C874" s="75"/>
      <c r="D874" s="75"/>
      <c r="E874" s="75"/>
      <c r="F874" s="75"/>
      <c r="G874" s="75"/>
      <c r="H874" s="75"/>
      <c r="I874" s="75"/>
      <c r="J874" s="75"/>
      <c r="K874" s="75"/>
      <c r="L874" s="75"/>
      <c r="M874" s="75"/>
      <c r="N874" s="75"/>
      <c r="O874" s="75"/>
      <c r="P874" s="75"/>
    </row>
    <row r="875">
      <c r="A875" s="75"/>
      <c r="B875" s="75"/>
      <c r="C875" s="75"/>
      <c r="D875" s="75"/>
      <c r="E875" s="75"/>
      <c r="F875" s="75"/>
      <c r="G875" s="75"/>
      <c r="H875" s="75"/>
      <c r="I875" s="75"/>
      <c r="J875" s="75"/>
      <c r="K875" s="75"/>
      <c r="L875" s="75"/>
      <c r="M875" s="75"/>
      <c r="N875" s="75"/>
      <c r="O875" s="75"/>
      <c r="P875" s="75"/>
    </row>
    <row r="876">
      <c r="A876" s="75"/>
      <c r="B876" s="75"/>
      <c r="C876" s="75"/>
      <c r="D876" s="75"/>
      <c r="E876" s="75"/>
      <c r="F876" s="75"/>
      <c r="G876" s="75"/>
      <c r="H876" s="75"/>
      <c r="I876" s="75"/>
      <c r="J876" s="75"/>
      <c r="K876" s="75"/>
      <c r="L876" s="75"/>
      <c r="M876" s="75"/>
      <c r="N876" s="75"/>
      <c r="O876" s="75"/>
      <c r="P876" s="75"/>
    </row>
    <row r="877">
      <c r="A877" s="75"/>
      <c r="B877" s="75"/>
      <c r="C877" s="75"/>
      <c r="D877" s="75"/>
      <c r="E877" s="75"/>
      <c r="F877" s="75"/>
      <c r="G877" s="75"/>
      <c r="H877" s="75"/>
      <c r="I877" s="75"/>
      <c r="J877" s="75"/>
      <c r="K877" s="75"/>
      <c r="L877" s="75"/>
      <c r="M877" s="75"/>
      <c r="N877" s="75"/>
      <c r="O877" s="75"/>
      <c r="P877" s="75"/>
    </row>
    <row r="878">
      <c r="A878" s="75"/>
      <c r="B878" s="75"/>
      <c r="C878" s="75"/>
      <c r="D878" s="75"/>
      <c r="E878" s="75"/>
      <c r="F878" s="75"/>
      <c r="G878" s="75"/>
      <c r="H878" s="75"/>
      <c r="I878" s="75"/>
      <c r="J878" s="75"/>
      <c r="K878" s="75"/>
      <c r="L878" s="75"/>
      <c r="M878" s="75"/>
      <c r="N878" s="75"/>
      <c r="O878" s="75"/>
      <c r="P878" s="75"/>
    </row>
    <row r="879">
      <c r="A879" s="75"/>
      <c r="B879" s="75"/>
      <c r="C879" s="75"/>
      <c r="D879" s="75"/>
      <c r="E879" s="75"/>
      <c r="F879" s="75"/>
      <c r="G879" s="75"/>
      <c r="H879" s="75"/>
      <c r="I879" s="75"/>
      <c r="J879" s="75"/>
      <c r="K879" s="75"/>
      <c r="L879" s="75"/>
      <c r="M879" s="75"/>
      <c r="N879" s="75"/>
      <c r="O879" s="75"/>
      <c r="P879" s="75"/>
    </row>
    <row r="880">
      <c r="A880" s="75"/>
      <c r="B880" s="75"/>
      <c r="C880" s="75"/>
      <c r="D880" s="75"/>
      <c r="E880" s="75"/>
      <c r="F880" s="75"/>
      <c r="G880" s="75"/>
      <c r="H880" s="75"/>
      <c r="I880" s="75"/>
      <c r="J880" s="75"/>
      <c r="K880" s="75"/>
      <c r="L880" s="75"/>
      <c r="M880" s="75"/>
      <c r="N880" s="75"/>
      <c r="O880" s="75"/>
      <c r="P880" s="75"/>
    </row>
    <row r="881">
      <c r="A881" s="75"/>
      <c r="B881" s="75"/>
      <c r="C881" s="75"/>
      <c r="D881" s="75"/>
      <c r="E881" s="75"/>
      <c r="F881" s="75"/>
      <c r="G881" s="75"/>
      <c r="H881" s="75"/>
      <c r="I881" s="75"/>
      <c r="J881" s="75"/>
      <c r="K881" s="75"/>
      <c r="L881" s="75"/>
      <c r="M881" s="75"/>
      <c r="N881" s="75"/>
      <c r="O881" s="75"/>
      <c r="P881" s="75"/>
    </row>
    <row r="882">
      <c r="A882" s="75"/>
      <c r="B882" s="75"/>
      <c r="C882" s="75"/>
      <c r="D882" s="75"/>
      <c r="E882" s="75"/>
      <c r="F882" s="75"/>
      <c r="G882" s="75"/>
      <c r="H882" s="75"/>
      <c r="I882" s="75"/>
      <c r="J882" s="75"/>
      <c r="K882" s="75"/>
      <c r="L882" s="75"/>
      <c r="M882" s="75"/>
      <c r="N882" s="75"/>
      <c r="O882" s="75"/>
      <c r="P882" s="75"/>
    </row>
    <row r="883">
      <c r="A883" s="75"/>
      <c r="B883" s="75"/>
      <c r="C883" s="75"/>
      <c r="D883" s="75"/>
      <c r="E883" s="75"/>
      <c r="F883" s="75"/>
      <c r="G883" s="75"/>
      <c r="H883" s="75"/>
      <c r="I883" s="75"/>
      <c r="J883" s="75"/>
      <c r="K883" s="75"/>
      <c r="L883" s="75"/>
      <c r="M883" s="75"/>
      <c r="N883" s="75"/>
      <c r="O883" s="75"/>
      <c r="P883" s="75"/>
    </row>
    <row r="884">
      <c r="A884" s="75"/>
      <c r="B884" s="75"/>
      <c r="C884" s="75"/>
      <c r="D884" s="75"/>
      <c r="E884" s="75"/>
      <c r="F884" s="75"/>
      <c r="G884" s="75"/>
      <c r="H884" s="75"/>
      <c r="I884" s="75"/>
      <c r="J884" s="75"/>
      <c r="K884" s="75"/>
      <c r="L884" s="75"/>
      <c r="M884" s="75"/>
      <c r="N884" s="75"/>
      <c r="O884" s="75"/>
      <c r="P884" s="75"/>
    </row>
    <row r="885">
      <c r="A885" s="75"/>
      <c r="B885" s="75"/>
      <c r="C885" s="75"/>
      <c r="D885" s="75"/>
      <c r="E885" s="75"/>
      <c r="F885" s="75"/>
      <c r="G885" s="75"/>
      <c r="H885" s="75"/>
      <c r="I885" s="75"/>
      <c r="J885" s="75"/>
      <c r="K885" s="75"/>
      <c r="L885" s="75"/>
      <c r="M885" s="75"/>
      <c r="N885" s="75"/>
      <c r="O885" s="75"/>
      <c r="P885" s="75"/>
    </row>
    <row r="886">
      <c r="A886" s="75"/>
      <c r="B886" s="75"/>
      <c r="C886" s="75"/>
      <c r="D886" s="75"/>
      <c r="E886" s="75"/>
      <c r="F886" s="75"/>
      <c r="G886" s="75"/>
      <c r="H886" s="75"/>
      <c r="I886" s="75"/>
      <c r="J886" s="75"/>
      <c r="K886" s="75"/>
      <c r="L886" s="75"/>
      <c r="M886" s="75"/>
      <c r="N886" s="75"/>
      <c r="O886" s="75"/>
      <c r="P886" s="75"/>
    </row>
    <row r="887">
      <c r="A887" s="75"/>
      <c r="B887" s="75"/>
      <c r="C887" s="75"/>
      <c r="D887" s="75"/>
      <c r="E887" s="75"/>
      <c r="F887" s="75"/>
      <c r="G887" s="75"/>
      <c r="H887" s="75"/>
      <c r="I887" s="75"/>
      <c r="J887" s="75"/>
      <c r="K887" s="75"/>
      <c r="L887" s="75"/>
      <c r="M887" s="75"/>
      <c r="N887" s="75"/>
      <c r="O887" s="75"/>
      <c r="P887" s="75"/>
    </row>
    <row r="888">
      <c r="A888" s="75"/>
      <c r="B888" s="75"/>
      <c r="C888" s="75"/>
      <c r="D888" s="75"/>
      <c r="E888" s="75"/>
      <c r="F888" s="75"/>
      <c r="G888" s="75"/>
      <c r="H888" s="75"/>
      <c r="I888" s="75"/>
      <c r="J888" s="75"/>
      <c r="K888" s="75"/>
      <c r="L888" s="75"/>
      <c r="M888" s="75"/>
      <c r="N888" s="75"/>
      <c r="O888" s="75"/>
      <c r="P888" s="75"/>
    </row>
    <row r="889">
      <c r="A889" s="75"/>
      <c r="B889" s="75"/>
      <c r="C889" s="75"/>
      <c r="D889" s="75"/>
      <c r="E889" s="75"/>
      <c r="F889" s="75"/>
      <c r="G889" s="75"/>
      <c r="H889" s="75"/>
      <c r="I889" s="75"/>
      <c r="J889" s="75"/>
      <c r="K889" s="75"/>
      <c r="L889" s="75"/>
      <c r="M889" s="75"/>
      <c r="N889" s="75"/>
      <c r="O889" s="75"/>
      <c r="P889" s="75"/>
    </row>
    <row r="890">
      <c r="A890" s="75"/>
      <c r="B890" s="75"/>
      <c r="C890" s="75"/>
      <c r="D890" s="75"/>
      <c r="E890" s="75"/>
      <c r="F890" s="75"/>
      <c r="G890" s="75"/>
      <c r="H890" s="75"/>
      <c r="I890" s="75"/>
      <c r="J890" s="75"/>
      <c r="K890" s="75"/>
      <c r="L890" s="75"/>
      <c r="M890" s="75"/>
      <c r="N890" s="75"/>
      <c r="O890" s="75"/>
      <c r="P890" s="75"/>
    </row>
    <row r="891">
      <c r="A891" s="75"/>
      <c r="B891" s="75"/>
      <c r="C891" s="75"/>
      <c r="D891" s="75"/>
      <c r="E891" s="75"/>
      <c r="F891" s="75"/>
      <c r="G891" s="75"/>
      <c r="H891" s="75"/>
      <c r="I891" s="75"/>
      <c r="J891" s="75"/>
      <c r="K891" s="75"/>
      <c r="L891" s="75"/>
      <c r="M891" s="75"/>
      <c r="N891" s="75"/>
      <c r="O891" s="75"/>
      <c r="P891" s="75"/>
    </row>
    <row r="892">
      <c r="A892" s="75"/>
      <c r="B892" s="75"/>
      <c r="C892" s="75"/>
      <c r="D892" s="75"/>
      <c r="E892" s="75"/>
      <c r="F892" s="75"/>
      <c r="G892" s="75"/>
      <c r="H892" s="75"/>
      <c r="I892" s="75"/>
      <c r="J892" s="75"/>
      <c r="K892" s="75"/>
      <c r="L892" s="75"/>
      <c r="M892" s="75"/>
      <c r="N892" s="75"/>
      <c r="O892" s="75"/>
      <c r="P892" s="75"/>
    </row>
    <row r="893">
      <c r="A893" s="75"/>
      <c r="B893" s="75"/>
      <c r="C893" s="75"/>
      <c r="D893" s="75"/>
      <c r="E893" s="75"/>
      <c r="F893" s="75"/>
      <c r="G893" s="75"/>
      <c r="H893" s="75"/>
      <c r="I893" s="75"/>
      <c r="J893" s="75"/>
      <c r="K893" s="75"/>
      <c r="L893" s="75"/>
      <c r="M893" s="75"/>
      <c r="N893" s="75"/>
      <c r="O893" s="75"/>
      <c r="P893" s="75"/>
    </row>
    <row r="894">
      <c r="A894" s="75"/>
      <c r="B894" s="75"/>
      <c r="C894" s="75"/>
      <c r="D894" s="75"/>
      <c r="E894" s="75"/>
      <c r="F894" s="75"/>
      <c r="G894" s="75"/>
      <c r="H894" s="75"/>
      <c r="I894" s="75"/>
      <c r="J894" s="75"/>
      <c r="K894" s="75"/>
      <c r="L894" s="75"/>
      <c r="M894" s="75"/>
      <c r="N894" s="75"/>
      <c r="O894" s="75"/>
      <c r="P894" s="75"/>
    </row>
    <row r="895">
      <c r="A895" s="75"/>
      <c r="B895" s="75"/>
      <c r="C895" s="75"/>
      <c r="D895" s="75"/>
      <c r="E895" s="75"/>
      <c r="F895" s="75"/>
      <c r="G895" s="75"/>
      <c r="H895" s="75"/>
      <c r="I895" s="75"/>
      <c r="J895" s="75"/>
      <c r="K895" s="75"/>
      <c r="L895" s="75"/>
      <c r="M895" s="75"/>
      <c r="N895" s="75"/>
      <c r="O895" s="75"/>
      <c r="P895" s="75"/>
    </row>
    <row r="896">
      <c r="A896" s="75"/>
      <c r="B896" s="75"/>
      <c r="C896" s="75"/>
      <c r="D896" s="75"/>
      <c r="E896" s="75"/>
      <c r="F896" s="75"/>
      <c r="G896" s="75"/>
      <c r="H896" s="75"/>
      <c r="I896" s="75"/>
      <c r="J896" s="75"/>
      <c r="K896" s="75"/>
      <c r="L896" s="75"/>
      <c r="M896" s="75"/>
      <c r="N896" s="75"/>
      <c r="O896" s="75"/>
      <c r="P896" s="75"/>
    </row>
    <row r="897">
      <c r="A897" s="75"/>
      <c r="B897" s="75"/>
      <c r="C897" s="75"/>
      <c r="D897" s="75"/>
      <c r="E897" s="75"/>
      <c r="F897" s="75"/>
      <c r="G897" s="75"/>
      <c r="H897" s="75"/>
      <c r="I897" s="75"/>
      <c r="J897" s="75"/>
      <c r="K897" s="75"/>
      <c r="L897" s="75"/>
      <c r="M897" s="75"/>
      <c r="N897" s="75"/>
      <c r="O897" s="75"/>
      <c r="P897" s="75"/>
    </row>
    <row r="898">
      <c r="A898" s="75"/>
      <c r="B898" s="75"/>
      <c r="C898" s="75"/>
      <c r="D898" s="75"/>
      <c r="E898" s="75"/>
      <c r="F898" s="75"/>
      <c r="G898" s="75"/>
      <c r="H898" s="75"/>
      <c r="I898" s="75"/>
      <c r="J898" s="75"/>
      <c r="K898" s="75"/>
      <c r="L898" s="75"/>
      <c r="M898" s="75"/>
      <c r="N898" s="75"/>
      <c r="O898" s="75"/>
      <c r="P898" s="75"/>
    </row>
    <row r="899">
      <c r="A899" s="75"/>
      <c r="B899" s="75"/>
      <c r="C899" s="75"/>
      <c r="D899" s="75"/>
      <c r="E899" s="75"/>
      <c r="F899" s="75"/>
      <c r="G899" s="75"/>
      <c r="H899" s="75"/>
      <c r="I899" s="75"/>
      <c r="J899" s="75"/>
      <c r="K899" s="75"/>
      <c r="L899" s="75"/>
      <c r="M899" s="75"/>
      <c r="N899" s="75"/>
      <c r="O899" s="75"/>
      <c r="P899" s="75"/>
    </row>
    <row r="900">
      <c r="A900" s="75"/>
      <c r="B900" s="75"/>
      <c r="C900" s="75"/>
      <c r="D900" s="75"/>
      <c r="E900" s="75"/>
      <c r="F900" s="75"/>
      <c r="G900" s="75"/>
      <c r="H900" s="75"/>
      <c r="I900" s="75"/>
      <c r="J900" s="75"/>
      <c r="K900" s="75"/>
      <c r="L900" s="75"/>
      <c r="M900" s="75"/>
      <c r="N900" s="75"/>
      <c r="O900" s="75"/>
      <c r="P900" s="75"/>
    </row>
    <row r="901">
      <c r="A901" s="75"/>
      <c r="B901" s="75"/>
      <c r="C901" s="75"/>
      <c r="D901" s="75"/>
      <c r="E901" s="75"/>
      <c r="F901" s="75"/>
      <c r="G901" s="75"/>
      <c r="H901" s="75"/>
      <c r="I901" s="75"/>
      <c r="J901" s="75"/>
      <c r="K901" s="75"/>
      <c r="L901" s="75"/>
      <c r="M901" s="75"/>
      <c r="N901" s="75"/>
      <c r="O901" s="75"/>
      <c r="P901" s="75"/>
    </row>
    <row r="902">
      <c r="A902" s="75"/>
      <c r="B902" s="75"/>
      <c r="C902" s="75"/>
      <c r="D902" s="75"/>
      <c r="E902" s="75"/>
      <c r="F902" s="75"/>
      <c r="G902" s="75"/>
      <c r="H902" s="75"/>
      <c r="I902" s="75"/>
      <c r="J902" s="75"/>
      <c r="K902" s="75"/>
      <c r="L902" s="75"/>
      <c r="M902" s="75"/>
      <c r="N902" s="75"/>
      <c r="O902" s="75"/>
      <c r="P902" s="75"/>
    </row>
    <row r="903">
      <c r="A903" s="75"/>
      <c r="B903" s="75"/>
      <c r="C903" s="75"/>
      <c r="D903" s="75"/>
      <c r="E903" s="75"/>
      <c r="F903" s="75"/>
      <c r="G903" s="75"/>
      <c r="H903" s="75"/>
      <c r="I903" s="75"/>
      <c r="J903" s="75"/>
      <c r="K903" s="75"/>
      <c r="L903" s="75"/>
      <c r="M903" s="75"/>
      <c r="N903" s="75"/>
      <c r="O903" s="75"/>
      <c r="P903" s="75"/>
    </row>
    <row r="904">
      <c r="A904" s="75"/>
      <c r="B904" s="75"/>
      <c r="C904" s="75"/>
      <c r="D904" s="75"/>
      <c r="E904" s="75"/>
      <c r="F904" s="75"/>
      <c r="G904" s="75"/>
      <c r="H904" s="75"/>
      <c r="I904" s="75"/>
      <c r="J904" s="75"/>
      <c r="K904" s="75"/>
      <c r="L904" s="75"/>
      <c r="M904" s="75"/>
      <c r="N904" s="75"/>
      <c r="O904" s="75"/>
      <c r="P904" s="75"/>
    </row>
    <row r="905">
      <c r="A905" s="75"/>
      <c r="B905" s="75"/>
      <c r="C905" s="75"/>
      <c r="D905" s="75"/>
      <c r="E905" s="75"/>
      <c r="F905" s="75"/>
      <c r="G905" s="75"/>
      <c r="H905" s="75"/>
      <c r="I905" s="75"/>
      <c r="J905" s="75"/>
      <c r="K905" s="75"/>
      <c r="L905" s="75"/>
      <c r="M905" s="75"/>
      <c r="N905" s="75"/>
      <c r="O905" s="75"/>
      <c r="P905" s="75"/>
    </row>
    <row r="906">
      <c r="A906" s="75"/>
      <c r="B906" s="75"/>
      <c r="C906" s="75"/>
      <c r="D906" s="75"/>
      <c r="E906" s="75"/>
      <c r="F906" s="75"/>
      <c r="G906" s="75"/>
      <c r="H906" s="75"/>
      <c r="I906" s="75"/>
      <c r="J906" s="75"/>
      <c r="K906" s="75"/>
      <c r="L906" s="75"/>
      <c r="M906" s="75"/>
      <c r="N906" s="75"/>
      <c r="O906" s="75"/>
      <c r="P906" s="75"/>
    </row>
    <row r="907">
      <c r="A907" s="75"/>
      <c r="B907" s="75"/>
      <c r="C907" s="75"/>
      <c r="D907" s="75"/>
      <c r="E907" s="75"/>
      <c r="F907" s="75"/>
      <c r="G907" s="75"/>
      <c r="H907" s="75"/>
      <c r="I907" s="75"/>
      <c r="J907" s="75"/>
      <c r="K907" s="75"/>
      <c r="L907" s="75"/>
      <c r="M907" s="75"/>
      <c r="N907" s="75"/>
      <c r="O907" s="75"/>
      <c r="P907" s="75"/>
    </row>
    <row r="908">
      <c r="A908" s="75"/>
      <c r="B908" s="75"/>
      <c r="C908" s="75"/>
      <c r="D908" s="75"/>
      <c r="E908" s="75"/>
      <c r="F908" s="75"/>
      <c r="G908" s="75"/>
      <c r="H908" s="75"/>
      <c r="I908" s="75"/>
      <c r="J908" s="75"/>
      <c r="K908" s="75"/>
      <c r="L908" s="75"/>
      <c r="M908" s="75"/>
      <c r="N908" s="75"/>
      <c r="O908" s="75"/>
      <c r="P908" s="75"/>
    </row>
    <row r="909">
      <c r="A909" s="75"/>
      <c r="B909" s="75"/>
      <c r="C909" s="75"/>
      <c r="D909" s="75"/>
      <c r="E909" s="75"/>
      <c r="F909" s="75"/>
      <c r="G909" s="75"/>
      <c r="H909" s="75"/>
      <c r="I909" s="75"/>
      <c r="J909" s="75"/>
      <c r="K909" s="75"/>
      <c r="L909" s="75"/>
      <c r="M909" s="75"/>
      <c r="N909" s="75"/>
      <c r="O909" s="75"/>
      <c r="P909" s="75"/>
    </row>
    <row r="910">
      <c r="A910" s="75"/>
      <c r="B910" s="75"/>
      <c r="C910" s="75"/>
      <c r="D910" s="75"/>
      <c r="E910" s="75"/>
      <c r="F910" s="75"/>
      <c r="G910" s="75"/>
      <c r="H910" s="75"/>
      <c r="I910" s="75"/>
      <c r="J910" s="75"/>
      <c r="K910" s="75"/>
      <c r="L910" s="75"/>
      <c r="M910" s="75"/>
      <c r="N910" s="75"/>
      <c r="O910" s="75"/>
      <c r="P910" s="75"/>
    </row>
    <row r="911">
      <c r="A911" s="75"/>
      <c r="B911" s="75"/>
      <c r="C911" s="75"/>
      <c r="D911" s="75"/>
      <c r="E911" s="75"/>
      <c r="F911" s="75"/>
      <c r="G911" s="75"/>
      <c r="H911" s="75"/>
      <c r="I911" s="75"/>
      <c r="J911" s="75"/>
      <c r="K911" s="75"/>
      <c r="L911" s="75"/>
      <c r="M911" s="75"/>
      <c r="N911" s="75"/>
      <c r="O911" s="75"/>
      <c r="P911" s="75"/>
    </row>
    <row r="912">
      <c r="A912" s="75"/>
      <c r="B912" s="75"/>
      <c r="C912" s="75"/>
      <c r="D912" s="75"/>
      <c r="E912" s="75"/>
      <c r="F912" s="75"/>
      <c r="G912" s="75"/>
      <c r="H912" s="75"/>
      <c r="I912" s="75"/>
      <c r="J912" s="75"/>
      <c r="K912" s="75"/>
      <c r="L912" s="75"/>
      <c r="M912" s="75"/>
      <c r="N912" s="75"/>
      <c r="O912" s="75"/>
      <c r="P912" s="75"/>
    </row>
    <row r="913">
      <c r="A913" s="75"/>
      <c r="B913" s="75"/>
      <c r="C913" s="75"/>
      <c r="D913" s="75"/>
      <c r="E913" s="75"/>
      <c r="F913" s="75"/>
      <c r="G913" s="75"/>
      <c r="H913" s="75"/>
      <c r="I913" s="75"/>
      <c r="J913" s="75"/>
      <c r="K913" s="75"/>
      <c r="L913" s="75"/>
      <c r="M913" s="75"/>
      <c r="N913" s="75"/>
      <c r="O913" s="75"/>
      <c r="P913" s="75"/>
    </row>
    <row r="914">
      <c r="A914" s="75"/>
      <c r="B914" s="75"/>
      <c r="C914" s="75"/>
      <c r="D914" s="75"/>
      <c r="E914" s="75"/>
      <c r="F914" s="75"/>
      <c r="G914" s="75"/>
      <c r="H914" s="75"/>
      <c r="I914" s="75"/>
      <c r="J914" s="75"/>
      <c r="K914" s="75"/>
      <c r="L914" s="75"/>
      <c r="M914" s="75"/>
      <c r="N914" s="75"/>
      <c r="O914" s="75"/>
      <c r="P914" s="75"/>
    </row>
    <row r="915">
      <c r="A915" s="75"/>
      <c r="B915" s="75"/>
      <c r="C915" s="75"/>
      <c r="D915" s="75"/>
      <c r="E915" s="75"/>
      <c r="F915" s="75"/>
      <c r="G915" s="75"/>
      <c r="H915" s="75"/>
      <c r="I915" s="75"/>
      <c r="J915" s="75"/>
      <c r="K915" s="75"/>
      <c r="L915" s="75"/>
      <c r="M915" s="75"/>
      <c r="N915" s="75"/>
      <c r="O915" s="75"/>
      <c r="P915" s="75"/>
    </row>
    <row r="916">
      <c r="A916" s="75"/>
      <c r="B916" s="75"/>
      <c r="C916" s="75"/>
      <c r="D916" s="75"/>
      <c r="E916" s="75"/>
      <c r="F916" s="75"/>
      <c r="G916" s="75"/>
      <c r="H916" s="75"/>
      <c r="I916" s="75"/>
      <c r="J916" s="75"/>
      <c r="K916" s="75"/>
      <c r="L916" s="75"/>
      <c r="M916" s="75"/>
      <c r="N916" s="75"/>
      <c r="O916" s="75"/>
      <c r="P916" s="75"/>
    </row>
    <row r="917">
      <c r="A917" s="75"/>
      <c r="B917" s="75"/>
      <c r="C917" s="75"/>
      <c r="D917" s="75"/>
      <c r="E917" s="75"/>
      <c r="F917" s="75"/>
      <c r="G917" s="75"/>
      <c r="H917" s="75"/>
      <c r="I917" s="75"/>
      <c r="J917" s="75"/>
      <c r="K917" s="75"/>
      <c r="L917" s="75"/>
      <c r="M917" s="75"/>
      <c r="N917" s="75"/>
      <c r="O917" s="75"/>
      <c r="P917" s="75"/>
    </row>
    <row r="918">
      <c r="A918" s="75"/>
      <c r="B918" s="75"/>
      <c r="C918" s="75"/>
      <c r="D918" s="75"/>
      <c r="E918" s="75"/>
      <c r="F918" s="75"/>
      <c r="G918" s="75"/>
      <c r="H918" s="75"/>
      <c r="I918" s="75"/>
      <c r="J918" s="75"/>
      <c r="K918" s="75"/>
      <c r="L918" s="75"/>
      <c r="M918" s="75"/>
      <c r="N918" s="75"/>
      <c r="O918" s="75"/>
      <c r="P918" s="75"/>
    </row>
    <row r="919">
      <c r="A919" s="75"/>
      <c r="B919" s="75"/>
      <c r="C919" s="75"/>
      <c r="D919" s="75"/>
      <c r="E919" s="75"/>
      <c r="F919" s="75"/>
      <c r="G919" s="75"/>
      <c r="H919" s="75"/>
      <c r="I919" s="75"/>
      <c r="J919" s="75"/>
      <c r="K919" s="75"/>
      <c r="L919" s="75"/>
      <c r="M919" s="75"/>
      <c r="N919" s="75"/>
      <c r="O919" s="75"/>
      <c r="P919" s="75"/>
    </row>
    <row r="920">
      <c r="A920" s="75"/>
      <c r="B920" s="75"/>
      <c r="C920" s="75"/>
      <c r="D920" s="75"/>
      <c r="E920" s="75"/>
      <c r="F920" s="75"/>
      <c r="G920" s="75"/>
      <c r="H920" s="75"/>
      <c r="I920" s="75"/>
      <c r="J920" s="75"/>
      <c r="K920" s="75"/>
      <c r="L920" s="75"/>
      <c r="M920" s="75"/>
      <c r="N920" s="75"/>
      <c r="O920" s="75"/>
      <c r="P920" s="75"/>
    </row>
    <row r="921">
      <c r="A921" s="75"/>
      <c r="B921" s="75"/>
      <c r="C921" s="75"/>
      <c r="D921" s="75"/>
      <c r="E921" s="75"/>
      <c r="F921" s="75"/>
      <c r="G921" s="75"/>
      <c r="H921" s="75"/>
      <c r="I921" s="75"/>
      <c r="J921" s="75"/>
      <c r="K921" s="75"/>
      <c r="L921" s="75"/>
      <c r="M921" s="75"/>
      <c r="N921" s="75"/>
      <c r="O921" s="75"/>
      <c r="P921" s="75"/>
    </row>
    <row r="922">
      <c r="A922" s="75"/>
      <c r="B922" s="75"/>
      <c r="C922" s="75"/>
      <c r="D922" s="75"/>
      <c r="E922" s="75"/>
      <c r="F922" s="75"/>
      <c r="G922" s="75"/>
      <c r="H922" s="75"/>
      <c r="I922" s="75"/>
      <c r="J922" s="75"/>
      <c r="K922" s="75"/>
      <c r="L922" s="75"/>
      <c r="M922" s="75"/>
      <c r="N922" s="75"/>
      <c r="O922" s="75"/>
      <c r="P922" s="75"/>
    </row>
    <row r="923">
      <c r="A923" s="75"/>
      <c r="B923" s="75"/>
      <c r="C923" s="75"/>
      <c r="D923" s="75"/>
      <c r="E923" s="75"/>
      <c r="F923" s="75"/>
      <c r="G923" s="75"/>
      <c r="H923" s="75"/>
      <c r="I923" s="75"/>
      <c r="J923" s="75"/>
      <c r="K923" s="75"/>
      <c r="L923" s="75"/>
      <c r="M923" s="75"/>
      <c r="N923" s="75"/>
      <c r="O923" s="75"/>
      <c r="P923" s="75"/>
    </row>
    <row r="924">
      <c r="A924" s="75"/>
      <c r="B924" s="75"/>
      <c r="C924" s="75"/>
      <c r="D924" s="75"/>
      <c r="E924" s="75"/>
      <c r="F924" s="75"/>
      <c r="G924" s="75"/>
      <c r="H924" s="75"/>
      <c r="I924" s="75"/>
      <c r="J924" s="75"/>
      <c r="K924" s="75"/>
      <c r="L924" s="75"/>
      <c r="M924" s="75"/>
      <c r="N924" s="75"/>
      <c r="O924" s="75"/>
      <c r="P924" s="75"/>
    </row>
    <row r="925">
      <c r="A925" s="75"/>
      <c r="B925" s="75"/>
      <c r="C925" s="75"/>
      <c r="D925" s="75"/>
      <c r="E925" s="75"/>
      <c r="F925" s="75"/>
      <c r="G925" s="75"/>
      <c r="H925" s="75"/>
      <c r="I925" s="75"/>
      <c r="J925" s="75"/>
      <c r="K925" s="75"/>
      <c r="L925" s="75"/>
      <c r="M925" s="75"/>
      <c r="N925" s="75"/>
      <c r="O925" s="75"/>
      <c r="P925" s="75"/>
    </row>
    <row r="926">
      <c r="A926" s="75"/>
      <c r="B926" s="75"/>
      <c r="C926" s="75"/>
      <c r="D926" s="75"/>
      <c r="E926" s="75"/>
      <c r="F926" s="75"/>
      <c r="G926" s="75"/>
      <c r="H926" s="75"/>
      <c r="I926" s="75"/>
      <c r="J926" s="75"/>
      <c r="K926" s="75"/>
      <c r="L926" s="75"/>
      <c r="M926" s="75"/>
      <c r="N926" s="75"/>
      <c r="O926" s="75"/>
      <c r="P926" s="75"/>
    </row>
    <row r="927">
      <c r="A927" s="75"/>
      <c r="B927" s="75"/>
      <c r="C927" s="75"/>
      <c r="D927" s="75"/>
      <c r="E927" s="75"/>
      <c r="F927" s="75"/>
      <c r="G927" s="75"/>
      <c r="H927" s="75"/>
      <c r="I927" s="75"/>
      <c r="J927" s="75"/>
      <c r="K927" s="75"/>
      <c r="L927" s="75"/>
      <c r="M927" s="75"/>
      <c r="N927" s="75"/>
      <c r="O927" s="75"/>
      <c r="P927" s="75"/>
    </row>
    <row r="928">
      <c r="A928" s="75"/>
      <c r="B928" s="75"/>
      <c r="C928" s="75"/>
      <c r="D928" s="75"/>
      <c r="E928" s="75"/>
      <c r="F928" s="75"/>
      <c r="G928" s="75"/>
      <c r="H928" s="75"/>
      <c r="I928" s="75"/>
      <c r="J928" s="75"/>
      <c r="K928" s="75"/>
      <c r="L928" s="75"/>
      <c r="M928" s="75"/>
      <c r="N928" s="75"/>
      <c r="O928" s="75"/>
      <c r="P928" s="75"/>
    </row>
    <row r="929">
      <c r="A929" s="75"/>
      <c r="B929" s="75"/>
      <c r="C929" s="75"/>
      <c r="D929" s="75"/>
      <c r="E929" s="75"/>
      <c r="F929" s="75"/>
      <c r="G929" s="75"/>
      <c r="H929" s="75"/>
      <c r="I929" s="75"/>
      <c r="J929" s="75"/>
      <c r="K929" s="75"/>
      <c r="L929" s="75"/>
      <c r="M929" s="75"/>
      <c r="N929" s="75"/>
      <c r="O929" s="75"/>
      <c r="P929" s="75"/>
    </row>
    <row r="930">
      <c r="A930" s="75"/>
      <c r="B930" s="75"/>
      <c r="C930" s="75"/>
      <c r="D930" s="75"/>
      <c r="E930" s="75"/>
      <c r="F930" s="75"/>
      <c r="G930" s="75"/>
      <c r="H930" s="75"/>
      <c r="I930" s="75"/>
      <c r="J930" s="75"/>
      <c r="K930" s="75"/>
      <c r="L930" s="75"/>
      <c r="M930" s="75"/>
      <c r="N930" s="75"/>
      <c r="O930" s="75"/>
      <c r="P930" s="75"/>
    </row>
    <row r="931">
      <c r="A931" s="75"/>
      <c r="B931" s="75"/>
      <c r="C931" s="75"/>
      <c r="D931" s="75"/>
      <c r="E931" s="75"/>
      <c r="F931" s="75"/>
      <c r="G931" s="75"/>
      <c r="H931" s="75"/>
      <c r="I931" s="75"/>
      <c r="J931" s="75"/>
      <c r="K931" s="75"/>
      <c r="L931" s="75"/>
      <c r="M931" s="75"/>
      <c r="N931" s="75"/>
      <c r="O931" s="75"/>
      <c r="P931" s="75"/>
    </row>
    <row r="932">
      <c r="A932" s="75"/>
      <c r="B932" s="75"/>
      <c r="C932" s="75"/>
      <c r="D932" s="75"/>
      <c r="E932" s="75"/>
      <c r="F932" s="75"/>
      <c r="G932" s="75"/>
      <c r="H932" s="75"/>
      <c r="I932" s="75"/>
      <c r="J932" s="75"/>
      <c r="K932" s="75"/>
      <c r="L932" s="75"/>
      <c r="M932" s="75"/>
      <c r="N932" s="75"/>
      <c r="O932" s="75"/>
      <c r="P932" s="75"/>
    </row>
    <row r="933">
      <c r="A933" s="75"/>
      <c r="B933" s="75"/>
      <c r="C933" s="75"/>
      <c r="D933" s="75"/>
      <c r="E933" s="75"/>
      <c r="F933" s="75"/>
      <c r="G933" s="75"/>
      <c r="H933" s="75"/>
      <c r="I933" s="75"/>
      <c r="J933" s="75"/>
      <c r="K933" s="75"/>
      <c r="L933" s="75"/>
      <c r="M933" s="75"/>
      <c r="N933" s="75"/>
      <c r="O933" s="75"/>
      <c r="P933" s="75"/>
    </row>
    <row r="934">
      <c r="A934" s="75"/>
      <c r="B934" s="75"/>
      <c r="C934" s="75"/>
      <c r="D934" s="75"/>
      <c r="E934" s="75"/>
      <c r="F934" s="75"/>
      <c r="G934" s="75"/>
      <c r="H934" s="75"/>
      <c r="I934" s="75"/>
      <c r="J934" s="75"/>
      <c r="K934" s="75"/>
      <c r="L934" s="75"/>
      <c r="M934" s="75"/>
      <c r="N934" s="75"/>
      <c r="O934" s="75"/>
      <c r="P934" s="75"/>
    </row>
    <row r="935">
      <c r="A935" s="75"/>
      <c r="B935" s="75"/>
      <c r="C935" s="75"/>
      <c r="D935" s="75"/>
      <c r="E935" s="75"/>
      <c r="F935" s="75"/>
      <c r="G935" s="75"/>
      <c r="H935" s="75"/>
      <c r="I935" s="75"/>
      <c r="J935" s="75"/>
      <c r="K935" s="75"/>
      <c r="L935" s="75"/>
      <c r="M935" s="75"/>
      <c r="N935" s="75"/>
      <c r="O935" s="75"/>
      <c r="P935" s="75"/>
    </row>
    <row r="936">
      <c r="A936" s="75"/>
      <c r="B936" s="75"/>
      <c r="C936" s="75"/>
      <c r="D936" s="75"/>
      <c r="E936" s="75"/>
      <c r="F936" s="75"/>
      <c r="G936" s="75"/>
      <c r="H936" s="75"/>
      <c r="I936" s="75"/>
      <c r="J936" s="75"/>
      <c r="K936" s="75"/>
      <c r="L936" s="75"/>
      <c r="M936" s="75"/>
      <c r="N936" s="75"/>
      <c r="O936" s="75"/>
      <c r="P936" s="75"/>
    </row>
    <row r="937">
      <c r="A937" s="75"/>
      <c r="B937" s="75"/>
      <c r="C937" s="75"/>
      <c r="D937" s="75"/>
      <c r="E937" s="75"/>
      <c r="F937" s="75"/>
      <c r="G937" s="75"/>
      <c r="H937" s="75"/>
      <c r="I937" s="75"/>
      <c r="J937" s="75"/>
      <c r="K937" s="75"/>
      <c r="L937" s="75"/>
      <c r="M937" s="75"/>
      <c r="N937" s="75"/>
      <c r="O937" s="75"/>
      <c r="P937" s="75"/>
    </row>
    <row r="938">
      <c r="A938" s="75"/>
      <c r="B938" s="75"/>
      <c r="C938" s="75"/>
      <c r="D938" s="75"/>
      <c r="E938" s="75"/>
      <c r="F938" s="75"/>
      <c r="G938" s="75"/>
      <c r="H938" s="75"/>
      <c r="I938" s="75"/>
      <c r="J938" s="75"/>
      <c r="K938" s="75"/>
      <c r="L938" s="75"/>
      <c r="M938" s="75"/>
      <c r="N938" s="75"/>
      <c r="O938" s="75"/>
      <c r="P938" s="75"/>
    </row>
    <row r="939">
      <c r="A939" s="75"/>
      <c r="B939" s="75"/>
      <c r="C939" s="75"/>
      <c r="D939" s="75"/>
      <c r="E939" s="75"/>
      <c r="F939" s="75"/>
      <c r="G939" s="75"/>
      <c r="H939" s="75"/>
      <c r="I939" s="75"/>
      <c r="J939" s="75"/>
      <c r="K939" s="75"/>
      <c r="L939" s="75"/>
      <c r="M939" s="75"/>
      <c r="N939" s="75"/>
      <c r="O939" s="75"/>
      <c r="P939" s="75"/>
    </row>
    <row r="940">
      <c r="A940" s="75"/>
      <c r="B940" s="75"/>
      <c r="C940" s="75"/>
      <c r="D940" s="75"/>
      <c r="E940" s="75"/>
      <c r="F940" s="75"/>
      <c r="G940" s="75"/>
      <c r="H940" s="75"/>
      <c r="I940" s="75"/>
      <c r="J940" s="75"/>
      <c r="K940" s="75"/>
      <c r="L940" s="75"/>
      <c r="M940" s="75"/>
      <c r="N940" s="75"/>
      <c r="O940" s="75"/>
      <c r="P940" s="75"/>
    </row>
    <row r="941">
      <c r="A941" s="75"/>
      <c r="B941" s="75"/>
      <c r="C941" s="75"/>
      <c r="D941" s="75"/>
      <c r="E941" s="75"/>
      <c r="F941" s="75"/>
      <c r="G941" s="75"/>
      <c r="H941" s="75"/>
      <c r="I941" s="75"/>
      <c r="J941" s="75"/>
      <c r="K941" s="75"/>
      <c r="L941" s="75"/>
      <c r="M941" s="75"/>
      <c r="N941" s="75"/>
      <c r="O941" s="75"/>
      <c r="P941" s="75"/>
    </row>
    <row r="942">
      <c r="A942" s="75"/>
      <c r="B942" s="75"/>
      <c r="C942" s="75"/>
      <c r="D942" s="75"/>
      <c r="E942" s="75"/>
      <c r="F942" s="75"/>
      <c r="G942" s="75"/>
      <c r="H942" s="75"/>
      <c r="I942" s="75"/>
      <c r="J942" s="75"/>
      <c r="K942" s="75"/>
      <c r="L942" s="75"/>
      <c r="M942" s="75"/>
      <c r="N942" s="75"/>
      <c r="O942" s="75"/>
      <c r="P942" s="75"/>
    </row>
    <row r="943">
      <c r="A943" s="75"/>
      <c r="B943" s="75"/>
      <c r="C943" s="75"/>
      <c r="D943" s="75"/>
      <c r="E943" s="75"/>
      <c r="F943" s="75"/>
      <c r="G943" s="75"/>
      <c r="H943" s="75"/>
      <c r="I943" s="75"/>
      <c r="J943" s="75"/>
      <c r="K943" s="75"/>
      <c r="L943" s="75"/>
      <c r="M943" s="75"/>
      <c r="N943" s="75"/>
      <c r="O943" s="75"/>
      <c r="P943" s="75"/>
    </row>
    <row r="944">
      <c r="A944" s="75"/>
      <c r="B944" s="75"/>
      <c r="C944" s="75"/>
      <c r="D944" s="75"/>
      <c r="E944" s="75"/>
      <c r="F944" s="75"/>
      <c r="G944" s="75"/>
      <c r="H944" s="75"/>
      <c r="I944" s="75"/>
      <c r="J944" s="75"/>
      <c r="K944" s="75"/>
      <c r="L944" s="75"/>
      <c r="M944" s="75"/>
      <c r="N944" s="75"/>
      <c r="O944" s="75"/>
      <c r="P944" s="75"/>
    </row>
    <row r="945">
      <c r="A945" s="75"/>
      <c r="B945" s="75"/>
      <c r="C945" s="75"/>
      <c r="D945" s="75"/>
      <c r="E945" s="75"/>
      <c r="F945" s="75"/>
      <c r="G945" s="75"/>
      <c r="H945" s="75"/>
      <c r="I945" s="75"/>
      <c r="J945" s="75"/>
      <c r="K945" s="75"/>
      <c r="L945" s="75"/>
      <c r="M945" s="75"/>
      <c r="N945" s="75"/>
      <c r="O945" s="75"/>
      <c r="P945" s="75"/>
    </row>
    <row r="946">
      <c r="A946" s="75"/>
      <c r="B946" s="75"/>
      <c r="C946" s="75"/>
      <c r="D946" s="75"/>
      <c r="E946" s="75"/>
      <c r="F946" s="75"/>
      <c r="G946" s="75"/>
      <c r="H946" s="75"/>
      <c r="I946" s="75"/>
      <c r="J946" s="75"/>
      <c r="K946" s="75"/>
      <c r="L946" s="75"/>
      <c r="M946" s="75"/>
      <c r="N946" s="75"/>
      <c r="O946" s="75"/>
      <c r="P946" s="75"/>
    </row>
    <row r="947">
      <c r="A947" s="75"/>
      <c r="B947" s="75"/>
      <c r="C947" s="75"/>
      <c r="D947" s="75"/>
      <c r="E947" s="75"/>
      <c r="F947" s="75"/>
      <c r="G947" s="75"/>
      <c r="H947" s="75"/>
      <c r="I947" s="75"/>
      <c r="J947" s="75"/>
      <c r="K947" s="75"/>
      <c r="L947" s="75"/>
      <c r="M947" s="75"/>
      <c r="N947" s="75"/>
      <c r="O947" s="75"/>
      <c r="P947" s="75"/>
    </row>
    <row r="948">
      <c r="A948" s="75"/>
      <c r="B948" s="75"/>
      <c r="C948" s="75"/>
      <c r="D948" s="75"/>
      <c r="E948" s="75"/>
      <c r="F948" s="75"/>
      <c r="G948" s="75"/>
      <c r="H948" s="75"/>
      <c r="I948" s="75"/>
      <c r="J948" s="75"/>
      <c r="K948" s="75"/>
      <c r="L948" s="75"/>
      <c r="M948" s="75"/>
      <c r="N948" s="75"/>
      <c r="O948" s="75"/>
      <c r="P948" s="75"/>
    </row>
    <row r="949">
      <c r="A949" s="75"/>
      <c r="B949" s="75"/>
      <c r="C949" s="75"/>
      <c r="D949" s="75"/>
      <c r="E949" s="75"/>
      <c r="F949" s="75"/>
      <c r="G949" s="75"/>
      <c r="H949" s="75"/>
      <c r="I949" s="75"/>
      <c r="J949" s="75"/>
      <c r="K949" s="75"/>
      <c r="L949" s="75"/>
      <c r="M949" s="75"/>
      <c r="N949" s="75"/>
      <c r="O949" s="75"/>
      <c r="P949" s="75"/>
    </row>
    <row r="950">
      <c r="A950" s="75"/>
      <c r="B950" s="75"/>
      <c r="C950" s="75"/>
      <c r="D950" s="75"/>
      <c r="E950" s="75"/>
      <c r="F950" s="75"/>
      <c r="G950" s="75"/>
      <c r="H950" s="75"/>
      <c r="I950" s="75"/>
      <c r="J950" s="75"/>
      <c r="K950" s="75"/>
      <c r="L950" s="75"/>
      <c r="M950" s="75"/>
      <c r="N950" s="75"/>
      <c r="O950" s="75"/>
      <c r="P950" s="75"/>
    </row>
    <row r="951">
      <c r="A951" s="75"/>
      <c r="B951" s="75"/>
      <c r="C951" s="75"/>
      <c r="D951" s="75"/>
      <c r="E951" s="75"/>
      <c r="F951" s="75"/>
      <c r="G951" s="75"/>
      <c r="H951" s="75"/>
      <c r="I951" s="75"/>
      <c r="J951" s="75"/>
      <c r="K951" s="75"/>
      <c r="L951" s="75"/>
      <c r="M951" s="75"/>
      <c r="N951" s="75"/>
      <c r="O951" s="75"/>
      <c r="P951" s="75"/>
    </row>
    <row r="952">
      <c r="A952" s="75"/>
      <c r="B952" s="75"/>
      <c r="C952" s="75"/>
      <c r="D952" s="75"/>
      <c r="E952" s="75"/>
      <c r="F952" s="75"/>
      <c r="G952" s="75"/>
      <c r="H952" s="75"/>
      <c r="I952" s="75"/>
      <c r="J952" s="75"/>
      <c r="K952" s="75"/>
      <c r="L952" s="75"/>
      <c r="M952" s="75"/>
      <c r="N952" s="75"/>
      <c r="O952" s="75"/>
      <c r="P952" s="75"/>
    </row>
    <row r="953">
      <c r="A953" s="75"/>
      <c r="B953" s="75"/>
      <c r="C953" s="75"/>
      <c r="D953" s="75"/>
      <c r="E953" s="75"/>
      <c r="F953" s="75"/>
      <c r="G953" s="75"/>
      <c r="H953" s="75"/>
      <c r="I953" s="75"/>
      <c r="J953" s="75"/>
      <c r="K953" s="75"/>
      <c r="L953" s="75"/>
      <c r="M953" s="75"/>
      <c r="N953" s="75"/>
      <c r="O953" s="75"/>
      <c r="P953" s="75"/>
    </row>
    <row r="954">
      <c r="A954" s="75"/>
      <c r="B954" s="75"/>
      <c r="C954" s="75"/>
      <c r="D954" s="75"/>
      <c r="E954" s="75"/>
      <c r="F954" s="75"/>
      <c r="G954" s="75"/>
      <c r="H954" s="75"/>
      <c r="I954" s="75"/>
      <c r="J954" s="75"/>
      <c r="K954" s="75"/>
      <c r="L954" s="75"/>
      <c r="M954" s="75"/>
      <c r="N954" s="75"/>
      <c r="O954" s="75"/>
      <c r="P954" s="75"/>
    </row>
    <row r="955">
      <c r="A955" s="75"/>
      <c r="B955" s="75"/>
      <c r="C955" s="75"/>
      <c r="D955" s="75"/>
      <c r="E955" s="75"/>
      <c r="F955" s="75"/>
      <c r="G955" s="75"/>
      <c r="H955" s="75"/>
      <c r="I955" s="75"/>
      <c r="J955" s="75"/>
      <c r="K955" s="75"/>
      <c r="L955" s="75"/>
      <c r="M955" s="75"/>
      <c r="N955" s="75"/>
      <c r="O955" s="75"/>
      <c r="P955" s="75"/>
    </row>
    <row r="956">
      <c r="A956" s="75"/>
      <c r="B956" s="75"/>
      <c r="C956" s="75"/>
      <c r="D956" s="75"/>
      <c r="E956" s="75"/>
      <c r="F956" s="75"/>
      <c r="G956" s="75"/>
      <c r="H956" s="75"/>
      <c r="I956" s="75"/>
      <c r="J956" s="75"/>
      <c r="K956" s="75"/>
      <c r="L956" s="75"/>
      <c r="M956" s="75"/>
      <c r="N956" s="75"/>
      <c r="O956" s="75"/>
      <c r="P956" s="75"/>
    </row>
    <row r="957">
      <c r="A957" s="75"/>
      <c r="B957" s="75"/>
      <c r="C957" s="75"/>
      <c r="D957" s="75"/>
      <c r="E957" s="75"/>
      <c r="F957" s="75"/>
      <c r="G957" s="75"/>
      <c r="H957" s="75"/>
      <c r="I957" s="75"/>
      <c r="J957" s="75"/>
      <c r="K957" s="75"/>
      <c r="L957" s="75"/>
      <c r="M957" s="75"/>
      <c r="N957" s="75"/>
      <c r="O957" s="75"/>
      <c r="P957" s="75"/>
    </row>
    <row r="958">
      <c r="A958" s="75"/>
      <c r="B958" s="75"/>
      <c r="C958" s="75"/>
      <c r="D958" s="75"/>
      <c r="E958" s="75"/>
      <c r="F958" s="75"/>
      <c r="G958" s="75"/>
      <c r="H958" s="75"/>
      <c r="I958" s="75"/>
      <c r="J958" s="75"/>
      <c r="K958" s="75"/>
      <c r="L958" s="75"/>
      <c r="M958" s="75"/>
      <c r="N958" s="75"/>
      <c r="O958" s="75"/>
      <c r="P958" s="75"/>
    </row>
    <row r="959">
      <c r="A959" s="75"/>
      <c r="B959" s="75"/>
      <c r="C959" s="75"/>
      <c r="D959" s="75"/>
      <c r="E959" s="75"/>
      <c r="F959" s="75"/>
      <c r="G959" s="75"/>
      <c r="H959" s="75"/>
      <c r="I959" s="75"/>
      <c r="J959" s="75"/>
      <c r="K959" s="75"/>
      <c r="L959" s="75"/>
      <c r="M959" s="75"/>
      <c r="N959" s="75"/>
      <c r="O959" s="75"/>
      <c r="P959" s="75"/>
    </row>
    <row r="960">
      <c r="A960" s="75"/>
      <c r="B960" s="75"/>
      <c r="C960" s="75"/>
      <c r="D960" s="75"/>
      <c r="E960" s="75"/>
      <c r="F960" s="75"/>
      <c r="G960" s="75"/>
      <c r="H960" s="75"/>
      <c r="I960" s="75"/>
      <c r="J960" s="75"/>
      <c r="K960" s="75"/>
      <c r="L960" s="75"/>
      <c r="M960" s="75"/>
      <c r="N960" s="75"/>
      <c r="O960" s="75"/>
      <c r="P960" s="75"/>
    </row>
    <row r="961">
      <c r="A961" s="75"/>
      <c r="B961" s="75"/>
      <c r="C961" s="75"/>
      <c r="D961" s="75"/>
      <c r="E961" s="75"/>
      <c r="F961" s="75"/>
      <c r="G961" s="75"/>
      <c r="H961" s="75"/>
      <c r="I961" s="75"/>
      <c r="J961" s="75"/>
      <c r="K961" s="75"/>
      <c r="L961" s="75"/>
      <c r="M961" s="75"/>
      <c r="N961" s="75"/>
      <c r="O961" s="75"/>
      <c r="P961" s="75"/>
    </row>
    <row r="962">
      <c r="A962" s="75"/>
      <c r="B962" s="75"/>
      <c r="C962" s="75"/>
      <c r="D962" s="75"/>
      <c r="E962" s="75"/>
      <c r="F962" s="75"/>
      <c r="G962" s="75"/>
      <c r="H962" s="75"/>
      <c r="I962" s="75"/>
      <c r="J962" s="75"/>
      <c r="K962" s="75"/>
      <c r="L962" s="75"/>
      <c r="M962" s="75"/>
      <c r="N962" s="75"/>
      <c r="O962" s="75"/>
      <c r="P962" s="75"/>
    </row>
    <row r="963">
      <c r="A963" s="75"/>
      <c r="B963" s="75"/>
      <c r="C963" s="75"/>
      <c r="D963" s="75"/>
      <c r="E963" s="75"/>
      <c r="F963" s="75"/>
      <c r="G963" s="75"/>
      <c r="H963" s="75"/>
      <c r="I963" s="75"/>
      <c r="J963" s="75"/>
      <c r="K963" s="75"/>
      <c r="L963" s="75"/>
      <c r="M963" s="75"/>
      <c r="N963" s="75"/>
      <c r="O963" s="75"/>
      <c r="P963" s="75"/>
    </row>
    <row r="964">
      <c r="A964" s="75"/>
      <c r="B964" s="75"/>
      <c r="C964" s="75"/>
      <c r="D964" s="75"/>
      <c r="E964" s="75"/>
      <c r="F964" s="75"/>
      <c r="G964" s="75"/>
      <c r="H964" s="75"/>
      <c r="I964" s="75"/>
      <c r="J964" s="75"/>
      <c r="K964" s="75"/>
      <c r="L964" s="75"/>
      <c r="M964" s="75"/>
      <c r="N964" s="75"/>
      <c r="O964" s="75"/>
      <c r="P964" s="75"/>
    </row>
    <row r="965">
      <c r="A965" s="75"/>
      <c r="B965" s="75"/>
      <c r="C965" s="75"/>
      <c r="D965" s="75"/>
      <c r="E965" s="75"/>
      <c r="F965" s="75"/>
      <c r="G965" s="75"/>
      <c r="H965" s="75"/>
      <c r="I965" s="75"/>
      <c r="J965" s="75"/>
      <c r="K965" s="75"/>
      <c r="L965" s="75"/>
      <c r="M965" s="75"/>
      <c r="N965" s="75"/>
      <c r="O965" s="75"/>
      <c r="P965" s="75"/>
    </row>
    <row r="966">
      <c r="A966" s="75"/>
      <c r="B966" s="75"/>
      <c r="C966" s="75"/>
      <c r="D966" s="75"/>
      <c r="E966" s="75"/>
      <c r="F966" s="75"/>
      <c r="G966" s="75"/>
      <c r="H966" s="75"/>
      <c r="I966" s="75"/>
      <c r="J966" s="75"/>
      <c r="K966" s="75"/>
      <c r="L966" s="75"/>
      <c r="M966" s="75"/>
      <c r="N966" s="75"/>
      <c r="O966" s="75"/>
      <c r="P966" s="75"/>
    </row>
    <row r="967">
      <c r="A967" s="75"/>
      <c r="B967" s="75"/>
      <c r="C967" s="75"/>
      <c r="D967" s="75"/>
      <c r="E967" s="75"/>
      <c r="F967" s="75"/>
      <c r="G967" s="75"/>
      <c r="H967" s="75"/>
      <c r="I967" s="75"/>
      <c r="J967" s="75"/>
      <c r="K967" s="75"/>
      <c r="L967" s="75"/>
      <c r="M967" s="75"/>
      <c r="N967" s="75"/>
      <c r="O967" s="75"/>
      <c r="P967" s="75"/>
    </row>
    <row r="968">
      <c r="A968" s="75"/>
      <c r="B968" s="75"/>
      <c r="C968" s="75"/>
      <c r="D968" s="75"/>
      <c r="E968" s="75"/>
      <c r="F968" s="75"/>
      <c r="G968" s="75"/>
      <c r="H968" s="75"/>
      <c r="I968" s="75"/>
      <c r="J968" s="75"/>
      <c r="K968" s="75"/>
      <c r="L968" s="75"/>
      <c r="M968" s="75"/>
      <c r="N968" s="75"/>
      <c r="O968" s="75"/>
      <c r="P968" s="75"/>
    </row>
    <row r="969">
      <c r="A969" s="75"/>
      <c r="B969" s="75"/>
      <c r="C969" s="75"/>
      <c r="D969" s="75"/>
      <c r="E969" s="75"/>
      <c r="F969" s="75"/>
      <c r="G969" s="75"/>
      <c r="H969" s="75"/>
      <c r="I969" s="75"/>
      <c r="J969" s="75"/>
      <c r="K969" s="75"/>
      <c r="L969" s="75"/>
      <c r="M969" s="75"/>
      <c r="N969" s="75"/>
      <c r="O969" s="75"/>
      <c r="P969" s="75"/>
    </row>
    <row r="970">
      <c r="A970" s="75"/>
      <c r="B970" s="75"/>
      <c r="C970" s="75"/>
      <c r="D970" s="75"/>
      <c r="E970" s="75"/>
      <c r="F970" s="75"/>
      <c r="G970" s="75"/>
      <c r="H970" s="75"/>
      <c r="I970" s="75"/>
      <c r="J970" s="75"/>
      <c r="K970" s="75"/>
      <c r="L970" s="75"/>
      <c r="M970" s="75"/>
      <c r="N970" s="75"/>
      <c r="O970" s="75"/>
      <c r="P970" s="75"/>
    </row>
    <row r="971">
      <c r="A971" s="75"/>
      <c r="B971" s="75"/>
      <c r="C971" s="75"/>
      <c r="D971" s="75"/>
      <c r="E971" s="75"/>
      <c r="F971" s="75"/>
      <c r="G971" s="75"/>
      <c r="H971" s="75"/>
      <c r="I971" s="75"/>
      <c r="J971" s="75"/>
      <c r="K971" s="75"/>
      <c r="L971" s="75"/>
      <c r="M971" s="75"/>
      <c r="N971" s="75"/>
      <c r="O971" s="75"/>
      <c r="P971" s="75"/>
    </row>
    <row r="972">
      <c r="A972" s="75"/>
      <c r="B972" s="75"/>
      <c r="C972" s="75"/>
      <c r="D972" s="75"/>
      <c r="E972" s="75"/>
      <c r="F972" s="75"/>
      <c r="G972" s="75"/>
      <c r="H972" s="75"/>
      <c r="I972" s="75"/>
      <c r="J972" s="75"/>
      <c r="K972" s="75"/>
      <c r="L972" s="75"/>
      <c r="M972" s="75"/>
      <c r="N972" s="75"/>
      <c r="O972" s="75"/>
      <c r="P972" s="75"/>
    </row>
    <row r="973">
      <c r="A973" s="75"/>
      <c r="B973" s="75"/>
      <c r="C973" s="75"/>
      <c r="D973" s="75"/>
      <c r="E973" s="75"/>
      <c r="F973" s="75"/>
      <c r="G973" s="75"/>
      <c r="H973" s="75"/>
      <c r="I973" s="75"/>
      <c r="J973" s="75"/>
      <c r="K973" s="75"/>
      <c r="L973" s="75"/>
      <c r="M973" s="75"/>
      <c r="N973" s="75"/>
      <c r="O973" s="75"/>
      <c r="P973" s="75"/>
    </row>
    <row r="974">
      <c r="A974" s="75"/>
      <c r="B974" s="75"/>
      <c r="C974" s="75"/>
      <c r="D974" s="75"/>
      <c r="E974" s="75"/>
      <c r="F974" s="75"/>
      <c r="G974" s="75"/>
      <c r="H974" s="75"/>
      <c r="I974" s="75"/>
      <c r="J974" s="75"/>
      <c r="K974" s="75"/>
      <c r="L974" s="75"/>
      <c r="M974" s="75"/>
      <c r="N974" s="75"/>
      <c r="O974" s="75"/>
      <c r="P974" s="75"/>
    </row>
    <row r="975">
      <c r="A975" s="75"/>
      <c r="B975" s="75"/>
      <c r="C975" s="75"/>
      <c r="D975" s="75"/>
      <c r="E975" s="75"/>
      <c r="F975" s="75"/>
      <c r="G975" s="75"/>
      <c r="H975" s="75"/>
      <c r="I975" s="75"/>
      <c r="J975" s="75"/>
      <c r="K975" s="75"/>
      <c r="L975" s="75"/>
      <c r="M975" s="75"/>
      <c r="N975" s="75"/>
      <c r="O975" s="75"/>
      <c r="P975" s="75"/>
    </row>
    <row r="976">
      <c r="A976" s="75"/>
      <c r="B976" s="75"/>
      <c r="C976" s="75"/>
      <c r="D976" s="75"/>
      <c r="E976" s="75"/>
      <c r="F976" s="75"/>
      <c r="G976" s="75"/>
      <c r="H976" s="75"/>
      <c r="I976" s="75"/>
      <c r="J976" s="75"/>
      <c r="K976" s="75"/>
      <c r="L976" s="75"/>
      <c r="M976" s="75"/>
      <c r="N976" s="75"/>
      <c r="O976" s="75"/>
      <c r="P976" s="75"/>
    </row>
    <row r="977">
      <c r="A977" s="75"/>
      <c r="B977" s="75"/>
      <c r="C977" s="75"/>
      <c r="D977" s="75"/>
      <c r="E977" s="75"/>
      <c r="F977" s="75"/>
      <c r="G977" s="75"/>
      <c r="H977" s="75"/>
      <c r="I977" s="75"/>
      <c r="J977" s="75"/>
      <c r="K977" s="75"/>
      <c r="L977" s="75"/>
      <c r="M977" s="75"/>
      <c r="N977" s="75"/>
      <c r="O977" s="75"/>
      <c r="P977" s="75"/>
    </row>
    <row r="978">
      <c r="A978" s="75"/>
      <c r="B978" s="75"/>
      <c r="C978" s="75"/>
      <c r="D978" s="75"/>
      <c r="E978" s="75"/>
      <c r="F978" s="75"/>
      <c r="G978" s="75"/>
      <c r="H978" s="75"/>
      <c r="I978" s="75"/>
      <c r="J978" s="75"/>
      <c r="K978" s="75"/>
      <c r="L978" s="75"/>
      <c r="M978" s="75"/>
      <c r="N978" s="75"/>
      <c r="O978" s="75"/>
      <c r="P978" s="75"/>
    </row>
    <row r="979">
      <c r="A979" s="75"/>
      <c r="B979" s="75"/>
      <c r="C979" s="75"/>
      <c r="D979" s="75"/>
      <c r="E979" s="75"/>
      <c r="F979" s="75"/>
      <c r="G979" s="75"/>
      <c r="H979" s="75"/>
      <c r="I979" s="75"/>
      <c r="J979" s="75"/>
      <c r="K979" s="75"/>
      <c r="L979" s="75"/>
      <c r="M979" s="75"/>
      <c r="N979" s="75"/>
      <c r="O979" s="75"/>
      <c r="P979" s="75"/>
    </row>
    <row r="980">
      <c r="A980" s="75"/>
      <c r="B980" s="75"/>
      <c r="C980" s="75"/>
      <c r="D980" s="75"/>
      <c r="E980" s="75"/>
      <c r="F980" s="75"/>
      <c r="G980" s="75"/>
      <c r="H980" s="75"/>
      <c r="I980" s="75"/>
      <c r="J980" s="75"/>
      <c r="K980" s="75"/>
      <c r="L980" s="75"/>
      <c r="M980" s="75"/>
      <c r="N980" s="75"/>
      <c r="O980" s="75"/>
      <c r="P980" s="75"/>
    </row>
    <row r="981">
      <c r="A981" s="75"/>
      <c r="B981" s="75"/>
      <c r="C981" s="75"/>
      <c r="D981" s="75"/>
      <c r="E981" s="75"/>
      <c r="F981" s="75"/>
      <c r="G981" s="75"/>
      <c r="H981" s="75"/>
      <c r="I981" s="75"/>
      <c r="J981" s="75"/>
      <c r="K981" s="75"/>
      <c r="L981" s="75"/>
      <c r="M981" s="75"/>
      <c r="N981" s="75"/>
      <c r="O981" s="75"/>
      <c r="P981" s="75"/>
    </row>
    <row r="982">
      <c r="A982" s="75"/>
      <c r="B982" s="75"/>
      <c r="C982" s="75"/>
      <c r="D982" s="75"/>
      <c r="E982" s="75"/>
      <c r="F982" s="75"/>
      <c r="G982" s="75"/>
      <c r="H982" s="75"/>
      <c r="I982" s="75"/>
      <c r="J982" s="75"/>
      <c r="K982" s="75"/>
      <c r="L982" s="75"/>
      <c r="M982" s="75"/>
      <c r="N982" s="75"/>
      <c r="O982" s="75"/>
      <c r="P982" s="75"/>
    </row>
    <row r="983">
      <c r="A983" s="75"/>
      <c r="B983" s="75"/>
      <c r="C983" s="75"/>
      <c r="D983" s="75"/>
      <c r="E983" s="75"/>
      <c r="F983" s="75"/>
      <c r="G983" s="75"/>
      <c r="H983" s="75"/>
      <c r="I983" s="75"/>
      <c r="J983" s="75"/>
      <c r="K983" s="75"/>
      <c r="L983" s="75"/>
      <c r="M983" s="75"/>
      <c r="N983" s="75"/>
      <c r="O983" s="75"/>
      <c r="P983" s="75"/>
    </row>
    <row r="984">
      <c r="A984" s="75"/>
      <c r="B984" s="75"/>
      <c r="C984" s="75"/>
      <c r="D984" s="75"/>
      <c r="E984" s="75"/>
      <c r="F984" s="75"/>
      <c r="G984" s="75"/>
      <c r="H984" s="75"/>
      <c r="I984" s="75"/>
      <c r="J984" s="75"/>
      <c r="K984" s="75"/>
      <c r="L984" s="75"/>
      <c r="M984" s="75"/>
      <c r="N984" s="75"/>
      <c r="O984" s="75"/>
      <c r="P984" s="75"/>
    </row>
    <row r="985">
      <c r="A985" s="75"/>
      <c r="B985" s="75"/>
      <c r="C985" s="75"/>
      <c r="D985" s="75"/>
      <c r="E985" s="75"/>
      <c r="F985" s="75"/>
      <c r="G985" s="75"/>
      <c r="H985" s="75"/>
      <c r="I985" s="75"/>
      <c r="J985" s="75"/>
      <c r="K985" s="75"/>
      <c r="L985" s="75"/>
      <c r="M985" s="75"/>
      <c r="N985" s="75"/>
      <c r="O985" s="75"/>
      <c r="P985" s="75"/>
    </row>
    <row r="986">
      <c r="A986" s="75"/>
      <c r="B986" s="75"/>
      <c r="C986" s="75"/>
      <c r="D986" s="75"/>
      <c r="E986" s="75"/>
      <c r="F986" s="75"/>
      <c r="G986" s="75"/>
      <c r="H986" s="75"/>
      <c r="I986" s="75"/>
      <c r="J986" s="75"/>
      <c r="K986" s="75"/>
      <c r="L986" s="75"/>
      <c r="M986" s="75"/>
      <c r="N986" s="75"/>
      <c r="O986" s="75"/>
      <c r="P986" s="75"/>
    </row>
    <row r="987">
      <c r="A987" s="75"/>
      <c r="B987" s="75"/>
      <c r="C987" s="75"/>
      <c r="D987" s="75"/>
      <c r="E987" s="75"/>
      <c r="F987" s="75"/>
      <c r="G987" s="75"/>
      <c r="H987" s="75"/>
      <c r="I987" s="75"/>
      <c r="J987" s="75"/>
      <c r="K987" s="75"/>
      <c r="L987" s="75"/>
      <c r="M987" s="75"/>
      <c r="N987" s="75"/>
      <c r="O987" s="75"/>
      <c r="P987" s="75"/>
    </row>
    <row r="988">
      <c r="A988" s="75"/>
      <c r="B988" s="75"/>
      <c r="C988" s="75"/>
      <c r="D988" s="75"/>
      <c r="E988" s="75"/>
      <c r="F988" s="75"/>
      <c r="G988" s="75"/>
      <c r="H988" s="75"/>
      <c r="I988" s="75"/>
      <c r="J988" s="75"/>
      <c r="K988" s="75"/>
      <c r="L988" s="75"/>
      <c r="M988" s="75"/>
      <c r="N988" s="75"/>
      <c r="O988" s="75"/>
      <c r="P988" s="75"/>
    </row>
    <row r="989">
      <c r="A989" s="75"/>
      <c r="B989" s="75"/>
      <c r="C989" s="75"/>
      <c r="D989" s="75"/>
      <c r="E989" s="75"/>
      <c r="F989" s="75"/>
      <c r="G989" s="75"/>
      <c r="H989" s="75"/>
      <c r="I989" s="75"/>
      <c r="J989" s="75"/>
      <c r="K989" s="75"/>
      <c r="L989" s="75"/>
      <c r="M989" s="75"/>
      <c r="N989" s="75"/>
      <c r="O989" s="75"/>
      <c r="P989" s="75"/>
    </row>
    <row r="990">
      <c r="A990" s="75"/>
      <c r="B990" s="75"/>
      <c r="C990" s="75"/>
      <c r="D990" s="75"/>
      <c r="E990" s="75"/>
      <c r="F990" s="75"/>
      <c r="G990" s="75"/>
      <c r="H990" s="75"/>
      <c r="I990" s="75"/>
      <c r="J990" s="75"/>
      <c r="K990" s="75"/>
      <c r="L990" s="75"/>
      <c r="M990" s="75"/>
      <c r="N990" s="75"/>
      <c r="O990" s="75"/>
      <c r="P990" s="75"/>
    </row>
    <row r="991">
      <c r="A991" s="75"/>
      <c r="B991" s="75"/>
      <c r="C991" s="75"/>
      <c r="D991" s="75"/>
      <c r="E991" s="75"/>
      <c r="F991" s="75"/>
      <c r="G991" s="75"/>
      <c r="H991" s="75"/>
      <c r="I991" s="75"/>
      <c r="J991" s="75"/>
      <c r="K991" s="75"/>
      <c r="L991" s="75"/>
      <c r="M991" s="75"/>
      <c r="N991" s="75"/>
      <c r="O991" s="75"/>
      <c r="P991" s="75"/>
    </row>
    <row r="992">
      <c r="A992" s="75"/>
      <c r="B992" s="75"/>
      <c r="C992" s="75"/>
      <c r="D992" s="75"/>
      <c r="E992" s="75"/>
      <c r="F992" s="75"/>
      <c r="G992" s="75"/>
      <c r="H992" s="75"/>
      <c r="I992" s="75"/>
      <c r="J992" s="75"/>
      <c r="K992" s="75"/>
      <c r="L992" s="75"/>
      <c r="M992" s="75"/>
      <c r="N992" s="75"/>
      <c r="O992" s="75"/>
      <c r="P992" s="75"/>
    </row>
    <row r="993">
      <c r="A993" s="75"/>
      <c r="B993" s="75"/>
      <c r="C993" s="75"/>
      <c r="D993" s="75"/>
      <c r="E993" s="75"/>
      <c r="F993" s="75"/>
      <c r="G993" s="75"/>
      <c r="H993" s="75"/>
      <c r="I993" s="75"/>
      <c r="J993" s="75"/>
      <c r="K993" s="75"/>
      <c r="L993" s="75"/>
      <c r="M993" s="75"/>
      <c r="N993" s="75"/>
      <c r="O993" s="75"/>
      <c r="P993" s="75"/>
    </row>
    <row r="994">
      <c r="A994" s="75"/>
      <c r="B994" s="75"/>
      <c r="C994" s="75"/>
      <c r="D994" s="75"/>
      <c r="E994" s="75"/>
      <c r="F994" s="75"/>
      <c r="G994" s="75"/>
      <c r="H994" s="75"/>
      <c r="I994" s="75"/>
      <c r="J994" s="75"/>
      <c r="K994" s="75"/>
      <c r="L994" s="75"/>
      <c r="M994" s="75"/>
      <c r="N994" s="75"/>
      <c r="O994" s="75"/>
      <c r="P994" s="75"/>
    </row>
    <row r="995">
      <c r="A995" s="75"/>
      <c r="B995" s="75"/>
      <c r="C995" s="75"/>
      <c r="D995" s="75"/>
      <c r="E995" s="75"/>
      <c r="F995" s="75"/>
      <c r="G995" s="75"/>
      <c r="H995" s="75"/>
      <c r="I995" s="75"/>
      <c r="J995" s="75"/>
      <c r="K995" s="75"/>
      <c r="L995" s="75"/>
      <c r="M995" s="75"/>
      <c r="N995" s="75"/>
      <c r="O995" s="75"/>
      <c r="P995" s="75"/>
    </row>
    <row r="996">
      <c r="A996" s="75"/>
      <c r="B996" s="75"/>
      <c r="C996" s="75"/>
      <c r="D996" s="75"/>
      <c r="E996" s="75"/>
      <c r="F996" s="75"/>
      <c r="G996" s="75"/>
      <c r="H996" s="75"/>
      <c r="I996" s="75"/>
      <c r="J996" s="75"/>
      <c r="K996" s="75"/>
      <c r="L996" s="75"/>
      <c r="M996" s="75"/>
      <c r="N996" s="75"/>
      <c r="O996" s="75"/>
      <c r="P996" s="75"/>
    </row>
    <row r="997">
      <c r="A997" s="75"/>
      <c r="B997" s="75"/>
      <c r="C997" s="75"/>
      <c r="D997" s="75"/>
      <c r="E997" s="75"/>
      <c r="F997" s="75"/>
      <c r="G997" s="75"/>
      <c r="H997" s="75"/>
      <c r="I997" s="75"/>
      <c r="J997" s="75"/>
      <c r="K997" s="75"/>
      <c r="L997" s="75"/>
      <c r="M997" s="75"/>
      <c r="N997" s="75"/>
      <c r="O997" s="75"/>
      <c r="P997" s="75"/>
    </row>
    <row r="998">
      <c r="A998" s="75"/>
      <c r="B998" s="75"/>
      <c r="C998" s="75"/>
      <c r="D998" s="75"/>
      <c r="E998" s="75"/>
      <c r="F998" s="75"/>
      <c r="G998" s="75"/>
      <c r="H998" s="75"/>
      <c r="I998" s="75"/>
      <c r="J998" s="75"/>
      <c r="K998" s="75"/>
      <c r="L998" s="75"/>
      <c r="M998" s="75"/>
      <c r="N998" s="75"/>
      <c r="O998" s="75"/>
      <c r="P998" s="75"/>
    </row>
    <row r="999">
      <c r="A999" s="75"/>
      <c r="B999" s="75"/>
      <c r="C999" s="75"/>
      <c r="D999" s="75"/>
      <c r="E999" s="75"/>
      <c r="F999" s="75"/>
      <c r="G999" s="75"/>
      <c r="H999" s="75"/>
      <c r="I999" s="75"/>
      <c r="J999" s="75"/>
      <c r="K999" s="75"/>
      <c r="L999" s="75"/>
      <c r="M999" s="75"/>
      <c r="N999" s="75"/>
      <c r="O999" s="75"/>
      <c r="P999" s="75"/>
    </row>
    <row r="1000">
      <c r="A1000" s="75"/>
      <c r="B1000" s="75"/>
      <c r="C1000" s="75"/>
      <c r="D1000" s="75"/>
      <c r="E1000" s="75"/>
      <c r="F1000" s="75"/>
      <c r="G1000" s="75"/>
      <c r="H1000" s="75"/>
      <c r="I1000" s="75"/>
      <c r="J1000" s="75"/>
      <c r="K1000" s="75"/>
      <c r="L1000" s="75"/>
      <c r="M1000" s="75"/>
      <c r="N1000" s="75"/>
      <c r="O1000" s="75"/>
      <c r="P1000" s="75"/>
    </row>
  </sheetData>
  <printOptions gridLines="1" horizontalCentered="1"/>
  <pageMargins bottom="0.75" footer="0.0" header="0.0" left="0.7" right="0.7" top="0.75"/>
  <pageSetup fitToHeight="0" cellComments="atEnd" orientation="landscape" pageOrder="overThenDown"/>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3.88"/>
    <col customWidth="1" min="3" max="3" width="6.13"/>
    <col customWidth="1" min="4" max="4" width="42.5"/>
    <col customWidth="1" min="5" max="5" width="34.25"/>
    <col customWidth="1" min="6" max="6" width="16.75"/>
    <col customWidth="1" min="7" max="7" width="14.88"/>
    <col customWidth="1" min="8" max="8" width="20.13"/>
    <col customWidth="1" min="9" max="9" width="53.88"/>
    <col customWidth="1" min="10" max="10" width="15.38"/>
    <col customWidth="1" min="11" max="11" width="75.0"/>
    <col customWidth="1" min="12" max="12" width="8.0"/>
  </cols>
  <sheetData>
    <row r="1">
      <c r="A1" s="1" t="s">
        <v>0</v>
      </c>
      <c r="B1" s="2" t="s">
        <v>1</v>
      </c>
      <c r="C1" s="2" t="s">
        <v>2</v>
      </c>
      <c r="D1" s="1" t="s">
        <v>3</v>
      </c>
      <c r="E1" s="2" t="s">
        <v>4</v>
      </c>
      <c r="F1" s="2" t="s">
        <v>5</v>
      </c>
      <c r="G1" s="2" t="s">
        <v>6</v>
      </c>
      <c r="H1" s="1" t="s">
        <v>7</v>
      </c>
      <c r="I1" s="87" t="s">
        <v>8</v>
      </c>
      <c r="J1" s="1" t="s">
        <v>9</v>
      </c>
      <c r="K1" s="1" t="s">
        <v>10</v>
      </c>
      <c r="L1" s="1" t="s">
        <v>11</v>
      </c>
      <c r="M1" s="2" t="s">
        <v>12</v>
      </c>
      <c r="N1" s="1" t="s">
        <v>13</v>
      </c>
      <c r="O1" s="1" t="s">
        <v>14</v>
      </c>
      <c r="P1" s="1" t="s">
        <v>15</v>
      </c>
      <c r="Q1" s="3"/>
      <c r="R1" s="4"/>
      <c r="S1" s="4"/>
      <c r="T1" s="4"/>
      <c r="U1" s="4"/>
      <c r="V1" s="4"/>
      <c r="W1" s="4"/>
      <c r="X1" s="4"/>
      <c r="Y1" s="4"/>
    </row>
    <row r="2">
      <c r="A2" s="88" t="s">
        <v>25</v>
      </c>
      <c r="B2" s="89">
        <v>1006.0</v>
      </c>
      <c r="C2" s="90" t="b">
        <v>1</v>
      </c>
      <c r="D2" s="89" t="str">
        <f>IFERROR(__xludf.DUMMYFUNCTION("GOOGLETRANSLATE(A2,""ar"", ""en"")"),"Starbucks chair without handles")</f>
        <v>Starbucks chair without handles</v>
      </c>
      <c r="E2" s="88" t="s">
        <v>1474</v>
      </c>
      <c r="F2" s="91" t="s">
        <v>27</v>
      </c>
      <c r="G2" s="91" t="s">
        <v>28</v>
      </c>
      <c r="H2" s="89" t="s">
        <v>29</v>
      </c>
      <c r="I2" s="92" t="s">
        <v>1475</v>
      </c>
      <c r="J2" s="93">
        <v>2639.53</v>
      </c>
      <c r="K2" s="94" t="s">
        <v>30</v>
      </c>
      <c r="L2" s="89"/>
      <c r="M2" s="95">
        <v>110.0</v>
      </c>
      <c r="N2" s="89"/>
      <c r="O2" s="89"/>
      <c r="P2" s="93">
        <v>24.0</v>
      </c>
      <c r="Q2" s="91"/>
      <c r="R2" s="91"/>
      <c r="S2" s="91"/>
      <c r="T2" s="91"/>
      <c r="U2" s="91"/>
      <c r="V2" s="91"/>
      <c r="W2" s="91"/>
      <c r="X2" s="91"/>
      <c r="Y2" s="91"/>
    </row>
    <row r="3">
      <c r="A3" s="88" t="s">
        <v>1476</v>
      </c>
      <c r="B3" s="89">
        <v>1008.0</v>
      </c>
      <c r="C3" s="90" t="b">
        <v>1</v>
      </c>
      <c r="D3" s="89" t="str">
        <f>IFERROR(__xludf.DUMMYFUNCTION("GOOGLETRANSLATE(A3,""ar"", ""en"")"),"Starbucks chair with handle")</f>
        <v>Starbucks chair with handle</v>
      </c>
      <c r="E3" s="88" t="s">
        <v>1477</v>
      </c>
      <c r="F3" s="91" t="s">
        <v>27</v>
      </c>
      <c r="G3" s="91" t="s">
        <v>28</v>
      </c>
      <c r="H3" s="89" t="s">
        <v>29</v>
      </c>
      <c r="I3" s="92"/>
      <c r="J3" s="93">
        <v>191.34</v>
      </c>
      <c r="K3" s="94" t="s">
        <v>1478</v>
      </c>
      <c r="L3" s="89"/>
      <c r="M3" s="95">
        <v>8.0</v>
      </c>
      <c r="N3" s="89"/>
      <c r="O3" s="89"/>
      <c r="P3" s="93">
        <v>23.92</v>
      </c>
      <c r="Q3" s="91"/>
      <c r="R3" s="91"/>
      <c r="S3" s="91"/>
      <c r="T3" s="91"/>
      <c r="U3" s="91"/>
      <c r="V3" s="91"/>
      <c r="W3" s="91"/>
      <c r="X3" s="91"/>
      <c r="Y3" s="91"/>
    </row>
    <row r="4">
      <c r="A4" s="96" t="s">
        <v>1476</v>
      </c>
      <c r="B4" s="89">
        <v>1009.0</v>
      </c>
      <c r="C4" s="90" t="b">
        <v>1</v>
      </c>
      <c r="D4" s="89" t="str">
        <f>IFERROR(__xludf.DUMMYFUNCTION("GOOGLETRANSLATE(A4,""ar"", ""en"")"),"Starbucks chair with handle")</f>
        <v>Starbucks chair with handle</v>
      </c>
      <c r="E4" s="96" t="s">
        <v>1479</v>
      </c>
      <c r="F4" s="91" t="s">
        <v>27</v>
      </c>
      <c r="G4" s="91" t="s">
        <v>28</v>
      </c>
      <c r="H4" s="89" t="s">
        <v>29</v>
      </c>
      <c r="I4" s="97" t="s">
        <v>1480</v>
      </c>
      <c r="J4" s="98">
        <v>26.55</v>
      </c>
      <c r="K4" s="94" t="s">
        <v>1478</v>
      </c>
      <c r="L4" s="89"/>
      <c r="M4" s="99">
        <v>1.0</v>
      </c>
      <c r="N4" s="89"/>
      <c r="O4" s="89"/>
      <c r="P4" s="98">
        <v>26.55</v>
      </c>
      <c r="Q4" s="91"/>
      <c r="R4" s="91"/>
      <c r="S4" s="91"/>
      <c r="T4" s="91"/>
      <c r="U4" s="91"/>
      <c r="V4" s="91"/>
      <c r="W4" s="91"/>
      <c r="X4" s="91"/>
      <c r="Y4" s="91"/>
    </row>
    <row r="5">
      <c r="A5" s="13" t="s">
        <v>49</v>
      </c>
      <c r="B5" s="6">
        <v>1014.0</v>
      </c>
      <c r="C5" s="7" t="b">
        <v>1</v>
      </c>
      <c r="D5" s="8" t="str">
        <f>IFERROR(__xludf.DUMMYFUNCTION("GOOGLETRANSLATE(A5,""ar"", ""en"")"),"bar chair")</f>
        <v>bar chair</v>
      </c>
      <c r="E5" s="13" t="s">
        <v>1481</v>
      </c>
      <c r="F5" s="9" t="s">
        <v>27</v>
      </c>
      <c r="G5" s="9" t="s">
        <v>18</v>
      </c>
      <c r="H5" s="16" t="s">
        <v>47</v>
      </c>
      <c r="I5" s="92"/>
      <c r="J5" s="14">
        <v>305.04</v>
      </c>
      <c r="K5" s="11" t="s">
        <v>51</v>
      </c>
      <c r="L5" s="8"/>
      <c r="M5" s="15">
        <v>15.0</v>
      </c>
      <c r="N5" s="8"/>
      <c r="O5" s="8"/>
      <c r="P5" s="14">
        <v>20.34</v>
      </c>
      <c r="Q5" s="4"/>
      <c r="R5" s="4"/>
      <c r="S5" s="4"/>
      <c r="T5" s="4"/>
      <c r="U5" s="4"/>
      <c r="V5" s="4"/>
      <c r="W5" s="4"/>
      <c r="X5" s="4"/>
      <c r="Y5" s="4"/>
    </row>
    <row r="6">
      <c r="A6" s="5" t="s">
        <v>1482</v>
      </c>
      <c r="B6" s="6">
        <v>1027.0</v>
      </c>
      <c r="C6" s="7" t="b">
        <v>1</v>
      </c>
      <c r="D6" s="8" t="str">
        <f>IFERROR(__xludf.DUMMYFUNCTION("GOOGLETRANSLATE(A6,""ar"", ""en"")"),"leather chair")</f>
        <v>leather chair</v>
      </c>
      <c r="E6" s="5" t="s">
        <v>1483</v>
      </c>
      <c r="F6" s="9" t="s">
        <v>18</v>
      </c>
      <c r="G6" s="9" t="s">
        <v>18</v>
      </c>
      <c r="H6" s="16" t="s">
        <v>1484</v>
      </c>
      <c r="I6" s="92"/>
      <c r="J6" s="10">
        <v>1381.47</v>
      </c>
      <c r="K6" s="11" t="s">
        <v>1485</v>
      </c>
      <c r="L6" s="8"/>
      <c r="M6" s="12">
        <v>67.0</v>
      </c>
      <c r="N6" s="8"/>
      <c r="O6" s="8"/>
      <c r="P6" s="10">
        <v>20.62</v>
      </c>
      <c r="Q6" s="4"/>
      <c r="R6" s="4"/>
      <c r="S6" s="4"/>
      <c r="T6" s="4"/>
      <c r="U6" s="4"/>
      <c r="V6" s="4"/>
      <c r="W6" s="4"/>
      <c r="X6" s="4"/>
      <c r="Y6" s="4"/>
    </row>
    <row r="7">
      <c r="A7" s="5" t="s">
        <v>37</v>
      </c>
      <c r="B7" s="6">
        <v>1029.0</v>
      </c>
      <c r="C7" s="7" t="b">
        <v>1</v>
      </c>
      <c r="D7" s="8" t="str">
        <f>IFERROR(__xludf.DUMMYFUNCTION("GOOGLETRANSLATE(A7,""ar"", ""en"")"),"dining chair")</f>
        <v>dining chair</v>
      </c>
      <c r="E7" s="5" t="s">
        <v>1486</v>
      </c>
      <c r="F7" s="9" t="s">
        <v>18</v>
      </c>
      <c r="G7" s="9" t="s">
        <v>18</v>
      </c>
      <c r="H7" s="16" t="s">
        <v>1484</v>
      </c>
      <c r="I7" s="92"/>
      <c r="J7" s="10">
        <v>2141.58</v>
      </c>
      <c r="K7" s="11" t="s">
        <v>40</v>
      </c>
      <c r="L7" s="8"/>
      <c r="M7" s="12">
        <v>79.0</v>
      </c>
      <c r="N7" s="8"/>
      <c r="O7" s="8"/>
      <c r="P7" s="10">
        <v>27.11</v>
      </c>
      <c r="Q7" s="4"/>
      <c r="R7" s="4"/>
      <c r="S7" s="4"/>
      <c r="T7" s="4"/>
      <c r="U7" s="4"/>
      <c r="V7" s="4"/>
      <c r="W7" s="4"/>
      <c r="X7" s="4"/>
      <c r="Y7" s="4"/>
    </row>
    <row r="8">
      <c r="A8" s="13" t="s">
        <v>37</v>
      </c>
      <c r="B8" s="6">
        <v>1030.0</v>
      </c>
      <c r="C8" s="7" t="b">
        <v>1</v>
      </c>
      <c r="D8" s="8" t="str">
        <f>IFERROR(__xludf.DUMMYFUNCTION("GOOGLETRANSLATE(A8,""ar"", ""en"")"),"dining chair")</f>
        <v>dining chair</v>
      </c>
      <c r="E8" s="100" t="s">
        <v>1487</v>
      </c>
      <c r="F8" s="9" t="s">
        <v>18</v>
      </c>
      <c r="G8" s="9" t="s">
        <v>18</v>
      </c>
      <c r="H8" s="16" t="s">
        <v>1484</v>
      </c>
      <c r="I8" s="101" t="s">
        <v>1488</v>
      </c>
      <c r="J8" s="14">
        <v>12171.1</v>
      </c>
      <c r="K8" s="11" t="s">
        <v>40</v>
      </c>
      <c r="L8" s="8"/>
      <c r="M8" s="15">
        <v>396.0</v>
      </c>
      <c r="N8" s="8"/>
      <c r="O8" s="8"/>
      <c r="P8" s="14">
        <v>30.74</v>
      </c>
      <c r="Q8" s="4"/>
      <c r="R8" s="4"/>
      <c r="S8" s="4"/>
      <c r="T8" s="4"/>
      <c r="U8" s="4"/>
      <c r="V8" s="4"/>
      <c r="W8" s="4"/>
      <c r="X8" s="4"/>
      <c r="Y8" s="4"/>
    </row>
    <row r="9">
      <c r="A9" s="13" t="s">
        <v>37</v>
      </c>
      <c r="B9" s="6">
        <v>1032.0</v>
      </c>
      <c r="C9" s="7" t="b">
        <v>1</v>
      </c>
      <c r="D9" s="8" t="str">
        <f>IFERROR(__xludf.DUMMYFUNCTION("GOOGLETRANSLATE(A9,""ar"", ""en"")"),"dining chair")</f>
        <v>dining chair</v>
      </c>
      <c r="E9" s="13" t="s">
        <v>1489</v>
      </c>
      <c r="F9" s="9" t="s">
        <v>18</v>
      </c>
      <c r="G9" s="9" t="s">
        <v>18</v>
      </c>
      <c r="H9" s="16" t="s">
        <v>1484</v>
      </c>
      <c r="I9" s="92"/>
      <c r="J9" s="14">
        <v>3907.99</v>
      </c>
      <c r="K9" s="11" t="s">
        <v>40</v>
      </c>
      <c r="L9" s="8"/>
      <c r="M9" s="15">
        <v>236.0</v>
      </c>
      <c r="N9" s="8"/>
      <c r="O9" s="8"/>
      <c r="P9" s="14">
        <v>16.56</v>
      </c>
      <c r="Q9" s="4"/>
      <c r="R9" s="4"/>
      <c r="S9" s="4"/>
      <c r="T9" s="4"/>
      <c r="U9" s="4"/>
      <c r="V9" s="4"/>
      <c r="W9" s="4"/>
      <c r="X9" s="4"/>
      <c r="Y9" s="4"/>
    </row>
    <row r="10">
      <c r="A10" s="13" t="s">
        <v>37</v>
      </c>
      <c r="B10" s="6">
        <v>1034.0</v>
      </c>
      <c r="C10" s="7" t="b">
        <v>1</v>
      </c>
      <c r="D10" s="8" t="str">
        <f>IFERROR(__xludf.DUMMYFUNCTION("GOOGLETRANSLATE(A10,""ar"", ""en"")"),"dining chair")</f>
        <v>dining chair</v>
      </c>
      <c r="E10" s="13" t="s">
        <v>1490</v>
      </c>
      <c r="F10" s="9" t="s">
        <v>18</v>
      </c>
      <c r="G10" s="9" t="s">
        <v>18</v>
      </c>
      <c r="H10" s="16" t="s">
        <v>1484</v>
      </c>
      <c r="I10" s="92"/>
      <c r="J10" s="14">
        <v>2439.84</v>
      </c>
      <c r="K10" s="11" t="s">
        <v>40</v>
      </c>
      <c r="L10" s="8"/>
      <c r="M10" s="15">
        <v>185.0</v>
      </c>
      <c r="N10" s="8"/>
      <c r="O10" s="8"/>
      <c r="P10" s="14">
        <v>13.19</v>
      </c>
      <c r="Q10" s="4"/>
      <c r="R10" s="4"/>
      <c r="S10" s="4"/>
      <c r="T10" s="4"/>
      <c r="U10" s="4"/>
      <c r="V10" s="4"/>
      <c r="W10" s="4"/>
      <c r="X10" s="4"/>
      <c r="Y10" s="4"/>
    </row>
    <row r="11">
      <c r="A11" s="5" t="s">
        <v>37</v>
      </c>
      <c r="B11" s="6">
        <v>1038.0</v>
      </c>
      <c r="C11" s="7" t="b">
        <v>1</v>
      </c>
      <c r="D11" s="8" t="str">
        <f>IFERROR(__xludf.DUMMYFUNCTION("GOOGLETRANSLATE(A11,""ar"", ""en"")"),"dining chair")</f>
        <v>dining chair</v>
      </c>
      <c r="E11" s="5" t="s">
        <v>1491</v>
      </c>
      <c r="F11" s="9" t="s">
        <v>18</v>
      </c>
      <c r="G11" s="9" t="s">
        <v>18</v>
      </c>
      <c r="H11" s="16" t="s">
        <v>1484</v>
      </c>
      <c r="I11" s="92"/>
      <c r="J11" s="10">
        <v>1956.96</v>
      </c>
      <c r="K11" s="11" t="s">
        <v>40</v>
      </c>
      <c r="L11" s="8"/>
      <c r="M11" s="12">
        <v>109.0</v>
      </c>
      <c r="N11" s="8"/>
      <c r="O11" s="8"/>
      <c r="P11" s="10">
        <v>17.95</v>
      </c>
      <c r="Q11" s="4"/>
      <c r="R11" s="4"/>
      <c r="S11" s="4"/>
      <c r="T11" s="4"/>
      <c r="U11" s="4"/>
      <c r="V11" s="4"/>
      <c r="W11" s="4"/>
      <c r="X11" s="4"/>
      <c r="Y11" s="4"/>
    </row>
    <row r="12">
      <c r="A12" s="13" t="s">
        <v>37</v>
      </c>
      <c r="B12" s="6">
        <v>1039.0</v>
      </c>
      <c r="C12" s="7" t="b">
        <v>1</v>
      </c>
      <c r="D12" s="8" t="str">
        <f>IFERROR(__xludf.DUMMYFUNCTION("GOOGLETRANSLATE(A12,""ar"", ""en"")"),"dining chair")</f>
        <v>dining chair</v>
      </c>
      <c r="E12" s="13" t="s">
        <v>1492</v>
      </c>
      <c r="F12" s="9" t="s">
        <v>18</v>
      </c>
      <c r="G12" s="9" t="s">
        <v>18</v>
      </c>
      <c r="H12" s="16" t="s">
        <v>1484</v>
      </c>
      <c r="I12" s="92"/>
      <c r="J12" s="14">
        <v>3159.86</v>
      </c>
      <c r="K12" s="11" t="s">
        <v>40</v>
      </c>
      <c r="L12" s="8"/>
      <c r="M12" s="15">
        <v>176.0</v>
      </c>
      <c r="N12" s="8"/>
      <c r="O12" s="8"/>
      <c r="P12" s="14">
        <v>17.95</v>
      </c>
      <c r="Q12" s="4"/>
      <c r="R12" s="4"/>
      <c r="S12" s="4"/>
      <c r="T12" s="4"/>
      <c r="U12" s="4"/>
      <c r="V12" s="4"/>
      <c r="W12" s="4"/>
      <c r="X12" s="4"/>
      <c r="Y12" s="4"/>
    </row>
    <row r="13">
      <c r="A13" s="13" t="s">
        <v>1493</v>
      </c>
      <c r="B13" s="6">
        <v>1046.0</v>
      </c>
      <c r="C13" s="7" t="b">
        <v>1</v>
      </c>
      <c r="D13" s="8" t="str">
        <f>IFERROR(__xludf.DUMMYFUNCTION("GOOGLETRANSLATE(A13,""ar"", ""en"")"),"leather bar stool")</f>
        <v>leather bar stool</v>
      </c>
      <c r="E13" s="13" t="s">
        <v>1494</v>
      </c>
      <c r="F13" s="9" t="s">
        <v>18</v>
      </c>
      <c r="G13" s="9" t="s">
        <v>18</v>
      </c>
      <c r="H13" s="16" t="s">
        <v>47</v>
      </c>
      <c r="I13" s="92"/>
      <c r="J13" s="14">
        <v>609.36</v>
      </c>
      <c r="K13" s="11" t="s">
        <v>1495</v>
      </c>
      <c r="L13" s="8"/>
      <c r="M13" s="15">
        <v>49.0</v>
      </c>
      <c r="N13" s="8"/>
      <c r="O13" s="8"/>
      <c r="P13" s="14">
        <v>12.44</v>
      </c>
      <c r="Q13" s="4"/>
      <c r="R13" s="4"/>
      <c r="S13" s="4"/>
      <c r="T13" s="4"/>
      <c r="U13" s="4"/>
      <c r="V13" s="4"/>
      <c r="W13" s="4"/>
      <c r="X13" s="4"/>
      <c r="Y13" s="4"/>
    </row>
    <row r="14">
      <c r="A14" s="5" t="s">
        <v>1496</v>
      </c>
      <c r="B14" s="6">
        <v>1047.0</v>
      </c>
      <c r="C14" s="7" t="b">
        <v>1</v>
      </c>
      <c r="D14" s="8" t="str">
        <f>IFERROR(__xludf.DUMMYFUNCTION("GOOGLETRANSLATE(A14,""ar"", ""en"")"),"Fixed wood bar stool")</f>
        <v>Fixed wood bar stool</v>
      </c>
      <c r="E14" s="5" t="s">
        <v>1497</v>
      </c>
      <c r="F14" s="9" t="s">
        <v>18</v>
      </c>
      <c r="G14" s="9" t="s">
        <v>18</v>
      </c>
      <c r="H14" s="16" t="s">
        <v>47</v>
      </c>
      <c r="I14" s="101" t="s">
        <v>1498</v>
      </c>
      <c r="J14" s="10">
        <v>1544.23</v>
      </c>
      <c r="K14" s="11" t="s">
        <v>1499</v>
      </c>
      <c r="L14" s="8"/>
      <c r="M14" s="12">
        <v>138.0</v>
      </c>
      <c r="N14" s="8"/>
      <c r="O14" s="8"/>
      <c r="P14" s="10">
        <v>11.19</v>
      </c>
      <c r="Q14" s="4"/>
      <c r="R14" s="4"/>
      <c r="S14" s="4"/>
      <c r="T14" s="4"/>
      <c r="U14" s="4"/>
      <c r="V14" s="4"/>
      <c r="W14" s="4"/>
      <c r="X14" s="4"/>
      <c r="Y14" s="4"/>
    </row>
    <row r="15">
      <c r="A15" s="13" t="s">
        <v>1500</v>
      </c>
      <c r="B15" s="6">
        <v>1049.0</v>
      </c>
      <c r="C15" s="7" t="b">
        <v>1</v>
      </c>
      <c r="D15" s="8" t="str">
        <f>IFERROR(__xludf.DUMMYFUNCTION("GOOGLETRANSLATE(A15,""ar"", ""en"")"),"finger chair")</f>
        <v>finger chair</v>
      </c>
      <c r="E15" s="13" t="s">
        <v>1501</v>
      </c>
      <c r="F15" s="9" t="s">
        <v>18</v>
      </c>
      <c r="G15" s="9" t="s">
        <v>18</v>
      </c>
      <c r="H15" s="16" t="s">
        <v>1484</v>
      </c>
      <c r="I15" s="92"/>
      <c r="J15" s="14">
        <v>7336.45</v>
      </c>
      <c r="K15" s="11" t="s">
        <v>1502</v>
      </c>
      <c r="L15" s="8"/>
      <c r="M15" s="15">
        <v>709.0</v>
      </c>
      <c r="N15" s="8"/>
      <c r="O15" s="8"/>
      <c r="P15" s="14">
        <v>10.35</v>
      </c>
      <c r="Q15" s="4"/>
      <c r="R15" s="4"/>
      <c r="S15" s="4"/>
      <c r="T15" s="4"/>
      <c r="U15" s="4"/>
      <c r="V15" s="4"/>
      <c r="W15" s="4"/>
      <c r="X15" s="4"/>
      <c r="Y15" s="4"/>
    </row>
    <row r="16">
      <c r="A16" s="13" t="s">
        <v>1503</v>
      </c>
      <c r="B16" s="6">
        <v>1050.0</v>
      </c>
      <c r="C16" s="7" t="b">
        <v>1</v>
      </c>
      <c r="D16" s="8" t="str">
        <f>IFERROR(__xludf.DUMMYFUNCTION("GOOGLETRANSLATE(A16,""ar"", ""en"")"),"60 cm / 24"" bar stool")</f>
        <v>60 cm / 24" bar stool</v>
      </c>
      <c r="E16" s="13" t="s">
        <v>1504</v>
      </c>
      <c r="F16" s="9" t="s">
        <v>27</v>
      </c>
      <c r="G16" s="9" t="s">
        <v>18</v>
      </c>
      <c r="H16" s="16" t="s">
        <v>47</v>
      </c>
      <c r="I16" s="92"/>
      <c r="J16" s="14">
        <v>134.52</v>
      </c>
      <c r="K16" s="11" t="s">
        <v>1505</v>
      </c>
      <c r="L16" s="8"/>
      <c r="M16" s="15">
        <v>11.0</v>
      </c>
      <c r="N16" s="8"/>
      <c r="O16" s="8"/>
      <c r="P16" s="14">
        <v>12.23</v>
      </c>
      <c r="Q16" s="4"/>
      <c r="R16" s="4"/>
      <c r="S16" s="4"/>
      <c r="T16" s="4"/>
      <c r="U16" s="4"/>
      <c r="V16" s="4"/>
      <c r="W16" s="4"/>
      <c r="X16" s="4"/>
      <c r="Y16" s="4"/>
    </row>
    <row r="17">
      <c r="A17" s="13" t="s">
        <v>70</v>
      </c>
      <c r="B17" s="6">
        <v>1051.0</v>
      </c>
      <c r="C17" s="7" t="b">
        <v>1</v>
      </c>
      <c r="D17" s="8" t="str">
        <f>IFERROR(__xludf.DUMMYFUNCTION("GOOGLETRANSLATE(A17,""ar"", ""en"")"),"iron chair with handle")</f>
        <v>iron chair with handle</v>
      </c>
      <c r="E17" s="13" t="s">
        <v>1506</v>
      </c>
      <c r="F17" s="9" t="s">
        <v>27</v>
      </c>
      <c r="G17" s="9" t="s">
        <v>18</v>
      </c>
      <c r="H17" s="16" t="s">
        <v>72</v>
      </c>
      <c r="I17" s="92"/>
      <c r="J17" s="14">
        <v>927.97</v>
      </c>
      <c r="K17" s="11" t="s">
        <v>73</v>
      </c>
      <c r="L17" s="8"/>
      <c r="M17" s="15">
        <v>67.0</v>
      </c>
      <c r="N17" s="8"/>
      <c r="O17" s="8"/>
      <c r="P17" s="14">
        <v>13.85</v>
      </c>
      <c r="Q17" s="4"/>
      <c r="R17" s="4"/>
      <c r="S17" s="4"/>
      <c r="T17" s="4"/>
      <c r="U17" s="4"/>
      <c r="V17" s="4"/>
      <c r="W17" s="4"/>
      <c r="X17" s="4"/>
      <c r="Y17" s="4"/>
    </row>
    <row r="18">
      <c r="A18" s="5" t="s">
        <v>1507</v>
      </c>
      <c r="B18" s="6">
        <v>1054.0</v>
      </c>
      <c r="C18" s="7" t="b">
        <v>1</v>
      </c>
      <c r="D18" s="8" t="str">
        <f>IFERROR(__xludf.DUMMYFUNCTION("GOOGLETRANSLATE(A18,""ar"", ""en"")"),"drilling chair")</f>
        <v>drilling chair</v>
      </c>
      <c r="E18" s="5" t="s">
        <v>1508</v>
      </c>
      <c r="F18" s="9" t="s">
        <v>18</v>
      </c>
      <c r="G18" s="9" t="s">
        <v>18</v>
      </c>
      <c r="H18" s="16" t="s">
        <v>1484</v>
      </c>
      <c r="I18" s="92"/>
      <c r="J18" s="10">
        <v>1088.63</v>
      </c>
      <c r="K18" s="11" t="s">
        <v>1509</v>
      </c>
      <c r="L18" s="8"/>
      <c r="M18" s="12">
        <v>104.0</v>
      </c>
      <c r="N18" s="8"/>
      <c r="O18" s="8"/>
      <c r="P18" s="10">
        <v>10.47</v>
      </c>
      <c r="Q18" s="4"/>
      <c r="R18" s="4"/>
      <c r="S18" s="4"/>
      <c r="T18" s="4"/>
      <c r="U18" s="4"/>
      <c r="V18" s="4"/>
      <c r="W18" s="4"/>
      <c r="X18" s="4"/>
      <c r="Y18" s="4"/>
    </row>
    <row r="19">
      <c r="A19" s="13" t="s">
        <v>37</v>
      </c>
      <c r="B19" s="6">
        <v>1055.0</v>
      </c>
      <c r="C19" s="7" t="b">
        <v>1</v>
      </c>
      <c r="D19" s="8" t="str">
        <f>IFERROR(__xludf.DUMMYFUNCTION("GOOGLETRANSLATE(A19,""ar"", ""en"")"),"dining chair")</f>
        <v>dining chair</v>
      </c>
      <c r="E19" s="13" t="s">
        <v>1510</v>
      </c>
      <c r="F19" s="9" t="s">
        <v>18</v>
      </c>
      <c r="G19" s="9" t="s">
        <v>18</v>
      </c>
      <c r="H19" s="16" t="s">
        <v>1484</v>
      </c>
      <c r="I19" s="92"/>
      <c r="J19" s="14">
        <v>138.12</v>
      </c>
      <c r="K19" s="11" t="s">
        <v>40</v>
      </c>
      <c r="L19" s="8"/>
      <c r="M19" s="15">
        <v>11.0</v>
      </c>
      <c r="N19" s="8"/>
      <c r="O19" s="8"/>
      <c r="P19" s="14">
        <v>12.56</v>
      </c>
      <c r="Q19" s="4"/>
      <c r="R19" s="4"/>
      <c r="S19" s="4"/>
      <c r="T19" s="4"/>
      <c r="U19" s="4"/>
      <c r="V19" s="4"/>
      <c r="W19" s="4"/>
      <c r="X19" s="4"/>
      <c r="Y19" s="4"/>
    </row>
    <row r="20">
      <c r="A20" s="5" t="s">
        <v>1511</v>
      </c>
      <c r="B20" s="6">
        <v>1056.0</v>
      </c>
      <c r="C20" s="7" t="b">
        <v>1</v>
      </c>
      <c r="D20" s="8" t="str">
        <f>IFERROR(__xludf.DUMMYFUNCTION("GOOGLETRANSLATE(A20,""ar"", ""en"")"),"Fabric dining chair")</f>
        <v>Fabric dining chair</v>
      </c>
      <c r="E20" s="5" t="s">
        <v>1512</v>
      </c>
      <c r="F20" s="9" t="s">
        <v>18</v>
      </c>
      <c r="G20" s="9" t="s">
        <v>18</v>
      </c>
      <c r="H20" s="16" t="s">
        <v>1484</v>
      </c>
      <c r="I20" s="92"/>
      <c r="J20" s="10">
        <v>1573.48</v>
      </c>
      <c r="K20" s="11" t="s">
        <v>1513</v>
      </c>
      <c r="L20" s="8"/>
      <c r="M20" s="12">
        <v>80.0</v>
      </c>
      <c r="N20" s="8"/>
      <c r="O20" s="8"/>
      <c r="P20" s="10">
        <v>19.67</v>
      </c>
      <c r="Q20" s="4"/>
      <c r="R20" s="4"/>
      <c r="S20" s="4"/>
      <c r="T20" s="4"/>
      <c r="U20" s="4"/>
      <c r="V20" s="4"/>
      <c r="W20" s="4"/>
      <c r="X20" s="4"/>
      <c r="Y20" s="4"/>
    </row>
    <row r="21">
      <c r="A21" s="13" t="s">
        <v>113</v>
      </c>
      <c r="B21" s="6">
        <v>1057.0</v>
      </c>
      <c r="C21" s="7" t="b">
        <v>1</v>
      </c>
      <c r="D21" s="8" t="str">
        <f>IFERROR(__xludf.DUMMYFUNCTION("GOOGLETRANSLATE(A21,""ar"", ""en"")"),"leather dining chair")</f>
        <v>leather dining chair</v>
      </c>
      <c r="E21" s="13" t="s">
        <v>1514</v>
      </c>
      <c r="F21" s="9" t="s">
        <v>18</v>
      </c>
      <c r="G21" s="9" t="s">
        <v>18</v>
      </c>
      <c r="H21" s="16" t="s">
        <v>1484</v>
      </c>
      <c r="I21" s="92"/>
      <c r="J21" s="14">
        <v>1878.53</v>
      </c>
      <c r="K21" s="11" t="s">
        <v>115</v>
      </c>
      <c r="L21" s="8"/>
      <c r="M21" s="15">
        <v>103.0</v>
      </c>
      <c r="N21" s="8"/>
      <c r="O21" s="8"/>
      <c r="P21" s="14">
        <v>18.24</v>
      </c>
      <c r="Q21" s="4"/>
      <c r="R21" s="4"/>
      <c r="S21" s="4"/>
      <c r="T21" s="4"/>
      <c r="U21" s="4"/>
      <c r="V21" s="4"/>
      <c r="W21" s="4"/>
      <c r="X21" s="4"/>
      <c r="Y21" s="4"/>
    </row>
    <row r="22">
      <c r="A22" s="5" t="s">
        <v>1511</v>
      </c>
      <c r="B22" s="6">
        <v>1058.0</v>
      </c>
      <c r="C22" s="7" t="b">
        <v>1</v>
      </c>
      <c r="D22" s="8" t="str">
        <f>IFERROR(__xludf.DUMMYFUNCTION("GOOGLETRANSLATE(A22,""ar"", ""en"")"),"Fabric dining chair")</f>
        <v>Fabric dining chair</v>
      </c>
      <c r="E22" s="5" t="s">
        <v>1515</v>
      </c>
      <c r="F22" s="9" t="s">
        <v>18</v>
      </c>
      <c r="G22" s="9" t="s">
        <v>18</v>
      </c>
      <c r="H22" s="16" t="s">
        <v>1484</v>
      </c>
      <c r="I22" s="101" t="s">
        <v>1516</v>
      </c>
      <c r="J22" s="10">
        <v>4470.37</v>
      </c>
      <c r="K22" s="11" t="s">
        <v>1513</v>
      </c>
      <c r="L22" s="8"/>
      <c r="M22" s="12">
        <v>215.0</v>
      </c>
      <c r="N22" s="8"/>
      <c r="O22" s="8"/>
      <c r="P22" s="10">
        <v>20.79</v>
      </c>
      <c r="Q22" s="4"/>
      <c r="R22" s="4"/>
      <c r="S22" s="4"/>
      <c r="T22" s="4"/>
      <c r="U22" s="4"/>
      <c r="V22" s="4"/>
      <c r="W22" s="4"/>
      <c r="X22" s="4"/>
      <c r="Y22" s="4"/>
    </row>
    <row r="23">
      <c r="A23" s="5" t="s">
        <v>37</v>
      </c>
      <c r="B23" s="6">
        <v>1060.0</v>
      </c>
      <c r="C23" s="7" t="b">
        <v>1</v>
      </c>
      <c r="D23" s="8" t="str">
        <f>IFERROR(__xludf.DUMMYFUNCTION("GOOGLETRANSLATE(A23,""ar"", ""en"")"),"dining chair")</f>
        <v>dining chair</v>
      </c>
      <c r="E23" s="5" t="s">
        <v>1517</v>
      </c>
      <c r="F23" s="9" t="s">
        <v>18</v>
      </c>
      <c r="G23" s="9" t="s">
        <v>18</v>
      </c>
      <c r="H23" s="16" t="s">
        <v>1484</v>
      </c>
      <c r="I23" s="92"/>
      <c r="J23" s="10">
        <v>1863.99</v>
      </c>
      <c r="K23" s="11" t="s">
        <v>40</v>
      </c>
      <c r="L23" s="8"/>
      <c r="M23" s="12">
        <v>111.0</v>
      </c>
      <c r="N23" s="8"/>
      <c r="O23" s="8"/>
      <c r="P23" s="10">
        <v>16.79</v>
      </c>
      <c r="Q23" s="4"/>
      <c r="R23" s="4"/>
      <c r="S23" s="4"/>
      <c r="T23" s="4"/>
      <c r="U23" s="4"/>
      <c r="V23" s="4"/>
      <c r="W23" s="4"/>
      <c r="X23" s="4"/>
      <c r="Y23" s="4"/>
    </row>
    <row r="24">
      <c r="A24" s="5" t="s">
        <v>1190</v>
      </c>
      <c r="B24" s="6">
        <v>1063.0</v>
      </c>
      <c r="C24" s="7" t="b">
        <v>1</v>
      </c>
      <c r="D24" s="8" t="str">
        <f>IFERROR(__xludf.DUMMYFUNCTION("GOOGLETRANSLATE(A24,""ar"", ""en"")"),"aluminum chair")</f>
        <v>aluminum chair</v>
      </c>
      <c r="E24" s="5" t="s">
        <v>1518</v>
      </c>
      <c r="F24" s="9" t="s">
        <v>27</v>
      </c>
      <c r="G24" s="9" t="s">
        <v>28</v>
      </c>
      <c r="H24" s="16" t="s">
        <v>29</v>
      </c>
      <c r="I24" s="97" t="s">
        <v>1519</v>
      </c>
      <c r="J24" s="10">
        <v>4.0</v>
      </c>
      <c r="K24" s="11" t="s">
        <v>1192</v>
      </c>
      <c r="L24" s="8"/>
      <c r="M24" s="12">
        <v>96.0</v>
      </c>
      <c r="N24" s="8"/>
      <c r="O24" s="8"/>
      <c r="P24" s="10">
        <v>0.04</v>
      </c>
      <c r="Q24" s="4"/>
      <c r="R24" s="4"/>
      <c r="S24" s="4"/>
      <c r="T24" s="4"/>
      <c r="U24" s="4"/>
      <c r="V24" s="4"/>
      <c r="W24" s="4"/>
      <c r="X24" s="4"/>
      <c r="Y24" s="4"/>
    </row>
    <row r="25">
      <c r="A25" s="5" t="s">
        <v>1190</v>
      </c>
      <c r="B25" s="6">
        <v>1065.0</v>
      </c>
      <c r="C25" s="7" t="b">
        <v>1</v>
      </c>
      <c r="D25" s="8" t="str">
        <f>IFERROR(__xludf.DUMMYFUNCTION("GOOGLETRANSLATE(A25,""ar"", ""en"")"),"aluminum chair")</f>
        <v>aluminum chair</v>
      </c>
      <c r="E25" s="5" t="s">
        <v>1520</v>
      </c>
      <c r="F25" s="9" t="s">
        <v>27</v>
      </c>
      <c r="G25" s="9" t="s">
        <v>28</v>
      </c>
      <c r="H25" s="16" t="s">
        <v>29</v>
      </c>
      <c r="I25" s="92"/>
      <c r="J25" s="10">
        <v>196.6</v>
      </c>
      <c r="K25" s="11" t="s">
        <v>1192</v>
      </c>
      <c r="L25" s="8"/>
      <c r="M25" s="12">
        <v>10.0</v>
      </c>
      <c r="N25" s="8"/>
      <c r="O25" s="8"/>
      <c r="P25" s="10">
        <v>19.66</v>
      </c>
      <c r="Q25" s="4"/>
      <c r="R25" s="4"/>
      <c r="S25" s="4"/>
      <c r="T25" s="4"/>
      <c r="U25" s="4"/>
      <c r="V25" s="4"/>
      <c r="W25" s="4"/>
      <c r="X25" s="4"/>
      <c r="Y25" s="4"/>
    </row>
    <row r="26">
      <c r="A26" s="13" t="s">
        <v>1190</v>
      </c>
      <c r="B26" s="6">
        <v>1066.0</v>
      </c>
      <c r="C26" s="7" t="b">
        <v>1</v>
      </c>
      <c r="D26" s="8" t="str">
        <f>IFERROR(__xludf.DUMMYFUNCTION("GOOGLETRANSLATE(A26,""ar"", ""en"")"),"aluminum chair")</f>
        <v>aluminum chair</v>
      </c>
      <c r="E26" s="13" t="s">
        <v>1521</v>
      </c>
      <c r="F26" s="9" t="s">
        <v>27</v>
      </c>
      <c r="G26" s="9" t="s">
        <v>28</v>
      </c>
      <c r="H26" s="16" t="s">
        <v>29</v>
      </c>
      <c r="I26" s="92"/>
      <c r="J26" s="14">
        <v>5406.52</v>
      </c>
      <c r="K26" s="11" t="s">
        <v>1192</v>
      </c>
      <c r="L26" s="8"/>
      <c r="M26" s="15">
        <v>300.0</v>
      </c>
      <c r="N26" s="8"/>
      <c r="O26" s="8"/>
      <c r="P26" s="14">
        <v>18.02</v>
      </c>
      <c r="Q26" s="4"/>
      <c r="R26" s="4"/>
      <c r="S26" s="4"/>
      <c r="T26" s="4"/>
      <c r="U26" s="4"/>
      <c r="V26" s="4"/>
      <c r="W26" s="4"/>
      <c r="X26" s="4"/>
      <c r="Y26" s="4"/>
    </row>
    <row r="27">
      <c r="A27" s="5" t="s">
        <v>1190</v>
      </c>
      <c r="B27" s="6">
        <v>1067.0</v>
      </c>
      <c r="C27" s="7" t="b">
        <v>1</v>
      </c>
      <c r="D27" s="8" t="str">
        <f>IFERROR(__xludf.DUMMYFUNCTION("GOOGLETRANSLATE(A27,""ar"", ""en"")"),"aluminum chair")</f>
        <v>aluminum chair</v>
      </c>
      <c r="E27" s="5" t="s">
        <v>1522</v>
      </c>
      <c r="F27" s="9" t="s">
        <v>27</v>
      </c>
      <c r="G27" s="9" t="s">
        <v>28</v>
      </c>
      <c r="H27" s="16" t="s">
        <v>29</v>
      </c>
      <c r="I27" s="101" t="s">
        <v>1523</v>
      </c>
      <c r="J27" s="10">
        <v>6291.23</v>
      </c>
      <c r="K27" s="11" t="s">
        <v>1192</v>
      </c>
      <c r="L27" s="8"/>
      <c r="M27" s="12">
        <v>384.0</v>
      </c>
      <c r="N27" s="8"/>
      <c r="O27" s="8"/>
      <c r="P27" s="10">
        <v>16.38</v>
      </c>
      <c r="Q27" s="4"/>
      <c r="R27" s="4"/>
      <c r="S27" s="4"/>
      <c r="T27" s="4"/>
      <c r="U27" s="4"/>
      <c r="V27" s="4"/>
      <c r="W27" s="4"/>
      <c r="X27" s="4"/>
      <c r="Y27" s="4"/>
    </row>
    <row r="28">
      <c r="A28" s="5" t="s">
        <v>37</v>
      </c>
      <c r="B28" s="6">
        <v>1070.0</v>
      </c>
      <c r="C28" s="7" t="b">
        <v>1</v>
      </c>
      <c r="D28" s="8" t="str">
        <f>IFERROR(__xludf.DUMMYFUNCTION("GOOGLETRANSLATE(A28,""ar"", ""en"")"),"dining chair")</f>
        <v>dining chair</v>
      </c>
      <c r="E28" s="5" t="s">
        <v>1524</v>
      </c>
      <c r="F28" s="9" t="s">
        <v>18</v>
      </c>
      <c r="G28" s="9" t="s">
        <v>18</v>
      </c>
      <c r="H28" s="16" t="s">
        <v>1484</v>
      </c>
      <c r="I28" s="92"/>
      <c r="J28" s="10">
        <v>107.15</v>
      </c>
      <c r="K28" s="11" t="s">
        <v>40</v>
      </c>
      <c r="L28" s="8"/>
      <c r="M28" s="12">
        <v>10.0</v>
      </c>
      <c r="N28" s="8"/>
      <c r="O28" s="8"/>
      <c r="P28" s="10">
        <v>10.72</v>
      </c>
      <c r="Q28" s="4"/>
      <c r="R28" s="4"/>
      <c r="S28" s="4"/>
      <c r="T28" s="4"/>
      <c r="U28" s="4"/>
      <c r="V28" s="4"/>
      <c r="W28" s="4"/>
      <c r="X28" s="4"/>
      <c r="Y28" s="4"/>
    </row>
    <row r="29">
      <c r="A29" s="5" t="s">
        <v>1525</v>
      </c>
      <c r="B29" s="6">
        <v>1071.0</v>
      </c>
      <c r="C29" s="7" t="b">
        <v>1</v>
      </c>
      <c r="D29" s="8" t="str">
        <f>IFERROR(__xludf.DUMMYFUNCTION("GOOGLETRANSLATE(A29,""ar"", ""en"")"),"LINA PLEXI CHAIR")</f>
        <v>LINA PLEXI CHAIR</v>
      </c>
      <c r="E29" s="5" t="s">
        <v>1526</v>
      </c>
      <c r="F29" s="9" t="s">
        <v>28</v>
      </c>
      <c r="G29" s="9" t="s">
        <v>28</v>
      </c>
      <c r="H29" s="16" t="s">
        <v>43</v>
      </c>
      <c r="I29" s="97" t="s">
        <v>1527</v>
      </c>
      <c r="J29" s="10">
        <v>150.97</v>
      </c>
      <c r="K29" s="11" t="s">
        <v>1528</v>
      </c>
      <c r="L29" s="8"/>
      <c r="M29" s="12">
        <v>7.0</v>
      </c>
      <c r="N29" s="8"/>
      <c r="O29" s="8"/>
      <c r="P29" s="10">
        <v>21.57</v>
      </c>
      <c r="Q29" s="4"/>
      <c r="R29" s="4"/>
      <c r="S29" s="4"/>
      <c r="T29" s="4"/>
      <c r="U29" s="4"/>
      <c r="V29" s="4"/>
      <c r="W29" s="4"/>
      <c r="X29" s="4"/>
      <c r="Y29" s="4"/>
    </row>
    <row r="30">
      <c r="A30" s="5" t="s">
        <v>1529</v>
      </c>
      <c r="B30" s="6">
        <v>1073.0</v>
      </c>
      <c r="C30" s="7" t="b">
        <v>1</v>
      </c>
      <c r="D30" s="8" t="str">
        <f>IFERROR(__xludf.DUMMYFUNCTION("GOOGLETRANSLATE(A30,""ar"", ""en"")"),"LOTUS WHITE PLEXI CHAIR")</f>
        <v>LOTUS WHITE PLEXI CHAIR</v>
      </c>
      <c r="E30" s="5" t="s">
        <v>1530</v>
      </c>
      <c r="F30" s="9" t="s">
        <v>28</v>
      </c>
      <c r="G30" s="9" t="s">
        <v>28</v>
      </c>
      <c r="H30" s="16" t="s">
        <v>43</v>
      </c>
      <c r="I30" s="92"/>
      <c r="J30" s="10">
        <v>1074.21</v>
      </c>
      <c r="K30" s="11" t="s">
        <v>1531</v>
      </c>
      <c r="L30" s="8"/>
      <c r="M30" s="12">
        <v>82.0</v>
      </c>
      <c r="N30" s="8"/>
      <c r="O30" s="8"/>
      <c r="P30" s="10">
        <v>13.1</v>
      </c>
      <c r="Q30" s="4"/>
      <c r="R30" s="4"/>
      <c r="S30" s="4"/>
      <c r="T30" s="4"/>
      <c r="U30" s="4"/>
      <c r="V30" s="4"/>
      <c r="W30" s="4"/>
      <c r="X30" s="4"/>
      <c r="Y30" s="4"/>
    </row>
    <row r="31">
      <c r="A31" s="13" t="s">
        <v>37</v>
      </c>
      <c r="B31" s="6">
        <v>1078.0</v>
      </c>
      <c r="C31" s="7" t="b">
        <v>1</v>
      </c>
      <c r="D31" s="8" t="str">
        <f>IFERROR(__xludf.DUMMYFUNCTION("GOOGLETRANSLATE(A31,""ar"", ""en"")"),"dining chair")</f>
        <v>dining chair</v>
      </c>
      <c r="E31" s="13" t="s">
        <v>1532</v>
      </c>
      <c r="F31" s="9" t="s">
        <v>18</v>
      </c>
      <c r="G31" s="9" t="s">
        <v>18</v>
      </c>
      <c r="H31" s="16" t="s">
        <v>1484</v>
      </c>
      <c r="I31" s="97"/>
      <c r="J31" s="14">
        <v>305.46</v>
      </c>
      <c r="K31" s="11" t="s">
        <v>40</v>
      </c>
      <c r="L31" s="8"/>
      <c r="M31" s="15">
        <v>17.0</v>
      </c>
      <c r="N31" s="8"/>
      <c r="O31" s="8"/>
      <c r="P31" s="14">
        <v>17.97</v>
      </c>
      <c r="Q31" s="4"/>
      <c r="R31" s="4"/>
      <c r="S31" s="4"/>
      <c r="T31" s="4"/>
      <c r="U31" s="4"/>
      <c r="V31" s="4"/>
      <c r="W31" s="4"/>
      <c r="X31" s="4"/>
      <c r="Y31" s="4"/>
    </row>
    <row r="32">
      <c r="A32" s="13" t="s">
        <v>1533</v>
      </c>
      <c r="B32" s="6">
        <v>1081.0</v>
      </c>
      <c r="C32" s="7" t="b">
        <v>1</v>
      </c>
      <c r="D32" s="8" t="str">
        <f>IFERROR(__xludf.DUMMYFUNCTION("GOOGLETRANSLATE(A32,""ar"", ""en"")"),"CAPU leather bar stool")</f>
        <v>CAPU leather bar stool</v>
      </c>
      <c r="E32" s="13" t="s">
        <v>1534</v>
      </c>
      <c r="F32" s="9" t="s">
        <v>18</v>
      </c>
      <c r="G32" s="9" t="s">
        <v>18</v>
      </c>
      <c r="H32" s="16" t="s">
        <v>47</v>
      </c>
      <c r="I32" s="92"/>
      <c r="J32" s="31"/>
      <c r="K32" s="11" t="s">
        <v>1535</v>
      </c>
      <c r="L32" s="8"/>
      <c r="M32" s="15">
        <v>178.0</v>
      </c>
      <c r="N32" s="8"/>
      <c r="O32" s="8"/>
      <c r="P32" s="31"/>
      <c r="Q32" s="4"/>
      <c r="R32" s="4"/>
      <c r="S32" s="4"/>
      <c r="T32" s="4"/>
      <c r="U32" s="4"/>
      <c r="V32" s="4"/>
      <c r="W32" s="4"/>
      <c r="X32" s="4"/>
      <c r="Y32" s="4"/>
    </row>
    <row r="33">
      <c r="A33" s="13" t="s">
        <v>1536</v>
      </c>
      <c r="B33" s="6">
        <v>1083.0</v>
      </c>
      <c r="C33" s="7" t="b">
        <v>1</v>
      </c>
      <c r="D33" s="8" t="str">
        <f>IFERROR(__xludf.DUMMYFUNCTION("GOOGLETRANSLATE(A33,""ar"", ""en"")"),"CAPUCINO regular bar stool")</f>
        <v>CAPUCINO regular bar stool</v>
      </c>
      <c r="E33" s="13" t="s">
        <v>1537</v>
      </c>
      <c r="F33" s="9" t="s">
        <v>18</v>
      </c>
      <c r="G33" s="9" t="s">
        <v>18</v>
      </c>
      <c r="H33" s="16" t="s">
        <v>47</v>
      </c>
      <c r="I33" s="92"/>
      <c r="J33" s="31"/>
      <c r="K33" s="11" t="s">
        <v>1538</v>
      </c>
      <c r="L33" s="8"/>
      <c r="M33" s="15">
        <v>238.0</v>
      </c>
      <c r="N33" s="8"/>
      <c r="O33" s="8"/>
      <c r="P33" s="31"/>
      <c r="Q33" s="4"/>
      <c r="R33" s="4"/>
      <c r="S33" s="4"/>
      <c r="T33" s="4"/>
      <c r="U33" s="4"/>
      <c r="V33" s="4"/>
      <c r="W33" s="4"/>
      <c r="X33" s="4"/>
      <c r="Y33" s="4"/>
    </row>
    <row r="34">
      <c r="A34" s="5" t="s">
        <v>1539</v>
      </c>
      <c r="B34" s="6">
        <v>1084.0</v>
      </c>
      <c r="C34" s="7" t="b">
        <v>1</v>
      </c>
      <c r="D34" s="8" t="str">
        <f>IFERROR(__xludf.DUMMYFUNCTION("GOOGLETRANSLATE(A34,""ar"", ""en"")"),"WALNUT Regular Bar Stool")</f>
        <v>WALNUT Regular Bar Stool</v>
      </c>
      <c r="E34" s="33" t="s">
        <v>1540</v>
      </c>
      <c r="F34" s="9" t="s">
        <v>18</v>
      </c>
      <c r="G34" s="9" t="s">
        <v>18</v>
      </c>
      <c r="H34" s="16" t="s">
        <v>47</v>
      </c>
      <c r="I34" s="92"/>
      <c r="J34" s="29"/>
      <c r="K34" s="11" t="s">
        <v>1541</v>
      </c>
      <c r="L34" s="8"/>
      <c r="M34" s="12">
        <v>294.0</v>
      </c>
      <c r="N34" s="8"/>
      <c r="O34" s="8"/>
      <c r="P34" s="29"/>
      <c r="Q34" s="4"/>
      <c r="R34" s="4"/>
      <c r="S34" s="4"/>
      <c r="T34" s="4"/>
      <c r="U34" s="4"/>
      <c r="V34" s="4"/>
      <c r="W34" s="4"/>
      <c r="X34" s="4"/>
      <c r="Y34" s="4"/>
    </row>
    <row r="35">
      <c r="A35" s="102" t="s">
        <v>1542</v>
      </c>
      <c r="B35" s="6">
        <v>1085.0</v>
      </c>
      <c r="C35" s="7" t="b">
        <v>1</v>
      </c>
      <c r="D35" s="8" t="str">
        <f>IFERROR(__xludf.DUMMYFUNCTION("GOOGLETRANSLATE(A35,""ar"", ""en"")"),"wooden chair without handle")</f>
        <v>wooden chair without handle</v>
      </c>
      <c r="E35" s="5" t="s">
        <v>1543</v>
      </c>
      <c r="F35" s="9" t="s">
        <v>18</v>
      </c>
      <c r="G35" s="9" t="s">
        <v>18</v>
      </c>
      <c r="H35" s="16" t="s">
        <v>1484</v>
      </c>
      <c r="I35" s="97" t="s">
        <v>1544</v>
      </c>
      <c r="J35" s="10">
        <v>21.75</v>
      </c>
      <c r="K35" s="11" t="s">
        <v>1545</v>
      </c>
      <c r="L35" s="8"/>
      <c r="M35" s="12">
        <v>1.0</v>
      </c>
      <c r="N35" s="8"/>
      <c r="O35" s="8"/>
      <c r="P35" s="10">
        <v>21.75</v>
      </c>
      <c r="Q35" s="4"/>
      <c r="R35" s="4"/>
      <c r="S35" s="4"/>
      <c r="T35" s="4"/>
      <c r="U35" s="4"/>
      <c r="V35" s="4"/>
      <c r="W35" s="4"/>
      <c r="X35" s="4"/>
      <c r="Y35" s="4"/>
    </row>
    <row r="36">
      <c r="A36" s="13" t="s">
        <v>37</v>
      </c>
      <c r="B36" s="6">
        <v>1095.0</v>
      </c>
      <c r="C36" s="7" t="b">
        <v>1</v>
      </c>
      <c r="D36" s="8" t="str">
        <f>IFERROR(__xludf.DUMMYFUNCTION("GOOGLETRANSLATE(A36,""ar"", ""en"")"),"dining chair")</f>
        <v>dining chair</v>
      </c>
      <c r="E36" s="13" t="s">
        <v>1546</v>
      </c>
      <c r="F36" s="9" t="s">
        <v>18</v>
      </c>
      <c r="G36" s="9" t="s">
        <v>18</v>
      </c>
      <c r="H36" s="16" t="s">
        <v>1484</v>
      </c>
      <c r="I36" s="92"/>
      <c r="J36" s="14">
        <v>385.9</v>
      </c>
      <c r="K36" s="11" t="s">
        <v>40</v>
      </c>
      <c r="L36" s="8"/>
      <c r="M36" s="15">
        <v>28.0</v>
      </c>
      <c r="N36" s="8"/>
      <c r="O36" s="8"/>
      <c r="P36" s="14">
        <v>13.78</v>
      </c>
      <c r="Q36" s="4"/>
      <c r="R36" s="4"/>
      <c r="S36" s="4"/>
      <c r="T36" s="4"/>
      <c r="U36" s="4"/>
      <c r="V36" s="4"/>
      <c r="W36" s="4"/>
      <c r="X36" s="4"/>
      <c r="Y36" s="4"/>
    </row>
    <row r="37">
      <c r="A37" s="5" t="s">
        <v>1547</v>
      </c>
      <c r="B37" s="6">
        <v>1097.0</v>
      </c>
      <c r="C37" s="7" t="b">
        <v>1</v>
      </c>
      <c r="D37" s="8" t="str">
        <f>IFERROR(__xludf.DUMMYFUNCTION("GOOGLETRANSLATE(A37,""ar"", ""en"")"),"wooden rocking chair")</f>
        <v>wooden rocking chair</v>
      </c>
      <c r="E37" s="5" t="s">
        <v>1548</v>
      </c>
      <c r="F37" s="9" t="s">
        <v>18</v>
      </c>
      <c r="G37" s="9" t="s">
        <v>18</v>
      </c>
      <c r="H37" s="16" t="s">
        <v>1549</v>
      </c>
      <c r="I37" s="92"/>
      <c r="J37" s="10">
        <v>348.37</v>
      </c>
      <c r="K37" s="11" t="s">
        <v>1550</v>
      </c>
      <c r="L37" s="8"/>
      <c r="M37" s="12">
        <v>7.0</v>
      </c>
      <c r="N37" s="8"/>
      <c r="O37" s="8"/>
      <c r="P37" s="10">
        <v>49.77</v>
      </c>
      <c r="Q37" s="4"/>
      <c r="R37" s="4"/>
      <c r="S37" s="4"/>
      <c r="T37" s="4"/>
      <c r="U37" s="4"/>
      <c r="V37" s="4"/>
      <c r="W37" s="4"/>
      <c r="X37" s="4"/>
      <c r="Y37" s="4"/>
    </row>
    <row r="38">
      <c r="A38" s="13" t="s">
        <v>1551</v>
      </c>
      <c r="B38" s="6">
        <v>1109.0</v>
      </c>
      <c r="C38" s="7" t="b">
        <v>1</v>
      </c>
      <c r="D38" s="8" t="str">
        <f>IFERROR(__xludf.DUMMYFUNCTION("GOOGLETRANSLATE(A38,""ar"", ""en"")"),"Dining table set + 4 chairs")</f>
        <v>Dining table set + 4 chairs</v>
      </c>
      <c r="E38" s="13" t="s">
        <v>1552</v>
      </c>
      <c r="F38" s="9" t="s">
        <v>18</v>
      </c>
      <c r="G38" s="9" t="s">
        <v>18</v>
      </c>
      <c r="H38" s="16" t="s">
        <v>1217</v>
      </c>
      <c r="I38" s="92"/>
      <c r="J38" s="14">
        <v>2489.12</v>
      </c>
      <c r="K38" s="11" t="s">
        <v>1553</v>
      </c>
      <c r="L38" s="8"/>
      <c r="M38" s="15">
        <v>41.0</v>
      </c>
      <c r="N38" s="8"/>
      <c r="O38" s="8"/>
      <c r="P38" s="14">
        <v>60.71</v>
      </c>
      <c r="Q38" s="4"/>
      <c r="R38" s="4"/>
      <c r="S38" s="4"/>
      <c r="T38" s="4"/>
      <c r="U38" s="4"/>
      <c r="V38" s="4"/>
      <c r="W38" s="4"/>
      <c r="X38" s="4"/>
      <c r="Y38" s="4"/>
    </row>
    <row r="39">
      <c r="A39" s="5" t="s">
        <v>1554</v>
      </c>
      <c r="B39" s="6">
        <v>1135.0</v>
      </c>
      <c r="C39" s="7" t="b">
        <v>1</v>
      </c>
      <c r="D39" s="8" t="str">
        <f>IFERROR(__xludf.DUMMYFUNCTION("GOOGLETRANSLATE(A39,""ar"", ""en"")"),"heavy dining chair")</f>
        <v>heavy dining chair</v>
      </c>
      <c r="E39" s="5" t="s">
        <v>1555</v>
      </c>
      <c r="F39" s="9" t="s">
        <v>18</v>
      </c>
      <c r="G39" s="9" t="s">
        <v>18</v>
      </c>
      <c r="H39" s="16" t="s">
        <v>1484</v>
      </c>
      <c r="I39" s="92"/>
      <c r="J39" s="10">
        <v>204.8</v>
      </c>
      <c r="K39" s="11" t="s">
        <v>1556</v>
      </c>
      <c r="L39" s="8"/>
      <c r="M39" s="12">
        <v>8.0</v>
      </c>
      <c r="N39" s="8"/>
      <c r="O39" s="8"/>
      <c r="P39" s="10">
        <v>25.6</v>
      </c>
      <c r="Q39" s="4"/>
      <c r="R39" s="4"/>
      <c r="S39" s="4"/>
      <c r="T39" s="4"/>
      <c r="U39" s="4"/>
      <c r="V39" s="4"/>
      <c r="W39" s="4"/>
      <c r="X39" s="4"/>
      <c r="Y39" s="4"/>
    </row>
    <row r="40">
      <c r="A40" s="13" t="s">
        <v>1554</v>
      </c>
      <c r="B40" s="6">
        <v>1136.0</v>
      </c>
      <c r="C40" s="7" t="b">
        <v>1</v>
      </c>
      <c r="D40" s="8" t="str">
        <f>IFERROR(__xludf.DUMMYFUNCTION("GOOGLETRANSLATE(A40,""ar"", ""en"")"),"heavy dining chair")</f>
        <v>heavy dining chair</v>
      </c>
      <c r="E40" s="13" t="s">
        <v>1557</v>
      </c>
      <c r="F40" s="9" t="s">
        <v>18</v>
      </c>
      <c r="G40" s="9" t="s">
        <v>18</v>
      </c>
      <c r="H40" s="16" t="s">
        <v>1484</v>
      </c>
      <c r="I40" s="92"/>
      <c r="J40" s="14">
        <v>3513.29</v>
      </c>
      <c r="K40" s="11" t="s">
        <v>1556</v>
      </c>
      <c r="L40" s="8"/>
      <c r="M40" s="15">
        <v>172.0</v>
      </c>
      <c r="N40" s="8"/>
      <c r="O40" s="8"/>
      <c r="P40" s="14">
        <v>20.43</v>
      </c>
      <c r="Q40" s="4"/>
      <c r="R40" s="4"/>
      <c r="S40" s="4"/>
      <c r="T40" s="4"/>
      <c r="U40" s="4"/>
      <c r="V40" s="4"/>
      <c r="W40" s="4"/>
      <c r="X40" s="4"/>
      <c r="Y40" s="4"/>
    </row>
    <row r="41">
      <c r="A41" s="5" t="s">
        <v>1554</v>
      </c>
      <c r="B41" s="6">
        <v>1137.0</v>
      </c>
      <c r="C41" s="7" t="b">
        <v>1</v>
      </c>
      <c r="D41" s="8" t="str">
        <f>IFERROR(__xludf.DUMMYFUNCTION("GOOGLETRANSLATE(A41,""ar"", ""en"")"),"heavy dining chair")</f>
        <v>heavy dining chair</v>
      </c>
      <c r="E41" s="5" t="s">
        <v>1558</v>
      </c>
      <c r="F41" s="9" t="s">
        <v>18</v>
      </c>
      <c r="G41" s="9" t="s">
        <v>18</v>
      </c>
      <c r="H41" s="16" t="s">
        <v>1484</v>
      </c>
      <c r="I41" s="92"/>
      <c r="J41" s="10">
        <v>1247.17</v>
      </c>
      <c r="K41" s="11" t="s">
        <v>1556</v>
      </c>
      <c r="L41" s="8"/>
      <c r="M41" s="12">
        <v>76.0</v>
      </c>
      <c r="N41" s="8"/>
      <c r="O41" s="8"/>
      <c r="P41" s="10">
        <v>16.41</v>
      </c>
      <c r="Q41" s="4"/>
      <c r="R41" s="4"/>
      <c r="S41" s="4"/>
      <c r="T41" s="4"/>
      <c r="U41" s="4"/>
      <c r="V41" s="4"/>
      <c r="W41" s="4"/>
      <c r="X41" s="4"/>
      <c r="Y41" s="4"/>
    </row>
    <row r="42">
      <c r="A42" s="5" t="s">
        <v>1559</v>
      </c>
      <c r="B42" s="6">
        <v>1139.0</v>
      </c>
      <c r="C42" s="7" t="b">
        <v>1</v>
      </c>
      <c r="D42" s="8" t="str">
        <f>IFERROR(__xludf.DUMMYFUNCTION("GOOGLETRANSLATE(A42,""ar"", ""en"")"),"heavy wooden dining chair")</f>
        <v>heavy wooden dining chair</v>
      </c>
      <c r="E42" s="5" t="s">
        <v>1560</v>
      </c>
      <c r="F42" s="9" t="s">
        <v>18</v>
      </c>
      <c r="G42" s="9" t="s">
        <v>18</v>
      </c>
      <c r="H42" s="16" t="s">
        <v>1484</v>
      </c>
      <c r="I42" s="92"/>
      <c r="J42" s="10">
        <v>1117.2</v>
      </c>
      <c r="K42" s="11" t="s">
        <v>1561</v>
      </c>
      <c r="L42" s="8"/>
      <c r="M42" s="12">
        <v>46.0</v>
      </c>
      <c r="N42" s="8"/>
      <c r="O42" s="8"/>
      <c r="P42" s="10">
        <v>24.29</v>
      </c>
      <c r="Q42" s="4"/>
      <c r="R42" s="4"/>
      <c r="S42" s="4"/>
      <c r="T42" s="4"/>
      <c r="U42" s="4"/>
      <c r="V42" s="4"/>
      <c r="W42" s="4"/>
      <c r="X42" s="4"/>
      <c r="Y42" s="4"/>
    </row>
    <row r="43">
      <c r="A43" s="5" t="s">
        <v>49</v>
      </c>
      <c r="B43" s="6">
        <v>1155.0</v>
      </c>
      <c r="C43" s="7" t="b">
        <v>1</v>
      </c>
      <c r="D43" s="8" t="str">
        <f>IFERROR(__xludf.DUMMYFUNCTION("GOOGLETRANSLATE(A43,""ar"", ""en"")"),"bar chair")</f>
        <v>bar chair</v>
      </c>
      <c r="E43" s="5" t="s">
        <v>1562</v>
      </c>
      <c r="F43" s="9" t="s">
        <v>28</v>
      </c>
      <c r="G43" s="9" t="s">
        <v>28</v>
      </c>
      <c r="H43" s="16" t="s">
        <v>47</v>
      </c>
      <c r="I43" s="92"/>
      <c r="J43" s="10">
        <v>706.21</v>
      </c>
      <c r="K43" s="11" t="s">
        <v>51</v>
      </c>
      <c r="L43" s="8"/>
      <c r="M43" s="12">
        <v>26.0</v>
      </c>
      <c r="N43" s="8"/>
      <c r="O43" s="8"/>
      <c r="P43" s="10">
        <v>27.16</v>
      </c>
      <c r="Q43" s="4"/>
      <c r="R43" s="4"/>
      <c r="S43" s="4"/>
      <c r="T43" s="4"/>
      <c r="U43" s="4"/>
      <c r="V43" s="4"/>
      <c r="W43" s="4"/>
      <c r="X43" s="4"/>
      <c r="Y43" s="4"/>
    </row>
    <row r="44">
      <c r="A44" s="13" t="s">
        <v>49</v>
      </c>
      <c r="B44" s="6">
        <v>1156.0</v>
      </c>
      <c r="C44" s="7" t="b">
        <v>1</v>
      </c>
      <c r="D44" s="8" t="str">
        <f>IFERROR(__xludf.DUMMYFUNCTION("GOOGLETRANSLATE(A44,""ar"", ""en"")"),"bar chair")</f>
        <v>bar chair</v>
      </c>
      <c r="E44" s="13" t="s">
        <v>1563</v>
      </c>
      <c r="F44" s="9" t="s">
        <v>28</v>
      </c>
      <c r="G44" s="9" t="s">
        <v>28</v>
      </c>
      <c r="H44" s="16" t="s">
        <v>47</v>
      </c>
      <c r="I44" s="92"/>
      <c r="J44" s="14">
        <v>303.45</v>
      </c>
      <c r="K44" s="11" t="s">
        <v>51</v>
      </c>
      <c r="L44" s="8"/>
      <c r="M44" s="15">
        <v>11.0</v>
      </c>
      <c r="N44" s="8"/>
      <c r="O44" s="8"/>
      <c r="P44" s="14">
        <v>27.59</v>
      </c>
      <c r="Q44" s="4"/>
      <c r="R44" s="4"/>
      <c r="S44" s="4"/>
      <c r="T44" s="4"/>
      <c r="U44" s="4"/>
      <c r="V44" s="4"/>
      <c r="W44" s="4"/>
      <c r="X44" s="4"/>
      <c r="Y44" s="4"/>
    </row>
    <row r="45">
      <c r="A45" s="5" t="s">
        <v>49</v>
      </c>
      <c r="B45" s="6">
        <v>1157.0</v>
      </c>
      <c r="C45" s="7" t="b">
        <v>1</v>
      </c>
      <c r="D45" s="8" t="str">
        <f>IFERROR(__xludf.DUMMYFUNCTION("GOOGLETRANSLATE(A45,""ar"", ""en"")"),"bar chair")</f>
        <v>bar chair</v>
      </c>
      <c r="E45" s="5" t="s">
        <v>1564</v>
      </c>
      <c r="F45" s="9" t="s">
        <v>28</v>
      </c>
      <c r="G45" s="9" t="s">
        <v>28</v>
      </c>
      <c r="H45" s="16" t="s">
        <v>47</v>
      </c>
      <c r="I45" s="92"/>
      <c r="J45" s="10">
        <v>272.57</v>
      </c>
      <c r="K45" s="11" t="s">
        <v>51</v>
      </c>
      <c r="L45" s="8"/>
      <c r="M45" s="12">
        <v>12.0</v>
      </c>
      <c r="N45" s="8"/>
      <c r="O45" s="8"/>
      <c r="P45" s="10">
        <v>22.71</v>
      </c>
      <c r="Q45" s="4"/>
      <c r="R45" s="4"/>
      <c r="S45" s="4"/>
      <c r="T45" s="4"/>
      <c r="U45" s="4"/>
      <c r="V45" s="4"/>
      <c r="W45" s="4"/>
      <c r="X45" s="4"/>
      <c r="Y45" s="4"/>
    </row>
    <row r="46">
      <c r="A46" s="5" t="s">
        <v>1565</v>
      </c>
      <c r="B46" s="6">
        <v>1161.0</v>
      </c>
      <c r="C46" s="7" t="b">
        <v>1</v>
      </c>
      <c r="D46" s="8" t="str">
        <f>IFERROR(__xludf.DUMMYFUNCTION("GOOGLETRANSLATE(A46,""ar"", ""en"")"),"oval mirror")</f>
        <v>oval mirror</v>
      </c>
      <c r="E46" s="5" t="s">
        <v>1566</v>
      </c>
      <c r="F46" s="9" t="s">
        <v>18</v>
      </c>
      <c r="G46" s="9" t="s">
        <v>18</v>
      </c>
      <c r="H46" s="16" t="s">
        <v>1549</v>
      </c>
      <c r="I46" s="92"/>
      <c r="J46" s="10">
        <v>686.95</v>
      </c>
      <c r="K46" s="11" t="s">
        <v>1567</v>
      </c>
      <c r="L46" s="8"/>
      <c r="M46" s="12">
        <v>53.0</v>
      </c>
      <c r="N46" s="8"/>
      <c r="O46" s="8"/>
      <c r="P46" s="10">
        <v>12.96</v>
      </c>
      <c r="Q46" s="4"/>
      <c r="R46" s="4"/>
      <c r="S46" s="4"/>
      <c r="T46" s="4"/>
      <c r="U46" s="4"/>
      <c r="V46" s="4"/>
      <c r="W46" s="4"/>
      <c r="X46" s="4"/>
      <c r="Y46" s="4"/>
    </row>
    <row r="47">
      <c r="A47" s="5" t="s">
        <v>1568</v>
      </c>
      <c r="B47" s="6">
        <v>1163.0</v>
      </c>
      <c r="C47" s="7" t="b">
        <v>1</v>
      </c>
      <c r="D47" s="8" t="str">
        <f>IFERROR(__xludf.DUMMYFUNCTION("GOOGLETRANSLATE(A47,""ar"", ""en"")"),"Jacket holder")</f>
        <v>Jacket holder</v>
      </c>
      <c r="E47" s="5" t="s">
        <v>1569</v>
      </c>
      <c r="F47" s="9" t="s">
        <v>18</v>
      </c>
      <c r="G47" s="9" t="s">
        <v>18</v>
      </c>
      <c r="H47" s="16" t="s">
        <v>1549</v>
      </c>
      <c r="I47" s="92"/>
      <c r="J47" s="10">
        <v>892.6</v>
      </c>
      <c r="K47" s="11" t="s">
        <v>1570</v>
      </c>
      <c r="L47" s="8"/>
      <c r="M47" s="12">
        <v>73.0</v>
      </c>
      <c r="N47" s="8"/>
      <c r="O47" s="8"/>
      <c r="P47" s="10">
        <v>12.23</v>
      </c>
      <c r="Q47" s="4"/>
      <c r="R47" s="4"/>
      <c r="S47" s="4"/>
      <c r="T47" s="4"/>
      <c r="U47" s="4"/>
      <c r="V47" s="4"/>
      <c r="W47" s="4"/>
      <c r="X47" s="4"/>
      <c r="Y47" s="4"/>
    </row>
    <row r="48">
      <c r="A48" s="13" t="s">
        <v>170</v>
      </c>
      <c r="B48" s="6">
        <v>1168.0</v>
      </c>
      <c r="C48" s="7" t="b">
        <v>1</v>
      </c>
      <c r="D48" s="8" t="str">
        <f>IFERROR(__xludf.DUMMYFUNCTION("GOOGLETRANSLATE(A48,""ar"", ""en"")"),"Plastic chair with wood without handle")</f>
        <v>Plastic chair with wood without handle</v>
      </c>
      <c r="E48" s="13" t="s">
        <v>1571</v>
      </c>
      <c r="F48" s="9" t="s">
        <v>28</v>
      </c>
      <c r="G48" s="9" t="s">
        <v>28</v>
      </c>
      <c r="H48" s="16" t="s">
        <v>43</v>
      </c>
      <c r="I48" s="101" t="s">
        <v>1572</v>
      </c>
      <c r="J48" s="14">
        <v>397.24</v>
      </c>
      <c r="K48" s="11" t="s">
        <v>173</v>
      </c>
      <c r="L48" s="8"/>
      <c r="M48" s="15">
        <v>31.0</v>
      </c>
      <c r="N48" s="8"/>
      <c r="O48" s="8"/>
      <c r="P48" s="14">
        <v>12.81</v>
      </c>
      <c r="Q48" s="4"/>
      <c r="R48" s="4"/>
      <c r="S48" s="4"/>
      <c r="T48" s="4"/>
      <c r="U48" s="4"/>
      <c r="V48" s="4"/>
      <c r="W48" s="4"/>
      <c r="X48" s="4"/>
      <c r="Y48" s="4"/>
    </row>
    <row r="49">
      <c r="A49" s="5" t="s">
        <v>1573</v>
      </c>
      <c r="B49" s="6">
        <v>1169.0</v>
      </c>
      <c r="C49" s="7" t="b">
        <v>1</v>
      </c>
      <c r="D49" s="8" t="str">
        <f>IFERROR(__xludf.DUMMYFUNCTION("GOOGLETRANSLATE(A49,""ar"", ""en"")"),"Plastic chair with wood and handle")</f>
        <v>Plastic chair with wood and handle</v>
      </c>
      <c r="E49" s="5" t="s">
        <v>1574</v>
      </c>
      <c r="F49" s="9" t="s">
        <v>28</v>
      </c>
      <c r="G49" s="9" t="s">
        <v>28</v>
      </c>
      <c r="H49" s="16" t="s">
        <v>43</v>
      </c>
      <c r="I49" s="101" t="s">
        <v>1575</v>
      </c>
      <c r="J49" s="10">
        <v>2595.97</v>
      </c>
      <c r="K49" s="11" t="s">
        <v>1576</v>
      </c>
      <c r="L49" s="8"/>
      <c r="M49" s="12">
        <v>143.0</v>
      </c>
      <c r="N49" s="8"/>
      <c r="O49" s="8"/>
      <c r="P49" s="10">
        <v>18.15</v>
      </c>
      <c r="Q49" s="4"/>
      <c r="R49" s="4"/>
      <c r="S49" s="4"/>
      <c r="T49" s="4"/>
      <c r="U49" s="4"/>
      <c r="V49" s="4"/>
      <c r="W49" s="4"/>
      <c r="X49" s="4"/>
      <c r="Y49" s="4"/>
    </row>
    <row r="50">
      <c r="A50" s="13" t="s">
        <v>1577</v>
      </c>
      <c r="B50" s="6">
        <v>1170.0</v>
      </c>
      <c r="C50" s="7" t="b">
        <v>1</v>
      </c>
      <c r="D50" s="8" t="str">
        <f>IFERROR(__xludf.DUMMYFUNCTION("GOOGLETRANSLATE(A50,""ar"", ""en"")"),"Plastic chair with stainless steel")</f>
        <v>Plastic chair with stainless steel</v>
      </c>
      <c r="E50" s="13" t="s">
        <v>1578</v>
      </c>
      <c r="F50" s="9" t="s">
        <v>28</v>
      </c>
      <c r="G50" s="9" t="s">
        <v>28</v>
      </c>
      <c r="H50" s="16" t="s">
        <v>43</v>
      </c>
      <c r="I50" s="92"/>
      <c r="J50" s="14">
        <v>2976.3</v>
      </c>
      <c r="K50" s="11" t="s">
        <v>1579</v>
      </c>
      <c r="L50" s="8"/>
      <c r="M50" s="15">
        <v>126.0</v>
      </c>
      <c r="N50" s="8"/>
      <c r="O50" s="8"/>
      <c r="P50" s="14">
        <v>23.62</v>
      </c>
      <c r="Q50" s="4"/>
      <c r="R50" s="4"/>
      <c r="S50" s="4"/>
      <c r="T50" s="4"/>
      <c r="U50" s="4"/>
      <c r="V50" s="4"/>
      <c r="W50" s="4"/>
      <c r="X50" s="4"/>
      <c r="Y50" s="4"/>
    </row>
    <row r="51">
      <c r="A51" s="5" t="s">
        <v>1580</v>
      </c>
      <c r="B51" s="6">
        <v>1171.0</v>
      </c>
      <c r="C51" s="7" t="b">
        <v>1</v>
      </c>
      <c r="D51" s="8" t="str">
        <f>IFERROR(__xludf.DUMMYFUNCTION("GOOGLETRANSLATE(A51,""ar"", ""en"")"),"plastic chair with handle")</f>
        <v>plastic chair with handle</v>
      </c>
      <c r="E51" s="5" t="s">
        <v>1581</v>
      </c>
      <c r="F51" s="9" t="s">
        <v>28</v>
      </c>
      <c r="G51" s="9" t="s">
        <v>28</v>
      </c>
      <c r="H51" s="16" t="s">
        <v>43</v>
      </c>
      <c r="I51" s="92"/>
      <c r="J51" s="10">
        <v>348.87</v>
      </c>
      <c r="K51" s="11" t="s">
        <v>1582</v>
      </c>
      <c r="L51" s="8"/>
      <c r="M51" s="12">
        <v>16.0</v>
      </c>
      <c r="N51" s="8"/>
      <c r="O51" s="8"/>
      <c r="P51" s="10">
        <v>21.8</v>
      </c>
      <c r="Q51" s="4"/>
      <c r="R51" s="4"/>
      <c r="S51" s="4"/>
      <c r="T51" s="4"/>
      <c r="U51" s="4"/>
      <c r="V51" s="4"/>
      <c r="W51" s="4"/>
      <c r="X51" s="4"/>
      <c r="Y51" s="4"/>
    </row>
    <row r="52">
      <c r="A52" s="5" t="s">
        <v>1583</v>
      </c>
      <c r="B52" s="6">
        <v>1172.0</v>
      </c>
      <c r="C52" s="7" t="b">
        <v>1</v>
      </c>
      <c r="D52" s="8" t="str">
        <f>IFERROR(__xludf.DUMMYFUNCTION("GOOGLETRANSLATE(A52,""ar"", ""en"")"),"bar table")</f>
        <v>bar table</v>
      </c>
      <c r="E52" s="5" t="s">
        <v>1584</v>
      </c>
      <c r="F52" s="9" t="s">
        <v>27</v>
      </c>
      <c r="G52" s="9" t="s">
        <v>18</v>
      </c>
      <c r="H52" s="16" t="s">
        <v>62</v>
      </c>
      <c r="I52" s="92"/>
      <c r="J52" s="10">
        <v>1010.2</v>
      </c>
      <c r="K52" s="11" t="s">
        <v>1585</v>
      </c>
      <c r="L52" s="8"/>
      <c r="M52" s="12">
        <v>22.0</v>
      </c>
      <c r="N52" s="8"/>
      <c r="O52" s="8"/>
      <c r="P52" s="10">
        <v>45.92</v>
      </c>
      <c r="Q52" s="4"/>
      <c r="R52" s="4"/>
      <c r="S52" s="4"/>
      <c r="T52" s="4"/>
      <c r="U52" s="4"/>
      <c r="V52" s="4"/>
      <c r="W52" s="4"/>
      <c r="X52" s="4"/>
      <c r="Y52" s="4"/>
    </row>
    <row r="53">
      <c r="A53" s="5" t="s">
        <v>170</v>
      </c>
      <c r="B53" s="6">
        <v>1174.0</v>
      </c>
      <c r="C53" s="7" t="b">
        <v>1</v>
      </c>
      <c r="D53" s="8" t="str">
        <f>IFERROR(__xludf.DUMMYFUNCTION("GOOGLETRANSLATE(A53,""ar"", ""en"")"),"Plastic chair with wood without handle")</f>
        <v>Plastic chair with wood without handle</v>
      </c>
      <c r="E53" s="5" t="s">
        <v>1586</v>
      </c>
      <c r="F53" s="9" t="s">
        <v>18</v>
      </c>
      <c r="G53" s="9" t="s">
        <v>28</v>
      </c>
      <c r="H53" s="16" t="s">
        <v>43</v>
      </c>
      <c r="I53" s="97" t="s">
        <v>1587</v>
      </c>
      <c r="J53" s="10">
        <v>311.67</v>
      </c>
      <c r="K53" s="11" t="s">
        <v>173</v>
      </c>
      <c r="L53" s="8"/>
      <c r="M53" s="12">
        <v>28.0</v>
      </c>
      <c r="N53" s="8"/>
      <c r="O53" s="8"/>
      <c r="P53" s="10">
        <v>11.13</v>
      </c>
      <c r="Q53" s="4"/>
      <c r="R53" s="4"/>
      <c r="S53" s="4"/>
      <c r="T53" s="4"/>
      <c r="U53" s="4"/>
      <c r="V53" s="4"/>
      <c r="W53" s="4"/>
      <c r="X53" s="4"/>
      <c r="Y53" s="4"/>
    </row>
    <row r="54">
      <c r="A54" s="5" t="s">
        <v>174</v>
      </c>
      <c r="B54" s="6">
        <v>1177.0</v>
      </c>
      <c r="C54" s="7" t="b">
        <v>1</v>
      </c>
      <c r="D54" s="8" t="str">
        <f>IFERROR(__xludf.DUMMYFUNCTION("GOOGLETRANSLATE(A54,""ar"", ""en"")"),"plastic chair")</f>
        <v>plastic chair</v>
      </c>
      <c r="E54" s="5" t="s">
        <v>1588</v>
      </c>
      <c r="F54" s="9" t="s">
        <v>27</v>
      </c>
      <c r="G54" s="9" t="s">
        <v>28</v>
      </c>
      <c r="H54" s="16" t="s">
        <v>43</v>
      </c>
      <c r="I54" s="101" t="s">
        <v>1589</v>
      </c>
      <c r="J54" s="10">
        <v>1479.23</v>
      </c>
      <c r="K54" s="11" t="s">
        <v>176</v>
      </c>
      <c r="L54" s="8"/>
      <c r="M54" s="12">
        <v>134.0</v>
      </c>
      <c r="N54" s="8"/>
      <c r="O54" s="8"/>
      <c r="P54" s="10">
        <v>11.04</v>
      </c>
      <c r="Q54" s="4"/>
      <c r="R54" s="4"/>
      <c r="S54" s="4"/>
      <c r="T54" s="4"/>
      <c r="U54" s="4"/>
      <c r="V54" s="4"/>
      <c r="W54" s="4"/>
      <c r="X54" s="4"/>
      <c r="Y54" s="4"/>
    </row>
    <row r="55">
      <c r="A55" s="13" t="s">
        <v>174</v>
      </c>
      <c r="B55" s="6">
        <v>1178.0</v>
      </c>
      <c r="C55" s="7" t="b">
        <v>1</v>
      </c>
      <c r="D55" s="8" t="str">
        <f>IFERROR(__xludf.DUMMYFUNCTION("GOOGLETRANSLATE(A55,""ar"", ""en"")"),"plastic chair")</f>
        <v>plastic chair</v>
      </c>
      <c r="E55" s="13" t="s">
        <v>1590</v>
      </c>
      <c r="F55" s="9" t="s">
        <v>27</v>
      </c>
      <c r="G55" s="9" t="s">
        <v>28</v>
      </c>
      <c r="H55" s="16" t="s">
        <v>43</v>
      </c>
      <c r="I55" s="101" t="s">
        <v>1591</v>
      </c>
      <c r="J55" s="14">
        <v>417.17</v>
      </c>
      <c r="K55" s="11" t="s">
        <v>176</v>
      </c>
      <c r="L55" s="8"/>
      <c r="M55" s="15">
        <v>32.0</v>
      </c>
      <c r="N55" s="8"/>
      <c r="O55" s="8"/>
      <c r="P55" s="14">
        <v>13.04</v>
      </c>
      <c r="Q55" s="4"/>
      <c r="R55" s="4"/>
      <c r="S55" s="4"/>
      <c r="T55" s="4"/>
      <c r="U55" s="4"/>
      <c r="V55" s="4"/>
      <c r="W55" s="4"/>
      <c r="X55" s="4"/>
      <c r="Y55" s="4"/>
    </row>
    <row r="56">
      <c r="A56" s="5" t="s">
        <v>1592</v>
      </c>
      <c r="B56" s="6">
        <v>1179.0</v>
      </c>
      <c r="C56" s="7" t="b">
        <v>1</v>
      </c>
      <c r="D56" s="8" t="str">
        <f>IFERROR(__xludf.DUMMYFUNCTION("GOOGLETRANSLATE(A56,""ar"", ""en"")"),"Plastic chair - restaurant chair")</f>
        <v>Plastic chair - restaurant chair</v>
      </c>
      <c r="E56" s="5" t="s">
        <v>1593</v>
      </c>
      <c r="F56" s="9" t="s">
        <v>27</v>
      </c>
      <c r="G56" s="9" t="s">
        <v>28</v>
      </c>
      <c r="H56" s="16" t="s">
        <v>43</v>
      </c>
      <c r="I56" s="92"/>
      <c r="J56" s="10">
        <v>83.9</v>
      </c>
      <c r="K56" s="11" t="s">
        <v>1594</v>
      </c>
      <c r="L56" s="8"/>
      <c r="M56" s="12">
        <v>6.0</v>
      </c>
      <c r="N56" s="8"/>
      <c r="O56" s="8"/>
      <c r="P56" s="10">
        <v>13.98</v>
      </c>
      <c r="Q56" s="4"/>
      <c r="R56" s="4"/>
      <c r="S56" s="4"/>
      <c r="T56" s="4"/>
      <c r="U56" s="4"/>
      <c r="V56" s="4"/>
      <c r="W56" s="4"/>
      <c r="X56" s="4"/>
      <c r="Y56" s="4"/>
    </row>
    <row r="57">
      <c r="A57" s="13" t="s">
        <v>1592</v>
      </c>
      <c r="B57" s="6">
        <v>1180.0</v>
      </c>
      <c r="C57" s="7" t="b">
        <v>1</v>
      </c>
      <c r="D57" s="8" t="str">
        <f>IFERROR(__xludf.DUMMYFUNCTION("GOOGLETRANSLATE(A57,""ar"", ""en"")"),"Plastic chair - restaurant chair")</f>
        <v>Plastic chair - restaurant chair</v>
      </c>
      <c r="E57" s="13" t="s">
        <v>1595</v>
      </c>
      <c r="F57" s="9" t="s">
        <v>27</v>
      </c>
      <c r="G57" s="9" t="s">
        <v>28</v>
      </c>
      <c r="H57" s="16" t="s">
        <v>43</v>
      </c>
      <c r="I57" s="92"/>
      <c r="J57" s="14">
        <v>419.48</v>
      </c>
      <c r="K57" s="11" t="s">
        <v>1594</v>
      </c>
      <c r="L57" s="8"/>
      <c r="M57" s="15">
        <v>30.0</v>
      </c>
      <c r="N57" s="8"/>
      <c r="O57" s="8"/>
      <c r="P57" s="14">
        <v>13.98</v>
      </c>
      <c r="Q57" s="4"/>
      <c r="R57" s="4"/>
      <c r="S57" s="4"/>
      <c r="T57" s="4"/>
      <c r="U57" s="4"/>
      <c r="V57" s="4"/>
      <c r="W57" s="4"/>
      <c r="X57" s="4"/>
      <c r="Y57" s="4"/>
    </row>
    <row r="58">
      <c r="A58" s="5" t="s">
        <v>1596</v>
      </c>
      <c r="B58" s="6">
        <v>1181.0</v>
      </c>
      <c r="C58" s="7" t="b">
        <v>1</v>
      </c>
      <c r="D58" s="8" t="str">
        <f>IFERROR(__xludf.DUMMYFUNCTION("GOOGLETRANSLATE(A58,""ar"", ""en"")"),"plastic mesh chair")</f>
        <v>plastic mesh chair</v>
      </c>
      <c r="E58" s="5" t="s">
        <v>1597</v>
      </c>
      <c r="F58" s="9" t="s">
        <v>27</v>
      </c>
      <c r="G58" s="9" t="s">
        <v>28</v>
      </c>
      <c r="H58" s="16" t="s">
        <v>43</v>
      </c>
      <c r="I58" s="101" t="s">
        <v>1598</v>
      </c>
      <c r="J58" s="10">
        <v>3367.64</v>
      </c>
      <c r="K58" s="11" t="s">
        <v>1599</v>
      </c>
      <c r="L58" s="8"/>
      <c r="M58" s="12">
        <v>208.0</v>
      </c>
      <c r="N58" s="8"/>
      <c r="O58" s="8"/>
      <c r="P58" s="10">
        <v>16.19</v>
      </c>
      <c r="Q58" s="4"/>
      <c r="R58" s="4"/>
      <c r="S58" s="4"/>
      <c r="T58" s="4"/>
      <c r="U58" s="4"/>
      <c r="V58" s="4"/>
      <c r="W58" s="4"/>
      <c r="X58" s="4"/>
      <c r="Y58" s="4"/>
    </row>
    <row r="59">
      <c r="A59" s="13" t="s">
        <v>1600</v>
      </c>
      <c r="B59" s="6">
        <v>1192.0</v>
      </c>
      <c r="C59" s="7" t="b">
        <v>1</v>
      </c>
      <c r="D59" s="8" t="str">
        <f>IFERROR(__xludf.DUMMYFUNCTION("GOOGLETRANSLATE(A59,""ar"", ""en"")"),"Black round capsule base 40 cm")</f>
        <v>Black round capsule base 40 cm</v>
      </c>
      <c r="E59" s="13" t="s">
        <v>1601</v>
      </c>
      <c r="F59" s="9" t="s">
        <v>27</v>
      </c>
      <c r="G59" s="9" t="s">
        <v>18</v>
      </c>
      <c r="H59" s="16" t="s">
        <v>186</v>
      </c>
      <c r="I59" s="101" t="s">
        <v>1602</v>
      </c>
      <c r="J59" s="31"/>
      <c r="K59" s="11" t="s">
        <v>1603</v>
      </c>
      <c r="L59" s="8"/>
      <c r="M59" s="15">
        <v>10.0</v>
      </c>
      <c r="N59" s="8"/>
      <c r="O59" s="8"/>
      <c r="P59" s="31"/>
      <c r="Q59" s="4"/>
      <c r="R59" s="4"/>
      <c r="S59" s="4"/>
      <c r="T59" s="4"/>
      <c r="U59" s="4"/>
      <c r="V59" s="4"/>
      <c r="W59" s="4"/>
      <c r="X59" s="4"/>
      <c r="Y59" s="4"/>
    </row>
    <row r="60">
      <c r="A60" s="5" t="s">
        <v>1604</v>
      </c>
      <c r="B60" s="6">
        <v>1193.0</v>
      </c>
      <c r="C60" s="7" t="b">
        <v>1</v>
      </c>
      <c r="D60" s="8" t="str">
        <f>IFERROR(__xludf.DUMMYFUNCTION("GOOGLETRANSLATE(A60,""ar"", ""en"")"),"40cm white round capsule base")</f>
        <v>40cm white round capsule base</v>
      </c>
      <c r="E60" s="33" t="s">
        <v>1605</v>
      </c>
      <c r="F60" s="9" t="s">
        <v>27</v>
      </c>
      <c r="G60" s="9" t="s">
        <v>18</v>
      </c>
      <c r="H60" s="16" t="s">
        <v>186</v>
      </c>
      <c r="I60" s="92"/>
      <c r="J60" s="29"/>
      <c r="K60" s="11" t="s">
        <v>1606</v>
      </c>
      <c r="L60" s="8"/>
      <c r="M60" s="12">
        <v>49.0</v>
      </c>
      <c r="N60" s="8"/>
      <c r="O60" s="8"/>
      <c r="P60" s="29"/>
      <c r="Q60" s="4"/>
      <c r="R60" s="4"/>
      <c r="S60" s="4"/>
      <c r="T60" s="4"/>
      <c r="U60" s="4"/>
      <c r="V60" s="4"/>
      <c r="W60" s="4"/>
      <c r="X60" s="4"/>
      <c r="Y60" s="4"/>
    </row>
    <row r="61">
      <c r="A61" s="5" t="s">
        <v>1607</v>
      </c>
      <c r="B61" s="6">
        <v>1195.0</v>
      </c>
      <c r="C61" s="7" t="b">
        <v>1</v>
      </c>
      <c r="D61" s="8" t="str">
        <f>IFERROR(__xludf.DUMMYFUNCTION("GOOGLETRANSLATE(A61,""ar"", ""en"")"),"45cm white round capsule base")</f>
        <v>45cm white round capsule base</v>
      </c>
      <c r="E61" s="33" t="s">
        <v>1608</v>
      </c>
      <c r="F61" s="9" t="s">
        <v>27</v>
      </c>
      <c r="G61" s="9" t="s">
        <v>18</v>
      </c>
      <c r="H61" s="16" t="s">
        <v>186</v>
      </c>
      <c r="I61" s="92"/>
      <c r="J61" s="29"/>
      <c r="K61" s="11" t="s">
        <v>1609</v>
      </c>
      <c r="L61" s="8"/>
      <c r="M61" s="12">
        <v>52.0</v>
      </c>
      <c r="N61" s="8"/>
      <c r="O61" s="8"/>
      <c r="P61" s="29"/>
      <c r="Q61" s="4"/>
      <c r="R61" s="4"/>
      <c r="S61" s="4"/>
      <c r="T61" s="4"/>
      <c r="U61" s="4"/>
      <c r="V61" s="4"/>
      <c r="W61" s="4"/>
      <c r="X61" s="4"/>
      <c r="Y61" s="4"/>
    </row>
    <row r="62">
      <c r="A62" s="5" t="s">
        <v>1610</v>
      </c>
      <c r="B62" s="6">
        <v>1197.0</v>
      </c>
      <c r="C62" s="7" t="b">
        <v>1</v>
      </c>
      <c r="D62" s="8" t="str">
        <f>IFERROR(__xludf.DUMMYFUNCTION("GOOGLETRANSLATE(A62,""ar"", ""en"")"),"45cm white square capsule base")</f>
        <v>45cm white square capsule base</v>
      </c>
      <c r="E62" s="33" t="s">
        <v>1611</v>
      </c>
      <c r="F62" s="9" t="s">
        <v>27</v>
      </c>
      <c r="G62" s="9" t="s">
        <v>18</v>
      </c>
      <c r="H62" s="16" t="s">
        <v>186</v>
      </c>
      <c r="I62" s="92"/>
      <c r="J62" s="29"/>
      <c r="K62" s="11" t="s">
        <v>1612</v>
      </c>
      <c r="L62" s="8"/>
      <c r="M62" s="12">
        <v>37.0</v>
      </c>
      <c r="N62" s="8"/>
      <c r="O62" s="8"/>
      <c r="P62" s="29"/>
      <c r="Q62" s="4"/>
      <c r="R62" s="4"/>
      <c r="S62" s="4"/>
      <c r="T62" s="4"/>
      <c r="U62" s="4"/>
      <c r="V62" s="4"/>
      <c r="W62" s="4"/>
      <c r="X62" s="4"/>
      <c r="Y62" s="4"/>
    </row>
    <row r="63">
      <c r="A63" s="5" t="s">
        <v>1613</v>
      </c>
      <c r="B63" s="6">
        <v>1199.0</v>
      </c>
      <c r="C63" s="7" t="b">
        <v>1</v>
      </c>
      <c r="D63" s="8" t="str">
        <f>IFERROR(__xludf.DUMMYFUNCTION("GOOGLETRANSLATE(A63,""ar"", ""en"")"),"40cm round stainless steel press base")</f>
        <v>40cm round stainless steel press base</v>
      </c>
      <c r="E63" s="5" t="s">
        <v>1614</v>
      </c>
      <c r="F63" s="9" t="s">
        <v>27</v>
      </c>
      <c r="G63" s="9" t="s">
        <v>18</v>
      </c>
      <c r="H63" s="16" t="s">
        <v>186</v>
      </c>
      <c r="I63" s="92"/>
      <c r="J63" s="29"/>
      <c r="K63" s="11" t="s">
        <v>1615</v>
      </c>
      <c r="L63" s="8"/>
      <c r="M63" s="12">
        <v>49.0</v>
      </c>
      <c r="N63" s="8"/>
      <c r="O63" s="8"/>
      <c r="P63" s="29"/>
      <c r="Q63" s="4"/>
      <c r="R63" s="4"/>
      <c r="S63" s="4"/>
      <c r="T63" s="4"/>
      <c r="U63" s="4"/>
      <c r="V63" s="4"/>
      <c r="W63" s="4"/>
      <c r="X63" s="4"/>
      <c r="Y63" s="4"/>
    </row>
    <row r="64">
      <c r="A64" s="13" t="s">
        <v>1616</v>
      </c>
      <c r="B64" s="6">
        <v>1200.0</v>
      </c>
      <c r="C64" s="7" t="b">
        <v>1</v>
      </c>
      <c r="D64" s="8" t="str">
        <f>IFERROR(__xludf.DUMMYFUNCTION("GOOGLETRANSLATE(A64,""ar"", ""en"")"),"45cm round stainless steel press base")</f>
        <v>45cm round stainless steel press base</v>
      </c>
      <c r="E64" s="13" t="s">
        <v>1617</v>
      </c>
      <c r="F64" s="9" t="s">
        <v>27</v>
      </c>
      <c r="G64" s="9" t="s">
        <v>18</v>
      </c>
      <c r="H64" s="16" t="s">
        <v>186</v>
      </c>
      <c r="I64" s="92"/>
      <c r="J64" s="31"/>
      <c r="K64" s="11" t="s">
        <v>1618</v>
      </c>
      <c r="L64" s="8"/>
      <c r="M64" s="15">
        <v>51.0</v>
      </c>
      <c r="N64" s="8"/>
      <c r="O64" s="8"/>
      <c r="P64" s="31"/>
      <c r="Q64" s="4"/>
      <c r="R64" s="4"/>
      <c r="S64" s="4"/>
      <c r="T64" s="4"/>
      <c r="U64" s="4"/>
      <c r="V64" s="4"/>
      <c r="W64" s="4"/>
      <c r="X64" s="4"/>
      <c r="Y64" s="4"/>
    </row>
    <row r="65">
      <c r="A65" s="5" t="s">
        <v>1619</v>
      </c>
      <c r="B65" s="6">
        <v>1201.0</v>
      </c>
      <c r="C65" s="7" t="b">
        <v>1</v>
      </c>
      <c r="D65" s="8" t="str">
        <f>IFERROR(__xludf.DUMMYFUNCTION("GOOGLETRANSLATE(A65,""ar"", ""en"")"),"40cm Stainless Steel Square Pressing Base")</f>
        <v>40cm Stainless Steel Square Pressing Base</v>
      </c>
      <c r="E65" s="5" t="s">
        <v>1620</v>
      </c>
      <c r="F65" s="9" t="s">
        <v>27</v>
      </c>
      <c r="G65" s="9" t="s">
        <v>18</v>
      </c>
      <c r="H65" s="16" t="s">
        <v>186</v>
      </c>
      <c r="I65" s="92"/>
      <c r="J65" s="29"/>
      <c r="K65" s="11" t="s">
        <v>1621</v>
      </c>
      <c r="L65" s="8"/>
      <c r="M65" s="12">
        <v>27.0</v>
      </c>
      <c r="N65" s="8"/>
      <c r="O65" s="8"/>
      <c r="P65" s="29"/>
      <c r="Q65" s="4"/>
      <c r="R65" s="4"/>
      <c r="S65" s="4"/>
      <c r="T65" s="4"/>
      <c r="U65" s="4"/>
      <c r="V65" s="4"/>
      <c r="W65" s="4"/>
      <c r="X65" s="4"/>
      <c r="Y65" s="4"/>
    </row>
    <row r="66">
      <c r="A66" s="5" t="s">
        <v>1622</v>
      </c>
      <c r="B66" s="6">
        <v>1203.0</v>
      </c>
      <c r="C66" s="7" t="b">
        <v>1</v>
      </c>
      <c r="D66" s="8" t="str">
        <f>IFERROR(__xludf.DUMMYFUNCTION("GOOGLETRANSLATE(A66,""ar"", ""en"")"),"45 cm round base, black and gold")</f>
        <v>45 cm round base, black and gold</v>
      </c>
      <c r="E66" s="5" t="s">
        <v>1623</v>
      </c>
      <c r="F66" s="9" t="s">
        <v>27</v>
      </c>
      <c r="G66" s="9" t="s">
        <v>18</v>
      </c>
      <c r="H66" s="16" t="s">
        <v>186</v>
      </c>
      <c r="I66" s="92"/>
      <c r="J66" s="29"/>
      <c r="K66" s="11" t="s">
        <v>1624</v>
      </c>
      <c r="L66" s="8"/>
      <c r="M66" s="12">
        <v>30.0</v>
      </c>
      <c r="N66" s="8"/>
      <c r="O66" s="8"/>
      <c r="P66" s="29"/>
      <c r="Q66" s="4"/>
      <c r="R66" s="4"/>
      <c r="S66" s="4"/>
      <c r="T66" s="4"/>
      <c r="U66" s="4"/>
      <c r="V66" s="4"/>
      <c r="W66" s="4"/>
      <c r="X66" s="4"/>
      <c r="Y66" s="4"/>
    </row>
    <row r="67">
      <c r="A67" s="13" t="s">
        <v>1625</v>
      </c>
      <c r="B67" s="6">
        <v>1204.0</v>
      </c>
      <c r="C67" s="7" t="b">
        <v>1</v>
      </c>
      <c r="D67" s="8" t="str">
        <f>IFERROR(__xludf.DUMMYFUNCTION("GOOGLETRANSLATE(A67,""ar"", ""en"")"),"40 cm square base")</f>
        <v>40 cm square base</v>
      </c>
      <c r="E67" s="13" t="s">
        <v>1626</v>
      </c>
      <c r="F67" s="9" t="s">
        <v>27</v>
      </c>
      <c r="G67" s="9" t="s">
        <v>18</v>
      </c>
      <c r="H67" s="16" t="s">
        <v>186</v>
      </c>
      <c r="I67" s="92"/>
      <c r="J67" s="31"/>
      <c r="K67" s="11" t="s">
        <v>1627</v>
      </c>
      <c r="L67" s="8"/>
      <c r="M67" s="15">
        <v>50.0</v>
      </c>
      <c r="N67" s="8"/>
      <c r="O67" s="8"/>
      <c r="P67" s="31"/>
      <c r="Q67" s="4"/>
      <c r="R67" s="4"/>
      <c r="S67" s="4"/>
      <c r="T67" s="4"/>
      <c r="U67" s="4"/>
      <c r="V67" s="4"/>
      <c r="W67" s="4"/>
      <c r="X67" s="4"/>
      <c r="Y67" s="4"/>
    </row>
    <row r="68">
      <c r="A68" s="5" t="s">
        <v>1628</v>
      </c>
      <c r="B68" s="6">
        <v>1205.0</v>
      </c>
      <c r="C68" s="7" t="b">
        <v>1</v>
      </c>
      <c r="D68" s="8" t="str">
        <f>IFERROR(__xludf.DUMMYFUNCTION("GOOGLETRANSLATE(A68,""ar"", ""en"")"),"45 cm square base")</f>
        <v>45 cm square base</v>
      </c>
      <c r="E68" s="5" t="s">
        <v>1629</v>
      </c>
      <c r="F68" s="9" t="s">
        <v>27</v>
      </c>
      <c r="G68" s="9" t="s">
        <v>18</v>
      </c>
      <c r="H68" s="16" t="s">
        <v>186</v>
      </c>
      <c r="I68" s="92"/>
      <c r="J68" s="29"/>
      <c r="K68" s="11" t="s">
        <v>1630</v>
      </c>
      <c r="L68" s="8"/>
      <c r="M68" s="12">
        <v>40.0</v>
      </c>
      <c r="N68" s="8"/>
      <c r="O68" s="8"/>
      <c r="P68" s="29"/>
      <c r="Q68" s="4"/>
      <c r="R68" s="4"/>
      <c r="S68" s="4"/>
      <c r="T68" s="4"/>
      <c r="U68" s="4"/>
      <c r="V68" s="4"/>
      <c r="W68" s="4"/>
      <c r="X68" s="4"/>
      <c r="Y68" s="4"/>
    </row>
    <row r="69">
      <c r="A69" s="5" t="s">
        <v>198</v>
      </c>
      <c r="B69" s="6">
        <v>1207.0</v>
      </c>
      <c r="C69" s="7" t="b">
        <v>1</v>
      </c>
      <c r="D69" s="8" t="str">
        <f>IFERROR(__xludf.DUMMYFUNCTION("GOOGLETRANSLATE(A69,""ar"", ""en"")"),"Rectangle base 45*90")</f>
        <v>Rectangle base 45*90</v>
      </c>
      <c r="E69" s="5" t="s">
        <v>1631</v>
      </c>
      <c r="F69" s="9" t="s">
        <v>27</v>
      </c>
      <c r="G69" s="9" t="s">
        <v>18</v>
      </c>
      <c r="H69" s="16" t="s">
        <v>186</v>
      </c>
      <c r="I69" s="92"/>
      <c r="J69" s="29"/>
      <c r="K69" s="11" t="s">
        <v>200</v>
      </c>
      <c r="L69" s="8"/>
      <c r="M69" s="12">
        <v>24.0</v>
      </c>
      <c r="N69" s="8"/>
      <c r="O69" s="8"/>
      <c r="P69" s="29"/>
      <c r="Q69" s="4"/>
      <c r="R69" s="4"/>
      <c r="S69" s="4"/>
      <c r="T69" s="4"/>
      <c r="U69" s="4"/>
      <c r="V69" s="4"/>
      <c r="W69" s="4"/>
      <c r="X69" s="4"/>
      <c r="Y69" s="4"/>
    </row>
    <row r="70">
      <c r="A70" s="13" t="s">
        <v>1632</v>
      </c>
      <c r="B70" s="6">
        <v>1208.0</v>
      </c>
      <c r="C70" s="7" t="b">
        <v>1</v>
      </c>
      <c r="D70" s="8" t="str">
        <f>IFERROR(__xludf.DUMMYFUNCTION("GOOGLETRANSLATE(A70,""ar"", ""en"")"),"45 cm round base")</f>
        <v>45 cm round base</v>
      </c>
      <c r="E70" s="13" t="s">
        <v>1633</v>
      </c>
      <c r="F70" s="9" t="s">
        <v>27</v>
      </c>
      <c r="G70" s="9" t="s">
        <v>18</v>
      </c>
      <c r="H70" s="16" t="s">
        <v>186</v>
      </c>
      <c r="I70" s="92"/>
      <c r="J70" s="31"/>
      <c r="K70" s="11" t="s">
        <v>1634</v>
      </c>
      <c r="L70" s="8"/>
      <c r="M70" s="15">
        <v>30.0</v>
      </c>
      <c r="N70" s="8"/>
      <c r="O70" s="8"/>
      <c r="P70" s="31"/>
      <c r="Q70" s="4"/>
      <c r="R70" s="4"/>
      <c r="S70" s="4"/>
      <c r="T70" s="4"/>
      <c r="U70" s="4"/>
      <c r="V70" s="4"/>
      <c r="W70" s="4"/>
      <c r="X70" s="4"/>
      <c r="Y70" s="4"/>
    </row>
    <row r="71">
      <c r="A71" s="5" t="s">
        <v>195</v>
      </c>
      <c r="B71" s="6">
        <v>1209.0</v>
      </c>
      <c r="C71" s="7" t="b">
        <v>1</v>
      </c>
      <c r="D71" s="8" t="str">
        <f>IFERROR(__xludf.DUMMYFUNCTION("GOOGLETRANSLATE(A71,""ar"", ""en"")"),"Rectangle base 40*70")</f>
        <v>Rectangle base 40*70</v>
      </c>
      <c r="E71" s="5" t="s">
        <v>1635</v>
      </c>
      <c r="F71" s="9" t="s">
        <v>27</v>
      </c>
      <c r="G71" s="9" t="s">
        <v>18</v>
      </c>
      <c r="H71" s="16" t="s">
        <v>186</v>
      </c>
      <c r="I71" s="92"/>
      <c r="J71" s="29"/>
      <c r="K71" s="11" t="s">
        <v>197</v>
      </c>
      <c r="L71" s="8"/>
      <c r="M71" s="12">
        <v>24.0</v>
      </c>
      <c r="N71" s="8"/>
      <c r="O71" s="8"/>
      <c r="P71" s="29"/>
      <c r="Q71" s="4"/>
      <c r="R71" s="4"/>
      <c r="S71" s="4"/>
      <c r="T71" s="4"/>
      <c r="U71" s="4"/>
      <c r="V71" s="4"/>
      <c r="W71" s="4"/>
      <c r="X71" s="4"/>
      <c r="Y71" s="4"/>
    </row>
    <row r="72">
      <c r="A72" s="5" t="s">
        <v>1632</v>
      </c>
      <c r="B72" s="6">
        <v>1211.0</v>
      </c>
      <c r="C72" s="7" t="b">
        <v>1</v>
      </c>
      <c r="D72" s="8" t="str">
        <f>IFERROR(__xludf.DUMMYFUNCTION("GOOGLETRANSLATE(A72,""ar"", ""en"")"),"45 cm round base")</f>
        <v>45 cm round base</v>
      </c>
      <c r="E72" s="5" t="s">
        <v>1636</v>
      </c>
      <c r="F72" s="9" t="s">
        <v>27</v>
      </c>
      <c r="G72" s="9" t="s">
        <v>18</v>
      </c>
      <c r="H72" s="16" t="s">
        <v>186</v>
      </c>
      <c r="I72" s="92"/>
      <c r="J72" s="29"/>
      <c r="K72" s="11" t="s">
        <v>1634</v>
      </c>
      <c r="L72" s="8"/>
      <c r="M72" s="12">
        <v>60.0</v>
      </c>
      <c r="N72" s="8"/>
      <c r="O72" s="8"/>
      <c r="P72" s="29"/>
      <c r="Q72" s="4"/>
      <c r="R72" s="4"/>
      <c r="S72" s="4"/>
      <c r="T72" s="4"/>
      <c r="U72" s="4"/>
      <c r="V72" s="4"/>
      <c r="W72" s="4"/>
      <c r="X72" s="4"/>
      <c r="Y72" s="4"/>
    </row>
    <row r="73">
      <c r="A73" s="13" t="s">
        <v>1637</v>
      </c>
      <c r="B73" s="6">
        <v>1221.0</v>
      </c>
      <c r="C73" s="7" t="b">
        <v>1</v>
      </c>
      <c r="D73" s="8" t="str">
        <f>IFERROR(__xludf.DUMMYFUNCTION("GOOGLETRANSLATE(A73,""ar"", ""en"")"),"CHAIR")</f>
        <v>CHAIR</v>
      </c>
      <c r="E73" s="13" t="s">
        <v>1638</v>
      </c>
      <c r="F73" s="9" t="s">
        <v>28</v>
      </c>
      <c r="G73" s="9" t="s">
        <v>28</v>
      </c>
      <c r="H73" s="16" t="s">
        <v>29</v>
      </c>
      <c r="I73" s="92"/>
      <c r="J73" s="14">
        <v>1669.01</v>
      </c>
      <c r="K73" s="11" t="s">
        <v>1639</v>
      </c>
      <c r="L73" s="8"/>
      <c r="M73" s="15">
        <v>96.0</v>
      </c>
      <c r="N73" s="8"/>
      <c r="O73" s="8"/>
      <c r="P73" s="14">
        <v>17.39</v>
      </c>
      <c r="Q73" s="4"/>
      <c r="R73" s="4"/>
      <c r="S73" s="4"/>
      <c r="T73" s="4"/>
      <c r="U73" s="4"/>
      <c r="V73" s="4"/>
      <c r="W73" s="4"/>
      <c r="X73" s="4"/>
      <c r="Y73" s="4"/>
    </row>
    <row r="74">
      <c r="A74" s="13" t="s">
        <v>1640</v>
      </c>
      <c r="B74" s="6">
        <v>1235.0</v>
      </c>
      <c r="C74" s="7" t="b">
        <v>1</v>
      </c>
      <c r="D74" s="8" t="str">
        <f>IFERROR(__xludf.DUMMYFUNCTION("GOOGLETRANSLATE(A74,""ar"", ""en"")"),"Font Bank")</f>
        <v>Font Bank</v>
      </c>
      <c r="E74" s="13" t="s">
        <v>1641</v>
      </c>
      <c r="F74" s="9" t="s">
        <v>28</v>
      </c>
      <c r="G74" s="9" t="s">
        <v>28</v>
      </c>
      <c r="H74" s="16" t="s">
        <v>1549</v>
      </c>
      <c r="I74" s="92"/>
      <c r="J74" s="14">
        <v>204.73</v>
      </c>
      <c r="K74" s="11" t="s">
        <v>1642</v>
      </c>
      <c r="L74" s="8"/>
      <c r="M74" s="15">
        <v>5.0</v>
      </c>
      <c r="N74" s="8"/>
      <c r="O74" s="8"/>
      <c r="P74" s="14">
        <v>40.95</v>
      </c>
      <c r="Q74" s="4"/>
      <c r="R74" s="4"/>
      <c r="S74" s="4"/>
      <c r="T74" s="4"/>
      <c r="U74" s="4"/>
      <c r="V74" s="4"/>
      <c r="W74" s="4"/>
      <c r="X74" s="4"/>
      <c r="Y74" s="4"/>
    </row>
    <row r="75">
      <c r="A75" s="5" t="s">
        <v>1640</v>
      </c>
      <c r="B75" s="6">
        <v>1236.0</v>
      </c>
      <c r="C75" s="7" t="b">
        <v>1</v>
      </c>
      <c r="D75" s="8" t="str">
        <f>IFERROR(__xludf.DUMMYFUNCTION("GOOGLETRANSLATE(A75,""ar"", ""en"")"),"Font Bank")</f>
        <v>Font Bank</v>
      </c>
      <c r="E75" s="5" t="s">
        <v>1643</v>
      </c>
      <c r="F75" s="9" t="s">
        <v>28</v>
      </c>
      <c r="G75" s="9" t="s">
        <v>28</v>
      </c>
      <c r="H75" s="16" t="s">
        <v>1549</v>
      </c>
      <c r="I75" s="92"/>
      <c r="J75" s="10">
        <v>49.13</v>
      </c>
      <c r="K75" s="11" t="s">
        <v>1642</v>
      </c>
      <c r="L75" s="8"/>
      <c r="M75" s="12">
        <v>1.0</v>
      </c>
      <c r="N75" s="8"/>
      <c r="O75" s="8"/>
      <c r="P75" s="10">
        <v>49.13</v>
      </c>
      <c r="Q75" s="4"/>
      <c r="R75" s="4"/>
      <c r="S75" s="4"/>
      <c r="T75" s="4"/>
      <c r="U75" s="4"/>
      <c r="V75" s="4"/>
      <c r="W75" s="4"/>
      <c r="X75" s="4"/>
      <c r="Y75" s="4"/>
    </row>
    <row r="76">
      <c r="A76" s="13" t="s">
        <v>1640</v>
      </c>
      <c r="B76" s="6">
        <v>1237.0</v>
      </c>
      <c r="C76" s="7" t="b">
        <v>1</v>
      </c>
      <c r="D76" s="8" t="str">
        <f>IFERROR(__xludf.DUMMYFUNCTION("GOOGLETRANSLATE(A76,""ar"", ""en"")"),"Font Bank")</f>
        <v>Font Bank</v>
      </c>
      <c r="E76" s="13" t="s">
        <v>1644</v>
      </c>
      <c r="F76" s="9" t="s">
        <v>28</v>
      </c>
      <c r="G76" s="9" t="s">
        <v>28</v>
      </c>
      <c r="H76" s="16" t="s">
        <v>1549</v>
      </c>
      <c r="I76" s="92"/>
      <c r="J76" s="14">
        <v>49.13</v>
      </c>
      <c r="K76" s="11" t="s">
        <v>1642</v>
      </c>
      <c r="L76" s="8"/>
      <c r="M76" s="15">
        <v>1.0</v>
      </c>
      <c r="N76" s="8"/>
      <c r="O76" s="8"/>
      <c r="P76" s="14">
        <v>49.13</v>
      </c>
      <c r="Q76" s="4"/>
      <c r="R76" s="4"/>
      <c r="S76" s="4"/>
      <c r="T76" s="4"/>
      <c r="U76" s="4"/>
      <c r="V76" s="4"/>
      <c r="W76" s="4"/>
      <c r="X76" s="4"/>
      <c r="Y76" s="4"/>
    </row>
    <row r="77">
      <c r="A77" s="5" t="s">
        <v>1645</v>
      </c>
      <c r="B77" s="6">
        <v>1238.0</v>
      </c>
      <c r="C77" s="7" t="b">
        <v>1</v>
      </c>
      <c r="D77" s="8" t="str">
        <f>IFERROR(__xludf.DUMMYFUNCTION("GOOGLETRANSLATE(A77,""ar"", ""en"")"),"IRON BENCH")</f>
        <v>IRON BENCH</v>
      </c>
      <c r="E77" s="5" t="s">
        <v>1646</v>
      </c>
      <c r="F77" s="9" t="s">
        <v>28</v>
      </c>
      <c r="G77" s="9" t="s">
        <v>28</v>
      </c>
      <c r="H77" s="16" t="s">
        <v>1549</v>
      </c>
      <c r="I77" s="92"/>
      <c r="J77" s="10">
        <v>506.25</v>
      </c>
      <c r="K77" s="11" t="s">
        <v>1647</v>
      </c>
      <c r="L77" s="8"/>
      <c r="M77" s="12">
        <v>13.0</v>
      </c>
      <c r="N77" s="8"/>
      <c r="O77" s="8"/>
      <c r="P77" s="10">
        <v>38.94</v>
      </c>
      <c r="Q77" s="4"/>
      <c r="R77" s="4"/>
      <c r="S77" s="4"/>
      <c r="T77" s="4"/>
      <c r="U77" s="4"/>
      <c r="V77" s="4"/>
      <c r="W77" s="4"/>
      <c r="X77" s="4"/>
      <c r="Y77" s="4"/>
    </row>
    <row r="78">
      <c r="A78" s="13" t="s">
        <v>1645</v>
      </c>
      <c r="B78" s="6">
        <v>1239.0</v>
      </c>
      <c r="C78" s="7" t="b">
        <v>1</v>
      </c>
      <c r="D78" s="8" t="str">
        <f>IFERROR(__xludf.DUMMYFUNCTION("GOOGLETRANSLATE(A78,""ar"", ""en"")"),"IRON BENCH")</f>
        <v>IRON BENCH</v>
      </c>
      <c r="E78" s="13" t="s">
        <v>1648</v>
      </c>
      <c r="F78" s="9" t="s">
        <v>28</v>
      </c>
      <c r="G78" s="9" t="s">
        <v>28</v>
      </c>
      <c r="H78" s="16" t="s">
        <v>1549</v>
      </c>
      <c r="I78" s="92"/>
      <c r="J78" s="14">
        <v>37.32</v>
      </c>
      <c r="K78" s="11" t="s">
        <v>1647</v>
      </c>
      <c r="L78" s="8"/>
      <c r="M78" s="15">
        <v>1.0</v>
      </c>
      <c r="N78" s="8"/>
      <c r="O78" s="8"/>
      <c r="P78" s="14">
        <v>37.32</v>
      </c>
      <c r="Q78" s="4"/>
      <c r="R78" s="4"/>
      <c r="S78" s="4"/>
      <c r="T78" s="4"/>
      <c r="U78" s="4"/>
      <c r="V78" s="4"/>
      <c r="W78" s="4"/>
      <c r="X78" s="4"/>
      <c r="Y78" s="4"/>
    </row>
    <row r="79">
      <c r="A79" s="5" t="s">
        <v>1645</v>
      </c>
      <c r="B79" s="6">
        <v>1240.0</v>
      </c>
      <c r="C79" s="7" t="b">
        <v>1</v>
      </c>
      <c r="D79" s="8" t="str">
        <f>IFERROR(__xludf.DUMMYFUNCTION("GOOGLETRANSLATE(A79,""ar"", ""en"")"),"IRON BENCH")</f>
        <v>IRON BENCH</v>
      </c>
      <c r="E79" s="5" t="s">
        <v>1649</v>
      </c>
      <c r="F79" s="9" t="s">
        <v>28</v>
      </c>
      <c r="G79" s="9" t="s">
        <v>28</v>
      </c>
      <c r="H79" s="16" t="s">
        <v>1549</v>
      </c>
      <c r="I79" s="92"/>
      <c r="J79" s="10">
        <v>739.91</v>
      </c>
      <c r="K79" s="11" t="s">
        <v>1647</v>
      </c>
      <c r="L79" s="8"/>
      <c r="M79" s="12">
        <v>19.0</v>
      </c>
      <c r="N79" s="8"/>
      <c r="O79" s="8"/>
      <c r="P79" s="10">
        <v>38.94</v>
      </c>
      <c r="Q79" s="4"/>
      <c r="R79" s="4"/>
      <c r="S79" s="4"/>
      <c r="T79" s="4"/>
      <c r="U79" s="4"/>
      <c r="V79" s="4"/>
      <c r="W79" s="4"/>
      <c r="X79" s="4"/>
      <c r="Y79" s="4"/>
    </row>
    <row r="80">
      <c r="A80" s="13" t="s">
        <v>1645</v>
      </c>
      <c r="B80" s="6">
        <v>1241.0</v>
      </c>
      <c r="C80" s="7" t="b">
        <v>1</v>
      </c>
      <c r="D80" s="8" t="str">
        <f>IFERROR(__xludf.DUMMYFUNCTION("GOOGLETRANSLATE(A80,""ar"", ""en"")"),"IRON BENCH")</f>
        <v>IRON BENCH</v>
      </c>
      <c r="E80" s="13" t="s">
        <v>1650</v>
      </c>
      <c r="F80" s="9" t="s">
        <v>28</v>
      </c>
      <c r="G80" s="9" t="s">
        <v>28</v>
      </c>
      <c r="H80" s="16" t="s">
        <v>1549</v>
      </c>
      <c r="I80" s="92"/>
      <c r="J80" s="14">
        <v>155.77</v>
      </c>
      <c r="K80" s="11" t="s">
        <v>1647</v>
      </c>
      <c r="L80" s="8"/>
      <c r="M80" s="15">
        <v>4.0</v>
      </c>
      <c r="N80" s="8"/>
      <c r="O80" s="8"/>
      <c r="P80" s="14">
        <v>38.94</v>
      </c>
      <c r="Q80" s="4"/>
      <c r="R80" s="4"/>
      <c r="S80" s="4"/>
      <c r="T80" s="4"/>
      <c r="U80" s="4"/>
      <c r="V80" s="4"/>
      <c r="W80" s="4"/>
      <c r="X80" s="4"/>
      <c r="Y80" s="4"/>
    </row>
    <row r="81">
      <c r="A81" s="5" t="s">
        <v>1651</v>
      </c>
      <c r="B81" s="6">
        <v>1242.0</v>
      </c>
      <c r="C81" s="7" t="b">
        <v>1</v>
      </c>
      <c r="D81" s="8" t="str">
        <f>IFERROR(__xludf.DUMMYFUNCTION("GOOGLETRANSLATE(A81,""ar"", ""en"")"),"Two-seat plastic set with upholstery")</f>
        <v>Two-seat plastic set with upholstery</v>
      </c>
      <c r="E81" s="5" t="s">
        <v>1652</v>
      </c>
      <c r="F81" s="9" t="s">
        <v>28</v>
      </c>
      <c r="G81" s="9" t="s">
        <v>28</v>
      </c>
      <c r="H81" s="16" t="s">
        <v>1549</v>
      </c>
      <c r="I81" s="101" t="s">
        <v>1653</v>
      </c>
      <c r="J81" s="29"/>
      <c r="K81" s="11" t="s">
        <v>1654</v>
      </c>
      <c r="L81" s="8"/>
      <c r="M81" s="12">
        <v>17.0</v>
      </c>
      <c r="N81" s="8"/>
      <c r="O81" s="8"/>
      <c r="P81" s="29"/>
      <c r="Q81" s="4"/>
      <c r="R81" s="4"/>
      <c r="S81" s="4"/>
      <c r="T81" s="4"/>
      <c r="U81" s="4"/>
      <c r="V81" s="4"/>
      <c r="W81" s="4"/>
      <c r="X81" s="4"/>
      <c r="Y81" s="4"/>
    </row>
    <row r="82">
      <c r="A82" s="13" t="s">
        <v>1655</v>
      </c>
      <c r="B82" s="6">
        <v>1245.0</v>
      </c>
      <c r="C82" s="7" t="b">
        <v>1</v>
      </c>
      <c r="D82" s="8" t="str">
        <f>IFERROR(__xludf.DUMMYFUNCTION("GOOGLETRANSLATE(A82,""ar"", ""en"")"),"Plastic and iron two-seat set")</f>
        <v>Plastic and iron two-seat set</v>
      </c>
      <c r="E82" s="13" t="s">
        <v>1656</v>
      </c>
      <c r="F82" s="9" t="s">
        <v>28</v>
      </c>
      <c r="G82" s="9" t="s">
        <v>28</v>
      </c>
      <c r="H82" s="8"/>
      <c r="I82" s="92"/>
      <c r="J82" s="31"/>
      <c r="K82" s="11" t="s">
        <v>1657</v>
      </c>
      <c r="L82" s="8"/>
      <c r="M82" s="15">
        <v>47.0</v>
      </c>
      <c r="N82" s="8"/>
      <c r="O82" s="8"/>
      <c r="P82" s="31"/>
      <c r="Q82" s="4"/>
      <c r="R82" s="4"/>
      <c r="S82" s="4"/>
      <c r="T82" s="4"/>
      <c r="U82" s="4"/>
      <c r="V82" s="4"/>
      <c r="W82" s="4"/>
      <c r="X82" s="4"/>
      <c r="Y82" s="4"/>
    </row>
    <row r="83">
      <c r="A83" s="13" t="s">
        <v>1658</v>
      </c>
      <c r="B83" s="6">
        <v>1282.0</v>
      </c>
      <c r="C83" s="7" t="b">
        <v>1</v>
      </c>
      <c r="D83" s="8" t="str">
        <f>IFERROR(__xludf.DUMMYFUNCTION("GOOGLETRANSLATE(A83,""ar"", ""en"")"),"Table base double")</f>
        <v>Table base double</v>
      </c>
      <c r="E83" s="13" t="s">
        <v>1659</v>
      </c>
      <c r="F83" s="9" t="s">
        <v>27</v>
      </c>
      <c r="G83" s="9" t="s">
        <v>28</v>
      </c>
      <c r="H83" s="16" t="s">
        <v>186</v>
      </c>
      <c r="I83" s="92"/>
      <c r="J83" s="14">
        <v>374.09</v>
      </c>
      <c r="K83" s="11" t="s">
        <v>1660</v>
      </c>
      <c r="L83" s="8"/>
      <c r="M83" s="15">
        <v>13.0</v>
      </c>
      <c r="N83" s="8"/>
      <c r="O83" s="8"/>
      <c r="P83" s="14">
        <v>28.78</v>
      </c>
      <c r="Q83" s="4"/>
      <c r="R83" s="4"/>
      <c r="S83" s="4"/>
      <c r="T83" s="4"/>
      <c r="U83" s="4"/>
      <c r="V83" s="4"/>
      <c r="W83" s="4"/>
      <c r="X83" s="4"/>
      <c r="Y83" s="4"/>
    </row>
    <row r="84">
      <c r="A84" s="5" t="s">
        <v>1661</v>
      </c>
      <c r="B84" s="6">
        <v>1289.0</v>
      </c>
      <c r="C84" s="7" t="b">
        <v>1</v>
      </c>
      <c r="D84" s="8" t="str">
        <f>IFERROR(__xludf.DUMMYFUNCTION("GOOGLETRANSLATE(A84,""ar"", ""en"")"),"Font Medor Big Inflatable Column Base")</f>
        <v>Font Medor Big Inflatable Column Base</v>
      </c>
      <c r="E84" s="5" t="s">
        <v>1662</v>
      </c>
      <c r="F84" s="9" t="s">
        <v>27</v>
      </c>
      <c r="G84" s="9" t="s">
        <v>28</v>
      </c>
      <c r="H84" s="16" t="s">
        <v>186</v>
      </c>
      <c r="I84" s="92"/>
      <c r="J84" s="10">
        <v>217.24</v>
      </c>
      <c r="K84" s="11" t="s">
        <v>1663</v>
      </c>
      <c r="L84" s="8"/>
      <c r="M84" s="12">
        <v>9.0</v>
      </c>
      <c r="N84" s="8"/>
      <c r="O84" s="8"/>
      <c r="P84" s="10">
        <v>24.14</v>
      </c>
      <c r="Q84" s="4"/>
      <c r="R84" s="4"/>
      <c r="S84" s="4"/>
      <c r="T84" s="4"/>
      <c r="U84" s="4"/>
      <c r="V84" s="4"/>
      <c r="W84" s="4"/>
      <c r="X84" s="4"/>
      <c r="Y84" s="4"/>
    </row>
    <row r="85">
      <c r="A85" s="5" t="s">
        <v>1664</v>
      </c>
      <c r="B85" s="6">
        <v>1291.0</v>
      </c>
      <c r="C85" s="7" t="b">
        <v>1</v>
      </c>
      <c r="D85" s="8" t="str">
        <f>IFERROR(__xludf.DUMMYFUNCTION("GOOGLETRANSLATE(A85,""ar"", ""en"")"),"4-legged drawer base")</f>
        <v>4-legged drawer base</v>
      </c>
      <c r="E85" s="5" t="s">
        <v>1665</v>
      </c>
      <c r="F85" s="9" t="s">
        <v>27</v>
      </c>
      <c r="G85" s="9" t="s">
        <v>28</v>
      </c>
      <c r="H85" s="16" t="s">
        <v>186</v>
      </c>
      <c r="I85" s="92"/>
      <c r="J85" s="10">
        <v>1029.89</v>
      </c>
      <c r="K85" s="11" t="s">
        <v>1666</v>
      </c>
      <c r="L85" s="8"/>
      <c r="M85" s="12">
        <v>68.0</v>
      </c>
      <c r="N85" s="8"/>
      <c r="O85" s="8"/>
      <c r="P85" s="10">
        <v>15.15</v>
      </c>
      <c r="Q85" s="4"/>
      <c r="R85" s="4"/>
      <c r="S85" s="4"/>
      <c r="T85" s="4"/>
      <c r="U85" s="4"/>
      <c r="V85" s="4"/>
      <c r="W85" s="4"/>
      <c r="X85" s="4"/>
      <c r="Y85" s="4"/>
    </row>
    <row r="86">
      <c r="A86" s="13" t="s">
        <v>249</v>
      </c>
      <c r="B86" s="6">
        <v>1296.0</v>
      </c>
      <c r="C86" s="7" t="b">
        <v>1</v>
      </c>
      <c r="D86" s="8" t="str">
        <f>IFERROR(__xludf.DUMMYFUNCTION("GOOGLETRANSLATE(A86,""ar"", ""en"")"),"Table base stainless steel")</f>
        <v>Table base stainless steel</v>
      </c>
      <c r="E86" s="13" t="s">
        <v>1667</v>
      </c>
      <c r="F86" s="9" t="s">
        <v>27</v>
      </c>
      <c r="G86" s="9" t="s">
        <v>18</v>
      </c>
      <c r="H86" s="16" t="s">
        <v>186</v>
      </c>
      <c r="I86" s="92"/>
      <c r="J86" s="14">
        <v>51.48</v>
      </c>
      <c r="K86" s="11" t="s">
        <v>251</v>
      </c>
      <c r="L86" s="8"/>
      <c r="M86" s="15">
        <v>1.0</v>
      </c>
      <c r="N86" s="8"/>
      <c r="O86" s="8"/>
      <c r="P86" s="14">
        <v>51.48</v>
      </c>
      <c r="Q86" s="4"/>
      <c r="R86" s="4"/>
      <c r="S86" s="4"/>
      <c r="T86" s="4"/>
      <c r="U86" s="4"/>
      <c r="V86" s="4"/>
      <c r="W86" s="4"/>
      <c r="X86" s="4"/>
      <c r="Y86" s="4"/>
    </row>
    <row r="87">
      <c r="A87" s="13" t="s">
        <v>1668</v>
      </c>
      <c r="B87" s="6">
        <v>1298.0</v>
      </c>
      <c r="C87" s="7" t="b">
        <v>1</v>
      </c>
      <c r="D87" s="8" t="str">
        <f>IFERROR(__xludf.DUMMYFUNCTION("GOOGLETRANSLATE(A87,""ar"", ""en"")"),"Table Base / M")</f>
        <v>Table Base / M</v>
      </c>
      <c r="E87" s="13" t="s">
        <v>1669</v>
      </c>
      <c r="F87" s="9" t="s">
        <v>27</v>
      </c>
      <c r="G87" s="9" t="s">
        <v>28</v>
      </c>
      <c r="H87" s="16" t="s">
        <v>186</v>
      </c>
      <c r="I87" s="92"/>
      <c r="J87" s="14">
        <v>699.49</v>
      </c>
      <c r="K87" s="11" t="s">
        <v>1670</v>
      </c>
      <c r="L87" s="8"/>
      <c r="M87" s="15">
        <v>42.0</v>
      </c>
      <c r="N87" s="8"/>
      <c r="O87" s="8"/>
      <c r="P87" s="14">
        <v>16.65</v>
      </c>
      <c r="Q87" s="4"/>
      <c r="R87" s="4"/>
      <c r="S87" s="4"/>
      <c r="T87" s="4"/>
      <c r="U87" s="4"/>
      <c r="V87" s="4"/>
      <c r="W87" s="4"/>
      <c r="X87" s="4"/>
      <c r="Y87" s="4"/>
    </row>
    <row r="88">
      <c r="A88" s="5" t="s">
        <v>1671</v>
      </c>
      <c r="B88" s="6">
        <v>1299.0</v>
      </c>
      <c r="C88" s="7" t="b">
        <v>1</v>
      </c>
      <c r="D88" s="8" t="str">
        <f>IFERROR(__xludf.DUMMYFUNCTION("GOOGLETRANSLATE(A88,""ar"", ""en"")"),"Table base double/m")</f>
        <v>Table base double/m</v>
      </c>
      <c r="E88" s="5" t="s">
        <v>1672</v>
      </c>
      <c r="F88" s="9" t="s">
        <v>27</v>
      </c>
      <c r="G88" s="9" t="s">
        <v>28</v>
      </c>
      <c r="H88" s="16" t="s">
        <v>186</v>
      </c>
      <c r="I88" s="92"/>
      <c r="J88" s="10">
        <v>981.1</v>
      </c>
      <c r="K88" s="11" t="s">
        <v>1673</v>
      </c>
      <c r="L88" s="8"/>
      <c r="M88" s="12">
        <v>36.0</v>
      </c>
      <c r="N88" s="8"/>
      <c r="O88" s="8"/>
      <c r="P88" s="10">
        <v>27.25</v>
      </c>
      <c r="Q88" s="4"/>
      <c r="R88" s="4"/>
      <c r="S88" s="4"/>
      <c r="T88" s="4"/>
      <c r="U88" s="4"/>
      <c r="V88" s="4"/>
      <c r="W88" s="4"/>
      <c r="X88" s="4"/>
      <c r="Y88" s="4"/>
    </row>
    <row r="89">
      <c r="A89" s="5" t="s">
        <v>1674</v>
      </c>
      <c r="B89" s="6">
        <v>1301.0</v>
      </c>
      <c r="C89" s="7" t="b">
        <v>1</v>
      </c>
      <c r="D89" s="8" t="str">
        <f>IFERROR(__xludf.DUMMYFUNCTION("GOOGLETRANSLATE(A89,""ar"", ""en"")"),"TABLE BASE X/STNLS FOLDING")</f>
        <v>TABLE BASE X/STNLS FOLDING</v>
      </c>
      <c r="E89" s="5" t="s">
        <v>1675</v>
      </c>
      <c r="F89" s="9" t="s">
        <v>27</v>
      </c>
      <c r="G89" s="9" t="s">
        <v>28</v>
      </c>
      <c r="H89" s="16" t="s">
        <v>186</v>
      </c>
      <c r="I89" s="92"/>
      <c r="J89" s="10">
        <v>557.17</v>
      </c>
      <c r="K89" s="11" t="s">
        <v>1676</v>
      </c>
      <c r="L89" s="8"/>
      <c r="M89" s="12">
        <v>23.0</v>
      </c>
      <c r="N89" s="8"/>
      <c r="O89" s="8"/>
      <c r="P89" s="10">
        <v>24.22</v>
      </c>
      <c r="Q89" s="4"/>
      <c r="R89" s="4"/>
      <c r="S89" s="4"/>
      <c r="T89" s="4"/>
      <c r="U89" s="4"/>
      <c r="V89" s="4"/>
      <c r="W89" s="4"/>
      <c r="X89" s="4"/>
      <c r="Y89" s="4"/>
    </row>
    <row r="90">
      <c r="A90" s="13" t="s">
        <v>1677</v>
      </c>
      <c r="B90" s="6">
        <v>1302.0</v>
      </c>
      <c r="C90" s="7" t="b">
        <v>1</v>
      </c>
      <c r="D90" s="8" t="str">
        <f>IFERROR(__xludf.DUMMYFUNCTION("GOOGLETRANSLATE(A90,""ar"", ""en"")"),"Table Base M/X Wide")</f>
        <v>Table Base M/X Wide</v>
      </c>
      <c r="E90" s="13" t="s">
        <v>1678</v>
      </c>
      <c r="F90" s="9" t="s">
        <v>27</v>
      </c>
      <c r="G90" s="9" t="s">
        <v>28</v>
      </c>
      <c r="H90" s="16" t="s">
        <v>186</v>
      </c>
      <c r="I90" s="92"/>
      <c r="J90" s="14">
        <v>27.25</v>
      </c>
      <c r="K90" s="11" t="s">
        <v>1679</v>
      </c>
      <c r="L90" s="8"/>
      <c r="M90" s="15">
        <v>2.0</v>
      </c>
      <c r="N90" s="8"/>
      <c r="O90" s="8"/>
      <c r="P90" s="14">
        <v>13.63</v>
      </c>
      <c r="Q90" s="4"/>
      <c r="R90" s="4"/>
      <c r="S90" s="4"/>
      <c r="T90" s="4"/>
      <c r="U90" s="4"/>
      <c r="V90" s="4"/>
      <c r="W90" s="4"/>
      <c r="X90" s="4"/>
      <c r="Y90" s="4"/>
    </row>
    <row r="91">
      <c r="A91" s="5" t="s">
        <v>1680</v>
      </c>
      <c r="B91" s="6">
        <v>1303.0</v>
      </c>
      <c r="C91" s="7" t="b">
        <v>1</v>
      </c>
      <c r="D91" s="8" t="str">
        <f>IFERROR(__xludf.DUMMYFUNCTION("GOOGLETRANSLATE(A91,""ar"", ""en"")"),"Table Base S")</f>
        <v>Table Base S</v>
      </c>
      <c r="E91" s="5" t="s">
        <v>1681</v>
      </c>
      <c r="F91" s="9" t="s">
        <v>27</v>
      </c>
      <c r="G91" s="9" t="s">
        <v>28</v>
      </c>
      <c r="H91" s="16" t="s">
        <v>186</v>
      </c>
      <c r="I91" s="92"/>
      <c r="J91" s="10">
        <v>1326.31</v>
      </c>
      <c r="K91" s="11" t="s">
        <v>1682</v>
      </c>
      <c r="L91" s="8"/>
      <c r="M91" s="12">
        <v>73.0</v>
      </c>
      <c r="N91" s="8"/>
      <c r="O91" s="8"/>
      <c r="P91" s="10">
        <v>18.17</v>
      </c>
      <c r="Q91" s="4"/>
      <c r="R91" s="4"/>
      <c r="S91" s="4"/>
      <c r="T91" s="4"/>
      <c r="U91" s="4"/>
      <c r="V91" s="4"/>
      <c r="W91" s="4"/>
      <c r="X91" s="4"/>
      <c r="Y91" s="4"/>
    </row>
    <row r="92">
      <c r="A92" s="13" t="s">
        <v>1683</v>
      </c>
      <c r="B92" s="6">
        <v>1304.0</v>
      </c>
      <c r="C92" s="7" t="b">
        <v>1</v>
      </c>
      <c r="D92" s="8" t="str">
        <f>IFERROR(__xludf.DUMMYFUNCTION("GOOGLETRANSLATE(A92,""ar"", ""en"")"),"TABLE BASE FONT 4/X")</f>
        <v>TABLE BASE FONT 4/X</v>
      </c>
      <c r="E92" s="13" t="s">
        <v>1684</v>
      </c>
      <c r="F92" s="9" t="s">
        <v>27</v>
      </c>
      <c r="G92" s="9" t="s">
        <v>28</v>
      </c>
      <c r="H92" s="16" t="s">
        <v>186</v>
      </c>
      <c r="I92" s="92"/>
      <c r="J92" s="14">
        <v>869.06</v>
      </c>
      <c r="K92" s="11" t="s">
        <v>1685</v>
      </c>
      <c r="L92" s="8"/>
      <c r="M92" s="15">
        <v>41.0</v>
      </c>
      <c r="N92" s="8"/>
      <c r="O92" s="8"/>
      <c r="P92" s="14">
        <v>21.2</v>
      </c>
      <c r="Q92" s="4"/>
      <c r="R92" s="4"/>
      <c r="S92" s="4"/>
      <c r="T92" s="4"/>
      <c r="U92" s="4"/>
      <c r="V92" s="4"/>
      <c r="W92" s="4"/>
      <c r="X92" s="4"/>
      <c r="Y92" s="4"/>
    </row>
    <row r="93">
      <c r="A93" s="5" t="s">
        <v>1686</v>
      </c>
      <c r="B93" s="6">
        <v>1305.0</v>
      </c>
      <c r="C93" s="7" t="b">
        <v>1</v>
      </c>
      <c r="D93" s="8" t="str">
        <f>IFERROR(__xludf.DUMMYFUNCTION("GOOGLETRANSLATE(A93,""ar"", ""en"")"),"Flip font base")</f>
        <v>Flip font base</v>
      </c>
      <c r="E93" s="5" t="s">
        <v>1687</v>
      </c>
      <c r="F93" s="9" t="s">
        <v>27</v>
      </c>
      <c r="G93" s="9" t="s">
        <v>28</v>
      </c>
      <c r="H93" s="16" t="s">
        <v>186</v>
      </c>
      <c r="I93" s="92"/>
      <c r="J93" s="10">
        <v>1930.41</v>
      </c>
      <c r="K93" s="11" t="s">
        <v>1688</v>
      </c>
      <c r="L93" s="8"/>
      <c r="M93" s="12">
        <v>51.0</v>
      </c>
      <c r="N93" s="8"/>
      <c r="O93" s="8"/>
      <c r="P93" s="10">
        <v>37.85</v>
      </c>
      <c r="Q93" s="4"/>
      <c r="R93" s="4"/>
      <c r="S93" s="4"/>
      <c r="T93" s="4"/>
      <c r="U93" s="4"/>
      <c r="V93" s="4"/>
      <c r="W93" s="4"/>
      <c r="X93" s="4"/>
      <c r="Y93" s="4"/>
    </row>
    <row r="94">
      <c r="A94" s="5" t="s">
        <v>1689</v>
      </c>
      <c r="B94" s="6">
        <v>1307.0</v>
      </c>
      <c r="C94" s="7" t="b">
        <v>1</v>
      </c>
      <c r="D94" s="8" t="str">
        <f>IFERROR(__xludf.DUMMYFUNCTION("GOOGLETRANSLATE(A94,""ar"", ""en"")"),"CAST IRON BASE/4 GL")</f>
        <v>CAST IRON BASE/4 GL</v>
      </c>
      <c r="E94" s="5" t="s">
        <v>1690</v>
      </c>
      <c r="F94" s="9" t="s">
        <v>27</v>
      </c>
      <c r="G94" s="9" t="s">
        <v>28</v>
      </c>
      <c r="H94" s="16" t="s">
        <v>186</v>
      </c>
      <c r="I94" s="92"/>
      <c r="J94" s="10">
        <v>290.47</v>
      </c>
      <c r="K94" s="11" t="s">
        <v>1691</v>
      </c>
      <c r="L94" s="8"/>
      <c r="M94" s="12">
        <v>14.0</v>
      </c>
      <c r="N94" s="8"/>
      <c r="O94" s="8"/>
      <c r="P94" s="10">
        <v>20.75</v>
      </c>
      <c r="Q94" s="4"/>
      <c r="R94" s="4"/>
      <c r="S94" s="4"/>
      <c r="T94" s="4"/>
      <c r="U94" s="4"/>
      <c r="V94" s="4"/>
      <c r="W94" s="4"/>
      <c r="X94" s="4"/>
      <c r="Y94" s="4"/>
    </row>
    <row r="95">
      <c r="A95" s="13" t="s">
        <v>844</v>
      </c>
      <c r="B95" s="6">
        <v>1310.0</v>
      </c>
      <c r="C95" s="7" t="b">
        <v>1</v>
      </c>
      <c r="D95" s="8" t="str">
        <f>IFERROR(__xludf.DUMMYFUNCTION("GOOGLETRANSLATE(A95,""ar"", ""en"")"),"Font base is allowed")</f>
        <v>Font base is allowed</v>
      </c>
      <c r="E95" s="13" t="s">
        <v>1692</v>
      </c>
      <c r="F95" s="9" t="s">
        <v>27</v>
      </c>
      <c r="G95" s="9" t="s">
        <v>28</v>
      </c>
      <c r="H95" s="16" t="s">
        <v>186</v>
      </c>
      <c r="I95" s="92"/>
      <c r="J95" s="14">
        <v>163.57</v>
      </c>
      <c r="K95" s="11" t="s">
        <v>846</v>
      </c>
      <c r="L95" s="8"/>
      <c r="M95" s="15">
        <v>6.0</v>
      </c>
      <c r="N95" s="8"/>
      <c r="O95" s="8"/>
      <c r="P95" s="14">
        <v>27.26</v>
      </c>
      <c r="Q95" s="4"/>
      <c r="R95" s="4"/>
      <c r="S95" s="4"/>
      <c r="T95" s="4"/>
      <c r="U95" s="4"/>
      <c r="V95" s="4"/>
      <c r="W95" s="4"/>
      <c r="X95" s="4"/>
      <c r="Y95" s="4"/>
    </row>
    <row r="96">
      <c r="A96" s="5" t="s">
        <v>1693</v>
      </c>
      <c r="B96" s="6">
        <v>1317.0</v>
      </c>
      <c r="C96" s="7" t="b">
        <v>1</v>
      </c>
      <c r="D96" s="8" t="str">
        <f>IFERROR(__xludf.DUMMYFUNCTION("GOOGLETRANSLATE(A96,""ar"", ""en"")"),"Table Base 8 Corner")</f>
        <v>Table Base 8 Corner</v>
      </c>
      <c r="E96" s="5" t="s">
        <v>1694</v>
      </c>
      <c r="F96" s="9" t="s">
        <v>27</v>
      </c>
      <c r="G96" s="9" t="s">
        <v>28</v>
      </c>
      <c r="H96" s="16" t="s">
        <v>186</v>
      </c>
      <c r="I96" s="92"/>
      <c r="J96" s="10">
        <v>705.42</v>
      </c>
      <c r="K96" s="11" t="s">
        <v>1695</v>
      </c>
      <c r="L96" s="8"/>
      <c r="M96" s="12">
        <v>35.0</v>
      </c>
      <c r="N96" s="8"/>
      <c r="O96" s="8"/>
      <c r="P96" s="10">
        <v>20.15</v>
      </c>
      <c r="Q96" s="4"/>
      <c r="R96" s="4"/>
      <c r="S96" s="4"/>
      <c r="T96" s="4"/>
      <c r="U96" s="4"/>
      <c r="V96" s="4"/>
      <c r="W96" s="4"/>
      <c r="X96" s="4"/>
      <c r="Y96" s="4"/>
    </row>
    <row r="97">
      <c r="A97" s="5" t="s">
        <v>1696</v>
      </c>
      <c r="B97" s="6">
        <v>1323.0</v>
      </c>
      <c r="C97" s="7" t="b">
        <v>1</v>
      </c>
      <c r="D97" s="8" t="str">
        <f>IFERROR(__xludf.DUMMYFUNCTION("GOOGLETRANSLATE(A97,""ar"", ""en"")"),"Wooden tea cart")</f>
        <v>Wooden tea cart</v>
      </c>
      <c r="E97" s="5" t="s">
        <v>1697</v>
      </c>
      <c r="F97" s="9" t="s">
        <v>27</v>
      </c>
      <c r="G97" s="9" t="s">
        <v>18</v>
      </c>
      <c r="H97" s="16" t="s">
        <v>1549</v>
      </c>
      <c r="I97" s="92"/>
      <c r="J97" s="10">
        <v>1020.0</v>
      </c>
      <c r="K97" s="11" t="s">
        <v>1698</v>
      </c>
      <c r="L97" s="8"/>
      <c r="M97" s="12">
        <v>17.0</v>
      </c>
      <c r="N97" s="8"/>
      <c r="O97" s="8"/>
      <c r="P97" s="10">
        <v>60.0</v>
      </c>
      <c r="Q97" s="4"/>
      <c r="R97" s="4"/>
      <c r="S97" s="4"/>
      <c r="T97" s="4"/>
      <c r="U97" s="4"/>
      <c r="V97" s="4"/>
      <c r="W97" s="4"/>
      <c r="X97" s="4"/>
      <c r="Y97" s="4"/>
    </row>
    <row r="98">
      <c r="A98" s="5" t="s">
        <v>1699</v>
      </c>
      <c r="B98" s="6">
        <v>1365.0</v>
      </c>
      <c r="C98" s="7" t="b">
        <v>1</v>
      </c>
      <c r="D98" s="8" t="str">
        <f>IFERROR(__xludf.DUMMYFUNCTION("GOOGLETRANSLATE(A98,""ar"", ""en"")"),"CAMPING CHAIR")</f>
        <v>CAMPING CHAIR</v>
      </c>
      <c r="E98" s="5" t="s">
        <v>1700</v>
      </c>
      <c r="F98" s="9" t="s">
        <v>28</v>
      </c>
      <c r="G98" s="9" t="s">
        <v>18</v>
      </c>
      <c r="H98" s="16" t="s">
        <v>1549</v>
      </c>
      <c r="I98" s="101" t="s">
        <v>1701</v>
      </c>
      <c r="J98" s="29"/>
      <c r="K98" s="11" t="s">
        <v>1702</v>
      </c>
      <c r="L98" s="8"/>
      <c r="M98" s="12">
        <v>4.0</v>
      </c>
      <c r="N98" s="8"/>
      <c r="O98" s="8"/>
      <c r="P98" s="29"/>
      <c r="Q98" s="4"/>
      <c r="R98" s="4"/>
      <c r="S98" s="4"/>
      <c r="T98" s="4"/>
      <c r="U98" s="4"/>
      <c r="V98" s="4"/>
      <c r="W98" s="4"/>
      <c r="X98" s="4"/>
      <c r="Y98" s="4"/>
    </row>
    <row r="99">
      <c r="A99" s="13" t="s">
        <v>1703</v>
      </c>
      <c r="B99" s="6">
        <v>1366.0</v>
      </c>
      <c r="C99" s="7" t="b">
        <v>1</v>
      </c>
      <c r="D99" s="8" t="str">
        <f>IFERROR(__xludf.DUMMYFUNCTION("GOOGLETRANSLATE(A99,""ar"", ""en"")"),"FOLDING CHAIR")</f>
        <v>FOLDING CHAIR</v>
      </c>
      <c r="E99" s="13" t="s">
        <v>1704</v>
      </c>
      <c r="F99" s="9" t="s">
        <v>28</v>
      </c>
      <c r="G99" s="9" t="s">
        <v>18</v>
      </c>
      <c r="H99" s="16" t="s">
        <v>1549</v>
      </c>
      <c r="I99" s="92"/>
      <c r="J99" s="31"/>
      <c r="K99" s="11" t="s">
        <v>1705</v>
      </c>
      <c r="L99" s="8"/>
      <c r="M99" s="15">
        <v>166.0</v>
      </c>
      <c r="N99" s="8"/>
      <c r="O99" s="8"/>
      <c r="P99" s="31"/>
      <c r="Q99" s="4"/>
      <c r="R99" s="4"/>
      <c r="S99" s="4"/>
      <c r="T99" s="4"/>
      <c r="U99" s="4"/>
      <c r="V99" s="4"/>
      <c r="W99" s="4"/>
      <c r="X99" s="4"/>
      <c r="Y99" s="4"/>
    </row>
    <row r="100">
      <c r="A100" s="5" t="s">
        <v>1706</v>
      </c>
      <c r="B100" s="6">
        <v>1367.0</v>
      </c>
      <c r="C100" s="7" t="b">
        <v>1</v>
      </c>
      <c r="D100" s="8" t="str">
        <f>IFERROR(__xludf.DUMMYFUNCTION("GOOGLETRANSLATE(A100,""ar"", ""en"")"),"FISHING CHAIR")</f>
        <v>FISHING CHAIR</v>
      </c>
      <c r="E100" s="5" t="s">
        <v>1707</v>
      </c>
      <c r="F100" s="9" t="s">
        <v>28</v>
      </c>
      <c r="G100" s="9" t="s">
        <v>18</v>
      </c>
      <c r="H100" s="16" t="s">
        <v>1549</v>
      </c>
      <c r="I100" s="92"/>
      <c r="J100" s="29"/>
      <c r="K100" s="11" t="s">
        <v>1708</v>
      </c>
      <c r="L100" s="8"/>
      <c r="M100" s="12">
        <v>50.0</v>
      </c>
      <c r="N100" s="8"/>
      <c r="O100" s="8"/>
      <c r="P100" s="29"/>
      <c r="Q100" s="4"/>
      <c r="R100" s="4"/>
      <c r="S100" s="4"/>
      <c r="T100" s="4"/>
      <c r="U100" s="4"/>
      <c r="V100" s="4"/>
      <c r="W100" s="4"/>
      <c r="X100" s="4"/>
      <c r="Y100" s="4"/>
    </row>
    <row r="101">
      <c r="A101" s="13" t="s">
        <v>1709</v>
      </c>
      <c r="B101" s="6">
        <v>1373.0</v>
      </c>
      <c r="C101" s="7" t="b">
        <v>1</v>
      </c>
      <c r="D101" s="8" t="str">
        <f>IFERROR(__xludf.DUMMYFUNCTION("GOOGLETRANSLATE(A101,""ar"", ""en"")"),"Black aluminum base")</f>
        <v>Black aluminum base</v>
      </c>
      <c r="E101" s="13" t="s">
        <v>1710</v>
      </c>
      <c r="F101" s="9" t="s">
        <v>27</v>
      </c>
      <c r="G101" s="9" t="s">
        <v>28</v>
      </c>
      <c r="H101" s="16" t="s">
        <v>186</v>
      </c>
      <c r="I101" s="92"/>
      <c r="J101" s="14">
        <v>246.45</v>
      </c>
      <c r="K101" s="11" t="s">
        <v>1711</v>
      </c>
      <c r="L101" s="8"/>
      <c r="M101" s="15">
        <v>8.0</v>
      </c>
      <c r="N101" s="8"/>
      <c r="O101" s="8"/>
      <c r="P101" s="14">
        <v>30.81</v>
      </c>
      <c r="Q101" s="4"/>
      <c r="R101" s="4"/>
      <c r="S101" s="4"/>
      <c r="T101" s="4"/>
      <c r="U101" s="4"/>
      <c r="V101" s="4"/>
      <c r="W101" s="4"/>
      <c r="X101" s="4"/>
      <c r="Y101" s="4"/>
    </row>
    <row r="102">
      <c r="A102" s="13" t="s">
        <v>1712</v>
      </c>
      <c r="B102" s="6">
        <v>1421.0</v>
      </c>
      <c r="C102" s="7" t="b">
        <v>1</v>
      </c>
      <c r="D102" s="8" t="str">
        <f>IFERROR(__xludf.DUMMYFUNCTION("GOOGLETRANSLATE(A102,""ar"", ""en"")"),"Iron table 70*70 cm black")</f>
        <v>Iron table 70*70 cm black</v>
      </c>
      <c r="E102" s="13" t="s">
        <v>1713</v>
      </c>
      <c r="F102" s="9" t="s">
        <v>27</v>
      </c>
      <c r="G102" s="9" t="s">
        <v>28</v>
      </c>
      <c r="H102" s="16" t="s">
        <v>98</v>
      </c>
      <c r="I102" s="92"/>
      <c r="J102" s="31"/>
      <c r="K102" s="11" t="s">
        <v>1714</v>
      </c>
      <c r="L102" s="8"/>
      <c r="M102" s="15">
        <v>5.0</v>
      </c>
      <c r="N102" s="8"/>
      <c r="O102" s="8"/>
      <c r="P102" s="31"/>
      <c r="Q102" s="4"/>
      <c r="R102" s="4"/>
      <c r="S102" s="4"/>
      <c r="T102" s="4"/>
      <c r="U102" s="4"/>
      <c r="V102" s="4"/>
      <c r="W102" s="4"/>
      <c r="X102" s="4"/>
      <c r="Y102" s="4"/>
    </row>
    <row r="103">
      <c r="A103" s="5" t="s">
        <v>1715</v>
      </c>
      <c r="B103" s="6">
        <v>1422.0</v>
      </c>
      <c r="C103" s="7" t="b">
        <v>1</v>
      </c>
      <c r="D103" s="8" t="str">
        <f>IFERROR(__xludf.DUMMYFUNCTION("GOOGLETRANSLATE(A103,""ar"", ""en"")"),"70 cm round iron table")</f>
        <v>70 cm round iron table</v>
      </c>
      <c r="E103" s="5" t="s">
        <v>1716</v>
      </c>
      <c r="F103" s="9" t="s">
        <v>27</v>
      </c>
      <c r="G103" s="9" t="s">
        <v>28</v>
      </c>
      <c r="H103" s="16" t="s">
        <v>98</v>
      </c>
      <c r="I103" s="92"/>
      <c r="J103" s="29"/>
      <c r="K103" s="11" t="s">
        <v>1717</v>
      </c>
      <c r="L103" s="8"/>
      <c r="M103" s="12">
        <v>21.0</v>
      </c>
      <c r="N103" s="8"/>
      <c r="O103" s="8"/>
      <c r="P103" s="29"/>
      <c r="Q103" s="4"/>
      <c r="R103" s="4"/>
      <c r="S103" s="4"/>
      <c r="T103" s="4"/>
      <c r="U103" s="4"/>
      <c r="V103" s="4"/>
      <c r="W103" s="4"/>
      <c r="X103" s="4"/>
      <c r="Y103" s="4"/>
    </row>
    <row r="104">
      <c r="A104" s="5" t="s">
        <v>1718</v>
      </c>
      <c r="B104" s="6">
        <v>1424.0</v>
      </c>
      <c r="C104" s="7" t="b">
        <v>1</v>
      </c>
      <c r="D104" s="8" t="str">
        <f>IFERROR(__xludf.DUMMYFUNCTION("GOOGLETRANSLATE(A104,""ar"", ""en"")"),"60 round aluminum table")</f>
        <v>60 round aluminum table</v>
      </c>
      <c r="E104" s="5" t="s">
        <v>1719</v>
      </c>
      <c r="F104" s="9" t="s">
        <v>27</v>
      </c>
      <c r="G104" s="9" t="s">
        <v>28</v>
      </c>
      <c r="H104" s="16" t="s">
        <v>98</v>
      </c>
      <c r="I104" s="92"/>
      <c r="J104" s="29"/>
      <c r="K104" s="11" t="s">
        <v>1720</v>
      </c>
      <c r="L104" s="8"/>
      <c r="M104" s="12">
        <v>65.0</v>
      </c>
      <c r="N104" s="8"/>
      <c r="O104" s="8"/>
      <c r="P104" s="29"/>
      <c r="Q104" s="4"/>
      <c r="R104" s="4"/>
      <c r="S104" s="4"/>
      <c r="T104" s="4"/>
      <c r="U104" s="4"/>
      <c r="V104" s="4"/>
      <c r="W104" s="4"/>
      <c r="X104" s="4"/>
      <c r="Y104" s="4"/>
    </row>
    <row r="105">
      <c r="A105" s="5" t="s">
        <v>1721</v>
      </c>
      <c r="B105" s="6">
        <v>1426.0</v>
      </c>
      <c r="C105" s="7" t="b">
        <v>1</v>
      </c>
      <c r="D105" s="8" t="str">
        <f>IFERROR(__xludf.DUMMYFUNCTION("GOOGLETRANSLATE(A105,""ar"", ""en"")"),"Coffee chair")</f>
        <v>Coffee chair</v>
      </c>
      <c r="E105" s="5" t="s">
        <v>1722</v>
      </c>
      <c r="F105" s="9" t="s">
        <v>27</v>
      </c>
      <c r="G105" s="9" t="s">
        <v>28</v>
      </c>
      <c r="H105" s="16" t="s">
        <v>29</v>
      </c>
      <c r="I105" s="92"/>
      <c r="J105" s="29"/>
      <c r="K105" s="11" t="s">
        <v>1723</v>
      </c>
      <c r="L105" s="8"/>
      <c r="M105" s="12">
        <v>58.0</v>
      </c>
      <c r="N105" s="8"/>
      <c r="O105" s="8"/>
      <c r="P105" s="29"/>
      <c r="Q105" s="4"/>
      <c r="R105" s="4"/>
      <c r="S105" s="4"/>
      <c r="T105" s="4"/>
      <c r="U105" s="4"/>
      <c r="V105" s="4"/>
      <c r="W105" s="4"/>
      <c r="X105" s="4"/>
      <c r="Y105" s="4"/>
    </row>
    <row r="106">
      <c r="A106" s="13" t="s">
        <v>1724</v>
      </c>
      <c r="B106" s="6">
        <v>1477.0</v>
      </c>
      <c r="C106" s="7" t="b">
        <v>1</v>
      </c>
      <c r="D106" s="8" t="str">
        <f>IFERROR(__xludf.DUMMYFUNCTION("GOOGLETRANSLATE(A106,""ar"", ""en"")"),"Resin chair")</f>
        <v>Resin chair</v>
      </c>
      <c r="E106" s="13" t="s">
        <v>1725</v>
      </c>
      <c r="F106" s="9" t="s">
        <v>28</v>
      </c>
      <c r="G106" s="9" t="s">
        <v>28</v>
      </c>
      <c r="H106" s="16" t="s">
        <v>519</v>
      </c>
      <c r="I106" s="97" t="s">
        <v>1726</v>
      </c>
      <c r="J106" s="31"/>
      <c r="K106" s="11" t="s">
        <v>1727</v>
      </c>
      <c r="L106" s="8"/>
      <c r="M106" s="15">
        <v>75.0</v>
      </c>
      <c r="N106" s="8"/>
      <c r="O106" s="8"/>
      <c r="P106" s="31"/>
      <c r="Q106" s="4"/>
      <c r="R106" s="4"/>
      <c r="S106" s="4"/>
      <c r="T106" s="4"/>
      <c r="U106" s="4"/>
      <c r="V106" s="4"/>
      <c r="W106" s="4"/>
      <c r="X106" s="4"/>
      <c r="Y106" s="4"/>
    </row>
    <row r="107">
      <c r="A107" s="5" t="s">
        <v>1728</v>
      </c>
      <c r="B107" s="6">
        <v>1481.0</v>
      </c>
      <c r="C107" s="7" t="b">
        <v>1</v>
      </c>
      <c r="D107" s="8" t="str">
        <f>IFERROR(__xludf.DUMMYFUNCTION("GOOGLETRANSLATE(A107,""ar"", ""en"")"),"Resin rocking chair")</f>
        <v>Resin rocking chair</v>
      </c>
      <c r="E107" s="5" t="s">
        <v>1729</v>
      </c>
      <c r="F107" s="9" t="s">
        <v>28</v>
      </c>
      <c r="G107" s="9" t="s">
        <v>28</v>
      </c>
      <c r="H107" s="16" t="s">
        <v>519</v>
      </c>
      <c r="I107" s="101" t="s">
        <v>1730</v>
      </c>
      <c r="J107" s="29"/>
      <c r="K107" s="11" t="s">
        <v>1731</v>
      </c>
      <c r="L107" s="8"/>
      <c r="M107" s="12">
        <v>188.0</v>
      </c>
      <c r="N107" s="8"/>
      <c r="O107" s="8"/>
      <c r="P107" s="29"/>
      <c r="Q107" s="4"/>
      <c r="R107" s="4"/>
      <c r="S107" s="4"/>
      <c r="T107" s="4"/>
      <c r="U107" s="4"/>
      <c r="V107" s="4"/>
      <c r="W107" s="4"/>
      <c r="X107" s="4"/>
      <c r="Y107" s="4"/>
    </row>
    <row r="108">
      <c r="A108" s="5" t="s">
        <v>1732</v>
      </c>
      <c r="B108" s="6">
        <v>1483.0</v>
      </c>
      <c r="C108" s="7" t="b">
        <v>1</v>
      </c>
      <c r="D108" s="8" t="str">
        <f>IFERROR(__xludf.DUMMYFUNCTION("GOOGLETRANSLATE(A108,""ar"", ""en"")"),"Single resin basket")</f>
        <v>Single resin basket</v>
      </c>
      <c r="E108" s="5" t="s">
        <v>1733</v>
      </c>
      <c r="F108" s="9" t="s">
        <v>28</v>
      </c>
      <c r="G108" s="9" t="s">
        <v>28</v>
      </c>
      <c r="H108" s="16" t="s">
        <v>519</v>
      </c>
      <c r="I108" s="92"/>
      <c r="J108" s="29"/>
      <c r="K108" s="11" t="s">
        <v>1734</v>
      </c>
      <c r="L108" s="8"/>
      <c r="M108" s="12">
        <v>38.0</v>
      </c>
      <c r="N108" s="8"/>
      <c r="O108" s="8"/>
      <c r="P108" s="29"/>
      <c r="Q108" s="4"/>
      <c r="R108" s="4"/>
      <c r="S108" s="4"/>
      <c r="T108" s="4"/>
      <c r="U108" s="4"/>
      <c r="V108" s="4"/>
      <c r="W108" s="4"/>
      <c r="X108" s="4"/>
      <c r="Y108" s="4"/>
    </row>
    <row r="109">
      <c r="A109" s="5" t="s">
        <v>1735</v>
      </c>
      <c r="B109" s="6">
        <v>1487.0</v>
      </c>
      <c r="C109" s="7" t="b">
        <v>1</v>
      </c>
      <c r="D109" s="8" t="str">
        <f>IFERROR(__xludf.DUMMYFUNCTION("GOOGLETRANSLATE(A109,""ar"", ""en"")"),"Two-seat resin set")</f>
        <v>Two-seat resin set</v>
      </c>
      <c r="E109" s="5" t="s">
        <v>1736</v>
      </c>
      <c r="F109" s="9" t="s">
        <v>28</v>
      </c>
      <c r="G109" s="9" t="s">
        <v>28</v>
      </c>
      <c r="H109" s="16" t="s">
        <v>519</v>
      </c>
      <c r="I109" s="92"/>
      <c r="J109" s="29"/>
      <c r="K109" s="11" t="s">
        <v>1737</v>
      </c>
      <c r="L109" s="8"/>
      <c r="M109" s="12">
        <v>147.0</v>
      </c>
      <c r="N109" s="8"/>
      <c r="O109" s="8"/>
      <c r="P109" s="29"/>
      <c r="Q109" s="4"/>
      <c r="R109" s="4"/>
      <c r="S109" s="4"/>
      <c r="T109" s="4"/>
      <c r="U109" s="4"/>
      <c r="V109" s="4"/>
      <c r="W109" s="4"/>
      <c r="X109" s="4"/>
      <c r="Y109" s="4"/>
    </row>
    <row r="110">
      <c r="A110" s="5" t="s">
        <v>1738</v>
      </c>
      <c r="B110" s="6">
        <v>1489.0</v>
      </c>
      <c r="C110" s="7" t="b">
        <v>1</v>
      </c>
      <c r="D110" s="8" t="str">
        <f>IFERROR(__xludf.DUMMYFUNCTION("GOOGLETRANSLATE(A110,""ar"", ""en"")"),"resin basket")</f>
        <v>resin basket</v>
      </c>
      <c r="E110" s="5" t="s">
        <v>1739</v>
      </c>
      <c r="F110" s="9" t="s">
        <v>28</v>
      </c>
      <c r="G110" s="9" t="s">
        <v>28</v>
      </c>
      <c r="H110" s="16" t="s">
        <v>519</v>
      </c>
      <c r="I110" s="92"/>
      <c r="J110" s="29"/>
      <c r="K110" s="11" t="s">
        <v>1740</v>
      </c>
      <c r="L110" s="8"/>
      <c r="M110" s="12">
        <v>44.0</v>
      </c>
      <c r="N110" s="8"/>
      <c r="O110" s="8"/>
      <c r="P110" s="29"/>
      <c r="Q110" s="4"/>
      <c r="R110" s="4"/>
      <c r="S110" s="4"/>
      <c r="T110" s="4"/>
      <c r="U110" s="4"/>
      <c r="V110" s="4"/>
      <c r="W110" s="4"/>
      <c r="X110" s="4"/>
      <c r="Y110" s="4"/>
    </row>
    <row r="111">
      <c r="A111" s="13" t="s">
        <v>1741</v>
      </c>
      <c r="B111" s="6">
        <v>1490.0</v>
      </c>
      <c r="C111" s="7" t="b">
        <v>1</v>
      </c>
      <c r="D111" s="8" t="str">
        <f>IFERROR(__xludf.DUMMYFUNCTION("GOOGLETRANSLATE(A111,""ar"", ""en"")"),"Resin rocking chair made of wood")</f>
        <v>Resin rocking chair made of wood</v>
      </c>
      <c r="E111" s="13" t="s">
        <v>1742</v>
      </c>
      <c r="F111" s="9" t="s">
        <v>18</v>
      </c>
      <c r="G111" s="9" t="s">
        <v>18</v>
      </c>
      <c r="H111" s="16" t="s">
        <v>1549</v>
      </c>
      <c r="I111" s="92"/>
      <c r="J111" s="31"/>
      <c r="K111" s="11" t="s">
        <v>1743</v>
      </c>
      <c r="L111" s="8"/>
      <c r="M111" s="15">
        <v>69.0</v>
      </c>
      <c r="N111" s="8"/>
      <c r="O111" s="8"/>
      <c r="P111" s="31"/>
      <c r="Q111" s="4"/>
      <c r="R111" s="4"/>
      <c r="S111" s="4"/>
      <c r="T111" s="4"/>
      <c r="U111" s="4"/>
      <c r="V111" s="4"/>
      <c r="W111" s="4"/>
      <c r="X111" s="4"/>
      <c r="Y111" s="4"/>
    </row>
    <row r="112">
      <c r="A112" s="5" t="s">
        <v>1744</v>
      </c>
      <c r="B112" s="6">
        <v>1493.0</v>
      </c>
      <c r="C112" s="7" t="b">
        <v>1</v>
      </c>
      <c r="D112" s="8" t="str">
        <f>IFERROR(__xludf.DUMMYFUNCTION("GOOGLETRANSLATE(A112,""ar"", ""en"")"),"Round inflatable iron base")</f>
        <v>Round inflatable iron base</v>
      </c>
      <c r="E112" s="5" t="s">
        <v>1745</v>
      </c>
      <c r="F112" s="9" t="s">
        <v>27</v>
      </c>
      <c r="G112" s="9" t="s">
        <v>18</v>
      </c>
      <c r="H112" s="16" t="s">
        <v>186</v>
      </c>
      <c r="I112" s="92"/>
      <c r="J112" s="29"/>
      <c r="K112" s="11" t="s">
        <v>1746</v>
      </c>
      <c r="L112" s="8"/>
      <c r="M112" s="12">
        <v>6.0</v>
      </c>
      <c r="N112" s="8"/>
      <c r="O112" s="8"/>
      <c r="P112" s="29"/>
      <c r="Q112" s="4"/>
      <c r="R112" s="4"/>
      <c r="S112" s="4"/>
      <c r="T112" s="4"/>
      <c r="U112" s="4"/>
      <c r="V112" s="4"/>
      <c r="W112" s="4"/>
      <c r="X112" s="4"/>
      <c r="Y112" s="4"/>
    </row>
    <row r="113">
      <c r="A113" s="13" t="s">
        <v>1747</v>
      </c>
      <c r="B113" s="6">
        <v>1494.0</v>
      </c>
      <c r="C113" s="7" t="b">
        <v>1</v>
      </c>
      <c r="D113" s="8" t="str">
        <f>IFERROR(__xludf.DUMMYFUNCTION("GOOGLETRANSLATE(A113,""ar"", ""en"")"),"Round spiral inflatable iron base")</f>
        <v>Round spiral inflatable iron base</v>
      </c>
      <c r="E113" s="13" t="s">
        <v>1748</v>
      </c>
      <c r="F113" s="9" t="s">
        <v>27</v>
      </c>
      <c r="G113" s="9" t="s">
        <v>18</v>
      </c>
      <c r="H113" s="16" t="s">
        <v>186</v>
      </c>
      <c r="I113" s="92"/>
      <c r="J113" s="31"/>
      <c r="K113" s="11" t="s">
        <v>1749</v>
      </c>
      <c r="L113" s="8"/>
      <c r="M113" s="15">
        <v>72.0</v>
      </c>
      <c r="N113" s="8"/>
      <c r="O113" s="8"/>
      <c r="P113" s="31"/>
      <c r="Q113" s="4"/>
      <c r="R113" s="4"/>
      <c r="S113" s="4"/>
      <c r="T113" s="4"/>
      <c r="U113" s="4"/>
      <c r="V113" s="4"/>
      <c r="W113" s="4"/>
      <c r="X113" s="4"/>
      <c r="Y113" s="4"/>
    </row>
    <row r="114">
      <c r="A114" s="5" t="s">
        <v>1750</v>
      </c>
      <c r="B114" s="6">
        <v>1495.0</v>
      </c>
      <c r="C114" s="7" t="b">
        <v>1</v>
      </c>
      <c r="D114" s="8" t="str">
        <f>IFERROR(__xludf.DUMMYFUNCTION("GOOGLETRANSLATE(A114,""ar"", ""en"")"),"Madurasoud iron base")</f>
        <v>Madurasoud iron base</v>
      </c>
      <c r="E114" s="5" t="s">
        <v>1751</v>
      </c>
      <c r="F114" s="9" t="s">
        <v>27</v>
      </c>
      <c r="G114" s="9" t="s">
        <v>18</v>
      </c>
      <c r="H114" s="16" t="s">
        <v>186</v>
      </c>
      <c r="I114" s="92"/>
      <c r="J114" s="29"/>
      <c r="K114" s="11" t="s">
        <v>1752</v>
      </c>
      <c r="L114" s="8"/>
      <c r="M114" s="12">
        <v>96.0</v>
      </c>
      <c r="N114" s="8"/>
      <c r="O114" s="8"/>
      <c r="P114" s="29"/>
      <c r="Q114" s="4"/>
      <c r="R114" s="4"/>
      <c r="S114" s="4"/>
      <c r="T114" s="4"/>
      <c r="U114" s="4"/>
      <c r="V114" s="4"/>
      <c r="W114" s="4"/>
      <c r="X114" s="4"/>
      <c r="Y114" s="4"/>
    </row>
    <row r="115">
      <c r="A115" s="5" t="s">
        <v>1753</v>
      </c>
      <c r="B115" s="6">
        <v>1497.0</v>
      </c>
      <c r="C115" s="7" t="b">
        <v>1</v>
      </c>
      <c r="D115" s="8" t="str">
        <f>IFERROR(__xludf.DUMMYFUNCTION("GOOGLETRANSLATE(A115,""ar"", ""en"")"),"45 cm / smooth round inflatable iron base")</f>
        <v>45 cm / smooth round inflatable iron base</v>
      </c>
      <c r="E115" s="5" t="s">
        <v>1754</v>
      </c>
      <c r="F115" s="9" t="s">
        <v>27</v>
      </c>
      <c r="G115" s="9" t="s">
        <v>18</v>
      </c>
      <c r="H115" s="16" t="s">
        <v>186</v>
      </c>
      <c r="I115" s="92"/>
      <c r="J115" s="29"/>
      <c r="K115" s="11" t="s">
        <v>1755</v>
      </c>
      <c r="L115" s="8"/>
      <c r="M115" s="12">
        <v>100.0</v>
      </c>
      <c r="N115" s="8"/>
      <c r="O115" s="8"/>
      <c r="P115" s="29"/>
      <c r="Q115" s="4"/>
      <c r="R115" s="4"/>
      <c r="S115" s="4"/>
      <c r="T115" s="4"/>
      <c r="U115" s="4"/>
      <c r="V115" s="4"/>
      <c r="W115" s="4"/>
      <c r="X115" s="4"/>
      <c r="Y115" s="4"/>
    </row>
    <row r="116">
      <c r="A116" s="13" t="s">
        <v>1756</v>
      </c>
      <c r="B116" s="6">
        <v>1498.0</v>
      </c>
      <c r="C116" s="7" t="b">
        <v>1</v>
      </c>
      <c r="D116" s="8" t="str">
        <f>IFERROR(__xludf.DUMMYFUNCTION("GOOGLETRANSLATE(A116,""ar"", ""en"")"),"Black square iron base")</f>
        <v>Black square iron base</v>
      </c>
      <c r="E116" s="13" t="s">
        <v>1757</v>
      </c>
      <c r="F116" s="9" t="s">
        <v>27</v>
      </c>
      <c r="G116" s="9" t="s">
        <v>18</v>
      </c>
      <c r="H116" s="16" t="s">
        <v>186</v>
      </c>
      <c r="I116" s="92"/>
      <c r="J116" s="31"/>
      <c r="K116" s="11" t="s">
        <v>1758</v>
      </c>
      <c r="L116" s="8"/>
      <c r="M116" s="15">
        <v>199.0</v>
      </c>
      <c r="N116" s="8"/>
      <c r="O116" s="8"/>
      <c r="P116" s="31"/>
      <c r="Q116" s="4"/>
      <c r="R116" s="4"/>
      <c r="S116" s="4"/>
      <c r="T116" s="4"/>
      <c r="U116" s="4"/>
      <c r="V116" s="4"/>
      <c r="W116" s="4"/>
      <c r="X116" s="4"/>
      <c r="Y116" s="4"/>
    </row>
    <row r="117">
      <c r="A117" s="5" t="s">
        <v>1759</v>
      </c>
      <c r="B117" s="6">
        <v>1505.0</v>
      </c>
      <c r="C117" s="7" t="b">
        <v>1</v>
      </c>
      <c r="D117" s="8" t="str">
        <f>IFERROR(__xludf.DUMMYFUNCTION("GOOGLETRANSLATE(A117,""ar"", ""en"")"),"65cm square iron stair base")</f>
        <v>65cm square iron stair base</v>
      </c>
      <c r="E117" s="5" t="s">
        <v>1760</v>
      </c>
      <c r="F117" s="9" t="s">
        <v>27</v>
      </c>
      <c r="G117" s="9" t="s">
        <v>18</v>
      </c>
      <c r="H117" s="16" t="s">
        <v>186</v>
      </c>
      <c r="I117" s="92"/>
      <c r="J117" s="29"/>
      <c r="K117" s="11" t="s">
        <v>1761</v>
      </c>
      <c r="L117" s="8"/>
      <c r="M117" s="12">
        <v>13.0</v>
      </c>
      <c r="N117" s="8"/>
      <c r="O117" s="8"/>
      <c r="P117" s="29"/>
      <c r="Q117" s="4"/>
      <c r="R117" s="4"/>
      <c r="S117" s="4"/>
      <c r="T117" s="4"/>
      <c r="U117" s="4"/>
      <c r="V117" s="4"/>
      <c r="W117" s="4"/>
      <c r="X117" s="4"/>
      <c r="Y117" s="4"/>
    </row>
    <row r="118">
      <c r="A118" s="13" t="s">
        <v>1762</v>
      </c>
      <c r="B118" s="6">
        <v>1508.0</v>
      </c>
      <c r="C118" s="7" t="b">
        <v>1</v>
      </c>
      <c r="D118" s="8" t="str">
        <f>IFERROR(__xludf.DUMMYFUNCTION("GOOGLETRANSLATE(A118,""ar"", ""en"")"),"Rectangular iron base")</f>
        <v>Rectangular iron base</v>
      </c>
      <c r="E118" s="13" t="s">
        <v>1763</v>
      </c>
      <c r="F118" s="9" t="s">
        <v>27</v>
      </c>
      <c r="G118" s="9" t="s">
        <v>18</v>
      </c>
      <c r="H118" s="16" t="s">
        <v>186</v>
      </c>
      <c r="I118" s="92"/>
      <c r="J118" s="31"/>
      <c r="K118" s="11" t="s">
        <v>1764</v>
      </c>
      <c r="L118" s="8"/>
      <c r="M118" s="15">
        <v>93.0</v>
      </c>
      <c r="N118" s="8"/>
      <c r="O118" s="8"/>
      <c r="P118" s="31"/>
      <c r="Q118" s="4"/>
      <c r="R118" s="4"/>
      <c r="S118" s="4"/>
      <c r="T118" s="4"/>
      <c r="U118" s="4"/>
      <c r="V118" s="4"/>
      <c r="W118" s="4"/>
      <c r="X118" s="4"/>
      <c r="Y118" s="4"/>
    </row>
    <row r="119">
      <c r="A119" s="13" t="s">
        <v>577</v>
      </c>
      <c r="B119" s="6">
        <v>1510.0</v>
      </c>
      <c r="C119" s="7" t="b">
        <v>1</v>
      </c>
      <c r="D119" s="8" t="str">
        <f>IFERROR(__xludf.DUMMYFUNCTION("GOOGLETRANSLATE(A119,""ar"", ""en"")"),"square stainless steel base")</f>
        <v>square stainless steel base</v>
      </c>
      <c r="E119" s="13" t="s">
        <v>1765</v>
      </c>
      <c r="F119" s="9" t="s">
        <v>27</v>
      </c>
      <c r="G119" s="9" t="s">
        <v>28</v>
      </c>
      <c r="H119" s="16" t="s">
        <v>186</v>
      </c>
      <c r="I119" s="92"/>
      <c r="J119" s="31"/>
      <c r="K119" s="11" t="s">
        <v>579</v>
      </c>
      <c r="L119" s="8"/>
      <c r="M119" s="15">
        <v>24.0</v>
      </c>
      <c r="N119" s="8"/>
      <c r="O119" s="8"/>
      <c r="P119" s="31"/>
      <c r="Q119" s="4"/>
      <c r="R119" s="4"/>
      <c r="S119" s="4"/>
      <c r="T119" s="4"/>
      <c r="U119" s="4"/>
      <c r="V119" s="4"/>
      <c r="W119" s="4"/>
      <c r="X119" s="4"/>
      <c r="Y119" s="4"/>
    </row>
    <row r="120">
      <c r="A120" s="13" t="s">
        <v>1237</v>
      </c>
      <c r="B120" s="6">
        <v>1512.0</v>
      </c>
      <c r="C120" s="7" t="b">
        <v>1</v>
      </c>
      <c r="D120" s="8" t="str">
        <f>IFERROR(__xludf.DUMMYFUNCTION("GOOGLETRANSLATE(A120,""ar"", ""en"")"),"Stainless steel base")</f>
        <v>Stainless steel base</v>
      </c>
      <c r="E120" s="13" t="s">
        <v>1766</v>
      </c>
      <c r="F120" s="9" t="s">
        <v>27</v>
      </c>
      <c r="G120" s="9" t="s">
        <v>28</v>
      </c>
      <c r="H120" s="16" t="s">
        <v>186</v>
      </c>
      <c r="I120" s="92"/>
      <c r="J120" s="31"/>
      <c r="K120" s="11" t="s">
        <v>1239</v>
      </c>
      <c r="L120" s="8"/>
      <c r="M120" s="15">
        <v>77.0</v>
      </c>
      <c r="N120" s="8"/>
      <c r="O120" s="8"/>
      <c r="P120" s="31"/>
      <c r="Q120" s="4"/>
      <c r="R120" s="4"/>
      <c r="S120" s="4"/>
      <c r="T120" s="4"/>
      <c r="U120" s="4"/>
      <c r="V120" s="4"/>
      <c r="W120" s="4"/>
      <c r="X120" s="4"/>
      <c r="Y120" s="4"/>
    </row>
    <row r="121">
      <c r="A121" s="5" t="s">
        <v>1237</v>
      </c>
      <c r="B121" s="6">
        <v>1513.0</v>
      </c>
      <c r="C121" s="7" t="b">
        <v>1</v>
      </c>
      <c r="D121" s="8" t="str">
        <f>IFERROR(__xludf.DUMMYFUNCTION("GOOGLETRANSLATE(A121,""ar"", ""en"")"),"Stainless steel base")</f>
        <v>Stainless steel base</v>
      </c>
      <c r="E121" s="5" t="s">
        <v>1767</v>
      </c>
      <c r="F121" s="9" t="s">
        <v>27</v>
      </c>
      <c r="G121" s="9" t="s">
        <v>28</v>
      </c>
      <c r="H121" s="16" t="s">
        <v>186</v>
      </c>
      <c r="I121" s="92"/>
      <c r="J121" s="29"/>
      <c r="K121" s="11" t="s">
        <v>1239</v>
      </c>
      <c r="L121" s="8"/>
      <c r="M121" s="12">
        <v>50.0</v>
      </c>
      <c r="N121" s="8"/>
      <c r="O121" s="8"/>
      <c r="P121" s="29"/>
      <c r="Q121" s="4"/>
      <c r="R121" s="4"/>
      <c r="S121" s="4"/>
      <c r="T121" s="4"/>
      <c r="U121" s="4"/>
      <c r="V121" s="4"/>
      <c r="W121" s="4"/>
      <c r="X121" s="4"/>
      <c r="Y121" s="4"/>
    </row>
    <row r="122">
      <c r="A122" s="13" t="s">
        <v>1768</v>
      </c>
      <c r="B122" s="6">
        <v>1516.0</v>
      </c>
      <c r="C122" s="7" t="b">
        <v>1</v>
      </c>
      <c r="D122" s="8" t="str">
        <f>IFERROR(__xludf.DUMMYFUNCTION("GOOGLETRANSLATE(A122,""ar"", ""en"")"),"Rectangular stainless steel press base")</f>
        <v>Rectangular stainless steel press base</v>
      </c>
      <c r="E122" s="13" t="s">
        <v>1769</v>
      </c>
      <c r="F122" s="9" t="s">
        <v>27</v>
      </c>
      <c r="G122" s="9" t="s">
        <v>28</v>
      </c>
      <c r="H122" s="16" t="s">
        <v>186</v>
      </c>
      <c r="I122" s="92"/>
      <c r="J122" s="31"/>
      <c r="K122" s="11" t="s">
        <v>1770</v>
      </c>
      <c r="L122" s="8"/>
      <c r="M122" s="15">
        <v>13.0</v>
      </c>
      <c r="N122" s="8"/>
      <c r="O122" s="8"/>
      <c r="P122" s="31"/>
      <c r="Q122" s="4"/>
      <c r="R122" s="4"/>
      <c r="S122" s="4"/>
      <c r="T122" s="4"/>
      <c r="U122" s="4"/>
      <c r="V122" s="4"/>
      <c r="W122" s="4"/>
      <c r="X122" s="4"/>
      <c r="Y122" s="4"/>
    </row>
    <row r="123">
      <c r="A123" s="5" t="s">
        <v>1771</v>
      </c>
      <c r="B123" s="6">
        <v>1523.0</v>
      </c>
      <c r="C123" s="7" t="b">
        <v>1</v>
      </c>
      <c r="D123" s="8" t="str">
        <f>IFERROR(__xludf.DUMMYFUNCTION("GOOGLETRANSLATE(A123,""ar"", ""en"")"),"Brown Recliner Chair")</f>
        <v>Brown Recliner Chair</v>
      </c>
      <c r="E123" s="5" t="s">
        <v>1772</v>
      </c>
      <c r="F123" s="9" t="s">
        <v>18</v>
      </c>
      <c r="G123" s="9" t="s">
        <v>18</v>
      </c>
      <c r="H123" s="16" t="s">
        <v>1549</v>
      </c>
      <c r="I123" s="92"/>
      <c r="J123" s="29"/>
      <c r="K123" s="11" t="s">
        <v>1773</v>
      </c>
      <c r="L123" s="8"/>
      <c r="M123" s="12">
        <v>8.0</v>
      </c>
      <c r="N123" s="8"/>
      <c r="O123" s="8"/>
      <c r="P123" s="29"/>
      <c r="Q123" s="4"/>
      <c r="R123" s="4"/>
      <c r="S123" s="4"/>
      <c r="T123" s="4"/>
      <c r="U123" s="4"/>
      <c r="V123" s="4"/>
      <c r="W123" s="4"/>
      <c r="X123" s="4"/>
      <c r="Y123" s="4"/>
    </row>
    <row r="124">
      <c r="A124" s="13" t="s">
        <v>1774</v>
      </c>
      <c r="B124" s="6">
        <v>1524.0</v>
      </c>
      <c r="C124" s="7" t="b">
        <v>1</v>
      </c>
      <c r="D124" s="8" t="str">
        <f>IFERROR(__xludf.DUMMYFUNCTION("GOOGLETRANSLATE(A124,""ar"", ""en"")"),"Dark Grey Recliner Chair")</f>
        <v>Dark Grey Recliner Chair</v>
      </c>
      <c r="E124" s="13" t="s">
        <v>1775</v>
      </c>
      <c r="F124" s="9" t="s">
        <v>18</v>
      </c>
      <c r="G124" s="9" t="s">
        <v>18</v>
      </c>
      <c r="H124" s="16" t="s">
        <v>1549</v>
      </c>
      <c r="I124" s="92"/>
      <c r="J124" s="31"/>
      <c r="K124" s="11" t="s">
        <v>1776</v>
      </c>
      <c r="L124" s="8"/>
      <c r="M124" s="15">
        <v>25.0</v>
      </c>
      <c r="N124" s="8"/>
      <c r="O124" s="8"/>
      <c r="P124" s="31"/>
      <c r="Q124" s="4"/>
      <c r="R124" s="4"/>
      <c r="S124" s="4"/>
      <c r="T124" s="4"/>
      <c r="U124" s="4"/>
      <c r="V124" s="4"/>
      <c r="W124" s="4"/>
      <c r="X124" s="4"/>
      <c r="Y124" s="4"/>
    </row>
    <row r="125">
      <c r="A125" s="13" t="s">
        <v>1777</v>
      </c>
      <c r="B125" s="6">
        <v>1526.0</v>
      </c>
      <c r="C125" s="7" t="b">
        <v>1</v>
      </c>
      <c r="D125" s="8" t="str">
        <f>IFERROR(__xludf.DUMMYFUNCTION("GOOGLETRANSLATE(A125,""ar"", ""en"")"),"RECLYNER CHAIR - BROWN")</f>
        <v>RECLYNER CHAIR - BROWN</v>
      </c>
      <c r="E125" s="13" t="s">
        <v>1778</v>
      </c>
      <c r="F125" s="9" t="s">
        <v>18</v>
      </c>
      <c r="G125" s="9" t="s">
        <v>18</v>
      </c>
      <c r="H125" s="16" t="s">
        <v>1549</v>
      </c>
      <c r="I125" s="92"/>
      <c r="J125" s="31"/>
      <c r="K125" s="11" t="s">
        <v>1779</v>
      </c>
      <c r="L125" s="8"/>
      <c r="M125" s="15">
        <v>10.0</v>
      </c>
      <c r="N125" s="8"/>
      <c r="O125" s="8"/>
      <c r="P125" s="31"/>
      <c r="Q125" s="4"/>
      <c r="R125" s="4"/>
      <c r="S125" s="4"/>
      <c r="T125" s="4"/>
      <c r="U125" s="4"/>
      <c r="V125" s="4"/>
      <c r="W125" s="4"/>
      <c r="X125" s="4"/>
      <c r="Y125" s="4"/>
    </row>
    <row r="126">
      <c r="A126" s="5" t="s">
        <v>1780</v>
      </c>
      <c r="B126" s="6">
        <v>1527.0</v>
      </c>
      <c r="C126" s="7" t="b">
        <v>1</v>
      </c>
      <c r="D126" s="8" t="str">
        <f>IFERROR(__xludf.DUMMYFUNCTION("GOOGLETRANSLATE(A126,""ar"", ""en"")"),"RECLYNER CHAIR - DARK GRAY")</f>
        <v>RECLYNER CHAIR - DARK GRAY</v>
      </c>
      <c r="E126" s="5" t="s">
        <v>1781</v>
      </c>
      <c r="F126" s="9" t="s">
        <v>18</v>
      </c>
      <c r="G126" s="9" t="s">
        <v>18</v>
      </c>
      <c r="H126" s="16" t="s">
        <v>1549</v>
      </c>
      <c r="I126" s="92"/>
      <c r="J126" s="29"/>
      <c r="K126" s="11" t="s">
        <v>1782</v>
      </c>
      <c r="L126" s="8"/>
      <c r="M126" s="12">
        <v>22.0</v>
      </c>
      <c r="N126" s="8"/>
      <c r="O126" s="8"/>
      <c r="P126" s="29"/>
      <c r="Q126" s="4"/>
      <c r="R126" s="4"/>
      <c r="S126" s="4"/>
      <c r="T126" s="4"/>
      <c r="U126" s="4"/>
      <c r="V126" s="4"/>
      <c r="W126" s="4"/>
      <c r="X126" s="4"/>
      <c r="Y126" s="4"/>
    </row>
    <row r="127">
      <c r="A127" s="13" t="s">
        <v>1783</v>
      </c>
      <c r="B127" s="6">
        <v>1528.0</v>
      </c>
      <c r="C127" s="7" t="b">
        <v>1</v>
      </c>
      <c r="D127" s="8" t="str">
        <f>IFERROR(__xludf.DUMMYFUNCTION("GOOGLETRANSLATE(A127,""ar"", ""en"")"),"RECLYNER CHAIR - DARK BEIGE")</f>
        <v>RECLYNER CHAIR - DARK BEIGE</v>
      </c>
      <c r="E127" s="13" t="s">
        <v>1784</v>
      </c>
      <c r="F127" s="9" t="s">
        <v>18</v>
      </c>
      <c r="G127" s="9" t="s">
        <v>18</v>
      </c>
      <c r="H127" s="16" t="s">
        <v>1549</v>
      </c>
      <c r="I127" s="92"/>
      <c r="J127" s="31"/>
      <c r="K127" s="11" t="s">
        <v>1785</v>
      </c>
      <c r="L127" s="8"/>
      <c r="M127" s="15">
        <v>12.0</v>
      </c>
      <c r="N127" s="8"/>
      <c r="O127" s="8"/>
      <c r="P127" s="31"/>
      <c r="Q127" s="4"/>
      <c r="R127" s="4"/>
      <c r="S127" s="4"/>
      <c r="T127" s="4"/>
      <c r="U127" s="4"/>
      <c r="V127" s="4"/>
      <c r="W127" s="4"/>
      <c r="X127" s="4"/>
      <c r="Y127" s="4"/>
    </row>
    <row r="128">
      <c r="A128" s="5" t="s">
        <v>1786</v>
      </c>
      <c r="B128" s="6">
        <v>1535.0</v>
      </c>
      <c r="C128" s="7" t="b">
        <v>1</v>
      </c>
      <c r="D128" s="8" t="str">
        <f>IFERROR(__xludf.DUMMYFUNCTION("GOOGLETRANSLATE(A128,""ar"", ""en"")"),"Table set + 4 wooden chairs")</f>
        <v>Table set + 4 wooden chairs</v>
      </c>
      <c r="E128" s="5" t="s">
        <v>1787</v>
      </c>
      <c r="F128" s="9" t="s">
        <v>18</v>
      </c>
      <c r="G128" s="9" t="s">
        <v>18</v>
      </c>
      <c r="H128" s="16" t="s">
        <v>1549</v>
      </c>
      <c r="I128" s="92"/>
      <c r="J128" s="29"/>
      <c r="K128" s="11" t="s">
        <v>1788</v>
      </c>
      <c r="L128" s="8"/>
      <c r="M128" s="12">
        <v>278.0</v>
      </c>
      <c r="N128" s="8"/>
      <c r="O128" s="8"/>
      <c r="P128" s="29"/>
      <c r="Q128" s="4"/>
      <c r="R128" s="4"/>
      <c r="S128" s="4"/>
      <c r="T128" s="4"/>
      <c r="U128" s="4"/>
      <c r="V128" s="4"/>
      <c r="W128" s="4"/>
      <c r="X128" s="4"/>
      <c r="Y128" s="4"/>
    </row>
    <row r="129">
      <c r="A129" s="13" t="s">
        <v>1789</v>
      </c>
      <c r="B129" s="6">
        <v>1538.0</v>
      </c>
      <c r="C129" s="7" t="b">
        <v>1</v>
      </c>
      <c r="D129" s="8" t="str">
        <f>IFERROR(__xludf.DUMMYFUNCTION("GOOGLETRANSLATE(A129,""ar"", ""en"")"),"Bank Font 122 cm")</f>
        <v>Bank Font 122 cm</v>
      </c>
      <c r="E129" s="13" t="s">
        <v>1790</v>
      </c>
      <c r="F129" s="9" t="s">
        <v>28</v>
      </c>
      <c r="G129" s="9" t="s">
        <v>28</v>
      </c>
      <c r="H129" s="16" t="s">
        <v>1549</v>
      </c>
      <c r="I129" s="92"/>
      <c r="J129" s="31"/>
      <c r="K129" s="11" t="s">
        <v>1791</v>
      </c>
      <c r="L129" s="8"/>
      <c r="M129" s="15">
        <v>24.0</v>
      </c>
      <c r="N129" s="8"/>
      <c r="O129" s="8"/>
      <c r="P129" s="31"/>
      <c r="Q129" s="4"/>
      <c r="R129" s="4"/>
      <c r="S129" s="4"/>
      <c r="T129" s="4"/>
      <c r="U129" s="4"/>
      <c r="V129" s="4"/>
      <c r="W129" s="4"/>
      <c r="X129" s="4"/>
      <c r="Y129" s="4"/>
    </row>
    <row r="130">
      <c r="A130" s="13" t="s">
        <v>1792</v>
      </c>
      <c r="B130" s="6">
        <v>1540.0</v>
      </c>
      <c r="C130" s="7" t="b">
        <v>1</v>
      </c>
      <c r="D130" s="8" t="str">
        <f>IFERROR(__xludf.DUMMYFUNCTION("GOOGLETRANSLATE(A130,""ar"", ""en"")"),"Font Bank 180 cm")</f>
        <v>Font Bank 180 cm</v>
      </c>
      <c r="E130" s="13" t="s">
        <v>1793</v>
      </c>
      <c r="F130" s="9" t="s">
        <v>28</v>
      </c>
      <c r="G130" s="9" t="s">
        <v>28</v>
      </c>
      <c r="H130" s="16" t="s">
        <v>1549</v>
      </c>
      <c r="I130" s="92"/>
      <c r="J130" s="31"/>
      <c r="K130" s="11" t="s">
        <v>1794</v>
      </c>
      <c r="L130" s="8"/>
      <c r="M130" s="15">
        <v>24.0</v>
      </c>
      <c r="N130" s="8"/>
      <c r="O130" s="8"/>
      <c r="P130" s="31"/>
      <c r="Q130" s="4"/>
      <c r="R130" s="4"/>
      <c r="S130" s="4"/>
      <c r="T130" s="4"/>
      <c r="U130" s="4"/>
      <c r="V130" s="4"/>
      <c r="W130" s="4"/>
      <c r="X130" s="4"/>
      <c r="Y130" s="4"/>
    </row>
    <row r="131">
      <c r="A131" s="5" t="s">
        <v>1795</v>
      </c>
      <c r="B131" s="6">
        <v>1541.0</v>
      </c>
      <c r="C131" s="7" t="b">
        <v>1</v>
      </c>
      <c r="D131" s="8" t="str">
        <f>IFERROR(__xludf.DUMMYFUNCTION("GOOGLETRANSLATE(A131,""ar"", ""en"")"),"Bank Font Two Seats Without Hands")</f>
        <v>Bank Font Two Seats Without Hands</v>
      </c>
      <c r="E131" s="5" t="s">
        <v>1796</v>
      </c>
      <c r="F131" s="9" t="s">
        <v>28</v>
      </c>
      <c r="G131" s="9" t="s">
        <v>28</v>
      </c>
      <c r="H131" s="16" t="s">
        <v>1549</v>
      </c>
      <c r="I131" s="92"/>
      <c r="J131" s="29"/>
      <c r="K131" s="11" t="s">
        <v>1797</v>
      </c>
      <c r="L131" s="8"/>
      <c r="M131" s="12">
        <v>1.0</v>
      </c>
      <c r="N131" s="8"/>
      <c r="O131" s="8"/>
      <c r="P131" s="29"/>
      <c r="Q131" s="4"/>
      <c r="R131" s="4"/>
      <c r="S131" s="4"/>
      <c r="T131" s="4"/>
      <c r="U131" s="4"/>
      <c r="V131" s="4"/>
      <c r="W131" s="4"/>
      <c r="X131" s="4"/>
      <c r="Y131" s="4"/>
    </row>
    <row r="132">
      <c r="A132" s="13" t="s">
        <v>1798</v>
      </c>
      <c r="B132" s="6">
        <v>1546.0</v>
      </c>
      <c r="C132" s="7" t="b">
        <v>1</v>
      </c>
      <c r="D132" s="8" t="str">
        <f>IFERROR(__xludf.DUMMYFUNCTION("GOOGLETRANSLATE(A132,""ar"", ""en"")"),"Bank Font 3 Seats Hand Free")</f>
        <v>Bank Font 3 Seats Hand Free</v>
      </c>
      <c r="E132" s="13" t="s">
        <v>1799</v>
      </c>
      <c r="F132" s="9" t="s">
        <v>28</v>
      </c>
      <c r="G132" s="9" t="s">
        <v>28</v>
      </c>
      <c r="H132" s="16" t="s">
        <v>1549</v>
      </c>
      <c r="I132" s="92"/>
      <c r="J132" s="31"/>
      <c r="K132" s="11" t="s">
        <v>1800</v>
      </c>
      <c r="L132" s="8"/>
      <c r="M132" s="15">
        <v>17.0</v>
      </c>
      <c r="N132" s="8"/>
      <c r="O132" s="8"/>
      <c r="P132" s="31"/>
      <c r="Q132" s="4"/>
      <c r="R132" s="4"/>
      <c r="S132" s="4"/>
      <c r="T132" s="4"/>
      <c r="U132" s="4"/>
      <c r="V132" s="4"/>
      <c r="W132" s="4"/>
      <c r="X132" s="4"/>
      <c r="Y132" s="4"/>
    </row>
    <row r="133">
      <c r="A133" s="5" t="s">
        <v>1801</v>
      </c>
      <c r="B133" s="6">
        <v>1547.0</v>
      </c>
      <c r="C133" s="7" t="b">
        <v>1</v>
      </c>
      <c r="D133" s="8" t="str">
        <f>IFERROR(__xludf.DUMMYFUNCTION("GOOGLETRANSLATE(A133,""ar"", ""en"")"),"3 seater font bank with handle")</f>
        <v>3 seater font bank with handle</v>
      </c>
      <c r="E133" s="5" t="s">
        <v>1802</v>
      </c>
      <c r="F133" s="9" t="s">
        <v>28</v>
      </c>
      <c r="G133" s="9" t="s">
        <v>28</v>
      </c>
      <c r="H133" s="16" t="s">
        <v>1549</v>
      </c>
      <c r="I133" s="92"/>
      <c r="J133" s="29"/>
      <c r="K133" s="11" t="s">
        <v>1803</v>
      </c>
      <c r="L133" s="8"/>
      <c r="M133" s="12">
        <v>30.0</v>
      </c>
      <c r="N133" s="8"/>
      <c r="O133" s="8"/>
      <c r="P133" s="29"/>
      <c r="Q133" s="4"/>
      <c r="R133" s="4"/>
      <c r="S133" s="4"/>
      <c r="T133" s="4"/>
      <c r="U133" s="4"/>
      <c r="V133" s="4"/>
      <c r="W133" s="4"/>
      <c r="X133" s="4"/>
      <c r="Y133" s="4"/>
    </row>
    <row r="134">
      <c r="A134" s="13" t="s">
        <v>1804</v>
      </c>
      <c r="B134" s="6">
        <v>1548.0</v>
      </c>
      <c r="C134" s="7" t="b">
        <v>1</v>
      </c>
      <c r="D134" s="8" t="str">
        <f>IFERROR(__xludf.DUMMYFUNCTION("GOOGLETRANSLATE(A134,""ar"", ""en"")"),"Font Bank Two Seats with 120cm Handrail")</f>
        <v>Font Bank Two Seats with 120cm Handrail</v>
      </c>
      <c r="E134" s="13" t="s">
        <v>1805</v>
      </c>
      <c r="F134" s="9" t="s">
        <v>28</v>
      </c>
      <c r="G134" s="9" t="s">
        <v>28</v>
      </c>
      <c r="H134" s="16" t="s">
        <v>1549</v>
      </c>
      <c r="I134" s="92"/>
      <c r="J134" s="31"/>
      <c r="K134" s="11" t="s">
        <v>1806</v>
      </c>
      <c r="L134" s="8"/>
      <c r="M134" s="15">
        <v>7.0</v>
      </c>
      <c r="N134" s="8"/>
      <c r="O134" s="8"/>
      <c r="P134" s="31"/>
      <c r="Q134" s="4"/>
      <c r="R134" s="4"/>
      <c r="S134" s="4"/>
      <c r="T134" s="4"/>
      <c r="U134" s="4"/>
      <c r="V134" s="4"/>
      <c r="W134" s="4"/>
      <c r="X134" s="4"/>
      <c r="Y134" s="4"/>
    </row>
    <row r="135">
      <c r="A135" s="5" t="s">
        <v>1807</v>
      </c>
      <c r="B135" s="6">
        <v>1551.0</v>
      </c>
      <c r="C135" s="7" t="b">
        <v>1</v>
      </c>
      <c r="D135" s="8" t="str">
        <f>IFERROR(__xludf.DUMMYFUNCTION("GOOGLETRANSLATE(A135,""ar"", ""en"")"),"Font Bank 2 Seater with 150cm Handrail")</f>
        <v>Font Bank 2 Seater with 150cm Handrail</v>
      </c>
      <c r="E135" s="5" t="s">
        <v>1808</v>
      </c>
      <c r="F135" s="9" t="s">
        <v>28</v>
      </c>
      <c r="G135" s="9" t="s">
        <v>28</v>
      </c>
      <c r="H135" s="16" t="s">
        <v>1549</v>
      </c>
      <c r="I135" s="92"/>
      <c r="J135" s="29"/>
      <c r="K135" s="11" t="s">
        <v>1809</v>
      </c>
      <c r="L135" s="8"/>
      <c r="M135" s="12">
        <v>24.0</v>
      </c>
      <c r="N135" s="8"/>
      <c r="O135" s="8"/>
      <c r="P135" s="29"/>
      <c r="Q135" s="4"/>
      <c r="R135" s="4"/>
      <c r="S135" s="4"/>
      <c r="T135" s="4"/>
      <c r="U135" s="4"/>
      <c r="V135" s="4"/>
      <c r="W135" s="4"/>
      <c r="X135" s="4"/>
      <c r="Y135" s="4"/>
    </row>
    <row r="136">
      <c r="A136" s="13" t="s">
        <v>1640</v>
      </c>
      <c r="B136" s="6">
        <v>1552.0</v>
      </c>
      <c r="C136" s="7" t="b">
        <v>1</v>
      </c>
      <c r="D136" s="8" t="str">
        <f>IFERROR(__xludf.DUMMYFUNCTION("GOOGLETRANSLATE(A136,""ar"", ""en"")"),"Font Bank")</f>
        <v>Font Bank</v>
      </c>
      <c r="E136" s="13" t="s">
        <v>1810</v>
      </c>
      <c r="F136" s="9" t="s">
        <v>28</v>
      </c>
      <c r="G136" s="9" t="s">
        <v>28</v>
      </c>
      <c r="H136" s="16" t="s">
        <v>1549</v>
      </c>
      <c r="I136" s="92"/>
      <c r="J136" s="31"/>
      <c r="K136" s="11" t="s">
        <v>1642</v>
      </c>
      <c r="L136" s="8"/>
      <c r="M136" s="15">
        <v>28.0</v>
      </c>
      <c r="N136" s="8"/>
      <c r="O136" s="8"/>
      <c r="P136" s="31"/>
      <c r="Q136" s="4"/>
      <c r="R136" s="4"/>
      <c r="S136" s="4"/>
      <c r="T136" s="4"/>
      <c r="U136" s="4"/>
      <c r="V136" s="4"/>
      <c r="W136" s="4"/>
      <c r="X136" s="4"/>
      <c r="Y136" s="4"/>
    </row>
    <row r="137">
      <c r="A137" s="5" t="s">
        <v>605</v>
      </c>
      <c r="B137" s="6">
        <v>1553.0</v>
      </c>
      <c r="C137" s="7" t="b">
        <v>1</v>
      </c>
      <c r="D137" s="8" t="str">
        <f>IFERROR(__xludf.DUMMYFUNCTION("GOOGLETRANSLATE(A137,""ar"", ""en"")"),"chair with rope handle")</f>
        <v>chair with rope handle</v>
      </c>
      <c r="E137" s="33" t="s">
        <v>1811</v>
      </c>
      <c r="F137" s="9" t="s">
        <v>27</v>
      </c>
      <c r="G137" s="9" t="s">
        <v>28</v>
      </c>
      <c r="H137" s="16" t="s">
        <v>29</v>
      </c>
      <c r="I137" s="92"/>
      <c r="J137" s="29"/>
      <c r="K137" s="11" t="s">
        <v>607</v>
      </c>
      <c r="L137" s="8"/>
      <c r="M137" s="12">
        <v>123.0</v>
      </c>
      <c r="N137" s="8"/>
      <c r="O137" s="8"/>
      <c r="P137" s="29"/>
      <c r="Q137" s="4"/>
      <c r="R137" s="4"/>
      <c r="S137" s="4"/>
      <c r="T137" s="4"/>
      <c r="U137" s="4"/>
      <c r="V137" s="4"/>
      <c r="W137" s="4"/>
      <c r="X137" s="4"/>
      <c r="Y137" s="4"/>
    </row>
    <row r="138">
      <c r="A138" s="5" t="s">
        <v>605</v>
      </c>
      <c r="B138" s="6">
        <v>1555.0</v>
      </c>
      <c r="C138" s="7" t="b">
        <v>1</v>
      </c>
      <c r="D138" s="8" t="str">
        <f>IFERROR(__xludf.DUMMYFUNCTION("GOOGLETRANSLATE(A138,""ar"", ""en"")"),"chair with rope handle")</f>
        <v>chair with rope handle</v>
      </c>
      <c r="E138" s="33" t="s">
        <v>1812</v>
      </c>
      <c r="F138" s="9" t="s">
        <v>27</v>
      </c>
      <c r="G138" s="9" t="s">
        <v>28</v>
      </c>
      <c r="H138" s="16" t="s">
        <v>29</v>
      </c>
      <c r="I138" s="92"/>
      <c r="J138" s="29"/>
      <c r="K138" s="11" t="s">
        <v>607</v>
      </c>
      <c r="L138" s="8"/>
      <c r="M138" s="12">
        <v>114.0</v>
      </c>
      <c r="N138" s="8"/>
      <c r="O138" s="8"/>
      <c r="P138" s="29"/>
      <c r="Q138" s="4"/>
      <c r="R138" s="4"/>
      <c r="S138" s="4"/>
      <c r="T138" s="4"/>
      <c r="U138" s="4"/>
      <c r="V138" s="4"/>
      <c r="W138" s="4"/>
      <c r="X138" s="4"/>
      <c r="Y138" s="4"/>
    </row>
    <row r="139">
      <c r="A139" s="13" t="s">
        <v>1813</v>
      </c>
      <c r="B139" s="6">
        <v>1556.0</v>
      </c>
      <c r="C139" s="7" t="b">
        <v>1</v>
      </c>
      <c r="D139" s="8" t="str">
        <f>IFERROR(__xludf.DUMMYFUNCTION("GOOGLETRANSLATE(A139,""ar"", ""en"")"),"Aluminum rope bar stool")</f>
        <v>Aluminum rope bar stool</v>
      </c>
      <c r="E139" s="32" t="s">
        <v>1814</v>
      </c>
      <c r="F139" s="9" t="s">
        <v>27</v>
      </c>
      <c r="G139" s="9" t="s">
        <v>28</v>
      </c>
      <c r="H139" s="16" t="s">
        <v>47</v>
      </c>
      <c r="I139" s="101" t="s">
        <v>1815</v>
      </c>
      <c r="J139" s="31"/>
      <c r="K139" s="11" t="s">
        <v>1816</v>
      </c>
      <c r="L139" s="8"/>
      <c r="M139" s="15">
        <v>53.0</v>
      </c>
      <c r="N139" s="8"/>
      <c r="O139" s="8"/>
      <c r="P139" s="31"/>
      <c r="Q139" s="4"/>
      <c r="R139" s="4"/>
      <c r="S139" s="4"/>
      <c r="T139" s="4"/>
      <c r="U139" s="4"/>
      <c r="V139" s="4"/>
      <c r="W139" s="4"/>
      <c r="X139" s="4"/>
      <c r="Y139" s="4"/>
    </row>
    <row r="140">
      <c r="A140" s="5" t="s">
        <v>1817</v>
      </c>
      <c r="B140" s="6">
        <v>1559.0</v>
      </c>
      <c r="C140" s="7" t="b">
        <v>1</v>
      </c>
      <c r="D140" s="8" t="str">
        <f>IFERROR(__xludf.DUMMYFUNCTION("GOOGLETRANSLATE(A140,""ar"", ""en"")"),"chair without handle rope net")</f>
        <v>chair without handle rope net</v>
      </c>
      <c r="E140" s="33" t="s">
        <v>1818</v>
      </c>
      <c r="F140" s="9" t="s">
        <v>27</v>
      </c>
      <c r="G140" s="9" t="s">
        <v>28</v>
      </c>
      <c r="H140" s="16" t="s">
        <v>29</v>
      </c>
      <c r="I140" s="101" t="s">
        <v>1815</v>
      </c>
      <c r="J140" s="29"/>
      <c r="K140" s="11" t="s">
        <v>1819</v>
      </c>
      <c r="L140" s="8"/>
      <c r="M140" s="12">
        <v>84.0</v>
      </c>
      <c r="N140" s="8"/>
      <c r="O140" s="8"/>
      <c r="P140" s="29"/>
      <c r="Q140" s="4"/>
      <c r="R140" s="4"/>
      <c r="S140" s="4"/>
      <c r="T140" s="4"/>
      <c r="U140" s="4"/>
      <c r="V140" s="4"/>
      <c r="W140" s="4"/>
      <c r="X140" s="4"/>
      <c r="Y140" s="4"/>
    </row>
    <row r="141">
      <c r="A141" s="13" t="s">
        <v>1820</v>
      </c>
      <c r="B141" s="6">
        <v>1562.0</v>
      </c>
      <c r="C141" s="7" t="b">
        <v>1</v>
      </c>
      <c r="D141" s="8" t="str">
        <f>IFERROR(__xludf.DUMMYFUNCTION("GOOGLETRANSLATE(A141,""ar"", ""en"")"),"Aluminum chair with wide rope handle")</f>
        <v>Aluminum chair with wide rope handle</v>
      </c>
      <c r="E141" s="32" t="s">
        <v>1821</v>
      </c>
      <c r="F141" s="9" t="s">
        <v>27</v>
      </c>
      <c r="G141" s="9" t="s">
        <v>28</v>
      </c>
      <c r="H141" s="16" t="s">
        <v>29</v>
      </c>
      <c r="I141" s="92"/>
      <c r="J141" s="31"/>
      <c r="K141" s="11" t="s">
        <v>1822</v>
      </c>
      <c r="L141" s="8"/>
      <c r="M141" s="15">
        <v>320.0</v>
      </c>
      <c r="N141" s="8"/>
      <c r="O141" s="8"/>
      <c r="P141" s="31"/>
      <c r="Q141" s="4"/>
      <c r="R141" s="4"/>
      <c r="S141" s="4"/>
      <c r="T141" s="4"/>
      <c r="U141" s="4"/>
      <c r="V141" s="4"/>
      <c r="W141" s="4"/>
      <c r="X141" s="4"/>
      <c r="Y141" s="4"/>
    </row>
    <row r="142">
      <c r="A142" s="5" t="s">
        <v>1823</v>
      </c>
      <c r="B142" s="6">
        <v>1563.0</v>
      </c>
      <c r="C142" s="7" t="b">
        <v>1</v>
      </c>
      <c r="D142" s="8" t="str">
        <f>IFERROR(__xludf.DUMMYFUNCTION("GOOGLETRANSLATE(A142,""ar"", ""en"")"),"CROSS Aluminum Rope Chair")</f>
        <v>CROSS Aluminum Rope Chair</v>
      </c>
      <c r="E142" s="5" t="s">
        <v>1824</v>
      </c>
      <c r="F142" s="9" t="s">
        <v>27</v>
      </c>
      <c r="G142" s="9" t="s">
        <v>28</v>
      </c>
      <c r="H142" s="16" t="s">
        <v>29</v>
      </c>
      <c r="I142" s="92"/>
      <c r="J142" s="29"/>
      <c r="K142" s="11" t="s">
        <v>1825</v>
      </c>
      <c r="L142" s="8"/>
      <c r="M142" s="12">
        <v>135.0</v>
      </c>
      <c r="N142" s="8"/>
      <c r="O142" s="8"/>
      <c r="P142" s="29"/>
      <c r="Q142" s="4"/>
      <c r="R142" s="4"/>
      <c r="S142" s="4"/>
      <c r="T142" s="4"/>
      <c r="U142" s="4"/>
      <c r="V142" s="4"/>
      <c r="W142" s="4"/>
      <c r="X142" s="4"/>
      <c r="Y142" s="4"/>
    </row>
    <row r="143">
      <c r="A143" s="13" t="s">
        <v>1826</v>
      </c>
      <c r="B143" s="6">
        <v>1564.0</v>
      </c>
      <c r="C143" s="7" t="b">
        <v>1</v>
      </c>
      <c r="D143" s="8" t="str">
        <f>IFERROR(__xludf.DUMMYFUNCTION("GOOGLETRANSLATE(A143,""ar"", ""en"")"),"High back aluminum chair")</f>
        <v>High back aluminum chair</v>
      </c>
      <c r="E143" s="13" t="s">
        <v>1827</v>
      </c>
      <c r="F143" s="9" t="s">
        <v>27</v>
      </c>
      <c r="G143" s="9" t="s">
        <v>28</v>
      </c>
      <c r="H143" s="16" t="s">
        <v>29</v>
      </c>
      <c r="I143" s="92"/>
      <c r="J143" s="31"/>
      <c r="K143" s="11" t="s">
        <v>1828</v>
      </c>
      <c r="L143" s="8"/>
      <c r="M143" s="15">
        <v>90.0</v>
      </c>
      <c r="N143" s="8"/>
      <c r="O143" s="8"/>
      <c r="P143" s="31"/>
      <c r="Q143" s="4"/>
      <c r="R143" s="4"/>
      <c r="S143" s="4"/>
      <c r="T143" s="4"/>
      <c r="U143" s="4"/>
      <c r="V143" s="4"/>
      <c r="W143" s="4"/>
      <c r="X143" s="4"/>
      <c r="Y143" s="4"/>
    </row>
    <row r="144">
      <c r="A144" s="5" t="s">
        <v>1829</v>
      </c>
      <c r="B144" s="6">
        <v>1574.0</v>
      </c>
      <c r="C144" s="7" t="b">
        <v>1</v>
      </c>
      <c r="D144" s="8" t="str">
        <f>IFERROR(__xludf.DUMMYFUNCTION("GOOGLETRANSLATE(A144,""ar"", ""en"")"),"stainless steel clothes pole")</f>
        <v>stainless steel clothes pole</v>
      </c>
      <c r="E144" s="5" t="s">
        <v>1830</v>
      </c>
      <c r="F144" s="9" t="s">
        <v>18</v>
      </c>
      <c r="G144" s="9" t="s">
        <v>18</v>
      </c>
      <c r="H144" s="16" t="s">
        <v>1549</v>
      </c>
      <c r="I144" s="92"/>
      <c r="J144" s="29"/>
      <c r="K144" s="11" t="s">
        <v>1831</v>
      </c>
      <c r="L144" s="8"/>
      <c r="M144" s="12">
        <v>82.0</v>
      </c>
      <c r="N144" s="8"/>
      <c r="O144" s="8"/>
      <c r="P144" s="29"/>
      <c r="Q144" s="4"/>
      <c r="R144" s="4"/>
      <c r="S144" s="4"/>
      <c r="T144" s="4"/>
      <c r="U144" s="4"/>
      <c r="V144" s="4"/>
      <c r="W144" s="4"/>
      <c r="X144" s="4"/>
      <c r="Y144" s="4"/>
    </row>
    <row r="145">
      <c r="A145" s="13" t="s">
        <v>1832</v>
      </c>
      <c r="B145" s="6">
        <v>1577.0</v>
      </c>
      <c r="C145" s="7" t="b">
        <v>1</v>
      </c>
      <c r="D145" s="8" t="str">
        <f>IFERROR(__xludf.DUMMYFUNCTION("GOOGLETRANSLATE(A145,""ar"", ""en"")"),"Aluminum hotel chair/plain")</f>
        <v>Aluminum hotel chair/plain</v>
      </c>
      <c r="E145" s="13" t="s">
        <v>1833</v>
      </c>
      <c r="F145" s="9" t="s">
        <v>27</v>
      </c>
      <c r="G145" s="9" t="s">
        <v>18</v>
      </c>
      <c r="H145" s="16" t="s">
        <v>1549</v>
      </c>
      <c r="I145" s="92"/>
      <c r="J145" s="31"/>
      <c r="K145" s="11" t="s">
        <v>1834</v>
      </c>
      <c r="L145" s="8"/>
      <c r="M145" s="15">
        <v>110.0</v>
      </c>
      <c r="N145" s="8"/>
      <c r="O145" s="8"/>
      <c r="P145" s="31"/>
      <c r="Q145" s="4"/>
      <c r="R145" s="4"/>
      <c r="S145" s="4"/>
      <c r="T145" s="4"/>
      <c r="U145" s="4"/>
      <c r="V145" s="4"/>
      <c r="W145" s="4"/>
      <c r="X145" s="4"/>
      <c r="Y145" s="4"/>
    </row>
    <row r="146">
      <c r="A146" s="13" t="s">
        <v>1835</v>
      </c>
      <c r="B146" s="6">
        <v>1596.0</v>
      </c>
      <c r="C146" s="7" t="b">
        <v>1</v>
      </c>
      <c r="D146" s="8" t="str">
        <f>IFERROR(__xludf.DUMMYFUNCTION("GOOGLETRANSLATE(A146,""ar"", ""en"")"),"Brown sofa bed")</f>
        <v>Brown sofa bed</v>
      </c>
      <c r="E146" s="13" t="s">
        <v>1836</v>
      </c>
      <c r="F146" s="9" t="s">
        <v>18</v>
      </c>
      <c r="G146" s="9" t="s">
        <v>18</v>
      </c>
      <c r="H146" s="16" t="s">
        <v>29</v>
      </c>
      <c r="I146" s="97" t="s">
        <v>1837</v>
      </c>
      <c r="J146" s="31"/>
      <c r="K146" s="11" t="s">
        <v>1838</v>
      </c>
      <c r="L146" s="8"/>
      <c r="M146" s="15">
        <v>28.0</v>
      </c>
      <c r="N146" s="8"/>
      <c r="O146" s="8"/>
      <c r="P146" s="31"/>
      <c r="Q146" s="4"/>
      <c r="R146" s="4"/>
      <c r="S146" s="4"/>
      <c r="T146" s="4"/>
      <c r="U146" s="4"/>
      <c r="V146" s="4"/>
      <c r="W146" s="4"/>
      <c r="X146" s="4"/>
      <c r="Y146" s="4"/>
    </row>
    <row r="147">
      <c r="A147" s="13" t="s">
        <v>1839</v>
      </c>
      <c r="B147" s="6">
        <v>1673.0</v>
      </c>
      <c r="C147" s="7" t="b">
        <v>1</v>
      </c>
      <c r="D147" s="8" t="str">
        <f>IFERROR(__xludf.DUMMYFUNCTION("GOOGLETRANSLATE(A147,""ar"", ""en"")"),"Round stainless steel base")</f>
        <v>Round stainless steel base</v>
      </c>
      <c r="E147" s="13" t="s">
        <v>1840</v>
      </c>
      <c r="F147" s="9" t="s">
        <v>27</v>
      </c>
      <c r="G147" s="9" t="s">
        <v>28</v>
      </c>
      <c r="H147" s="16" t="s">
        <v>186</v>
      </c>
      <c r="I147" s="92"/>
      <c r="J147" s="14">
        <v>0.0</v>
      </c>
      <c r="K147" s="11" t="s">
        <v>1841</v>
      </c>
      <c r="L147" s="8"/>
      <c r="M147" s="15">
        <v>3.0</v>
      </c>
      <c r="N147" s="8"/>
      <c r="O147" s="8"/>
      <c r="P147" s="14">
        <v>0.0</v>
      </c>
      <c r="Q147" s="4"/>
      <c r="R147" s="4"/>
      <c r="S147" s="4"/>
      <c r="T147" s="4"/>
      <c r="U147" s="4"/>
      <c r="V147" s="4"/>
      <c r="W147" s="4"/>
      <c r="X147" s="4"/>
      <c r="Y147" s="4"/>
    </row>
    <row r="148">
      <c r="A148" s="5" t="s">
        <v>1842</v>
      </c>
      <c r="B148" s="6">
        <v>1674.0</v>
      </c>
      <c r="C148" s="7" t="b">
        <v>1</v>
      </c>
      <c r="D148" s="8" t="str">
        <f>IFERROR(__xludf.DUMMYFUNCTION("GOOGLETRANSLATE(A148,""ar"", ""en"")"),"X Wide Stainless Base")</f>
        <v>X Wide Stainless Base</v>
      </c>
      <c r="E148" s="5" t="s">
        <v>1843</v>
      </c>
      <c r="F148" s="9" t="s">
        <v>27</v>
      </c>
      <c r="G148" s="9" t="s">
        <v>28</v>
      </c>
      <c r="H148" s="16" t="s">
        <v>186</v>
      </c>
      <c r="I148" s="92"/>
      <c r="J148" s="10">
        <v>0.0</v>
      </c>
      <c r="K148" s="11" t="s">
        <v>1844</v>
      </c>
      <c r="L148" s="8"/>
      <c r="M148" s="12">
        <v>4.0</v>
      </c>
      <c r="N148" s="8"/>
      <c r="O148" s="8"/>
      <c r="P148" s="10">
        <v>0.0</v>
      </c>
      <c r="Q148" s="4"/>
      <c r="R148" s="4"/>
      <c r="S148" s="4"/>
      <c r="T148" s="4"/>
      <c r="U148" s="4"/>
      <c r="V148" s="4"/>
      <c r="W148" s="4"/>
      <c r="X148" s="4"/>
      <c r="Y148" s="4"/>
    </row>
    <row r="149">
      <c r="A149" s="5" t="s">
        <v>1845</v>
      </c>
      <c r="B149" s="6">
        <v>1677.0</v>
      </c>
      <c r="C149" s="7" t="b">
        <v>1</v>
      </c>
      <c r="D149" s="8" t="str">
        <f>IFERROR(__xludf.DUMMYFUNCTION("GOOGLETRANSLATE(A149,""ar"", ""en"")"),"Starbucks aluminum chair without handles")</f>
        <v>Starbucks aluminum chair without handles</v>
      </c>
      <c r="E149" s="5" t="s">
        <v>1846</v>
      </c>
      <c r="F149" s="9" t="s">
        <v>27</v>
      </c>
      <c r="G149" s="9" t="s">
        <v>28</v>
      </c>
      <c r="H149" s="16" t="s">
        <v>29</v>
      </c>
      <c r="I149" s="92"/>
      <c r="J149" s="29"/>
      <c r="K149" s="11" t="s">
        <v>1847</v>
      </c>
      <c r="L149" s="8"/>
      <c r="M149" s="12">
        <v>54.0</v>
      </c>
      <c r="N149" s="8"/>
      <c r="O149" s="8"/>
      <c r="P149" s="29"/>
      <c r="Q149" s="4"/>
      <c r="R149" s="4"/>
      <c r="S149" s="4"/>
      <c r="T149" s="4"/>
      <c r="U149" s="4"/>
      <c r="V149" s="4"/>
      <c r="W149" s="4"/>
      <c r="X149" s="4"/>
      <c r="Y149" s="4"/>
    </row>
    <row r="150">
      <c r="A150" s="103" t="s">
        <v>1848</v>
      </c>
      <c r="B150" s="6">
        <v>1678.0</v>
      </c>
      <c r="C150" s="7" t="b">
        <v>1</v>
      </c>
      <c r="D150" s="8" t="str">
        <f>IFERROR(__xludf.DUMMYFUNCTION("GOOGLETRANSLATE(A150,""ar"", ""en"")"),"wooden rocking chair")</f>
        <v>wooden rocking chair</v>
      </c>
      <c r="E150" s="13" t="s">
        <v>1849</v>
      </c>
      <c r="F150" s="9" t="s">
        <v>18</v>
      </c>
      <c r="G150" s="9" t="s">
        <v>18</v>
      </c>
      <c r="H150" s="16" t="s">
        <v>1549</v>
      </c>
      <c r="I150" s="97" t="s">
        <v>1850</v>
      </c>
      <c r="J150" s="31"/>
      <c r="K150" s="11" t="s">
        <v>1851</v>
      </c>
      <c r="L150" s="8"/>
      <c r="M150" s="15">
        <v>77.0</v>
      </c>
      <c r="N150" s="8"/>
      <c r="O150" s="8"/>
      <c r="P150" s="31"/>
      <c r="Q150" s="4"/>
      <c r="R150" s="4"/>
      <c r="S150" s="4"/>
      <c r="T150" s="4"/>
      <c r="U150" s="4"/>
      <c r="V150" s="4"/>
      <c r="W150" s="4"/>
      <c r="X150" s="4"/>
      <c r="Y150" s="4"/>
    </row>
    <row r="151">
      <c r="A151" s="5" t="s">
        <v>1852</v>
      </c>
      <c r="B151" s="6">
        <v>1681.0</v>
      </c>
      <c r="C151" s="7" t="b">
        <v>1</v>
      </c>
      <c r="D151" s="8" t="str">
        <f>IFERROR(__xludf.DUMMYFUNCTION("GOOGLETRANSLATE(A151,""ar"", ""en"")"),"DBL TUBE Large Starbucks Chair with Fungi Handle")</f>
        <v>DBL TUBE Large Starbucks Chair with Fungi Handle</v>
      </c>
      <c r="E151" s="5" t="s">
        <v>1853</v>
      </c>
      <c r="F151" s="9" t="s">
        <v>27</v>
      </c>
      <c r="G151" s="9" t="s">
        <v>28</v>
      </c>
      <c r="H151" s="16" t="s">
        <v>29</v>
      </c>
      <c r="I151" s="92"/>
      <c r="J151" s="29"/>
      <c r="K151" s="11" t="s">
        <v>1854</v>
      </c>
      <c r="L151" s="8"/>
      <c r="M151" s="12">
        <v>113.0</v>
      </c>
      <c r="N151" s="8"/>
      <c r="O151" s="8"/>
      <c r="P151" s="29"/>
      <c r="Q151" s="4"/>
      <c r="R151" s="4"/>
      <c r="S151" s="4"/>
      <c r="T151" s="4"/>
      <c r="U151" s="4"/>
      <c r="V151" s="4"/>
      <c r="W151" s="4"/>
      <c r="X151" s="4"/>
      <c r="Y151" s="4"/>
    </row>
    <row r="152">
      <c r="A152" s="13" t="s">
        <v>1855</v>
      </c>
      <c r="B152" s="6">
        <v>1682.0</v>
      </c>
      <c r="C152" s="7" t="b">
        <v>1</v>
      </c>
      <c r="D152" s="8" t="str">
        <f>IFERROR(__xludf.DUMMYFUNCTION("GOOGLETRANSLATE(A152,""ar"", ""en"")"),"brown starbucks chair with handle")</f>
        <v>brown starbucks chair with handle</v>
      </c>
      <c r="E152" s="13" t="s">
        <v>1856</v>
      </c>
      <c r="F152" s="9" t="s">
        <v>27</v>
      </c>
      <c r="G152" s="9" t="s">
        <v>28</v>
      </c>
      <c r="H152" s="16" t="s">
        <v>29</v>
      </c>
      <c r="I152" s="92"/>
      <c r="J152" s="31"/>
      <c r="K152" s="11" t="s">
        <v>1857</v>
      </c>
      <c r="L152" s="8"/>
      <c r="M152" s="15">
        <v>228.0</v>
      </c>
      <c r="N152" s="8"/>
      <c r="O152" s="8"/>
      <c r="P152" s="31"/>
      <c r="Q152" s="4"/>
      <c r="R152" s="4"/>
      <c r="S152" s="4"/>
      <c r="T152" s="4"/>
      <c r="U152" s="4"/>
      <c r="V152" s="4"/>
      <c r="W152" s="4"/>
      <c r="X152" s="4"/>
      <c r="Y152" s="4"/>
    </row>
    <row r="153">
      <c r="A153" s="5" t="s">
        <v>750</v>
      </c>
      <c r="B153" s="6">
        <v>1683.0</v>
      </c>
      <c r="C153" s="7" t="b">
        <v>1</v>
      </c>
      <c r="D153" s="8" t="str">
        <f>IFERROR(__xludf.DUMMYFUNCTION("GOOGLETRANSLATE(A153,""ar"", ""en"")"),"Leather and iron chair")</f>
        <v>Leather and iron chair</v>
      </c>
      <c r="E153" s="33" t="s">
        <v>1858</v>
      </c>
      <c r="F153" s="9" t="s">
        <v>18</v>
      </c>
      <c r="G153" s="9" t="s">
        <v>18</v>
      </c>
      <c r="H153" s="16" t="s">
        <v>72</v>
      </c>
      <c r="I153" s="97" t="s">
        <v>1859</v>
      </c>
      <c r="J153" s="29"/>
      <c r="K153" s="11" t="s">
        <v>752</v>
      </c>
      <c r="L153" s="8"/>
      <c r="M153" s="12">
        <v>80.0</v>
      </c>
      <c r="N153" s="8"/>
      <c r="O153" s="8"/>
      <c r="P153" s="29"/>
      <c r="Q153" s="4"/>
      <c r="R153" s="4"/>
      <c r="S153" s="4"/>
      <c r="T153" s="4"/>
      <c r="U153" s="4"/>
      <c r="V153" s="4"/>
      <c r="W153" s="4"/>
      <c r="X153" s="4"/>
      <c r="Y153" s="4"/>
    </row>
    <row r="154">
      <c r="A154" s="5" t="s">
        <v>1860</v>
      </c>
      <c r="B154" s="6">
        <v>1687.0</v>
      </c>
      <c r="C154" s="7" t="b">
        <v>1</v>
      </c>
      <c r="D154" s="8" t="str">
        <f>IFERROR(__xludf.DUMMYFUNCTION("GOOGLETRANSLATE(A154,""ar"", ""en"")"),"BLACK Heavy Iron Bar Table 60*60")</f>
        <v>BLACK Heavy Iron Bar Table 60*60</v>
      </c>
      <c r="E154" s="33" t="s">
        <v>1861</v>
      </c>
      <c r="F154" s="9" t="s">
        <v>27</v>
      </c>
      <c r="G154" s="9" t="s">
        <v>18</v>
      </c>
      <c r="H154" s="16" t="s">
        <v>62</v>
      </c>
      <c r="I154" s="92"/>
      <c r="J154" s="29"/>
      <c r="K154" s="11" t="s">
        <v>1862</v>
      </c>
      <c r="L154" s="8"/>
      <c r="M154" s="12">
        <v>58.0</v>
      </c>
      <c r="N154" s="8"/>
      <c r="O154" s="8"/>
      <c r="P154" s="29"/>
      <c r="Q154" s="4"/>
      <c r="R154" s="4"/>
      <c r="S154" s="4"/>
      <c r="T154" s="4"/>
      <c r="U154" s="4"/>
      <c r="V154" s="4"/>
      <c r="W154" s="4"/>
      <c r="X154" s="4"/>
      <c r="Y154" s="4"/>
    </row>
    <row r="155">
      <c r="A155" s="13" t="s">
        <v>70</v>
      </c>
      <c r="B155" s="6">
        <v>1690.0</v>
      </c>
      <c r="C155" s="7" t="b">
        <v>1</v>
      </c>
      <c r="D155" s="8" t="str">
        <f>IFERROR(__xludf.DUMMYFUNCTION("GOOGLETRANSLATE(A155,""ar"", ""en"")"),"iron chair with handle")</f>
        <v>iron chair with handle</v>
      </c>
      <c r="E155" s="13" t="s">
        <v>1863</v>
      </c>
      <c r="F155" s="9" t="s">
        <v>27</v>
      </c>
      <c r="G155" s="9" t="s">
        <v>18</v>
      </c>
      <c r="H155" s="16" t="s">
        <v>72</v>
      </c>
      <c r="I155" s="97" t="s">
        <v>1864</v>
      </c>
      <c r="J155" s="31"/>
      <c r="K155" s="11" t="s">
        <v>73</v>
      </c>
      <c r="L155" s="8"/>
      <c r="M155" s="15">
        <v>45.0</v>
      </c>
      <c r="N155" s="8"/>
      <c r="O155" s="8"/>
      <c r="P155" s="31"/>
      <c r="Q155" s="4"/>
      <c r="R155" s="4"/>
      <c r="S155" s="4"/>
      <c r="T155" s="4"/>
      <c r="U155" s="4"/>
      <c r="V155" s="4"/>
      <c r="W155" s="4"/>
      <c r="X155" s="4"/>
      <c r="Y155" s="4"/>
    </row>
    <row r="156">
      <c r="A156" s="13" t="s">
        <v>74</v>
      </c>
      <c r="B156" s="6">
        <v>1694.0</v>
      </c>
      <c r="C156" s="7" t="b">
        <v>1</v>
      </c>
      <c r="D156" s="8" t="str">
        <f>IFERROR(__xludf.DUMMYFUNCTION("GOOGLETRANSLATE(A156,""ar"", ""en"")"),"iron chair without handles")</f>
        <v>iron chair without handles</v>
      </c>
      <c r="E156" s="13" t="s">
        <v>1865</v>
      </c>
      <c r="F156" s="9" t="s">
        <v>27</v>
      </c>
      <c r="G156" s="9" t="s">
        <v>18</v>
      </c>
      <c r="H156" s="16" t="s">
        <v>72</v>
      </c>
      <c r="I156" s="92"/>
      <c r="J156" s="31"/>
      <c r="K156" s="11" t="s">
        <v>76</v>
      </c>
      <c r="L156" s="8"/>
      <c r="M156" s="15">
        <v>55.0</v>
      </c>
      <c r="N156" s="8"/>
      <c r="O156" s="8"/>
      <c r="P156" s="31"/>
      <c r="Q156" s="4"/>
      <c r="R156" s="4"/>
      <c r="S156" s="4"/>
      <c r="T156" s="4"/>
      <c r="U156" s="4"/>
      <c r="V156" s="4"/>
      <c r="W156" s="4"/>
      <c r="X156" s="4"/>
      <c r="Y156" s="4"/>
    </row>
    <row r="157">
      <c r="A157" s="5" t="s">
        <v>70</v>
      </c>
      <c r="B157" s="6">
        <v>1695.0</v>
      </c>
      <c r="C157" s="7" t="b">
        <v>1</v>
      </c>
      <c r="D157" s="8" t="str">
        <f>IFERROR(__xludf.DUMMYFUNCTION("GOOGLETRANSLATE(A157,""ar"", ""en"")"),"iron chair with handle")</f>
        <v>iron chair with handle</v>
      </c>
      <c r="E157" s="5" t="s">
        <v>1866</v>
      </c>
      <c r="F157" s="9" t="s">
        <v>27</v>
      </c>
      <c r="G157" s="9" t="s">
        <v>18</v>
      </c>
      <c r="H157" s="16" t="s">
        <v>72</v>
      </c>
      <c r="I157" s="97" t="s">
        <v>1867</v>
      </c>
      <c r="J157" s="29"/>
      <c r="K157" s="11" t="s">
        <v>73</v>
      </c>
      <c r="L157" s="8"/>
      <c r="M157" s="12">
        <v>239.0</v>
      </c>
      <c r="N157" s="8"/>
      <c r="O157" s="8"/>
      <c r="P157" s="29"/>
      <c r="Q157" s="4"/>
      <c r="R157" s="4"/>
      <c r="S157" s="4"/>
      <c r="T157" s="4"/>
      <c r="U157" s="4"/>
      <c r="V157" s="4"/>
      <c r="W157" s="4"/>
      <c r="X157" s="4"/>
      <c r="Y157" s="4"/>
    </row>
    <row r="158">
      <c r="A158" s="5" t="s">
        <v>70</v>
      </c>
      <c r="B158" s="6">
        <v>1699.0</v>
      </c>
      <c r="C158" s="7" t="b">
        <v>1</v>
      </c>
      <c r="D158" s="8" t="str">
        <f>IFERROR(__xludf.DUMMYFUNCTION("GOOGLETRANSLATE(A158,""ar"", ""en"")"),"iron chair with handle")</f>
        <v>iron chair with handle</v>
      </c>
      <c r="E158" s="5" t="s">
        <v>1868</v>
      </c>
      <c r="F158" s="9" t="s">
        <v>27</v>
      </c>
      <c r="G158" s="9" t="s">
        <v>18</v>
      </c>
      <c r="H158" s="16" t="s">
        <v>72</v>
      </c>
      <c r="I158" s="97" t="s">
        <v>1869</v>
      </c>
      <c r="J158" s="29"/>
      <c r="K158" s="11" t="s">
        <v>73</v>
      </c>
      <c r="L158" s="8"/>
      <c r="M158" s="12">
        <v>142.0</v>
      </c>
      <c r="N158" s="8"/>
      <c r="O158" s="8"/>
      <c r="P158" s="29"/>
      <c r="Q158" s="4"/>
      <c r="R158" s="4"/>
      <c r="S158" s="4"/>
      <c r="T158" s="4"/>
      <c r="U158" s="4"/>
      <c r="V158" s="4"/>
      <c r="W158" s="4"/>
      <c r="X158" s="4"/>
      <c r="Y158" s="4"/>
    </row>
    <row r="159">
      <c r="A159" s="5" t="s">
        <v>1870</v>
      </c>
      <c r="B159" s="6">
        <v>1701.0</v>
      </c>
      <c r="C159" s="7" t="b">
        <v>1</v>
      </c>
      <c r="D159" s="8" t="str">
        <f>IFERROR(__xludf.DUMMYFUNCTION("GOOGLETRANSLATE(A159,""ar"", ""en"")"),"Wide iron chair with handle")</f>
        <v>Wide iron chair with handle</v>
      </c>
      <c r="E159" s="5" t="s">
        <v>1871</v>
      </c>
      <c r="F159" s="9" t="s">
        <v>27</v>
      </c>
      <c r="G159" s="9" t="s">
        <v>18</v>
      </c>
      <c r="H159" s="16" t="s">
        <v>72</v>
      </c>
      <c r="I159" s="97" t="s">
        <v>1872</v>
      </c>
      <c r="J159" s="29"/>
      <c r="K159" s="11" t="s">
        <v>1873</v>
      </c>
      <c r="L159" s="8"/>
      <c r="M159" s="12">
        <v>50.0</v>
      </c>
      <c r="N159" s="8"/>
      <c r="O159" s="8"/>
      <c r="P159" s="29"/>
      <c r="Q159" s="4"/>
      <c r="R159" s="4"/>
      <c r="S159" s="4"/>
      <c r="T159" s="4"/>
      <c r="U159" s="4"/>
      <c r="V159" s="4"/>
      <c r="W159" s="4"/>
      <c r="X159" s="4"/>
      <c r="Y159" s="4"/>
    </row>
    <row r="160">
      <c r="A160" s="13" t="s">
        <v>70</v>
      </c>
      <c r="B160" s="6">
        <v>1704.0</v>
      </c>
      <c r="C160" s="7" t="b">
        <v>1</v>
      </c>
      <c r="D160" s="8" t="str">
        <f>IFERROR(__xludf.DUMMYFUNCTION("GOOGLETRANSLATE(A160,""ar"", ""en"")"),"iron chair with handle")</f>
        <v>iron chair with handle</v>
      </c>
      <c r="E160" s="13" t="s">
        <v>1874</v>
      </c>
      <c r="F160" s="9" t="s">
        <v>27</v>
      </c>
      <c r="G160" s="9" t="s">
        <v>18</v>
      </c>
      <c r="H160" s="16" t="s">
        <v>72</v>
      </c>
      <c r="I160" s="92"/>
      <c r="J160" s="31"/>
      <c r="K160" s="11" t="s">
        <v>73</v>
      </c>
      <c r="L160" s="8"/>
      <c r="M160" s="15">
        <v>71.0</v>
      </c>
      <c r="N160" s="8"/>
      <c r="O160" s="8"/>
      <c r="P160" s="31"/>
      <c r="Q160" s="4"/>
      <c r="R160" s="4"/>
      <c r="S160" s="4"/>
      <c r="T160" s="4"/>
      <c r="U160" s="4"/>
      <c r="V160" s="4"/>
      <c r="W160" s="4"/>
      <c r="X160" s="4"/>
      <c r="Y160" s="4"/>
    </row>
    <row r="161">
      <c r="A161" s="5" t="s">
        <v>1875</v>
      </c>
      <c r="B161" s="6">
        <v>1705.0</v>
      </c>
      <c r="C161" s="7" t="b">
        <v>1</v>
      </c>
      <c r="D161" s="8" t="str">
        <f>IFERROR(__xludf.DUMMYFUNCTION("GOOGLETRANSLATE(A161,""ar"", ""en"")"),"Plain black wide iron bar chair")</f>
        <v>Plain black wide iron bar chair</v>
      </c>
      <c r="E161" s="5" t="s">
        <v>1876</v>
      </c>
      <c r="F161" s="9" t="s">
        <v>27</v>
      </c>
      <c r="G161" s="9" t="s">
        <v>18</v>
      </c>
      <c r="H161" s="16" t="s">
        <v>47</v>
      </c>
      <c r="I161" s="97" t="s">
        <v>1877</v>
      </c>
      <c r="J161" s="29"/>
      <c r="K161" s="11" t="s">
        <v>1878</v>
      </c>
      <c r="L161" s="8"/>
      <c r="M161" s="12">
        <v>89.0</v>
      </c>
      <c r="N161" s="8"/>
      <c r="O161" s="8"/>
      <c r="P161" s="29"/>
      <c r="Q161" s="4"/>
      <c r="R161" s="4"/>
      <c r="S161" s="4"/>
      <c r="T161" s="4"/>
      <c r="U161" s="4"/>
      <c r="V161" s="4"/>
      <c r="W161" s="4"/>
      <c r="X161" s="4"/>
      <c r="Y161" s="4"/>
    </row>
    <row r="162">
      <c r="A162" s="5" t="s">
        <v>1879</v>
      </c>
      <c r="B162" s="6">
        <v>1707.0</v>
      </c>
      <c r="C162" s="7" t="b">
        <v>1</v>
      </c>
      <c r="D162" s="8" t="str">
        <f>IFERROR(__xludf.DUMMYFUNCTION("GOOGLETRANSLATE(A162,""ar"", ""en"")"),"Wide iron bar stool")</f>
        <v>Wide iron bar stool</v>
      </c>
      <c r="E162" s="5" t="s">
        <v>1880</v>
      </c>
      <c r="F162" s="9" t="s">
        <v>27</v>
      </c>
      <c r="G162" s="9" t="s">
        <v>18</v>
      </c>
      <c r="H162" s="16" t="s">
        <v>47</v>
      </c>
      <c r="I162" s="97" t="s">
        <v>1881</v>
      </c>
      <c r="J162" s="29"/>
      <c r="K162" s="11" t="s">
        <v>1882</v>
      </c>
      <c r="L162" s="8"/>
      <c r="M162" s="12">
        <v>47.0</v>
      </c>
      <c r="N162" s="8"/>
      <c r="O162" s="8"/>
      <c r="P162" s="29"/>
      <c r="Q162" s="4"/>
      <c r="R162" s="4"/>
      <c r="S162" s="4"/>
      <c r="T162" s="4"/>
      <c r="U162" s="4"/>
      <c r="V162" s="4"/>
      <c r="W162" s="4"/>
      <c r="X162" s="4"/>
      <c r="Y162" s="4"/>
    </row>
    <row r="163">
      <c r="A163" s="13" t="s">
        <v>762</v>
      </c>
      <c r="B163" s="6">
        <v>1712.0</v>
      </c>
      <c r="C163" s="7" t="b">
        <v>1</v>
      </c>
      <c r="D163" s="8" t="str">
        <f>IFERROR(__xludf.DUMMYFUNCTION("GOOGLETRANSLATE(A163,""ar"", ""en"")"),"Wide iron bar stool with back")</f>
        <v>Wide iron bar stool with back</v>
      </c>
      <c r="E163" s="13" t="s">
        <v>1883</v>
      </c>
      <c r="F163" s="9" t="s">
        <v>27</v>
      </c>
      <c r="G163" s="9" t="s">
        <v>18</v>
      </c>
      <c r="H163" s="16" t="s">
        <v>47</v>
      </c>
      <c r="I163" s="97" t="s">
        <v>1884</v>
      </c>
      <c r="J163" s="31"/>
      <c r="K163" s="11" t="s">
        <v>764</v>
      </c>
      <c r="L163" s="8"/>
      <c r="M163" s="15">
        <v>5.0</v>
      </c>
      <c r="N163" s="8"/>
      <c r="O163" s="8"/>
      <c r="P163" s="31"/>
      <c r="Q163" s="4"/>
      <c r="R163" s="4"/>
      <c r="S163" s="4"/>
      <c r="T163" s="4"/>
      <c r="U163" s="4"/>
      <c r="V163" s="4"/>
      <c r="W163" s="4"/>
      <c r="X163" s="4"/>
      <c r="Y163" s="4"/>
    </row>
    <row r="164">
      <c r="A164" s="5" t="s">
        <v>1885</v>
      </c>
      <c r="B164" s="6">
        <v>1715.0</v>
      </c>
      <c r="C164" s="7" t="b">
        <v>1</v>
      </c>
      <c r="D164" s="8" t="str">
        <f>IFERROR(__xludf.DUMMYFUNCTION("GOOGLETRANSLATE(A164,""ar"", ""en"")"),"Black iron bar table base")</f>
        <v>Black iron bar table base</v>
      </c>
      <c r="E164" s="5" t="s">
        <v>1886</v>
      </c>
      <c r="F164" s="9" t="s">
        <v>27</v>
      </c>
      <c r="G164" s="9" t="s">
        <v>18</v>
      </c>
      <c r="H164" s="16" t="s">
        <v>186</v>
      </c>
      <c r="I164" s="92"/>
      <c r="J164" s="29"/>
      <c r="K164" s="11" t="s">
        <v>1887</v>
      </c>
      <c r="L164" s="8"/>
      <c r="M164" s="12">
        <v>70.0</v>
      </c>
      <c r="N164" s="8"/>
      <c r="O164" s="8"/>
      <c r="P164" s="29"/>
      <c r="Q164" s="4"/>
      <c r="R164" s="4"/>
      <c r="S164" s="4"/>
      <c r="T164" s="4"/>
      <c r="U164" s="4"/>
      <c r="V164" s="4"/>
      <c r="W164" s="4"/>
      <c r="X164" s="4"/>
      <c r="Y164" s="4"/>
    </row>
    <row r="165">
      <c r="A165" s="13" t="s">
        <v>1888</v>
      </c>
      <c r="B165" s="6">
        <v>1718.0</v>
      </c>
      <c r="C165" s="7" t="b">
        <v>1</v>
      </c>
      <c r="D165" s="8" t="str">
        <f>IFERROR(__xludf.DUMMYFUNCTION("GOOGLETRANSLATE(A165,""ar"", ""en"")"),"Iron table with wooden top 80*80")</f>
        <v>Iron table with wooden top 80*80</v>
      </c>
      <c r="E165" s="13" t="s">
        <v>1889</v>
      </c>
      <c r="F165" s="9" t="s">
        <v>27</v>
      </c>
      <c r="G165" s="9" t="s">
        <v>18</v>
      </c>
      <c r="H165" s="16" t="s">
        <v>98</v>
      </c>
      <c r="I165" s="92"/>
      <c r="J165" s="31"/>
      <c r="K165" s="11" t="s">
        <v>1890</v>
      </c>
      <c r="L165" s="8"/>
      <c r="M165" s="15">
        <v>24.0</v>
      </c>
      <c r="N165" s="8"/>
      <c r="O165" s="8"/>
      <c r="P165" s="31"/>
      <c r="Q165" s="4"/>
      <c r="R165" s="4"/>
      <c r="S165" s="4"/>
      <c r="T165" s="4"/>
      <c r="U165" s="4"/>
      <c r="V165" s="4"/>
      <c r="W165" s="4"/>
      <c r="X165" s="4"/>
      <c r="Y165" s="4"/>
    </row>
    <row r="166">
      <c r="A166" s="5" t="s">
        <v>1891</v>
      </c>
      <c r="B166" s="6">
        <v>1719.0</v>
      </c>
      <c r="C166" s="7" t="b">
        <v>1</v>
      </c>
      <c r="D166" s="8" t="str">
        <f>IFERROR(__xludf.DUMMYFUNCTION("GOOGLETRANSLATE(A166,""ar"", ""en"")"),"MATT BLK Iron chair with wooden seat handle")</f>
        <v>MATT BLK Iron chair with wooden seat handle</v>
      </c>
      <c r="E166" s="5" t="s">
        <v>1892</v>
      </c>
      <c r="F166" s="9" t="s">
        <v>27</v>
      </c>
      <c r="G166" s="9" t="s">
        <v>18</v>
      </c>
      <c r="H166" s="16" t="s">
        <v>72</v>
      </c>
      <c r="I166" s="92"/>
      <c r="J166" s="29"/>
      <c r="K166" s="11" t="s">
        <v>1893</v>
      </c>
      <c r="L166" s="8"/>
      <c r="M166" s="12">
        <v>13.0</v>
      </c>
      <c r="N166" s="8"/>
      <c r="O166" s="8"/>
      <c r="P166" s="29"/>
      <c r="Q166" s="4"/>
      <c r="R166" s="4"/>
      <c r="S166" s="4"/>
      <c r="T166" s="4"/>
      <c r="U166" s="4"/>
      <c r="V166" s="4"/>
      <c r="W166" s="4"/>
      <c r="X166" s="4"/>
      <c r="Y166" s="4"/>
    </row>
    <row r="167">
      <c r="A167" s="5" t="s">
        <v>1894</v>
      </c>
      <c r="B167" s="6">
        <v>1721.0</v>
      </c>
      <c r="C167" s="7" t="b">
        <v>1</v>
      </c>
      <c r="D167" s="8" t="str">
        <f>IFERROR(__xludf.DUMMYFUNCTION("GOOGLETRANSLATE(A167,""ar"", ""en"")"),"VNTG iron chair with handle")</f>
        <v>VNTG iron chair with handle</v>
      </c>
      <c r="E167" s="5" t="s">
        <v>1895</v>
      </c>
      <c r="F167" s="9" t="s">
        <v>27</v>
      </c>
      <c r="G167" s="9" t="s">
        <v>18</v>
      </c>
      <c r="H167" s="16" t="s">
        <v>72</v>
      </c>
      <c r="I167" s="101" t="s">
        <v>1896</v>
      </c>
      <c r="J167" s="29"/>
      <c r="K167" s="11" t="s">
        <v>1897</v>
      </c>
      <c r="L167" s="8"/>
      <c r="M167" s="12">
        <v>83.0</v>
      </c>
      <c r="N167" s="8"/>
      <c r="O167" s="8"/>
      <c r="P167" s="29"/>
      <c r="Q167" s="4"/>
      <c r="R167" s="4"/>
      <c r="S167" s="4"/>
      <c r="T167" s="4"/>
      <c r="U167" s="4"/>
      <c r="V167" s="4"/>
      <c r="W167" s="4"/>
      <c r="X167" s="4"/>
      <c r="Y167" s="4"/>
    </row>
    <row r="168">
      <c r="A168" s="5" t="s">
        <v>1898</v>
      </c>
      <c r="B168" s="6">
        <v>1725.0</v>
      </c>
      <c r="C168" s="7" t="b">
        <v>1</v>
      </c>
      <c r="D168" s="8" t="str">
        <f>IFERROR(__xludf.DUMMYFUNCTION("GOOGLETRANSLATE(A168,""ar"", ""en"")"),"MATT BLK BIG Iron Bar Stool")</f>
        <v>MATT BLK BIG Iron Bar Stool</v>
      </c>
      <c r="E168" s="5" t="s">
        <v>1899</v>
      </c>
      <c r="F168" s="9" t="s">
        <v>27</v>
      </c>
      <c r="G168" s="9" t="s">
        <v>18</v>
      </c>
      <c r="H168" s="16" t="s">
        <v>47</v>
      </c>
      <c r="I168" s="101"/>
      <c r="J168" s="29"/>
      <c r="K168" s="11" t="s">
        <v>1900</v>
      </c>
      <c r="L168" s="8"/>
      <c r="M168" s="12">
        <v>37.0</v>
      </c>
      <c r="N168" s="8"/>
      <c r="O168" s="8"/>
      <c r="P168" s="29"/>
      <c r="Q168" s="3" t="s">
        <v>1901</v>
      </c>
      <c r="R168" s="4"/>
      <c r="S168" s="4"/>
      <c r="T168" s="4"/>
      <c r="U168" s="4"/>
      <c r="V168" s="4"/>
      <c r="W168" s="4"/>
      <c r="X168" s="4"/>
      <c r="Y168" s="4"/>
    </row>
    <row r="169">
      <c r="A169" s="13" t="s">
        <v>1902</v>
      </c>
      <c r="B169" s="6">
        <v>1726.0</v>
      </c>
      <c r="C169" s="7" t="b">
        <v>1</v>
      </c>
      <c r="D169" s="8" t="str">
        <f>IFERROR(__xludf.DUMMYFUNCTION("GOOGLETRANSLATE(A169,""ar"", ""en"")"),"Plain black iron chair without handles")</f>
        <v>Plain black iron chair without handles</v>
      </c>
      <c r="E169" s="13" t="s">
        <v>1903</v>
      </c>
      <c r="F169" s="9" t="s">
        <v>27</v>
      </c>
      <c r="G169" s="9" t="s">
        <v>18</v>
      </c>
      <c r="H169" s="16" t="s">
        <v>72</v>
      </c>
      <c r="I169" s="97" t="s">
        <v>1904</v>
      </c>
      <c r="J169" s="31"/>
      <c r="K169" s="11" t="s">
        <v>1905</v>
      </c>
      <c r="L169" s="8"/>
      <c r="M169" s="15">
        <v>4.0</v>
      </c>
      <c r="N169" s="8"/>
      <c r="O169" s="8"/>
      <c r="P169" s="31"/>
      <c r="Q169" s="4"/>
      <c r="R169" s="4"/>
      <c r="S169" s="4"/>
      <c r="T169" s="4"/>
      <c r="U169" s="4"/>
      <c r="V169" s="4"/>
      <c r="W169" s="4"/>
      <c r="X169" s="4"/>
      <c r="Y169" s="4"/>
    </row>
    <row r="170">
      <c r="A170" s="5" t="s">
        <v>1906</v>
      </c>
      <c r="B170" s="6">
        <v>1727.0</v>
      </c>
      <c r="C170" s="7" t="b">
        <v>1</v>
      </c>
      <c r="D170" s="8" t="str">
        <f>IFERROR(__xludf.DUMMYFUNCTION("GOOGLETRANSLATE(A170,""ar"", ""en"")"),"V Black Colored Iron Chair Without Handle")</f>
        <v>V Black Colored Iron Chair Without Handle</v>
      </c>
      <c r="E170" s="5" t="s">
        <v>1907</v>
      </c>
      <c r="F170" s="9" t="s">
        <v>27</v>
      </c>
      <c r="G170" s="9" t="s">
        <v>18</v>
      </c>
      <c r="H170" s="16" t="s">
        <v>72</v>
      </c>
      <c r="I170" s="97" t="s">
        <v>1908</v>
      </c>
      <c r="J170" s="29"/>
      <c r="K170" s="11" t="s">
        <v>1909</v>
      </c>
      <c r="L170" s="8"/>
      <c r="M170" s="12">
        <v>68.0</v>
      </c>
      <c r="N170" s="8"/>
      <c r="O170" s="8"/>
      <c r="P170" s="29"/>
      <c r="Q170" s="4"/>
      <c r="R170" s="4"/>
      <c r="S170" s="4"/>
      <c r="T170" s="4"/>
      <c r="U170" s="4"/>
      <c r="V170" s="4"/>
      <c r="W170" s="4"/>
      <c r="X170" s="4"/>
      <c r="Y170" s="4"/>
    </row>
    <row r="171">
      <c r="A171" s="13" t="s">
        <v>1910</v>
      </c>
      <c r="B171" s="6">
        <v>1734.0</v>
      </c>
      <c r="C171" s="7" t="b">
        <v>1</v>
      </c>
      <c r="D171" s="8" t="str">
        <f>IFERROR(__xludf.DUMMYFUNCTION("GOOGLETRANSLATE(A171,""ar"", ""en"")"),"BLACK Plain Iron Bar Chair")</f>
        <v>BLACK Plain Iron Bar Chair</v>
      </c>
      <c r="E171" s="13" t="s">
        <v>1911</v>
      </c>
      <c r="F171" s="9" t="s">
        <v>27</v>
      </c>
      <c r="G171" s="9" t="s">
        <v>18</v>
      </c>
      <c r="H171" s="16" t="s">
        <v>47</v>
      </c>
      <c r="I171" s="97" t="s">
        <v>1912</v>
      </c>
      <c r="J171" s="31"/>
      <c r="K171" s="11" t="s">
        <v>1913</v>
      </c>
      <c r="L171" s="8"/>
      <c r="M171" s="15">
        <v>189.0</v>
      </c>
      <c r="N171" s="8"/>
      <c r="O171" s="8"/>
      <c r="P171" s="31"/>
      <c r="Q171" s="4"/>
      <c r="R171" s="4"/>
      <c r="S171" s="4"/>
      <c r="T171" s="4"/>
      <c r="U171" s="4"/>
      <c r="V171" s="4"/>
      <c r="W171" s="4"/>
      <c r="X171" s="4"/>
      <c r="Y171" s="4"/>
    </row>
    <row r="172">
      <c r="A172" s="5" t="s">
        <v>1914</v>
      </c>
      <c r="B172" s="6">
        <v>1741.0</v>
      </c>
      <c r="C172" s="7" t="b">
        <v>1</v>
      </c>
      <c r="D172" s="8" t="str">
        <f>IFERROR(__xludf.DUMMYFUNCTION("GOOGLETRANSLATE(A172,""ar"", ""en"")"),"MATT BLK Iron Bar Chair Wood Seat")</f>
        <v>MATT BLK Iron Bar Chair Wood Seat</v>
      </c>
      <c r="E172" s="5" t="s">
        <v>1915</v>
      </c>
      <c r="F172" s="9" t="s">
        <v>27</v>
      </c>
      <c r="G172" s="9" t="s">
        <v>18</v>
      </c>
      <c r="H172" s="16" t="s">
        <v>47</v>
      </c>
      <c r="I172" s="92"/>
      <c r="J172" s="29"/>
      <c r="K172" s="11" t="s">
        <v>1916</v>
      </c>
      <c r="L172" s="8"/>
      <c r="M172" s="12">
        <v>52.0</v>
      </c>
      <c r="N172" s="8"/>
      <c r="O172" s="8"/>
      <c r="P172" s="29"/>
      <c r="Q172" s="4"/>
      <c r="R172" s="4"/>
      <c r="S172" s="4"/>
      <c r="T172" s="4"/>
      <c r="U172" s="4"/>
      <c r="V172" s="4"/>
      <c r="W172" s="4"/>
      <c r="X172" s="4"/>
      <c r="Y172" s="4"/>
    </row>
    <row r="173">
      <c r="A173" s="13" t="s">
        <v>1917</v>
      </c>
      <c r="B173" s="6">
        <v>1742.0</v>
      </c>
      <c r="C173" s="7" t="b">
        <v>1</v>
      </c>
      <c r="D173" s="8" t="str">
        <f>IFERROR(__xludf.DUMMYFUNCTION("GOOGLETRANSLATE(A173,""ar"", ""en"")"),"V iron bar chair")</f>
        <v>V iron bar chair</v>
      </c>
      <c r="E173" s="13" t="s">
        <v>1918</v>
      </c>
      <c r="F173" s="9" t="s">
        <v>27</v>
      </c>
      <c r="G173" s="9" t="s">
        <v>18</v>
      </c>
      <c r="H173" s="16" t="s">
        <v>47</v>
      </c>
      <c r="I173" s="97" t="s">
        <v>1919</v>
      </c>
      <c r="J173" s="31"/>
      <c r="K173" s="11" t="s">
        <v>1920</v>
      </c>
      <c r="L173" s="8"/>
      <c r="M173" s="15">
        <v>25.0</v>
      </c>
      <c r="N173" s="8"/>
      <c r="O173" s="8"/>
      <c r="P173" s="31"/>
      <c r="Q173" s="4"/>
      <c r="R173" s="4"/>
      <c r="S173" s="4"/>
      <c r="T173" s="4"/>
      <c r="U173" s="4"/>
      <c r="V173" s="4"/>
      <c r="W173" s="4"/>
      <c r="X173" s="4"/>
      <c r="Y173" s="4"/>
    </row>
    <row r="174">
      <c r="A174" s="5" t="s">
        <v>1921</v>
      </c>
      <c r="B174" s="6">
        <v>1747.0</v>
      </c>
      <c r="C174" s="7" t="b">
        <v>1</v>
      </c>
      <c r="D174" s="8" t="str">
        <f>IFERROR(__xludf.DUMMYFUNCTION("GOOGLETRANSLATE(A174,""ar"", ""en"")"),"YELLOW VNTG Iron Bar Stool")</f>
        <v>YELLOW VNTG Iron Bar Stool</v>
      </c>
      <c r="E174" s="5" t="s">
        <v>1922</v>
      </c>
      <c r="F174" s="9" t="s">
        <v>27</v>
      </c>
      <c r="G174" s="9" t="s">
        <v>18</v>
      </c>
      <c r="H174" s="16" t="s">
        <v>47</v>
      </c>
      <c r="I174" s="92"/>
      <c r="J174" s="29"/>
      <c r="K174" s="11" t="s">
        <v>1923</v>
      </c>
      <c r="L174" s="8"/>
      <c r="M174" s="12">
        <v>161.0</v>
      </c>
      <c r="N174" s="8"/>
      <c r="O174" s="8"/>
      <c r="P174" s="29"/>
      <c r="Q174" s="4"/>
      <c r="R174" s="4"/>
      <c r="S174" s="4"/>
      <c r="T174" s="4"/>
      <c r="U174" s="4"/>
      <c r="V174" s="4"/>
      <c r="W174" s="4"/>
      <c r="X174" s="4"/>
      <c r="Y174" s="4"/>
    </row>
    <row r="175">
      <c r="A175" s="13" t="s">
        <v>1924</v>
      </c>
      <c r="B175" s="6">
        <v>1748.0</v>
      </c>
      <c r="C175" s="7" t="b">
        <v>1</v>
      </c>
      <c r="D175" s="8" t="str">
        <f>IFERROR(__xludf.DUMMYFUNCTION("GOOGLETRANSLATE(A175,""ar"", ""en"")"),"MATT BLK Iron Bar Stool with Back")</f>
        <v>MATT BLK Iron Bar Stool with Back</v>
      </c>
      <c r="E175" s="35" t="s">
        <v>1925</v>
      </c>
      <c r="F175" s="9" t="s">
        <v>27</v>
      </c>
      <c r="G175" s="9" t="s">
        <v>18</v>
      </c>
      <c r="H175" s="16" t="s">
        <v>47</v>
      </c>
      <c r="I175" s="92"/>
      <c r="J175" s="31"/>
      <c r="K175" s="11" t="s">
        <v>1926</v>
      </c>
      <c r="L175" s="8"/>
      <c r="M175" s="15">
        <v>36.0</v>
      </c>
      <c r="N175" s="8"/>
      <c r="O175" s="8"/>
      <c r="P175" s="31"/>
      <c r="Q175" s="4"/>
      <c r="R175" s="4"/>
      <c r="S175" s="4"/>
      <c r="T175" s="4"/>
      <c r="U175" s="4"/>
      <c r="V175" s="4"/>
      <c r="W175" s="4"/>
      <c r="X175" s="4"/>
      <c r="Y175" s="4"/>
    </row>
    <row r="176">
      <c r="A176" s="5" t="s">
        <v>1927</v>
      </c>
      <c r="B176" s="6">
        <v>1749.0</v>
      </c>
      <c r="C176" s="7" t="b">
        <v>1</v>
      </c>
      <c r="D176" s="8" t="str">
        <f>IFERROR(__xludf.DUMMYFUNCTION("GOOGLETRANSLATE(A176,""ar"", ""en"")"),"Fixed iron and wood bar stool")</f>
        <v>Fixed iron and wood bar stool</v>
      </c>
      <c r="E176" s="5" t="s">
        <v>1928</v>
      </c>
      <c r="F176" s="9" t="s">
        <v>27</v>
      </c>
      <c r="G176" s="9" t="s">
        <v>18</v>
      </c>
      <c r="H176" s="16" t="s">
        <v>47</v>
      </c>
      <c r="I176" s="92"/>
      <c r="J176" s="29"/>
      <c r="K176" s="11" t="s">
        <v>1929</v>
      </c>
      <c r="L176" s="8"/>
      <c r="M176" s="12">
        <v>17.0</v>
      </c>
      <c r="N176" s="8"/>
      <c r="O176" s="8"/>
      <c r="P176" s="29"/>
      <c r="Q176" s="4"/>
      <c r="R176" s="4"/>
      <c r="S176" s="4"/>
      <c r="T176" s="4"/>
      <c r="U176" s="4"/>
      <c r="V176" s="4"/>
      <c r="W176" s="4"/>
      <c r="X176" s="4"/>
      <c r="Y176" s="4"/>
    </row>
    <row r="177">
      <c r="A177" s="13" t="s">
        <v>1930</v>
      </c>
      <c r="B177" s="6">
        <v>1750.0</v>
      </c>
      <c r="C177" s="7" t="b">
        <v>1</v>
      </c>
      <c r="D177" s="8" t="str">
        <f>IFERROR(__xludf.DUMMYFUNCTION("GOOGLETRANSLATE(A177,""ar"", ""en"")"),"MATT BLK Iron Bar Stool with Back")</f>
        <v>MATT BLK Iron Bar Stool with Back</v>
      </c>
      <c r="E177" s="13" t="s">
        <v>1931</v>
      </c>
      <c r="F177" s="9" t="s">
        <v>27</v>
      </c>
      <c r="G177" s="9" t="s">
        <v>18</v>
      </c>
      <c r="H177" s="16" t="s">
        <v>47</v>
      </c>
      <c r="I177" s="92"/>
      <c r="J177" s="31"/>
      <c r="K177" s="11" t="s">
        <v>1926</v>
      </c>
      <c r="L177" s="8"/>
      <c r="M177" s="15">
        <v>54.0</v>
      </c>
      <c r="N177" s="8"/>
      <c r="O177" s="8"/>
      <c r="P177" s="31"/>
      <c r="Q177" s="4"/>
      <c r="R177" s="4"/>
      <c r="S177" s="4"/>
      <c r="T177" s="4"/>
      <c r="U177" s="4"/>
      <c r="V177" s="4"/>
      <c r="W177" s="4"/>
      <c r="X177" s="4"/>
      <c r="Y177" s="4"/>
    </row>
    <row r="178">
      <c r="A178" s="5" t="s">
        <v>1932</v>
      </c>
      <c r="B178" s="6">
        <v>1751.0</v>
      </c>
      <c r="C178" s="7" t="b">
        <v>1</v>
      </c>
      <c r="D178" s="8" t="str">
        <f>IFERROR(__xludf.DUMMYFUNCTION("GOOGLETRANSLATE(A178,""ar"", ""en"")"),"Twisted iron bar stool")</f>
        <v>Twisted iron bar stool</v>
      </c>
      <c r="E178" s="5" t="s">
        <v>1933</v>
      </c>
      <c r="F178" s="9" t="s">
        <v>27</v>
      </c>
      <c r="G178" s="9" t="s">
        <v>18</v>
      </c>
      <c r="H178" s="16" t="s">
        <v>47</v>
      </c>
      <c r="I178" s="92"/>
      <c r="J178" s="29"/>
      <c r="K178" s="11" t="s">
        <v>1934</v>
      </c>
      <c r="L178" s="8"/>
      <c r="M178" s="12">
        <v>81.0</v>
      </c>
      <c r="N178" s="8"/>
      <c r="O178" s="8"/>
      <c r="P178" s="29"/>
      <c r="Q178" s="4"/>
      <c r="R178" s="4"/>
      <c r="S178" s="4"/>
      <c r="T178" s="4"/>
      <c r="U178" s="4"/>
      <c r="V178" s="4"/>
      <c r="W178" s="4"/>
      <c r="X178" s="4"/>
      <c r="Y178" s="4"/>
    </row>
    <row r="179">
      <c r="A179" s="5" t="s">
        <v>780</v>
      </c>
      <c r="B179" s="6">
        <v>1757.0</v>
      </c>
      <c r="C179" s="7" t="b">
        <v>1</v>
      </c>
      <c r="D179" s="8" t="str">
        <f>IFERROR(__xludf.DUMMYFUNCTION("GOOGLETRANSLATE(A179,""ar"", ""en"")"),"Two-seat swing")</f>
        <v>Two-seat swing</v>
      </c>
      <c r="E179" s="33" t="s">
        <v>1935</v>
      </c>
      <c r="F179" s="9" t="s">
        <v>28</v>
      </c>
      <c r="G179" s="9" t="s">
        <v>28</v>
      </c>
      <c r="H179" s="16" t="s">
        <v>1936</v>
      </c>
      <c r="I179" s="97" t="s">
        <v>1937</v>
      </c>
      <c r="J179" s="29"/>
      <c r="K179" s="11" t="s">
        <v>782</v>
      </c>
      <c r="L179" s="8"/>
      <c r="M179" s="12">
        <v>7.0</v>
      </c>
      <c r="N179" s="8"/>
      <c r="O179" s="8"/>
      <c r="P179" s="29"/>
      <c r="Q179" s="4"/>
      <c r="R179" s="4"/>
      <c r="S179" s="4"/>
      <c r="T179" s="4"/>
      <c r="U179" s="4"/>
      <c r="V179" s="4"/>
      <c r="W179" s="4"/>
      <c r="X179" s="4"/>
      <c r="Y179" s="4"/>
    </row>
    <row r="180">
      <c r="A180" s="5" t="s">
        <v>1938</v>
      </c>
      <c r="B180" s="6">
        <v>1771.0</v>
      </c>
      <c r="C180" s="7" t="b">
        <v>1</v>
      </c>
      <c r="D180" s="8" t="str">
        <f>IFERROR(__xludf.DUMMYFUNCTION("GOOGLETRANSLATE(A180,""ar"", ""en"")"),"3-door leather shoes")</f>
        <v>3-door leather shoes</v>
      </c>
      <c r="E180" s="5" t="s">
        <v>1939</v>
      </c>
      <c r="F180" s="9" t="s">
        <v>18</v>
      </c>
      <c r="G180" s="9" t="s">
        <v>18</v>
      </c>
      <c r="H180" s="16" t="s">
        <v>1303</v>
      </c>
      <c r="I180" s="92"/>
      <c r="J180" s="10">
        <v>0.0</v>
      </c>
      <c r="K180" s="11" t="s">
        <v>1940</v>
      </c>
      <c r="L180" s="8"/>
      <c r="M180" s="12">
        <v>93.0</v>
      </c>
      <c r="N180" s="8"/>
      <c r="O180" s="8"/>
      <c r="P180" s="10">
        <v>0.0</v>
      </c>
      <c r="Q180" s="4"/>
      <c r="R180" s="4"/>
      <c r="S180" s="4"/>
      <c r="T180" s="4"/>
      <c r="U180" s="4"/>
      <c r="V180" s="4"/>
      <c r="W180" s="4"/>
      <c r="X180" s="4"/>
      <c r="Y180" s="4"/>
    </row>
    <row r="181">
      <c r="A181" s="13" t="s">
        <v>1941</v>
      </c>
      <c r="B181" s="6">
        <v>1772.0</v>
      </c>
      <c r="C181" s="7" t="b">
        <v>1</v>
      </c>
      <c r="D181" s="8" t="str">
        <f>IFERROR(__xludf.DUMMYFUNCTION("GOOGLETRANSLATE(A181,""ar"", ""en"")"),"Two-door shoe cabinet")</f>
        <v>Two-door shoe cabinet</v>
      </c>
      <c r="E181" s="13" t="s">
        <v>1942</v>
      </c>
      <c r="F181" s="9" t="s">
        <v>18</v>
      </c>
      <c r="G181" s="9" t="s">
        <v>18</v>
      </c>
      <c r="H181" s="16" t="s">
        <v>1303</v>
      </c>
      <c r="I181" s="92"/>
      <c r="J181" s="31"/>
      <c r="K181" s="11" t="s">
        <v>1943</v>
      </c>
      <c r="L181" s="8"/>
      <c r="M181" s="15">
        <v>106.0</v>
      </c>
      <c r="N181" s="8"/>
      <c r="O181" s="8"/>
      <c r="P181" s="31"/>
      <c r="Q181" s="4"/>
      <c r="R181" s="4"/>
      <c r="S181" s="4"/>
      <c r="T181" s="4"/>
      <c r="U181" s="4"/>
      <c r="V181" s="4"/>
      <c r="W181" s="4"/>
      <c r="X181" s="4"/>
      <c r="Y181" s="4"/>
    </row>
    <row r="182">
      <c r="A182" s="5" t="s">
        <v>1944</v>
      </c>
      <c r="B182" s="6">
        <v>1775.0</v>
      </c>
      <c r="C182" s="7" t="b">
        <v>1</v>
      </c>
      <c r="D182" s="8" t="str">
        <f>IFERROR(__xludf.DUMMYFUNCTION("GOOGLETRANSLATE(A182,""ar"", ""en"")"),"3-door shoe cabinet")</f>
        <v>3-door shoe cabinet</v>
      </c>
      <c r="E182" s="5" t="s">
        <v>1945</v>
      </c>
      <c r="F182" s="9" t="s">
        <v>18</v>
      </c>
      <c r="G182" s="9" t="s">
        <v>18</v>
      </c>
      <c r="H182" s="16" t="s">
        <v>1303</v>
      </c>
      <c r="I182" s="92"/>
      <c r="J182" s="29"/>
      <c r="K182" s="11" t="s">
        <v>1946</v>
      </c>
      <c r="L182" s="8"/>
      <c r="M182" s="12">
        <v>69.0</v>
      </c>
      <c r="N182" s="8"/>
      <c r="O182" s="8"/>
      <c r="P182" s="29"/>
      <c r="Q182" s="4"/>
      <c r="R182" s="4"/>
      <c r="S182" s="4"/>
      <c r="T182" s="4"/>
      <c r="U182" s="4"/>
      <c r="V182" s="4"/>
      <c r="W182" s="4"/>
      <c r="X182" s="4"/>
      <c r="Y182" s="4"/>
    </row>
    <row r="183">
      <c r="A183" s="13" t="s">
        <v>1947</v>
      </c>
      <c r="B183" s="6">
        <v>1778.0</v>
      </c>
      <c r="C183" s="7" t="b">
        <v>1</v>
      </c>
      <c r="D183" s="8" t="str">
        <f>IFERROR(__xludf.DUMMYFUNCTION("GOOGLETRANSLATE(A183,""ar"", ""en"")"),"Long two-story shoes")</f>
        <v>Long two-story shoes</v>
      </c>
      <c r="E183" s="13" t="s">
        <v>1948</v>
      </c>
      <c r="F183" s="9" t="s">
        <v>18</v>
      </c>
      <c r="G183" s="9" t="s">
        <v>18</v>
      </c>
      <c r="H183" s="16" t="s">
        <v>1303</v>
      </c>
      <c r="I183" s="92"/>
      <c r="J183" s="14">
        <v>0.0</v>
      </c>
      <c r="K183" s="11" t="s">
        <v>1949</v>
      </c>
      <c r="L183" s="8"/>
      <c r="M183" s="15">
        <v>44.0</v>
      </c>
      <c r="N183" s="8"/>
      <c r="O183" s="8"/>
      <c r="P183" s="14">
        <v>0.0</v>
      </c>
      <c r="Q183" s="4"/>
      <c r="R183" s="4"/>
      <c r="S183" s="4"/>
      <c r="T183" s="4"/>
      <c r="U183" s="4"/>
      <c r="V183" s="4"/>
      <c r="W183" s="4"/>
      <c r="X183" s="4"/>
      <c r="Y183" s="4"/>
    </row>
    <row r="184">
      <c r="A184" s="5" t="s">
        <v>1950</v>
      </c>
      <c r="B184" s="6">
        <v>1781.0</v>
      </c>
      <c r="C184" s="7" t="b">
        <v>1</v>
      </c>
      <c r="D184" s="8" t="str">
        <f>IFERROR(__xludf.DUMMYFUNCTION("GOOGLETRANSLATE(A184,""ar"", ""en"")"),"tall shoe cabinet")</f>
        <v>tall shoe cabinet</v>
      </c>
      <c r="E184" s="5" t="s">
        <v>1951</v>
      </c>
      <c r="F184" s="9" t="s">
        <v>18</v>
      </c>
      <c r="G184" s="9" t="s">
        <v>18</v>
      </c>
      <c r="H184" s="16" t="s">
        <v>1303</v>
      </c>
      <c r="I184" s="92"/>
      <c r="J184" s="29"/>
      <c r="K184" s="11" t="s">
        <v>1952</v>
      </c>
      <c r="L184" s="8"/>
      <c r="M184" s="12">
        <v>114.0</v>
      </c>
      <c r="N184" s="8"/>
      <c r="O184" s="8"/>
      <c r="P184" s="29"/>
      <c r="Q184" s="4"/>
      <c r="R184" s="4"/>
      <c r="S184" s="4"/>
      <c r="T184" s="4"/>
      <c r="U184" s="4"/>
      <c r="V184" s="4"/>
      <c r="W184" s="4"/>
      <c r="X184" s="4"/>
      <c r="Y184" s="4"/>
    </row>
    <row r="185">
      <c r="A185" s="13" t="s">
        <v>1953</v>
      </c>
      <c r="B185" s="6">
        <v>1796.0</v>
      </c>
      <c r="C185" s="7" t="b">
        <v>1</v>
      </c>
      <c r="D185" s="8" t="str">
        <f>IFERROR(__xludf.DUMMYFUNCTION("GOOGLETRANSLATE(A185,""ar"", ""en"")"),"Turkish resin basket")</f>
        <v>Turkish resin basket</v>
      </c>
      <c r="E185" s="13" t="s">
        <v>1954</v>
      </c>
      <c r="F185" s="9" t="s">
        <v>28</v>
      </c>
      <c r="G185" s="9" t="s">
        <v>28</v>
      </c>
      <c r="H185" s="16" t="s">
        <v>519</v>
      </c>
      <c r="I185" s="92"/>
      <c r="J185" s="31"/>
      <c r="K185" s="11" t="s">
        <v>1955</v>
      </c>
      <c r="L185" s="8"/>
      <c r="M185" s="15">
        <v>33.0</v>
      </c>
      <c r="N185" s="8"/>
      <c r="O185" s="8"/>
      <c r="P185" s="31"/>
      <c r="Q185" s="4"/>
      <c r="R185" s="4"/>
      <c r="S185" s="4"/>
      <c r="T185" s="4"/>
      <c r="U185" s="4"/>
      <c r="V185" s="4"/>
      <c r="W185" s="4"/>
      <c r="X185" s="4"/>
      <c r="Y185" s="4"/>
    </row>
    <row r="186">
      <c r="A186" s="5" t="s">
        <v>1956</v>
      </c>
      <c r="B186" s="6">
        <v>1802.0</v>
      </c>
      <c r="C186" s="7" t="b">
        <v>1</v>
      </c>
      <c r="D186" s="8" t="str">
        <f>IFERROR(__xludf.DUMMYFUNCTION("GOOGLETRANSLATE(A186,""ar"", ""en"")"),"Turkish plastic chair with handle")</f>
        <v>Turkish plastic chair with handle</v>
      </c>
      <c r="E186" s="5" t="s">
        <v>1957</v>
      </c>
      <c r="F186" s="9" t="s">
        <v>28</v>
      </c>
      <c r="G186" s="9" t="s">
        <v>28</v>
      </c>
      <c r="H186" s="16" t="s">
        <v>43</v>
      </c>
      <c r="I186" s="101" t="s">
        <v>1958</v>
      </c>
      <c r="J186" s="29"/>
      <c r="K186" s="11" t="s">
        <v>1959</v>
      </c>
      <c r="L186" s="8"/>
      <c r="M186" s="12">
        <v>119.0</v>
      </c>
      <c r="N186" s="8"/>
      <c r="O186" s="8"/>
      <c r="P186" s="29"/>
      <c r="Q186" s="4"/>
      <c r="R186" s="4"/>
      <c r="S186" s="4"/>
      <c r="T186" s="4"/>
      <c r="U186" s="4"/>
      <c r="V186" s="4"/>
      <c r="W186" s="4"/>
      <c r="X186" s="4"/>
      <c r="Y186" s="4"/>
    </row>
    <row r="187">
      <c r="A187" s="5" t="s">
        <v>1960</v>
      </c>
      <c r="B187" s="6">
        <v>1812.0</v>
      </c>
      <c r="C187" s="7" t="b">
        <v>1</v>
      </c>
      <c r="D187" s="8" t="str">
        <f>IFERROR(__xludf.DUMMYFUNCTION("GOOGLETRANSLATE(A187,""ar"", ""en"")"),"Rounded smooth font base")</f>
        <v>Rounded smooth font base</v>
      </c>
      <c r="E187" s="5" t="s">
        <v>1961</v>
      </c>
      <c r="F187" s="9" t="s">
        <v>27</v>
      </c>
      <c r="G187" s="9" t="s">
        <v>28</v>
      </c>
      <c r="H187" s="16" t="s">
        <v>186</v>
      </c>
      <c r="I187" s="92"/>
      <c r="J187" s="29"/>
      <c r="K187" s="11" t="s">
        <v>1962</v>
      </c>
      <c r="L187" s="8"/>
      <c r="M187" s="12">
        <v>86.0</v>
      </c>
      <c r="N187" s="8"/>
      <c r="O187" s="8"/>
      <c r="P187" s="29"/>
      <c r="Q187" s="4"/>
      <c r="R187" s="4"/>
      <c r="S187" s="4"/>
      <c r="T187" s="4"/>
      <c r="U187" s="4"/>
      <c r="V187" s="4"/>
      <c r="W187" s="4"/>
      <c r="X187" s="4"/>
      <c r="Y187" s="4"/>
    </row>
    <row r="188">
      <c r="A188" s="13" t="s">
        <v>838</v>
      </c>
      <c r="B188" s="6">
        <v>1816.0</v>
      </c>
      <c r="C188" s="7" t="b">
        <v>1</v>
      </c>
      <c r="D188" s="8" t="str">
        <f>IFERROR(__xludf.DUMMYFUNCTION("GOOGLETRANSLATE(A188,""ar"", ""en"")"),"Square font base")</f>
        <v>Square font base</v>
      </c>
      <c r="E188" s="13" t="s">
        <v>1963</v>
      </c>
      <c r="F188" s="9" t="s">
        <v>27</v>
      </c>
      <c r="G188" s="9" t="s">
        <v>28</v>
      </c>
      <c r="H188" s="16" t="s">
        <v>186</v>
      </c>
      <c r="I188" s="92"/>
      <c r="J188" s="31"/>
      <c r="K188" s="11" t="s">
        <v>840</v>
      </c>
      <c r="L188" s="8"/>
      <c r="M188" s="15">
        <v>120.0</v>
      </c>
      <c r="N188" s="8"/>
      <c r="O188" s="8"/>
      <c r="P188" s="31"/>
      <c r="Q188" s="4"/>
      <c r="R188" s="4"/>
      <c r="S188" s="4"/>
      <c r="T188" s="4"/>
      <c r="U188" s="4"/>
      <c r="V188" s="4"/>
      <c r="W188" s="4"/>
      <c r="X188" s="4"/>
      <c r="Y188" s="4"/>
    </row>
    <row r="189">
      <c r="A189" s="5" t="s">
        <v>1964</v>
      </c>
      <c r="B189" s="6">
        <v>1817.0</v>
      </c>
      <c r="C189" s="7" t="b">
        <v>1</v>
      </c>
      <c r="D189" s="8" t="str">
        <f>IFERROR(__xludf.DUMMYFUNCTION("GOOGLETRANSLATE(A189,""ar"", ""en"")"),"Font-Parmeless square base")</f>
        <v>Font-Parmeless square base</v>
      </c>
      <c r="E189" s="5" t="s">
        <v>1465</v>
      </c>
      <c r="F189" s="9" t="s">
        <v>27</v>
      </c>
      <c r="G189" s="9" t="s">
        <v>28</v>
      </c>
      <c r="H189" s="16" t="s">
        <v>186</v>
      </c>
      <c r="I189" s="92"/>
      <c r="J189" s="29"/>
      <c r="K189" s="11" t="s">
        <v>1965</v>
      </c>
      <c r="L189" s="8"/>
      <c r="M189" s="12">
        <v>36.0</v>
      </c>
      <c r="N189" s="8"/>
      <c r="O189" s="8"/>
      <c r="P189" s="29"/>
      <c r="Q189" s="4"/>
      <c r="R189" s="4"/>
      <c r="S189" s="4"/>
      <c r="T189" s="4"/>
      <c r="U189" s="4"/>
      <c r="V189" s="4"/>
      <c r="W189" s="4"/>
      <c r="X189" s="4"/>
      <c r="Y189" s="4"/>
    </row>
    <row r="190">
      <c r="A190" s="13" t="s">
        <v>1966</v>
      </c>
      <c r="B190" s="6">
        <v>1818.0</v>
      </c>
      <c r="C190" s="7" t="b">
        <v>1</v>
      </c>
      <c r="D190" s="8" t="str">
        <f>IFERROR(__xludf.DUMMYFUNCTION("GOOGLETRANSLATE(A190,""ar"", ""en"")"),"Smooth square font base")</f>
        <v>Smooth square font base</v>
      </c>
      <c r="E190" s="13" t="s">
        <v>1967</v>
      </c>
      <c r="F190" s="9" t="s">
        <v>27</v>
      </c>
      <c r="G190" s="9" t="s">
        <v>28</v>
      </c>
      <c r="H190" s="16" t="s">
        <v>186</v>
      </c>
      <c r="I190" s="92"/>
      <c r="J190" s="31"/>
      <c r="K190" s="11" t="s">
        <v>1968</v>
      </c>
      <c r="L190" s="8"/>
      <c r="M190" s="15">
        <v>190.0</v>
      </c>
      <c r="N190" s="8"/>
      <c r="O190" s="8"/>
      <c r="P190" s="31"/>
      <c r="Q190" s="4"/>
      <c r="R190" s="4"/>
      <c r="S190" s="4"/>
      <c r="T190" s="4"/>
      <c r="U190" s="4"/>
      <c r="V190" s="4"/>
      <c r="W190" s="4"/>
      <c r="X190" s="4"/>
      <c r="Y190" s="4"/>
    </row>
    <row r="191">
      <c r="A191" s="5" t="s">
        <v>1394</v>
      </c>
      <c r="B191" s="6">
        <v>1819.0</v>
      </c>
      <c r="C191" s="7" t="b">
        <v>1</v>
      </c>
      <c r="D191" s="8" t="str">
        <f>IFERROR(__xludf.DUMMYFUNCTION("GOOGLETRANSLATE(A191,""ar"", ""en"")"),"Font base 4 legs slim tube")</f>
        <v>Font base 4 legs slim tube</v>
      </c>
      <c r="E191" s="5" t="s">
        <v>1395</v>
      </c>
      <c r="F191" s="9" t="s">
        <v>27</v>
      </c>
      <c r="G191" s="9" t="s">
        <v>28</v>
      </c>
      <c r="H191" s="16" t="s">
        <v>186</v>
      </c>
      <c r="I191" s="92"/>
      <c r="J191" s="29"/>
      <c r="K191" s="11" t="s">
        <v>1969</v>
      </c>
      <c r="L191" s="8"/>
      <c r="M191" s="12">
        <v>206.0</v>
      </c>
      <c r="N191" s="8"/>
      <c r="O191" s="8"/>
      <c r="P191" s="29"/>
      <c r="Q191" s="4"/>
      <c r="R191" s="4"/>
      <c r="S191" s="4"/>
      <c r="T191" s="4"/>
      <c r="U191" s="4"/>
      <c r="V191" s="4"/>
      <c r="W191" s="4"/>
      <c r="X191" s="4"/>
      <c r="Y191" s="4"/>
    </row>
    <row r="192">
      <c r="A192" s="5" t="s">
        <v>1466</v>
      </c>
      <c r="B192" s="6">
        <v>1821.0</v>
      </c>
      <c r="C192" s="7" t="b">
        <v>1</v>
      </c>
      <c r="D192" s="8" t="str">
        <f>IFERROR(__xludf.DUMMYFUNCTION("GOOGLETRANSLATE(A192,""ar"", ""en"")"),"306 Wide Small X 4 Leg Font Base")</f>
        <v>306 Wide Small X 4 Leg Font Base</v>
      </c>
      <c r="E192" s="5" t="s">
        <v>1467</v>
      </c>
      <c r="F192" s="9" t="s">
        <v>27</v>
      </c>
      <c r="G192" s="9" t="s">
        <v>28</v>
      </c>
      <c r="H192" s="16" t="s">
        <v>186</v>
      </c>
      <c r="I192" s="92"/>
      <c r="J192" s="29"/>
      <c r="K192" s="11" t="s">
        <v>1970</v>
      </c>
      <c r="L192" s="8"/>
      <c r="M192" s="12">
        <v>11.0</v>
      </c>
      <c r="N192" s="8"/>
      <c r="O192" s="8"/>
      <c r="P192" s="29"/>
      <c r="Q192" s="4"/>
      <c r="R192" s="4"/>
      <c r="S192" s="4"/>
      <c r="T192" s="4"/>
      <c r="U192" s="4"/>
      <c r="V192" s="4"/>
      <c r="W192" s="4"/>
      <c r="X192" s="4"/>
      <c r="Y192" s="4"/>
    </row>
    <row r="193">
      <c r="A193" s="13" t="s">
        <v>1971</v>
      </c>
      <c r="B193" s="6">
        <v>1822.0</v>
      </c>
      <c r="C193" s="7" t="b">
        <v>1</v>
      </c>
      <c r="D193" s="8" t="str">
        <f>IFERROR(__xludf.DUMMYFUNCTION("GOOGLETRANSLATE(A193,""ar"", ""en"")"),"4-legged font base with a thin tube")</f>
        <v>4-legged font base with a thin tube</v>
      </c>
      <c r="E193" s="13" t="s">
        <v>1972</v>
      </c>
      <c r="F193" s="9" t="s">
        <v>27</v>
      </c>
      <c r="G193" s="9" t="s">
        <v>28</v>
      </c>
      <c r="H193" s="16" t="s">
        <v>186</v>
      </c>
      <c r="I193" s="92"/>
      <c r="J193" s="31"/>
      <c r="K193" s="11" t="s">
        <v>1973</v>
      </c>
      <c r="L193" s="8"/>
      <c r="M193" s="15">
        <v>115.0</v>
      </c>
      <c r="N193" s="8"/>
      <c r="O193" s="8"/>
      <c r="P193" s="31"/>
      <c r="Q193" s="4"/>
      <c r="R193" s="4"/>
      <c r="S193" s="4"/>
      <c r="T193" s="4"/>
      <c r="U193" s="4"/>
      <c r="V193" s="4"/>
      <c r="W193" s="4"/>
      <c r="X193" s="4"/>
      <c r="Y193" s="4"/>
    </row>
    <row r="194">
      <c r="A194" s="13" t="s">
        <v>1974</v>
      </c>
      <c r="B194" s="6">
        <v>1824.0</v>
      </c>
      <c r="C194" s="7" t="b">
        <v>1</v>
      </c>
      <c r="D194" s="8" t="str">
        <f>IFERROR(__xludf.DUMMYFUNCTION("GOOGLETRANSLATE(A194,""ar"", ""en"")"),"4-legged font base with wide tube")</f>
        <v>4-legged font base with wide tube</v>
      </c>
      <c r="E194" s="13" t="s">
        <v>1975</v>
      </c>
      <c r="F194" s="9" t="s">
        <v>27</v>
      </c>
      <c r="G194" s="9" t="s">
        <v>28</v>
      </c>
      <c r="H194" s="16" t="s">
        <v>186</v>
      </c>
      <c r="I194" s="92"/>
      <c r="J194" s="31"/>
      <c r="K194" s="11" t="s">
        <v>1976</v>
      </c>
      <c r="L194" s="8"/>
      <c r="M194" s="15">
        <v>84.0</v>
      </c>
      <c r="N194" s="8"/>
      <c r="O194" s="8"/>
      <c r="P194" s="31"/>
      <c r="Q194" s="4"/>
      <c r="R194" s="4"/>
      <c r="S194" s="4"/>
      <c r="T194" s="4"/>
      <c r="U194" s="4"/>
      <c r="V194" s="4"/>
      <c r="W194" s="4"/>
      <c r="X194" s="4"/>
      <c r="Y194" s="4"/>
    </row>
    <row r="195">
      <c r="A195" s="5" t="s">
        <v>1977</v>
      </c>
      <c r="B195" s="6">
        <v>1825.0</v>
      </c>
      <c r="C195" s="7" t="b">
        <v>1</v>
      </c>
      <c r="D195" s="8" t="str">
        <f>IFERROR(__xludf.DUMMYFUNCTION("GOOGLETRANSLATE(A195,""ar"", ""en"")"),"4-legged smooth rose font base")</f>
        <v>4-legged smooth rose font base</v>
      </c>
      <c r="E195" s="5" t="s">
        <v>1978</v>
      </c>
      <c r="F195" s="9" t="s">
        <v>27</v>
      </c>
      <c r="G195" s="9" t="s">
        <v>28</v>
      </c>
      <c r="H195" s="16" t="s">
        <v>186</v>
      </c>
      <c r="I195" s="92"/>
      <c r="J195" s="29"/>
      <c r="K195" s="11" t="s">
        <v>1979</v>
      </c>
      <c r="L195" s="8"/>
      <c r="M195" s="12">
        <v>68.0</v>
      </c>
      <c r="N195" s="8"/>
      <c r="O195" s="8"/>
      <c r="P195" s="29"/>
      <c r="Q195" s="4"/>
      <c r="R195" s="4"/>
      <c r="S195" s="4"/>
      <c r="T195" s="4"/>
      <c r="U195" s="4"/>
      <c r="V195" s="4"/>
      <c r="W195" s="4"/>
      <c r="X195" s="4"/>
      <c r="Y195" s="4"/>
    </row>
    <row r="196">
      <c r="A196" s="13" t="s">
        <v>1980</v>
      </c>
      <c r="B196" s="6">
        <v>1826.0</v>
      </c>
      <c r="C196" s="7" t="b">
        <v>1</v>
      </c>
      <c r="D196" s="8" t="str">
        <f>IFERROR(__xludf.DUMMYFUNCTION("GOOGLETRANSLATE(A196,""ar"", ""en"")"),"Font bar base 4 legs smooth castel")</f>
        <v>Font bar base 4 legs smooth castel</v>
      </c>
      <c r="E196" s="13" t="s">
        <v>1981</v>
      </c>
      <c r="F196" s="9" t="s">
        <v>27</v>
      </c>
      <c r="G196" s="9" t="s">
        <v>28</v>
      </c>
      <c r="H196" s="16" t="s">
        <v>186</v>
      </c>
      <c r="I196" s="92"/>
      <c r="J196" s="31"/>
      <c r="K196" s="11" t="s">
        <v>1982</v>
      </c>
      <c r="L196" s="8"/>
      <c r="M196" s="15">
        <v>38.0</v>
      </c>
      <c r="N196" s="8"/>
      <c r="O196" s="8"/>
      <c r="P196" s="31"/>
      <c r="Q196" s="4"/>
      <c r="R196" s="4"/>
      <c r="S196" s="4"/>
      <c r="T196" s="4"/>
      <c r="U196" s="4"/>
      <c r="V196" s="4"/>
      <c r="W196" s="4"/>
      <c r="X196" s="4"/>
      <c r="Y196" s="4"/>
    </row>
    <row r="197">
      <c r="A197" s="5" t="s">
        <v>1468</v>
      </c>
      <c r="B197" s="6">
        <v>1827.0</v>
      </c>
      <c r="C197" s="7" t="b">
        <v>1</v>
      </c>
      <c r="D197" s="8" t="str">
        <f>IFERROR(__xludf.DUMMYFUNCTION("GOOGLETRANSLATE(A197,""ar"", ""en"")"),"Small 3-legged font base")</f>
        <v>Small 3-legged font base</v>
      </c>
      <c r="E197" s="5" t="s">
        <v>1469</v>
      </c>
      <c r="F197" s="9" t="s">
        <v>27</v>
      </c>
      <c r="G197" s="9" t="s">
        <v>28</v>
      </c>
      <c r="H197" s="16" t="s">
        <v>186</v>
      </c>
      <c r="I197" s="92"/>
      <c r="J197" s="29"/>
      <c r="K197" s="11" t="s">
        <v>1983</v>
      </c>
      <c r="L197" s="8"/>
      <c r="M197" s="12">
        <v>4.0</v>
      </c>
      <c r="N197" s="8"/>
      <c r="O197" s="8"/>
      <c r="P197" s="29"/>
      <c r="Q197" s="4"/>
      <c r="R197" s="4"/>
      <c r="S197" s="4"/>
      <c r="T197" s="4"/>
      <c r="U197" s="4"/>
      <c r="V197" s="4"/>
      <c r="W197" s="4"/>
      <c r="X197" s="4"/>
      <c r="Y197" s="4"/>
    </row>
    <row r="198">
      <c r="A198" s="13" t="s">
        <v>1984</v>
      </c>
      <c r="B198" s="6">
        <v>1828.0</v>
      </c>
      <c r="C198" s="7" t="b">
        <v>1</v>
      </c>
      <c r="D198" s="8" t="str">
        <f>IFERROR(__xludf.DUMMYFUNCTION("GOOGLETRANSLATE(A198,""ar"", ""en"")"),"Square heel font base")</f>
        <v>Square heel font base</v>
      </c>
      <c r="E198" s="13" t="s">
        <v>1985</v>
      </c>
      <c r="F198" s="9" t="s">
        <v>27</v>
      </c>
      <c r="G198" s="9" t="s">
        <v>28</v>
      </c>
      <c r="H198" s="16" t="s">
        <v>186</v>
      </c>
      <c r="I198" s="92"/>
      <c r="J198" s="31"/>
      <c r="K198" s="11" t="s">
        <v>1986</v>
      </c>
      <c r="L198" s="8"/>
      <c r="M198" s="15">
        <v>38.0</v>
      </c>
      <c r="N198" s="8"/>
      <c r="O198" s="8"/>
      <c r="P198" s="31"/>
      <c r="Q198" s="4"/>
      <c r="R198" s="4"/>
      <c r="S198" s="4"/>
      <c r="T198" s="4"/>
      <c r="U198" s="4"/>
      <c r="V198" s="4"/>
      <c r="W198" s="4"/>
      <c r="X198" s="4"/>
      <c r="Y198" s="4"/>
    </row>
    <row r="199">
      <c r="A199" s="5" t="s">
        <v>1987</v>
      </c>
      <c r="B199" s="6">
        <v>1829.0</v>
      </c>
      <c r="C199" s="7" t="b">
        <v>1</v>
      </c>
      <c r="D199" s="8" t="str">
        <f>IFERROR(__xludf.DUMMYFUNCTION("GOOGLETRANSLATE(A199,""ar"", ""en"")"),"Font Malaysia base")</f>
        <v>Font Malaysia base</v>
      </c>
      <c r="E199" s="5" t="s">
        <v>1988</v>
      </c>
      <c r="F199" s="9" t="s">
        <v>27</v>
      </c>
      <c r="G199" s="9" t="s">
        <v>28</v>
      </c>
      <c r="H199" s="16" t="s">
        <v>186</v>
      </c>
      <c r="I199" s="92"/>
      <c r="J199" s="29"/>
      <c r="K199" s="11" t="s">
        <v>1989</v>
      </c>
      <c r="L199" s="8"/>
      <c r="M199" s="12">
        <v>19.0</v>
      </c>
      <c r="N199" s="8"/>
      <c r="O199" s="8"/>
      <c r="P199" s="29"/>
      <c r="Q199" s="4"/>
      <c r="R199" s="4"/>
      <c r="S199" s="4"/>
      <c r="T199" s="4"/>
      <c r="U199" s="4"/>
      <c r="V199" s="4"/>
      <c r="W199" s="4"/>
      <c r="X199" s="4"/>
      <c r="Y199" s="4"/>
    </row>
    <row r="200">
      <c r="A200" s="13" t="s">
        <v>1990</v>
      </c>
      <c r="B200" s="6">
        <v>1830.0</v>
      </c>
      <c r="C200" s="7" t="b">
        <v>1</v>
      </c>
      <c r="D200" s="8" t="str">
        <f>IFERROR(__xludf.DUMMYFUNCTION("GOOGLETRANSLATE(A200,""ar"", ""en"")"),"Rectangular font base")</f>
        <v>Rectangular font base</v>
      </c>
      <c r="E200" s="13" t="s">
        <v>1991</v>
      </c>
      <c r="F200" s="9" t="s">
        <v>27</v>
      </c>
      <c r="G200" s="9" t="s">
        <v>28</v>
      </c>
      <c r="H200" s="16" t="s">
        <v>186</v>
      </c>
      <c r="I200" s="92"/>
      <c r="J200" s="31"/>
      <c r="K200" s="11" t="s">
        <v>1992</v>
      </c>
      <c r="L200" s="8"/>
      <c r="M200" s="15">
        <v>44.0</v>
      </c>
      <c r="N200" s="8"/>
      <c r="O200" s="8"/>
      <c r="P200" s="31"/>
      <c r="Q200" s="4"/>
      <c r="R200" s="4"/>
      <c r="S200" s="4"/>
      <c r="T200" s="4"/>
      <c r="U200" s="4"/>
      <c r="V200" s="4"/>
      <c r="W200" s="4"/>
      <c r="X200" s="4"/>
      <c r="Y200" s="4"/>
    </row>
    <row r="201">
      <c r="A201" s="13" t="s">
        <v>1993</v>
      </c>
      <c r="B201" s="6">
        <v>1832.0</v>
      </c>
      <c r="C201" s="7" t="b">
        <v>1</v>
      </c>
      <c r="D201" s="8" t="str">
        <f>IFERROR(__xludf.DUMMYFUNCTION("GOOGLETRANSLATE(A201,""ar"", ""en"")"),"Font Bar Base")</f>
        <v>Font Bar Base</v>
      </c>
      <c r="E201" s="13" t="s">
        <v>1994</v>
      </c>
      <c r="F201" s="9" t="s">
        <v>27</v>
      </c>
      <c r="G201" s="9" t="s">
        <v>28</v>
      </c>
      <c r="H201" s="16" t="s">
        <v>186</v>
      </c>
      <c r="I201" s="92"/>
      <c r="J201" s="31"/>
      <c r="K201" s="11" t="s">
        <v>1995</v>
      </c>
      <c r="L201" s="8"/>
      <c r="M201" s="15">
        <v>60.0</v>
      </c>
      <c r="N201" s="8"/>
      <c r="O201" s="8"/>
      <c r="P201" s="31"/>
      <c r="Q201" s="4"/>
      <c r="R201" s="4"/>
      <c r="S201" s="4"/>
      <c r="T201" s="4"/>
      <c r="U201" s="4"/>
      <c r="V201" s="4"/>
      <c r="W201" s="4"/>
      <c r="X201" s="4"/>
      <c r="Y201" s="4"/>
    </row>
    <row r="202">
      <c r="A202" s="5" t="s">
        <v>1996</v>
      </c>
      <c r="B202" s="6">
        <v>1843.0</v>
      </c>
      <c r="C202" s="7" t="b">
        <v>1</v>
      </c>
      <c r="D202" s="8" t="str">
        <f>IFERROR(__xludf.DUMMYFUNCTION("GOOGLETRANSLATE(A202,""ar"", ""en"")"),"T8 square stainless steel base")</f>
        <v>T8 square stainless steel base</v>
      </c>
      <c r="E202" s="5" t="s">
        <v>1997</v>
      </c>
      <c r="F202" s="9" t="s">
        <v>27</v>
      </c>
      <c r="G202" s="9" t="s">
        <v>28</v>
      </c>
      <c r="H202" s="16" t="s">
        <v>186</v>
      </c>
      <c r="I202" s="92"/>
      <c r="J202" s="29"/>
      <c r="K202" s="11" t="s">
        <v>1998</v>
      </c>
      <c r="L202" s="8"/>
      <c r="M202" s="12">
        <v>10.0</v>
      </c>
      <c r="N202" s="8"/>
      <c r="O202" s="8"/>
      <c r="P202" s="29"/>
      <c r="Q202" s="4"/>
      <c r="R202" s="4"/>
      <c r="S202" s="4"/>
      <c r="T202" s="4"/>
      <c r="U202" s="4"/>
      <c r="V202" s="4"/>
      <c r="W202" s="4"/>
      <c r="X202" s="4"/>
      <c r="Y202" s="4"/>
    </row>
    <row r="203">
      <c r="A203" s="5" t="s">
        <v>1999</v>
      </c>
      <c r="B203" s="6">
        <v>1847.0</v>
      </c>
      <c r="C203" s="7" t="b">
        <v>1</v>
      </c>
      <c r="D203" s="8" t="str">
        <f>IFERROR(__xludf.DUMMYFUNCTION("GOOGLETRANSLATE(A203,""ar"", ""en"")"),"Z 1/Single-sided stainless steel base")</f>
        <v>Z 1/Single-sided stainless steel base</v>
      </c>
      <c r="E203" s="5" t="s">
        <v>2000</v>
      </c>
      <c r="F203" s="9" t="s">
        <v>27</v>
      </c>
      <c r="G203" s="9" t="s">
        <v>28</v>
      </c>
      <c r="H203" s="16" t="s">
        <v>186</v>
      </c>
      <c r="I203" s="92"/>
      <c r="J203" s="29"/>
      <c r="K203" s="11" t="s">
        <v>2001</v>
      </c>
      <c r="L203" s="8"/>
      <c r="M203" s="12">
        <v>39.0</v>
      </c>
      <c r="N203" s="8"/>
      <c r="O203" s="8"/>
      <c r="P203" s="29"/>
      <c r="Q203" s="4"/>
      <c r="R203" s="4"/>
      <c r="S203" s="4"/>
      <c r="T203" s="4"/>
      <c r="U203" s="4"/>
      <c r="V203" s="4"/>
      <c r="W203" s="4"/>
      <c r="X203" s="4"/>
      <c r="Y203" s="4"/>
    </row>
    <row r="204">
      <c r="A204" s="13" t="s">
        <v>2002</v>
      </c>
      <c r="B204" s="6">
        <v>2003.0</v>
      </c>
      <c r="C204" s="7" t="b">
        <v>1</v>
      </c>
      <c r="D204" s="8" t="str">
        <f>IFERROR(__xludf.DUMMYFUNCTION("GOOGLETRANSLATE(A204,""ar"", ""en"")"),"Grey iron two-seat waiting bank")</f>
        <v>Grey iron two-seat waiting bank</v>
      </c>
      <c r="E204" s="13" t="s">
        <v>2003</v>
      </c>
      <c r="F204" s="9" t="s">
        <v>18</v>
      </c>
      <c r="G204" s="9" t="s">
        <v>18</v>
      </c>
      <c r="H204" s="16" t="s">
        <v>1151</v>
      </c>
      <c r="I204" s="92"/>
      <c r="J204" s="31"/>
      <c r="K204" s="11" t="s">
        <v>2004</v>
      </c>
      <c r="L204" s="8"/>
      <c r="M204" s="15">
        <v>4.0</v>
      </c>
      <c r="N204" s="8"/>
      <c r="O204" s="8"/>
      <c r="P204" s="31"/>
      <c r="Q204" s="4"/>
      <c r="R204" s="4"/>
      <c r="S204" s="4"/>
      <c r="T204" s="4"/>
      <c r="U204" s="4"/>
      <c r="V204" s="4"/>
      <c r="W204" s="4"/>
      <c r="X204" s="4"/>
      <c r="Y204" s="4"/>
    </row>
    <row r="205">
      <c r="A205" s="13" t="s">
        <v>2005</v>
      </c>
      <c r="B205" s="6">
        <v>2005.0</v>
      </c>
      <c r="C205" s="7" t="b">
        <v>1</v>
      </c>
      <c r="D205" s="8" t="str">
        <f>IFERROR(__xludf.DUMMYFUNCTION("GOOGLETRANSLATE(A205,""ar"", ""en"")"),"3 leather seats waiting bank")</f>
        <v>3 leather seats waiting bank</v>
      </c>
      <c r="E205" s="13" t="s">
        <v>2006</v>
      </c>
      <c r="F205" s="9" t="s">
        <v>18</v>
      </c>
      <c r="G205" s="9" t="s">
        <v>18</v>
      </c>
      <c r="H205" s="16" t="s">
        <v>1151</v>
      </c>
      <c r="I205" s="92"/>
      <c r="J205" s="31"/>
      <c r="K205" s="11" t="s">
        <v>2007</v>
      </c>
      <c r="L205" s="8"/>
      <c r="M205" s="15">
        <v>37.0</v>
      </c>
      <c r="N205" s="8"/>
      <c r="O205" s="8"/>
      <c r="P205" s="31"/>
      <c r="Q205" s="4"/>
      <c r="R205" s="4"/>
      <c r="S205" s="4"/>
      <c r="T205" s="4"/>
      <c r="U205" s="4"/>
      <c r="V205" s="4"/>
      <c r="W205" s="4"/>
      <c r="X205" s="4"/>
      <c r="Y205" s="4"/>
    </row>
    <row r="206">
      <c r="A206" s="5" t="s">
        <v>2008</v>
      </c>
      <c r="B206" s="6">
        <v>2006.0</v>
      </c>
      <c r="C206" s="7" t="b">
        <v>1</v>
      </c>
      <c r="D206" s="8" t="str">
        <f>IFERROR(__xludf.DUMMYFUNCTION("GOOGLETRANSLATE(A206,""ar"", ""en"")"),"Two iron seats waiting bank + table")</f>
        <v>Two iron seats waiting bank + table</v>
      </c>
      <c r="E206" s="5" t="s">
        <v>2009</v>
      </c>
      <c r="F206" s="9" t="s">
        <v>18</v>
      </c>
      <c r="G206" s="9" t="s">
        <v>18</v>
      </c>
      <c r="H206" s="16" t="s">
        <v>1151</v>
      </c>
      <c r="I206" s="92"/>
      <c r="J206" s="29"/>
      <c r="K206" s="11" t="s">
        <v>2010</v>
      </c>
      <c r="L206" s="8"/>
      <c r="M206" s="12">
        <v>4.0</v>
      </c>
      <c r="N206" s="8"/>
      <c r="O206" s="8"/>
      <c r="P206" s="29"/>
      <c r="Q206" s="4"/>
      <c r="R206" s="4"/>
      <c r="S206" s="4"/>
      <c r="T206" s="4"/>
      <c r="U206" s="4"/>
      <c r="V206" s="4"/>
      <c r="W206" s="4"/>
      <c r="X206" s="4"/>
      <c r="Y206" s="4"/>
    </row>
    <row r="207">
      <c r="A207" s="13" t="s">
        <v>2011</v>
      </c>
      <c r="B207" s="6">
        <v>2007.0</v>
      </c>
      <c r="C207" s="7" t="b">
        <v>1</v>
      </c>
      <c r="D207" s="8" t="str">
        <f>IFERROR(__xludf.DUMMYFUNCTION("GOOGLETRANSLATE(A207,""ar"", ""en"")"),"Heavy Duty 3 Seater Stainless Steel Waiting Bank")</f>
        <v>Heavy Duty 3 Seater Stainless Steel Waiting Bank</v>
      </c>
      <c r="E207" s="13" t="s">
        <v>2012</v>
      </c>
      <c r="F207" s="9" t="s">
        <v>18</v>
      </c>
      <c r="G207" s="9" t="s">
        <v>18</v>
      </c>
      <c r="H207" s="16" t="s">
        <v>1151</v>
      </c>
      <c r="I207" s="92"/>
      <c r="J207" s="31"/>
      <c r="K207" s="11" t="s">
        <v>2013</v>
      </c>
      <c r="L207" s="8"/>
      <c r="M207" s="15">
        <v>11.0</v>
      </c>
      <c r="N207" s="8"/>
      <c r="O207" s="8"/>
      <c r="P207" s="31"/>
      <c r="Q207" s="4"/>
      <c r="R207" s="4"/>
      <c r="S207" s="4"/>
      <c r="T207" s="4"/>
      <c r="U207" s="4"/>
      <c r="V207" s="4"/>
      <c r="W207" s="4"/>
      <c r="X207" s="4"/>
      <c r="Y207" s="4"/>
    </row>
    <row r="208">
      <c r="A208" s="5" t="s">
        <v>2014</v>
      </c>
      <c r="B208" s="6">
        <v>2018.0</v>
      </c>
      <c r="C208" s="7" t="b">
        <v>1</v>
      </c>
      <c r="D208" s="8" t="str">
        <f>IFERROR(__xludf.DUMMYFUNCTION("GOOGLETRANSLATE(A208,""ar"", ""en"")"),"Fabric chair with backrest")</f>
        <v>Fabric chair with backrest</v>
      </c>
      <c r="E208" s="5" t="s">
        <v>2015</v>
      </c>
      <c r="F208" s="9" t="s">
        <v>18</v>
      </c>
      <c r="G208" s="9" t="s">
        <v>18</v>
      </c>
      <c r="H208" s="16" t="s">
        <v>1151</v>
      </c>
      <c r="I208" s="92"/>
      <c r="J208" s="29"/>
      <c r="K208" s="11" t="s">
        <v>2016</v>
      </c>
      <c r="L208" s="8"/>
      <c r="M208" s="12">
        <v>10.0</v>
      </c>
      <c r="N208" s="8"/>
      <c r="O208" s="8"/>
      <c r="P208" s="29"/>
      <c r="Q208" s="4"/>
      <c r="R208" s="4"/>
      <c r="S208" s="4"/>
      <c r="T208" s="4"/>
      <c r="U208" s="4"/>
      <c r="V208" s="4"/>
      <c r="W208" s="4"/>
      <c r="X208" s="4"/>
      <c r="Y208" s="4"/>
    </row>
    <row r="209">
      <c r="A209" s="13" t="s">
        <v>2017</v>
      </c>
      <c r="B209" s="6">
        <v>2019.0</v>
      </c>
      <c r="C209" s="7" t="b">
        <v>1</v>
      </c>
      <c r="D209" s="8" t="str">
        <f>IFERROR(__xludf.DUMMYFUNCTION("GOOGLETRANSLATE(A209,""ar"", ""en"")"),"Resin aluminum chair")</f>
        <v>Resin aluminum chair</v>
      </c>
      <c r="E209" s="13" t="s">
        <v>2018</v>
      </c>
      <c r="F209" s="9" t="s">
        <v>28</v>
      </c>
      <c r="G209" s="9" t="s">
        <v>28</v>
      </c>
      <c r="H209" s="16" t="s">
        <v>29</v>
      </c>
      <c r="I209" s="92"/>
      <c r="J209" s="31"/>
      <c r="K209" s="11" t="s">
        <v>2019</v>
      </c>
      <c r="L209" s="8"/>
      <c r="M209" s="15">
        <v>48.0</v>
      </c>
      <c r="N209" s="8"/>
      <c r="O209" s="8"/>
      <c r="P209" s="31"/>
      <c r="Q209" s="4"/>
      <c r="R209" s="4"/>
      <c r="S209" s="4"/>
      <c r="T209" s="4"/>
      <c r="U209" s="4"/>
      <c r="V209" s="4"/>
      <c r="W209" s="4"/>
      <c r="X209" s="4"/>
      <c r="Y209" s="4"/>
    </row>
    <row r="210">
      <c r="A210" s="102" t="s">
        <v>2020</v>
      </c>
      <c r="B210" s="6">
        <v>2022.0</v>
      </c>
      <c r="C210" s="7" t="b">
        <v>1</v>
      </c>
      <c r="D210" s="8" t="str">
        <f>IFERROR(__xludf.DUMMYFUNCTION("GOOGLETRANSLATE(A210,""ar"", ""en"")"),"plastic chair leather seat")</f>
        <v>plastic chair leather seat</v>
      </c>
      <c r="E210" s="5" t="s">
        <v>2021</v>
      </c>
      <c r="F210" s="9" t="s">
        <v>28</v>
      </c>
      <c r="G210" s="9" t="s">
        <v>28</v>
      </c>
      <c r="H210" s="16" t="s">
        <v>43</v>
      </c>
      <c r="I210" s="104" t="s">
        <v>2022</v>
      </c>
      <c r="J210" s="29"/>
      <c r="K210" s="11" t="s">
        <v>2023</v>
      </c>
      <c r="L210" s="8"/>
      <c r="M210" s="12">
        <v>100.0</v>
      </c>
      <c r="N210" s="8"/>
      <c r="O210" s="8"/>
      <c r="P210" s="29"/>
      <c r="Q210" s="4"/>
      <c r="R210" s="4"/>
      <c r="S210" s="4"/>
      <c r="T210" s="4"/>
      <c r="U210" s="4"/>
      <c r="V210" s="4"/>
      <c r="W210" s="4"/>
      <c r="X210" s="4"/>
      <c r="Y210" s="4"/>
    </row>
    <row r="211">
      <c r="A211" s="5" t="s">
        <v>2024</v>
      </c>
      <c r="B211" s="6">
        <v>2024.0</v>
      </c>
      <c r="C211" s="7" t="b">
        <v>1</v>
      </c>
      <c r="D211" s="8" t="str">
        <f>IFERROR(__xludf.DUMMYFUNCTION("GOOGLETRANSLATE(A211,""ar"", ""en"")"),"black fabric chair")</f>
        <v>black fabric chair</v>
      </c>
      <c r="E211" s="5" t="s">
        <v>2025</v>
      </c>
      <c r="F211" s="9" t="s">
        <v>28</v>
      </c>
      <c r="G211" s="9" t="s">
        <v>28</v>
      </c>
      <c r="H211" s="16" t="s">
        <v>43</v>
      </c>
      <c r="I211" s="104" t="s">
        <v>2026</v>
      </c>
      <c r="J211" s="29"/>
      <c r="K211" s="11" t="s">
        <v>2027</v>
      </c>
      <c r="L211" s="8"/>
      <c r="M211" s="12">
        <v>42.0</v>
      </c>
      <c r="N211" s="8"/>
      <c r="O211" s="8"/>
      <c r="P211" s="29"/>
      <c r="Q211" s="4"/>
      <c r="R211" s="4"/>
      <c r="S211" s="4"/>
      <c r="T211" s="4"/>
      <c r="U211" s="4"/>
      <c r="V211" s="4"/>
      <c r="W211" s="4"/>
      <c r="X211" s="4"/>
      <c r="Y211" s="4"/>
    </row>
    <row r="212">
      <c r="A212" s="5" t="s">
        <v>2028</v>
      </c>
      <c r="B212" s="6">
        <v>2026.0</v>
      </c>
      <c r="C212" s="7" t="b">
        <v>1</v>
      </c>
      <c r="D212" s="8" t="str">
        <f>IFERROR(__xludf.DUMMYFUNCTION("GOOGLETRANSLATE(A212,""ar"", ""en"")"),"Black and white fabric chair")</f>
        <v>Black and white fabric chair</v>
      </c>
      <c r="E212" s="5" t="s">
        <v>2029</v>
      </c>
      <c r="F212" s="9" t="s">
        <v>28</v>
      </c>
      <c r="G212" s="9" t="s">
        <v>28</v>
      </c>
      <c r="H212" s="16" t="s">
        <v>43</v>
      </c>
      <c r="I212" s="101" t="s">
        <v>2030</v>
      </c>
      <c r="J212" s="29"/>
      <c r="K212" s="11" t="s">
        <v>2031</v>
      </c>
      <c r="L212" s="8"/>
      <c r="M212" s="12">
        <v>43.0</v>
      </c>
      <c r="N212" s="8"/>
      <c r="O212" s="8"/>
      <c r="P212" s="29"/>
      <c r="Q212" s="4"/>
      <c r="R212" s="4"/>
      <c r="S212" s="4"/>
      <c r="T212" s="4"/>
      <c r="U212" s="4"/>
      <c r="V212" s="4"/>
      <c r="W212" s="4"/>
      <c r="X212" s="4"/>
      <c r="Y212" s="4"/>
    </row>
    <row r="213">
      <c r="A213" s="13" t="s">
        <v>2032</v>
      </c>
      <c r="B213" s="6">
        <v>2035.0</v>
      </c>
      <c r="C213" s="7" t="b">
        <v>1</v>
      </c>
      <c r="D213" s="8" t="str">
        <f>IFERROR(__xludf.DUMMYFUNCTION("GOOGLETRANSLATE(A213,""ar"", ""en"")"),"Plastic chair with thin handle")</f>
        <v>Plastic chair with thin handle</v>
      </c>
      <c r="E213" s="13" t="s">
        <v>2033</v>
      </c>
      <c r="F213" s="9" t="s">
        <v>27</v>
      </c>
      <c r="G213" s="9" t="s">
        <v>28</v>
      </c>
      <c r="H213" s="16" t="s">
        <v>43</v>
      </c>
      <c r="I213" s="101" t="s">
        <v>2034</v>
      </c>
      <c r="J213" s="31"/>
      <c r="K213" s="11" t="s">
        <v>2035</v>
      </c>
      <c r="L213" s="8"/>
      <c r="M213" s="15">
        <v>8.0</v>
      </c>
      <c r="N213" s="8"/>
      <c r="O213" s="8"/>
      <c r="P213" s="31"/>
      <c r="Q213" s="4"/>
      <c r="R213" s="4"/>
      <c r="S213" s="4"/>
      <c r="T213" s="4"/>
      <c r="U213" s="4"/>
      <c r="V213" s="4"/>
      <c r="W213" s="4"/>
      <c r="X213" s="4"/>
      <c r="Y213" s="4"/>
    </row>
    <row r="214">
      <c r="A214" s="13" t="s">
        <v>2036</v>
      </c>
      <c r="B214" s="6">
        <v>2039.0</v>
      </c>
      <c r="C214" s="7" t="b">
        <v>1</v>
      </c>
      <c r="D214" s="8" t="str">
        <f>IFERROR(__xludf.DUMMYFUNCTION("GOOGLETRANSLATE(A214,""ar"", ""en"")"),"wooden plate chair")</f>
        <v>wooden plate chair</v>
      </c>
      <c r="E214" s="13" t="s">
        <v>2037</v>
      </c>
      <c r="F214" s="9" t="s">
        <v>27</v>
      </c>
      <c r="G214" s="9" t="s">
        <v>18</v>
      </c>
      <c r="H214" s="16" t="s">
        <v>72</v>
      </c>
      <c r="I214" s="92"/>
      <c r="J214" s="31"/>
      <c r="K214" s="11" t="s">
        <v>2038</v>
      </c>
      <c r="L214" s="8"/>
      <c r="M214" s="15">
        <v>1818.0</v>
      </c>
      <c r="N214" s="8"/>
      <c r="O214" s="8"/>
      <c r="P214" s="31"/>
      <c r="Q214" s="4"/>
      <c r="R214" s="4"/>
      <c r="S214" s="4"/>
      <c r="T214" s="4"/>
      <c r="U214" s="4"/>
      <c r="V214" s="4"/>
      <c r="W214" s="4"/>
      <c r="X214" s="4"/>
      <c r="Y214" s="4"/>
    </row>
    <row r="215">
      <c r="A215" s="13" t="s">
        <v>2039</v>
      </c>
      <c r="B215" s="6">
        <v>2057.0</v>
      </c>
      <c r="C215" s="7" t="b">
        <v>1</v>
      </c>
      <c r="D215" s="8" t="str">
        <f>IFERROR(__xludf.DUMMYFUNCTION("GOOGLETRANSLATE(A215,""ar"", ""en"")"),"Wide chair with rope handle")</f>
        <v>Wide chair with rope handle</v>
      </c>
      <c r="E215" s="13" t="s">
        <v>2040</v>
      </c>
      <c r="F215" s="9" t="s">
        <v>27</v>
      </c>
      <c r="G215" s="9" t="s">
        <v>28</v>
      </c>
      <c r="H215" s="16" t="s">
        <v>43</v>
      </c>
      <c r="I215" s="92"/>
      <c r="J215" s="31"/>
      <c r="K215" s="11" t="s">
        <v>2041</v>
      </c>
      <c r="L215" s="8"/>
      <c r="M215" s="15">
        <v>59.0</v>
      </c>
      <c r="N215" s="8"/>
      <c r="O215" s="8"/>
      <c r="P215" s="31"/>
      <c r="Q215" s="4"/>
      <c r="R215" s="4"/>
      <c r="S215" s="4"/>
      <c r="T215" s="4"/>
      <c r="U215" s="4"/>
      <c r="V215" s="4"/>
      <c r="W215" s="4"/>
      <c r="X215" s="4"/>
      <c r="Y215" s="4"/>
    </row>
    <row r="216">
      <c r="A216" s="13" t="s">
        <v>2042</v>
      </c>
      <c r="B216" s="6">
        <v>2063.0</v>
      </c>
      <c r="C216" s="7" t="b">
        <v>1</v>
      </c>
      <c r="D216" s="8" t="str">
        <f>IFERROR(__xludf.DUMMYFUNCTION("GOOGLETRANSLATE(A216,""ar"", ""en"")"),"square plastic chair")</f>
        <v>square plastic chair</v>
      </c>
      <c r="E216" s="13" t="s">
        <v>2043</v>
      </c>
      <c r="F216" s="9" t="s">
        <v>27</v>
      </c>
      <c r="G216" s="9" t="s">
        <v>28</v>
      </c>
      <c r="H216" s="16" t="s">
        <v>43</v>
      </c>
      <c r="I216" s="97" t="s">
        <v>1869</v>
      </c>
      <c r="J216" s="31"/>
      <c r="K216" s="11" t="s">
        <v>2044</v>
      </c>
      <c r="L216" s="8"/>
      <c r="M216" s="15">
        <v>180.0</v>
      </c>
      <c r="N216" s="8"/>
      <c r="O216" s="8"/>
      <c r="P216" s="31"/>
      <c r="Q216" s="4"/>
      <c r="R216" s="4"/>
      <c r="S216" s="4"/>
      <c r="T216" s="4"/>
      <c r="U216" s="4"/>
      <c r="V216" s="4"/>
      <c r="W216" s="4"/>
      <c r="X216" s="4"/>
      <c r="Y216" s="4"/>
    </row>
    <row r="217">
      <c r="A217" s="13" t="s">
        <v>2045</v>
      </c>
      <c r="B217" s="6">
        <v>2066.0</v>
      </c>
      <c r="C217" s="7" t="b">
        <v>1</v>
      </c>
      <c r="D217" s="8" t="str">
        <f>IFERROR(__xludf.DUMMYFUNCTION("GOOGLETRANSLATE(A217,""ar"", ""en"")"),"plastic plate chair")</f>
        <v>plastic plate chair</v>
      </c>
      <c r="E217" s="13" t="s">
        <v>2046</v>
      </c>
      <c r="F217" s="9" t="s">
        <v>27</v>
      </c>
      <c r="G217" s="9" t="s">
        <v>28</v>
      </c>
      <c r="H217" s="16" t="s">
        <v>43</v>
      </c>
      <c r="I217" s="92"/>
      <c r="J217" s="14">
        <v>0.0</v>
      </c>
      <c r="K217" s="11" t="s">
        <v>2047</v>
      </c>
      <c r="L217" s="8"/>
      <c r="M217" s="15">
        <v>535.0</v>
      </c>
      <c r="N217" s="8"/>
      <c r="O217" s="8"/>
      <c r="P217" s="14">
        <v>0.0</v>
      </c>
      <c r="Q217" s="4"/>
      <c r="R217" s="4"/>
      <c r="S217" s="4"/>
      <c r="T217" s="4"/>
      <c r="U217" s="4"/>
      <c r="V217" s="4"/>
      <c r="W217" s="4"/>
      <c r="X217" s="4"/>
      <c r="Y217" s="4"/>
    </row>
    <row r="218">
      <c r="A218" s="5" t="s">
        <v>2048</v>
      </c>
      <c r="B218" s="6">
        <v>2067.0</v>
      </c>
      <c r="C218" s="7" t="b">
        <v>1</v>
      </c>
      <c r="D218" s="8" t="str">
        <f>IFERROR(__xludf.DUMMYFUNCTION("GOOGLETRANSLATE(A218,""ar"", ""en"")"),"plastic bar chair")</f>
        <v>plastic bar chair</v>
      </c>
      <c r="E218" s="33" t="s">
        <v>2049</v>
      </c>
      <c r="F218" s="9" t="s">
        <v>27</v>
      </c>
      <c r="G218" s="9" t="s">
        <v>28</v>
      </c>
      <c r="H218" s="16" t="s">
        <v>47</v>
      </c>
      <c r="I218" s="92"/>
      <c r="J218" s="29"/>
      <c r="K218" s="11" t="s">
        <v>2050</v>
      </c>
      <c r="L218" s="8"/>
      <c r="M218" s="12">
        <v>14.0</v>
      </c>
      <c r="N218" s="8"/>
      <c r="O218" s="8"/>
      <c r="P218" s="29"/>
      <c r="Q218" s="4"/>
      <c r="R218" s="4"/>
      <c r="S218" s="4"/>
      <c r="T218" s="4"/>
      <c r="U218" s="4"/>
      <c r="V218" s="4"/>
      <c r="W218" s="4"/>
      <c r="X218" s="4"/>
      <c r="Y218" s="4"/>
    </row>
    <row r="219">
      <c r="A219" s="13" t="s">
        <v>2051</v>
      </c>
      <c r="B219" s="6">
        <v>2070.0</v>
      </c>
      <c r="C219" s="7" t="b">
        <v>1</v>
      </c>
      <c r="D219" s="8" t="str">
        <f>IFERROR(__xludf.DUMMYFUNCTION("GOOGLETRANSLATE(A219,""ar"", ""en"")"),"X plastic chair")</f>
        <v>X plastic chair</v>
      </c>
      <c r="E219" s="13" t="s">
        <v>2052</v>
      </c>
      <c r="F219" s="9" t="s">
        <v>27</v>
      </c>
      <c r="G219" s="9" t="s">
        <v>28</v>
      </c>
      <c r="H219" s="16" t="s">
        <v>43</v>
      </c>
      <c r="I219" s="97" t="s">
        <v>1869</v>
      </c>
      <c r="J219" s="31"/>
      <c r="K219" s="11" t="s">
        <v>2053</v>
      </c>
      <c r="L219" s="8"/>
      <c r="M219" s="15">
        <v>22.0</v>
      </c>
      <c r="N219" s="8"/>
      <c r="O219" s="8"/>
      <c r="P219" s="31"/>
      <c r="Q219" s="4"/>
      <c r="R219" s="4"/>
      <c r="S219" s="4"/>
      <c r="T219" s="4"/>
      <c r="U219" s="4"/>
      <c r="V219" s="4"/>
      <c r="W219" s="4"/>
      <c r="X219" s="4"/>
      <c r="Y219" s="4"/>
    </row>
    <row r="220">
      <c r="A220" s="13" t="s">
        <v>2054</v>
      </c>
      <c r="B220" s="6">
        <v>2072.0</v>
      </c>
      <c r="C220" s="7" t="b">
        <v>1</v>
      </c>
      <c r="D220" s="8" t="str">
        <f>IFERROR(__xludf.DUMMYFUNCTION("GOOGLETRANSLATE(A220,""ar"", ""en"")"),"Plastic striped chair without handles")</f>
        <v>Plastic striped chair without handles</v>
      </c>
      <c r="E220" s="13" t="s">
        <v>2055</v>
      </c>
      <c r="F220" s="9" t="s">
        <v>27</v>
      </c>
      <c r="G220" s="9" t="s">
        <v>28</v>
      </c>
      <c r="H220" s="16" t="s">
        <v>43</v>
      </c>
      <c r="I220" s="97" t="s">
        <v>1869</v>
      </c>
      <c r="J220" s="31"/>
      <c r="K220" s="11" t="s">
        <v>2056</v>
      </c>
      <c r="L220" s="8"/>
      <c r="M220" s="15">
        <v>13.0</v>
      </c>
      <c r="N220" s="8"/>
      <c r="O220" s="8"/>
      <c r="P220" s="31"/>
      <c r="Q220" s="4"/>
      <c r="R220" s="4"/>
      <c r="S220" s="4"/>
      <c r="T220" s="4"/>
      <c r="U220" s="4"/>
      <c r="V220" s="4"/>
      <c r="W220" s="4"/>
      <c r="X220" s="4"/>
      <c r="Y220" s="4"/>
    </row>
    <row r="221">
      <c r="A221" s="13" t="s">
        <v>2057</v>
      </c>
      <c r="B221" s="6">
        <v>2074.0</v>
      </c>
      <c r="C221" s="7" t="b">
        <v>1</v>
      </c>
      <c r="D221" s="8" t="str">
        <f>IFERROR(__xludf.DUMMYFUNCTION("GOOGLETRANSLATE(A221,""ar"", ""en"")"),"Wide striped plastic chair without handles")</f>
        <v>Wide striped plastic chair without handles</v>
      </c>
      <c r="E221" s="13" t="s">
        <v>2058</v>
      </c>
      <c r="F221" s="9" t="s">
        <v>27</v>
      </c>
      <c r="G221" s="9" t="s">
        <v>28</v>
      </c>
      <c r="H221" s="16" t="s">
        <v>43</v>
      </c>
      <c r="I221" s="97" t="s">
        <v>1869</v>
      </c>
      <c r="J221" s="31"/>
      <c r="K221" s="11" t="s">
        <v>2059</v>
      </c>
      <c r="L221" s="8"/>
      <c r="M221" s="15">
        <v>143.0</v>
      </c>
      <c r="N221" s="8"/>
      <c r="O221" s="8"/>
      <c r="P221" s="31"/>
      <c r="Q221" s="4"/>
      <c r="R221" s="4"/>
      <c r="S221" s="4"/>
      <c r="T221" s="4"/>
      <c r="U221" s="4"/>
      <c r="V221" s="4"/>
      <c r="W221" s="4"/>
      <c r="X221" s="4"/>
      <c r="Y221" s="4"/>
    </row>
    <row r="222">
      <c r="A222" s="5" t="s">
        <v>2060</v>
      </c>
      <c r="B222" s="6">
        <v>2077.0</v>
      </c>
      <c r="C222" s="7" t="b">
        <v>1</v>
      </c>
      <c r="D222" s="8" t="str">
        <f>IFERROR(__xludf.DUMMYFUNCTION("GOOGLETRANSLATE(A222,""ar"", ""en"")"),"leather dish chair")</f>
        <v>leather dish chair</v>
      </c>
      <c r="E222" s="5" t="s">
        <v>2061</v>
      </c>
      <c r="F222" s="9" t="s">
        <v>18</v>
      </c>
      <c r="G222" s="9" t="s">
        <v>18</v>
      </c>
      <c r="H222" s="16" t="s">
        <v>1484</v>
      </c>
      <c r="I222" s="101" t="s">
        <v>2062</v>
      </c>
      <c r="J222" s="10">
        <v>0.0</v>
      </c>
      <c r="K222" s="11" t="s">
        <v>2063</v>
      </c>
      <c r="L222" s="8"/>
      <c r="M222" s="12">
        <v>57.0</v>
      </c>
      <c r="N222" s="8"/>
      <c r="O222" s="8"/>
      <c r="P222" s="10">
        <v>0.0</v>
      </c>
      <c r="Q222" s="4"/>
      <c r="R222" s="4"/>
      <c r="S222" s="4"/>
      <c r="T222" s="4"/>
      <c r="U222" s="4"/>
      <c r="V222" s="4"/>
      <c r="W222" s="4"/>
      <c r="X222" s="4"/>
      <c r="Y222" s="4"/>
    </row>
    <row r="223">
      <c r="A223" s="13" t="s">
        <v>1580</v>
      </c>
      <c r="B223" s="6">
        <v>2078.0</v>
      </c>
      <c r="C223" s="7" t="b">
        <v>1</v>
      </c>
      <c r="D223" s="8" t="str">
        <f>IFERROR(__xludf.DUMMYFUNCTION("GOOGLETRANSLATE(A223,""ar"", ""en"")"),"plastic chair with handle")</f>
        <v>plastic chair with handle</v>
      </c>
      <c r="E223" s="13" t="s">
        <v>2064</v>
      </c>
      <c r="F223" s="9" t="s">
        <v>27</v>
      </c>
      <c r="G223" s="9" t="s">
        <v>28</v>
      </c>
      <c r="H223" s="16" t="s">
        <v>43</v>
      </c>
      <c r="I223" s="92"/>
      <c r="J223" s="31"/>
      <c r="K223" s="11" t="s">
        <v>1582</v>
      </c>
      <c r="L223" s="8"/>
      <c r="M223" s="15">
        <v>24.0</v>
      </c>
      <c r="N223" s="8"/>
      <c r="O223" s="8"/>
      <c r="P223" s="31"/>
      <c r="Q223" s="4"/>
      <c r="R223" s="4"/>
      <c r="S223" s="4"/>
      <c r="T223" s="4"/>
      <c r="U223" s="4"/>
      <c r="V223" s="4"/>
      <c r="W223" s="4"/>
      <c r="X223" s="4"/>
      <c r="Y223" s="4"/>
    </row>
    <row r="224">
      <c r="A224" s="13" t="s">
        <v>1200</v>
      </c>
      <c r="B224" s="6">
        <v>2082.0</v>
      </c>
      <c r="C224" s="7" t="b">
        <v>1</v>
      </c>
      <c r="D224" s="8" t="str">
        <f>IFERROR(__xludf.DUMMYFUNCTION("GOOGLETRANSLATE(A224,""ar"", ""en"")"),"Plastic rose chair without handles")</f>
        <v>Plastic rose chair without handles</v>
      </c>
      <c r="E224" s="13" t="s">
        <v>2065</v>
      </c>
      <c r="F224" s="9" t="s">
        <v>27</v>
      </c>
      <c r="G224" s="9" t="s">
        <v>28</v>
      </c>
      <c r="H224" s="16" t="s">
        <v>43</v>
      </c>
      <c r="I224" s="97" t="s">
        <v>1869</v>
      </c>
      <c r="J224" s="31"/>
      <c r="K224" s="11" t="s">
        <v>1202</v>
      </c>
      <c r="L224" s="8"/>
      <c r="M224" s="15">
        <v>39.0</v>
      </c>
      <c r="N224" s="8"/>
      <c r="O224" s="8"/>
      <c r="P224" s="31"/>
      <c r="Q224" s="4"/>
      <c r="R224" s="4"/>
      <c r="S224" s="4"/>
      <c r="T224" s="4"/>
      <c r="U224" s="4"/>
      <c r="V224" s="4"/>
      <c r="W224" s="4"/>
      <c r="X224" s="4"/>
      <c r="Y224" s="4"/>
    </row>
    <row r="225">
      <c r="A225" s="13" t="s">
        <v>2066</v>
      </c>
      <c r="B225" s="6">
        <v>2086.0</v>
      </c>
      <c r="C225" s="7" t="b">
        <v>1</v>
      </c>
      <c r="D225" s="8" t="str">
        <f>IFERROR(__xludf.DUMMYFUNCTION("GOOGLETRANSLATE(A225,""ar"", ""en"")"),"plastic chair with iron")</f>
        <v>plastic chair with iron</v>
      </c>
      <c r="E225" s="13" t="s">
        <v>2067</v>
      </c>
      <c r="F225" s="9" t="s">
        <v>27</v>
      </c>
      <c r="G225" s="9" t="s">
        <v>18</v>
      </c>
      <c r="H225" s="16" t="s">
        <v>43</v>
      </c>
      <c r="I225" s="97" t="s">
        <v>1869</v>
      </c>
      <c r="J225" s="31"/>
      <c r="K225" s="11" t="s">
        <v>2068</v>
      </c>
      <c r="L225" s="8"/>
      <c r="M225" s="15">
        <v>39.0</v>
      </c>
      <c r="N225" s="8"/>
      <c r="O225" s="8"/>
      <c r="P225" s="31"/>
      <c r="Q225" s="4"/>
      <c r="R225" s="4"/>
      <c r="S225" s="4"/>
      <c r="T225" s="4"/>
      <c r="U225" s="4"/>
      <c r="V225" s="4"/>
      <c r="W225" s="4"/>
      <c r="X225" s="4"/>
      <c r="Y225" s="4"/>
    </row>
    <row r="226">
      <c r="A226" s="5" t="s">
        <v>1193</v>
      </c>
      <c r="B226" s="6">
        <v>2095.0</v>
      </c>
      <c r="C226" s="7" t="b">
        <v>1</v>
      </c>
      <c r="D226" s="8" t="str">
        <f>IFERROR(__xludf.DUMMYFUNCTION("GOOGLETRANSLATE(A226,""ar"", ""en"")"),"BLK Plastic Chair Without Handles")</f>
        <v>BLK Plastic Chair Without Handles</v>
      </c>
      <c r="E226" s="5" t="s">
        <v>2069</v>
      </c>
      <c r="F226" s="9" t="s">
        <v>27</v>
      </c>
      <c r="G226" s="9" t="s">
        <v>18</v>
      </c>
      <c r="H226" s="16" t="s">
        <v>43</v>
      </c>
      <c r="I226" s="92"/>
      <c r="J226" s="29"/>
      <c r="K226" s="11" t="s">
        <v>1195</v>
      </c>
      <c r="L226" s="8"/>
      <c r="M226" s="12">
        <v>85.0</v>
      </c>
      <c r="N226" s="8"/>
      <c r="O226" s="8"/>
      <c r="P226" s="29"/>
      <c r="Q226" s="4"/>
      <c r="R226" s="4"/>
      <c r="S226" s="4"/>
      <c r="T226" s="4"/>
      <c r="U226" s="4"/>
      <c r="V226" s="4"/>
      <c r="W226" s="4"/>
      <c r="X226" s="4"/>
      <c r="Y226" s="4"/>
    </row>
    <row r="227">
      <c r="A227" s="13" t="s">
        <v>2070</v>
      </c>
      <c r="B227" s="6">
        <v>2100.0</v>
      </c>
      <c r="C227" s="7" t="b">
        <v>1</v>
      </c>
      <c r="D227" s="8" t="str">
        <f>IFERROR(__xludf.DUMMYFUNCTION("GOOGLETRANSLATE(A227,""ar"", ""en"")"),"BLK Iron Hotel Chair Fabric")</f>
        <v>BLK Iron Hotel Chair Fabric</v>
      </c>
      <c r="E227" s="13" t="s">
        <v>1351</v>
      </c>
      <c r="F227" s="9" t="s">
        <v>18</v>
      </c>
      <c r="G227" s="9" t="s">
        <v>18</v>
      </c>
      <c r="H227" s="16" t="s">
        <v>72</v>
      </c>
      <c r="I227" s="104" t="s">
        <v>2071</v>
      </c>
      <c r="J227" s="31"/>
      <c r="K227" s="11" t="s">
        <v>2072</v>
      </c>
      <c r="L227" s="8"/>
      <c r="M227" s="15">
        <v>1.0</v>
      </c>
      <c r="N227" s="8"/>
      <c r="O227" s="8"/>
      <c r="P227" s="31"/>
      <c r="Q227" s="4"/>
      <c r="R227" s="4"/>
      <c r="S227" s="4"/>
      <c r="T227" s="4"/>
      <c r="U227" s="4"/>
      <c r="V227" s="4"/>
      <c r="W227" s="4"/>
      <c r="X227" s="4"/>
      <c r="Y227" s="4"/>
    </row>
    <row r="228">
      <c r="A228" s="5" t="s">
        <v>1209</v>
      </c>
      <c r="B228" s="6">
        <v>2105.0</v>
      </c>
      <c r="C228" s="7" t="b">
        <v>1</v>
      </c>
      <c r="D228" s="8" t="str">
        <f>IFERROR(__xludf.DUMMYFUNCTION("GOOGLETRANSLATE(A228,""ar"", ""en"")"),"Plastic table with wood 80*120")</f>
        <v>Plastic table with wood 80*120</v>
      </c>
      <c r="E228" s="33" t="s">
        <v>2073</v>
      </c>
      <c r="F228" s="9" t="s">
        <v>18</v>
      </c>
      <c r="G228" s="9" t="s">
        <v>18</v>
      </c>
      <c r="H228" s="16" t="s">
        <v>1549</v>
      </c>
      <c r="I228" s="92"/>
      <c r="J228" s="29"/>
      <c r="K228" s="11" t="s">
        <v>1211</v>
      </c>
      <c r="L228" s="8"/>
      <c r="M228" s="12">
        <v>17.0</v>
      </c>
      <c r="N228" s="8"/>
      <c r="O228" s="8"/>
      <c r="P228" s="29"/>
      <c r="Q228" s="4"/>
      <c r="R228" s="4"/>
      <c r="S228" s="4"/>
      <c r="T228" s="4"/>
      <c r="U228" s="4"/>
      <c r="V228" s="4"/>
      <c r="W228" s="4"/>
      <c r="X228" s="4"/>
      <c r="Y228" s="4"/>
    </row>
    <row r="229">
      <c r="A229" s="13" t="s">
        <v>1212</v>
      </c>
      <c r="B229" s="6">
        <v>2106.0</v>
      </c>
      <c r="C229" s="7" t="b">
        <v>1</v>
      </c>
      <c r="D229" s="8" t="str">
        <f>IFERROR(__xludf.DUMMYFUNCTION("GOOGLETRANSLATE(A229,""ar"", ""en"")"),"Plastic table with wood 80*80")</f>
        <v>Plastic table with wood 80*80</v>
      </c>
      <c r="E229" s="13" t="s">
        <v>2074</v>
      </c>
      <c r="F229" s="9" t="s">
        <v>18</v>
      </c>
      <c r="G229" s="9" t="s">
        <v>18</v>
      </c>
      <c r="H229" s="16" t="s">
        <v>1549</v>
      </c>
      <c r="I229" s="92"/>
      <c r="J229" s="31"/>
      <c r="K229" s="11" t="s">
        <v>1214</v>
      </c>
      <c r="L229" s="8"/>
      <c r="M229" s="15">
        <v>20.0</v>
      </c>
      <c r="N229" s="8"/>
      <c r="O229" s="8"/>
      <c r="P229" s="31"/>
      <c r="Q229" s="4"/>
      <c r="R229" s="4"/>
      <c r="S229" s="4"/>
      <c r="T229" s="4"/>
      <c r="U229" s="4"/>
      <c r="V229" s="4"/>
      <c r="W229" s="4"/>
      <c r="X229" s="4"/>
      <c r="Y229" s="4"/>
    </row>
    <row r="230">
      <c r="A230" s="13" t="s">
        <v>2032</v>
      </c>
      <c r="B230" s="6">
        <v>2108.0</v>
      </c>
      <c r="C230" s="7" t="b">
        <v>1</v>
      </c>
      <c r="D230" s="8" t="str">
        <f>IFERROR(__xludf.DUMMYFUNCTION("GOOGLETRANSLATE(A230,""ar"", ""en"")"),"Plastic chair with thin handle")</f>
        <v>Plastic chair with thin handle</v>
      </c>
      <c r="E230" s="13" t="s">
        <v>2075</v>
      </c>
      <c r="F230" s="9" t="s">
        <v>27</v>
      </c>
      <c r="G230" s="9" t="s">
        <v>28</v>
      </c>
      <c r="H230" s="16" t="s">
        <v>43</v>
      </c>
      <c r="I230" s="92"/>
      <c r="J230" s="31"/>
      <c r="K230" s="11" t="s">
        <v>2035</v>
      </c>
      <c r="L230" s="8"/>
      <c r="M230" s="15">
        <v>12.0</v>
      </c>
      <c r="N230" s="8"/>
      <c r="O230" s="8"/>
      <c r="P230" s="31"/>
      <c r="Q230" s="4"/>
      <c r="R230" s="4"/>
      <c r="S230" s="4"/>
      <c r="T230" s="4"/>
      <c r="U230" s="4"/>
      <c r="V230" s="4"/>
      <c r="W230" s="4"/>
      <c r="X230" s="4"/>
      <c r="Y230" s="4"/>
    </row>
    <row r="231">
      <c r="A231" s="5" t="s">
        <v>174</v>
      </c>
      <c r="B231" s="6">
        <v>2109.0</v>
      </c>
      <c r="C231" s="7" t="b">
        <v>1</v>
      </c>
      <c r="D231" s="8" t="str">
        <f>IFERROR(__xludf.DUMMYFUNCTION("GOOGLETRANSLATE(A231,""ar"", ""en"")"),"plastic chair")</f>
        <v>plastic chair</v>
      </c>
      <c r="E231" s="5" t="s">
        <v>2076</v>
      </c>
      <c r="F231" s="9" t="s">
        <v>27</v>
      </c>
      <c r="G231" s="9" t="s">
        <v>28</v>
      </c>
      <c r="H231" s="16" t="s">
        <v>43</v>
      </c>
      <c r="I231" s="97" t="s">
        <v>2077</v>
      </c>
      <c r="J231" s="29"/>
      <c r="K231" s="11" t="s">
        <v>176</v>
      </c>
      <c r="L231" s="8"/>
      <c r="M231" s="12">
        <v>19.0</v>
      </c>
      <c r="N231" s="8"/>
      <c r="O231" s="8"/>
      <c r="P231" s="29"/>
      <c r="Q231" s="4"/>
      <c r="R231" s="4"/>
      <c r="S231" s="4"/>
      <c r="T231" s="4"/>
      <c r="U231" s="4"/>
      <c r="V231" s="4"/>
      <c r="W231" s="4"/>
      <c r="X231" s="4"/>
      <c r="Y231" s="4"/>
    </row>
    <row r="232">
      <c r="A232" s="5" t="s">
        <v>2078</v>
      </c>
      <c r="B232" s="6">
        <v>2111.0</v>
      </c>
      <c r="C232" s="7" t="b">
        <v>1</v>
      </c>
      <c r="D232" s="8" t="str">
        <f>IFERROR(__xludf.DUMMYFUNCTION("GOOGLETRANSLATE(A232,""ar"", ""en"")"),"BLK Plastic Mesh Chair with Handle")</f>
        <v>BLK Plastic Mesh Chair with Handle</v>
      </c>
      <c r="E232" s="5" t="s">
        <v>2079</v>
      </c>
      <c r="F232" s="9" t="s">
        <v>27</v>
      </c>
      <c r="G232" s="9" t="s">
        <v>28</v>
      </c>
      <c r="H232" s="16" t="s">
        <v>43</v>
      </c>
      <c r="I232" s="97" t="s">
        <v>2077</v>
      </c>
      <c r="J232" s="29"/>
      <c r="K232" s="11" t="s">
        <v>2080</v>
      </c>
      <c r="L232" s="8"/>
      <c r="M232" s="12">
        <v>1.0</v>
      </c>
      <c r="N232" s="8"/>
      <c r="O232" s="8"/>
      <c r="P232" s="29"/>
      <c r="Q232" s="4"/>
      <c r="R232" s="4"/>
      <c r="S232" s="4"/>
      <c r="T232" s="4"/>
      <c r="U232" s="4"/>
      <c r="V232" s="4"/>
      <c r="W232" s="4"/>
      <c r="X232" s="4"/>
      <c r="Y232" s="4"/>
    </row>
    <row r="233">
      <c r="A233" s="5" t="s">
        <v>1453</v>
      </c>
      <c r="B233" s="6">
        <v>2113.0</v>
      </c>
      <c r="C233" s="7" t="b">
        <v>1</v>
      </c>
      <c r="D233" s="8" t="str">
        <f>IFERROR(__xludf.DUMMYFUNCTION("GOOGLETRANSLATE(A233,""ar"", ""en"")"),"plastic chair without handles")</f>
        <v>plastic chair without handles</v>
      </c>
      <c r="E233" s="5" t="s">
        <v>1459</v>
      </c>
      <c r="F233" s="9" t="s">
        <v>27</v>
      </c>
      <c r="G233" s="9" t="s">
        <v>28</v>
      </c>
      <c r="H233" s="16" t="s">
        <v>43</v>
      </c>
      <c r="I233" s="97" t="s">
        <v>2081</v>
      </c>
      <c r="J233" s="29"/>
      <c r="K233" s="11" t="s">
        <v>2082</v>
      </c>
      <c r="L233" s="8"/>
      <c r="M233" s="12">
        <v>58.0</v>
      </c>
      <c r="N233" s="8"/>
      <c r="O233" s="8"/>
      <c r="P233" s="29"/>
      <c r="Q233" s="4"/>
      <c r="R233" s="4"/>
      <c r="S233" s="4"/>
      <c r="T233" s="4"/>
      <c r="U233" s="4"/>
      <c r="V233" s="4"/>
      <c r="W233" s="4"/>
      <c r="X233" s="4"/>
      <c r="Y233" s="4"/>
    </row>
    <row r="234">
      <c r="A234" s="13" t="s">
        <v>2083</v>
      </c>
      <c r="B234" s="6">
        <v>2118.0</v>
      </c>
      <c r="C234" s="7" t="b">
        <v>1</v>
      </c>
      <c r="D234" s="8" t="str">
        <f>IFERROR(__xludf.DUMMYFUNCTION("GOOGLETRANSLATE(A234,""ar"", ""en"")"),"plastic bar stool")</f>
        <v>plastic bar stool</v>
      </c>
      <c r="E234" s="13" t="s">
        <v>2084</v>
      </c>
      <c r="F234" s="9" t="s">
        <v>27</v>
      </c>
      <c r="G234" s="9" t="s">
        <v>28</v>
      </c>
      <c r="H234" s="16" t="s">
        <v>47</v>
      </c>
      <c r="I234" s="97" t="s">
        <v>2085</v>
      </c>
      <c r="J234" s="31"/>
      <c r="K234" s="11" t="s">
        <v>2086</v>
      </c>
      <c r="L234" s="8"/>
      <c r="M234" s="15">
        <v>53.0</v>
      </c>
      <c r="N234" s="8"/>
      <c r="O234" s="8"/>
      <c r="P234" s="31"/>
      <c r="Q234" s="4"/>
      <c r="R234" s="4"/>
      <c r="S234" s="4"/>
      <c r="T234" s="4"/>
      <c r="U234" s="4"/>
      <c r="V234" s="4"/>
      <c r="W234" s="4"/>
      <c r="X234" s="4"/>
      <c r="Y234" s="4"/>
    </row>
    <row r="235">
      <c r="A235" s="13" t="s">
        <v>1453</v>
      </c>
      <c r="B235" s="6">
        <v>2122.0</v>
      </c>
      <c r="C235" s="7" t="b">
        <v>1</v>
      </c>
      <c r="D235" s="8" t="str">
        <f>IFERROR(__xludf.DUMMYFUNCTION("GOOGLETRANSLATE(A235,""ar"", ""en"")"),"plastic chair without handles")</f>
        <v>plastic chair without handles</v>
      </c>
      <c r="E235" s="13" t="s">
        <v>1454</v>
      </c>
      <c r="F235" s="9" t="s">
        <v>27</v>
      </c>
      <c r="G235" s="9" t="s">
        <v>28</v>
      </c>
      <c r="H235" s="16" t="s">
        <v>43</v>
      </c>
      <c r="I235" s="97" t="s">
        <v>2087</v>
      </c>
      <c r="J235" s="31"/>
      <c r="K235" s="11" t="s">
        <v>2082</v>
      </c>
      <c r="L235" s="8"/>
      <c r="M235" s="15">
        <v>22.0</v>
      </c>
      <c r="N235" s="8"/>
      <c r="O235" s="8"/>
      <c r="P235" s="31"/>
      <c r="Q235" s="4"/>
      <c r="R235" s="4"/>
      <c r="S235" s="4"/>
      <c r="T235" s="4"/>
      <c r="U235" s="4"/>
      <c r="V235" s="4"/>
      <c r="W235" s="4"/>
      <c r="X235" s="4"/>
      <c r="Y235" s="4"/>
    </row>
    <row r="236">
      <c r="A236" s="102" t="s">
        <v>2088</v>
      </c>
      <c r="B236" s="6">
        <v>2127.0</v>
      </c>
      <c r="C236" s="7" t="b">
        <v>1</v>
      </c>
      <c r="D236" s="8" t="str">
        <f>IFERROR(__xludf.DUMMYFUNCTION("GOOGLETRANSLATE(A236,""ar"", ""en"")"),"plastic chair with handle")</f>
        <v>plastic chair with handle</v>
      </c>
      <c r="E236" s="5" t="s">
        <v>2089</v>
      </c>
      <c r="F236" s="9" t="s">
        <v>27</v>
      </c>
      <c r="G236" s="9" t="s">
        <v>28</v>
      </c>
      <c r="H236" s="16" t="s">
        <v>43</v>
      </c>
      <c r="I236" s="97" t="s">
        <v>2087</v>
      </c>
      <c r="J236" s="29"/>
      <c r="K236" s="11" t="s">
        <v>2090</v>
      </c>
      <c r="L236" s="8"/>
      <c r="M236" s="12">
        <v>87.0</v>
      </c>
      <c r="N236" s="8"/>
      <c r="O236" s="8"/>
      <c r="P236" s="29"/>
      <c r="Q236" s="4"/>
      <c r="R236" s="4"/>
      <c r="S236" s="4"/>
      <c r="T236" s="4"/>
      <c r="U236" s="4"/>
      <c r="V236" s="4"/>
      <c r="W236" s="4"/>
      <c r="X236" s="4"/>
      <c r="Y236" s="4"/>
    </row>
    <row r="237">
      <c r="A237" s="13" t="s">
        <v>2083</v>
      </c>
      <c r="B237" s="6">
        <v>2132.0</v>
      </c>
      <c r="C237" s="7" t="b">
        <v>1</v>
      </c>
      <c r="D237" s="8" t="str">
        <f>IFERROR(__xludf.DUMMYFUNCTION("GOOGLETRANSLATE(A237,""ar"", ""en"")"),"plastic bar stool")</f>
        <v>plastic bar stool</v>
      </c>
      <c r="E237" s="13" t="s">
        <v>2091</v>
      </c>
      <c r="F237" s="9" t="s">
        <v>27</v>
      </c>
      <c r="G237" s="9" t="s">
        <v>28</v>
      </c>
      <c r="H237" s="16" t="s">
        <v>47</v>
      </c>
      <c r="I237" s="97" t="s">
        <v>2092</v>
      </c>
      <c r="J237" s="31"/>
      <c r="K237" s="11" t="s">
        <v>2086</v>
      </c>
      <c r="L237" s="8"/>
      <c r="M237" s="15">
        <v>10.0</v>
      </c>
      <c r="N237" s="8"/>
      <c r="O237" s="8"/>
      <c r="P237" s="31"/>
      <c r="Q237" s="4"/>
      <c r="R237" s="4"/>
      <c r="S237" s="4"/>
      <c r="T237" s="4"/>
      <c r="U237" s="4"/>
      <c r="V237" s="4"/>
      <c r="W237" s="4"/>
      <c r="X237" s="4"/>
      <c r="Y237" s="4"/>
    </row>
    <row r="238">
      <c r="A238" s="13" t="s">
        <v>2093</v>
      </c>
      <c r="B238" s="6">
        <v>2136.0</v>
      </c>
      <c r="C238" s="7" t="b">
        <v>1</v>
      </c>
      <c r="D238" s="8" t="str">
        <f>IFERROR(__xludf.DUMMYFUNCTION("GOOGLETRANSLATE(A238,""ar"", ""en"")"),"Plastic rope chair with handle")</f>
        <v>Plastic rope chair with handle</v>
      </c>
      <c r="E238" s="13" t="s">
        <v>2094</v>
      </c>
      <c r="F238" s="9" t="s">
        <v>27</v>
      </c>
      <c r="G238" s="9" t="s">
        <v>28</v>
      </c>
      <c r="H238" s="16" t="s">
        <v>43</v>
      </c>
      <c r="I238" s="97" t="s">
        <v>2095</v>
      </c>
      <c r="J238" s="31"/>
      <c r="K238" s="11" t="s">
        <v>2096</v>
      </c>
      <c r="L238" s="8"/>
      <c r="M238" s="15">
        <v>125.0</v>
      </c>
      <c r="N238" s="8"/>
      <c r="O238" s="8"/>
      <c r="P238" s="31"/>
      <c r="Q238" s="4"/>
      <c r="R238" s="4"/>
      <c r="S238" s="4"/>
      <c r="T238" s="4"/>
      <c r="U238" s="4"/>
      <c r="V238" s="4"/>
      <c r="W238" s="4"/>
      <c r="X238" s="4"/>
      <c r="Y238" s="4"/>
    </row>
    <row r="239">
      <c r="A239" s="5" t="s">
        <v>2097</v>
      </c>
      <c r="B239" s="6">
        <v>2143.0</v>
      </c>
      <c r="C239" s="7" t="b">
        <v>1</v>
      </c>
      <c r="D239" s="8" t="str">
        <f>IFERROR(__xludf.DUMMYFUNCTION("GOOGLETRANSLATE(A239,""ar"", ""en"")"),"BLK&amp;GRY 80cm round table")</f>
        <v>BLK&amp;GRY 80cm round table</v>
      </c>
      <c r="E239" s="5" t="s">
        <v>2098</v>
      </c>
      <c r="F239" s="9" t="s">
        <v>27</v>
      </c>
      <c r="G239" s="9" t="s">
        <v>28</v>
      </c>
      <c r="H239" s="16" t="s">
        <v>1217</v>
      </c>
      <c r="I239" s="92"/>
      <c r="J239" s="29"/>
      <c r="K239" s="11" t="s">
        <v>2099</v>
      </c>
      <c r="L239" s="8"/>
      <c r="M239" s="12">
        <v>16.0</v>
      </c>
      <c r="N239" s="8"/>
      <c r="O239" s="8"/>
      <c r="P239" s="29"/>
      <c r="Q239" s="4"/>
      <c r="R239" s="4"/>
      <c r="S239" s="4"/>
      <c r="T239" s="4"/>
      <c r="U239" s="4"/>
      <c r="V239" s="4"/>
      <c r="W239" s="4"/>
      <c r="X239" s="4"/>
      <c r="Y239" s="4"/>
    </row>
    <row r="240">
      <c r="A240" s="5" t="s">
        <v>2100</v>
      </c>
      <c r="B240" s="6">
        <v>2145.0</v>
      </c>
      <c r="C240" s="7" t="b">
        <v>1</v>
      </c>
      <c r="D240" s="8" t="str">
        <f>IFERROR(__xludf.DUMMYFUNCTION("GOOGLETRANSLATE(A240,""ar"", ""en"")"),"WHITE 80cm round table")</f>
        <v>WHITE 80cm round table</v>
      </c>
      <c r="E240" s="33" t="s">
        <v>2101</v>
      </c>
      <c r="F240" s="9" t="s">
        <v>27</v>
      </c>
      <c r="G240" s="9" t="s">
        <v>28</v>
      </c>
      <c r="H240" s="16" t="s">
        <v>1217</v>
      </c>
      <c r="I240" s="92"/>
      <c r="J240" s="29"/>
      <c r="K240" s="11" t="s">
        <v>2102</v>
      </c>
      <c r="L240" s="8"/>
      <c r="M240" s="12">
        <v>6.0</v>
      </c>
      <c r="N240" s="8"/>
      <c r="O240" s="8"/>
      <c r="P240" s="29"/>
      <c r="Q240" s="4"/>
      <c r="R240" s="4"/>
      <c r="S240" s="4"/>
      <c r="T240" s="4"/>
      <c r="U240" s="4"/>
      <c r="V240" s="4"/>
      <c r="W240" s="4"/>
      <c r="X240" s="4"/>
      <c r="Y240" s="4"/>
    </row>
    <row r="241">
      <c r="A241" s="5" t="s">
        <v>1596</v>
      </c>
      <c r="B241" s="6">
        <v>2149.0</v>
      </c>
      <c r="C241" s="7" t="b">
        <v>1</v>
      </c>
      <c r="D241" s="8" t="str">
        <f>IFERROR(__xludf.DUMMYFUNCTION("GOOGLETRANSLATE(A241,""ar"", ""en"")"),"plastic mesh chair")</f>
        <v>plastic mesh chair</v>
      </c>
      <c r="E241" s="5" t="s">
        <v>2103</v>
      </c>
      <c r="F241" s="9" t="s">
        <v>27</v>
      </c>
      <c r="G241" s="9" t="s">
        <v>28</v>
      </c>
      <c r="H241" s="16" t="s">
        <v>43</v>
      </c>
      <c r="I241" s="97" t="s">
        <v>2104</v>
      </c>
      <c r="J241" s="29"/>
      <c r="K241" s="11" t="s">
        <v>1599</v>
      </c>
      <c r="L241" s="8"/>
      <c r="M241" s="12">
        <v>16.0</v>
      </c>
      <c r="N241" s="8"/>
      <c r="O241" s="8"/>
      <c r="P241" s="29"/>
      <c r="Q241" s="4"/>
      <c r="R241" s="4"/>
      <c r="S241" s="4"/>
      <c r="T241" s="4"/>
      <c r="U241" s="4"/>
      <c r="V241" s="4"/>
      <c r="W241" s="4"/>
      <c r="X241" s="4"/>
      <c r="Y241" s="4"/>
    </row>
    <row r="242">
      <c r="A242" s="5" t="s">
        <v>1237</v>
      </c>
      <c r="B242" s="6">
        <v>2188.0</v>
      </c>
      <c r="C242" s="7" t="b">
        <v>1</v>
      </c>
      <c r="D242" s="8" t="str">
        <f>IFERROR(__xludf.DUMMYFUNCTION("GOOGLETRANSLATE(A242,""ar"", ""en"")"),"Stainless steel base")</f>
        <v>Stainless steel base</v>
      </c>
      <c r="E242" s="5" t="s">
        <v>2105</v>
      </c>
      <c r="F242" s="9" t="s">
        <v>27</v>
      </c>
      <c r="G242" s="9" t="s">
        <v>28</v>
      </c>
      <c r="H242" s="16" t="s">
        <v>186</v>
      </c>
      <c r="I242" s="92"/>
      <c r="J242" s="29"/>
      <c r="K242" s="11" t="s">
        <v>1239</v>
      </c>
      <c r="L242" s="8"/>
      <c r="M242" s="12">
        <v>59.0</v>
      </c>
      <c r="N242" s="8"/>
      <c r="O242" s="8"/>
      <c r="P242" s="29"/>
      <c r="Q242" s="4"/>
      <c r="R242" s="4"/>
      <c r="S242" s="4"/>
      <c r="T242" s="4"/>
      <c r="U242" s="4"/>
      <c r="V242" s="4"/>
      <c r="W242" s="4"/>
      <c r="X242" s="4"/>
      <c r="Y242" s="4"/>
    </row>
    <row r="243">
      <c r="A243" s="5" t="s">
        <v>2106</v>
      </c>
      <c r="B243" s="6">
        <v>2190.0</v>
      </c>
      <c r="C243" s="7" t="b">
        <v>1</v>
      </c>
      <c r="D243" s="8" t="str">
        <f>IFERROR(__xludf.DUMMYFUNCTION("GOOGLETRANSLATE(A243,""ar"", ""en"")"),"Stainless steel base with flip-up handle")</f>
        <v>Stainless steel base with flip-up handle</v>
      </c>
      <c r="E243" s="5" t="s">
        <v>2107</v>
      </c>
      <c r="F243" s="9" t="s">
        <v>27</v>
      </c>
      <c r="G243" s="9" t="s">
        <v>28</v>
      </c>
      <c r="H243" s="16" t="s">
        <v>186</v>
      </c>
      <c r="I243" s="92"/>
      <c r="J243" s="29"/>
      <c r="K243" s="11" t="s">
        <v>2108</v>
      </c>
      <c r="L243" s="8"/>
      <c r="M243" s="12">
        <v>12.0</v>
      </c>
      <c r="N243" s="8"/>
      <c r="O243" s="8"/>
      <c r="P243" s="29"/>
      <c r="Q243" s="4"/>
      <c r="R243" s="4"/>
      <c r="S243" s="4"/>
      <c r="T243" s="4"/>
      <c r="U243" s="4"/>
      <c r="V243" s="4"/>
      <c r="W243" s="4"/>
      <c r="X243" s="4"/>
      <c r="Y243" s="4"/>
    </row>
    <row r="244">
      <c r="A244" s="5" t="s">
        <v>850</v>
      </c>
      <c r="B244" s="6">
        <v>2192.0</v>
      </c>
      <c r="C244" s="7" t="b">
        <v>1</v>
      </c>
      <c r="D244" s="8" t="str">
        <f>IFERROR(__xludf.DUMMYFUNCTION("GOOGLETRANSLATE(A244,""ar"", ""en"")"),"Stainless steel bar base")</f>
        <v>Stainless steel bar base</v>
      </c>
      <c r="E244" s="5" t="s">
        <v>2109</v>
      </c>
      <c r="F244" s="9" t="s">
        <v>27</v>
      </c>
      <c r="G244" s="9" t="s">
        <v>28</v>
      </c>
      <c r="H244" s="16" t="s">
        <v>186</v>
      </c>
      <c r="I244" s="92"/>
      <c r="J244" s="29"/>
      <c r="K244" s="11" t="s">
        <v>852</v>
      </c>
      <c r="L244" s="8"/>
      <c r="M244" s="12">
        <v>26.0</v>
      </c>
      <c r="N244" s="8"/>
      <c r="O244" s="8"/>
      <c r="P244" s="29"/>
      <c r="Q244" s="4"/>
      <c r="R244" s="4"/>
      <c r="S244" s="4"/>
      <c r="T244" s="4"/>
      <c r="U244" s="4"/>
      <c r="V244" s="4"/>
      <c r="W244" s="4"/>
      <c r="X244" s="4"/>
      <c r="Y244" s="4"/>
    </row>
    <row r="245">
      <c r="A245" s="13" t="s">
        <v>1839</v>
      </c>
      <c r="B245" s="6">
        <v>2193.0</v>
      </c>
      <c r="C245" s="7" t="b">
        <v>1</v>
      </c>
      <c r="D245" s="16" t="s">
        <v>2110</v>
      </c>
      <c r="E245" s="13" t="s">
        <v>2111</v>
      </c>
      <c r="F245" s="9" t="s">
        <v>27</v>
      </c>
      <c r="G245" s="9" t="s">
        <v>28</v>
      </c>
      <c r="H245" s="16" t="s">
        <v>186</v>
      </c>
      <c r="I245" s="92"/>
      <c r="J245" s="31"/>
      <c r="K245" s="11" t="s">
        <v>1841</v>
      </c>
      <c r="L245" s="8"/>
      <c r="M245" s="15">
        <v>18.0</v>
      </c>
      <c r="N245" s="8"/>
      <c r="O245" s="8"/>
      <c r="P245" s="31"/>
      <c r="Q245" s="4"/>
      <c r="R245" s="4"/>
      <c r="S245" s="4"/>
      <c r="T245" s="4"/>
      <c r="U245" s="4"/>
      <c r="V245" s="4"/>
      <c r="W245" s="4"/>
      <c r="X245" s="4"/>
      <c r="Y245" s="4"/>
    </row>
    <row r="246">
      <c r="A246" s="13" t="s">
        <v>2112</v>
      </c>
      <c r="B246" s="6">
        <v>2201.0</v>
      </c>
      <c r="C246" s="7" t="b">
        <v>1</v>
      </c>
      <c r="D246" s="8" t="str">
        <f>IFERROR(__xludf.DUMMYFUNCTION("GOOGLETRANSLATE(A246,""ar"", ""en"")"),"Aluminum base is allowed")</f>
        <v>Aluminum base is allowed</v>
      </c>
      <c r="E246" s="13" t="s">
        <v>2113</v>
      </c>
      <c r="F246" s="9" t="s">
        <v>27</v>
      </c>
      <c r="G246" s="9" t="s">
        <v>28</v>
      </c>
      <c r="H246" s="16" t="s">
        <v>186</v>
      </c>
      <c r="I246" s="92"/>
      <c r="J246" s="31"/>
      <c r="K246" s="11" t="s">
        <v>2114</v>
      </c>
      <c r="L246" s="8"/>
      <c r="M246" s="15">
        <v>57.0</v>
      </c>
      <c r="N246" s="8"/>
      <c r="O246" s="8"/>
      <c r="P246" s="31"/>
      <c r="Q246" s="4"/>
      <c r="R246" s="4"/>
      <c r="S246" s="4"/>
      <c r="T246" s="4"/>
      <c r="U246" s="4"/>
      <c r="V246" s="4"/>
      <c r="W246" s="4"/>
      <c r="X246" s="4"/>
      <c r="Y246" s="4"/>
    </row>
    <row r="247">
      <c r="A247" s="5" t="s">
        <v>2115</v>
      </c>
      <c r="B247" s="6">
        <v>2202.0</v>
      </c>
      <c r="C247" s="7" t="b">
        <v>1</v>
      </c>
      <c r="D247" s="8" t="str">
        <f>IFERROR(__xludf.DUMMYFUNCTION("GOOGLETRANSLATE(A247,""ar"", ""en"")"),"Aluminum base, installation permit")</f>
        <v>Aluminum base, installation permit</v>
      </c>
      <c r="E247" s="5" t="s">
        <v>2116</v>
      </c>
      <c r="F247" s="9" t="s">
        <v>27</v>
      </c>
      <c r="G247" s="9" t="s">
        <v>28</v>
      </c>
      <c r="H247" s="16" t="s">
        <v>186</v>
      </c>
      <c r="I247" s="92"/>
      <c r="J247" s="29"/>
      <c r="K247" s="11" t="s">
        <v>2117</v>
      </c>
      <c r="L247" s="8"/>
      <c r="M247" s="12">
        <v>72.0</v>
      </c>
      <c r="N247" s="8"/>
      <c r="O247" s="8"/>
      <c r="P247" s="29"/>
      <c r="Q247" s="4"/>
      <c r="R247" s="4"/>
      <c r="S247" s="4"/>
      <c r="T247" s="4"/>
      <c r="U247" s="4"/>
      <c r="V247" s="4"/>
      <c r="W247" s="4"/>
      <c r="X247" s="4"/>
      <c r="Y247" s="4"/>
    </row>
    <row r="248">
      <c r="A248" s="13" t="s">
        <v>2118</v>
      </c>
      <c r="B248" s="6">
        <v>2205.0</v>
      </c>
      <c r="C248" s="7" t="b">
        <v>1</v>
      </c>
      <c r="D248" s="8" t="str">
        <f>IFERROR(__xludf.DUMMYFUNCTION("GOOGLETRANSLATE(A248,""ar"", ""en"")"),"Rectangular aluminum base")</f>
        <v>Rectangular aluminum base</v>
      </c>
      <c r="E248" s="13" t="s">
        <v>2119</v>
      </c>
      <c r="F248" s="9" t="s">
        <v>27</v>
      </c>
      <c r="G248" s="9" t="s">
        <v>28</v>
      </c>
      <c r="H248" s="16" t="s">
        <v>186</v>
      </c>
      <c r="I248" s="92"/>
      <c r="J248" s="31"/>
      <c r="K248" s="11" t="s">
        <v>2120</v>
      </c>
      <c r="L248" s="8"/>
      <c r="M248" s="15">
        <v>55.0</v>
      </c>
      <c r="N248" s="8"/>
      <c r="O248" s="8"/>
      <c r="P248" s="31"/>
      <c r="Q248" s="4"/>
      <c r="R248" s="4"/>
      <c r="S248" s="4"/>
      <c r="T248" s="4"/>
      <c r="U248" s="4"/>
      <c r="V248" s="4"/>
      <c r="W248" s="4"/>
      <c r="X248" s="4"/>
      <c r="Y248" s="4"/>
    </row>
    <row r="249">
      <c r="A249" s="5" t="s">
        <v>665</v>
      </c>
      <c r="B249" s="6">
        <v>2206.0</v>
      </c>
      <c r="C249" s="7" t="b">
        <v>1</v>
      </c>
      <c r="D249" s="8" t="str">
        <f>IFERROR(__xludf.DUMMYFUNCTION("GOOGLETRANSLATE(A249,""ar"", ""en"")"),"4-legged aluminum base")</f>
        <v>4-legged aluminum base</v>
      </c>
      <c r="E249" s="105" t="s">
        <v>2121</v>
      </c>
      <c r="F249" s="9" t="s">
        <v>27</v>
      </c>
      <c r="G249" s="9" t="s">
        <v>28</v>
      </c>
      <c r="H249" s="16" t="s">
        <v>186</v>
      </c>
      <c r="I249" s="92"/>
      <c r="J249" s="29"/>
      <c r="K249" s="11" t="s">
        <v>667</v>
      </c>
      <c r="L249" s="8"/>
      <c r="M249" s="12">
        <v>19.0</v>
      </c>
      <c r="N249" s="8"/>
      <c r="O249" s="8"/>
      <c r="P249" s="29"/>
      <c r="Q249" s="4"/>
      <c r="R249" s="4"/>
      <c r="S249" s="4"/>
      <c r="T249" s="4"/>
      <c r="U249" s="4"/>
      <c r="V249" s="4"/>
      <c r="W249" s="4"/>
      <c r="X249" s="4"/>
      <c r="Y249" s="4"/>
    </row>
    <row r="250">
      <c r="A250" s="13" t="s">
        <v>1237</v>
      </c>
      <c r="B250" s="6">
        <v>2209.0</v>
      </c>
      <c r="C250" s="7" t="b">
        <v>1</v>
      </c>
      <c r="D250" s="8" t="str">
        <f>IFERROR(__xludf.DUMMYFUNCTION("GOOGLETRANSLATE(A250,""ar"", ""en"")"),"Stainless steel base")</f>
        <v>Stainless steel base</v>
      </c>
      <c r="E250" s="13" t="s">
        <v>2122</v>
      </c>
      <c r="F250" s="9" t="s">
        <v>27</v>
      </c>
      <c r="G250" s="9" t="s">
        <v>28</v>
      </c>
      <c r="H250" s="16" t="s">
        <v>186</v>
      </c>
      <c r="I250" s="92"/>
      <c r="J250" s="31"/>
      <c r="K250" s="11" t="s">
        <v>1239</v>
      </c>
      <c r="L250" s="8"/>
      <c r="M250" s="15">
        <v>8.0</v>
      </c>
      <c r="N250" s="8"/>
      <c r="O250" s="8"/>
      <c r="P250" s="31"/>
      <c r="Q250" s="4"/>
      <c r="R250" s="4"/>
      <c r="S250" s="4"/>
      <c r="T250" s="4"/>
      <c r="U250" s="4"/>
      <c r="V250" s="4"/>
      <c r="W250" s="4"/>
      <c r="X250" s="4"/>
      <c r="Y250" s="4"/>
    </row>
    <row r="251">
      <c r="A251" s="5" t="s">
        <v>252</v>
      </c>
      <c r="B251" s="6">
        <v>2210.0</v>
      </c>
      <c r="C251" s="7" t="b">
        <v>1</v>
      </c>
      <c r="D251" s="8" t="str">
        <f>IFERROR(__xludf.DUMMYFUNCTION("GOOGLETRANSLATE(A251,""ar"", ""en"")"),"iron base")</f>
        <v>iron base</v>
      </c>
      <c r="E251" s="5" t="s">
        <v>2123</v>
      </c>
      <c r="F251" s="9" t="s">
        <v>27</v>
      </c>
      <c r="G251" s="9" t="s">
        <v>18</v>
      </c>
      <c r="H251" s="16" t="s">
        <v>186</v>
      </c>
      <c r="I251" s="92"/>
      <c r="J251" s="29"/>
      <c r="K251" s="11" t="s">
        <v>254</v>
      </c>
      <c r="L251" s="8"/>
      <c r="M251" s="12">
        <v>61.0</v>
      </c>
      <c r="N251" s="8"/>
      <c r="O251" s="8"/>
      <c r="P251" s="29"/>
      <c r="Q251" s="4"/>
      <c r="R251" s="4"/>
      <c r="S251" s="4"/>
      <c r="T251" s="4"/>
      <c r="U251" s="4"/>
      <c r="V251" s="4"/>
      <c r="W251" s="4"/>
      <c r="X251" s="4"/>
      <c r="Y251" s="4"/>
    </row>
    <row r="252">
      <c r="A252" s="13" t="s">
        <v>2124</v>
      </c>
      <c r="B252" s="6">
        <v>2229.0</v>
      </c>
      <c r="C252" s="7" t="b">
        <v>1</v>
      </c>
      <c r="D252" s="8" t="str">
        <f>IFERROR(__xludf.DUMMYFUNCTION("GOOGLETRANSLATE(A252,""ar"", ""en"")"),"Big drink")</f>
        <v>Big drink</v>
      </c>
      <c r="E252" s="13" t="s">
        <v>2125</v>
      </c>
      <c r="F252" s="9" t="s">
        <v>27</v>
      </c>
      <c r="G252" s="9" t="s">
        <v>28</v>
      </c>
      <c r="H252" s="16" t="s">
        <v>1549</v>
      </c>
      <c r="I252" s="92"/>
      <c r="J252" s="14">
        <v>0.0</v>
      </c>
      <c r="K252" s="11" t="s">
        <v>2126</v>
      </c>
      <c r="L252" s="8"/>
      <c r="M252" s="15">
        <v>11.0</v>
      </c>
      <c r="N252" s="8"/>
      <c r="O252" s="8"/>
      <c r="P252" s="14">
        <v>0.0</v>
      </c>
      <c r="Q252" s="4"/>
      <c r="R252" s="4"/>
      <c r="S252" s="4"/>
      <c r="T252" s="4"/>
      <c r="U252" s="4"/>
      <c r="V252" s="4"/>
      <c r="W252" s="4"/>
      <c r="X252" s="4"/>
      <c r="Y252" s="4"/>
    </row>
    <row r="253">
      <c r="A253" s="5" t="s">
        <v>2127</v>
      </c>
      <c r="B253" s="6">
        <v>2230.0</v>
      </c>
      <c r="C253" s="7" t="b">
        <v>1</v>
      </c>
      <c r="D253" s="8" t="str">
        <f>IFERROR(__xludf.DUMMYFUNCTION("GOOGLETRANSLATE(A253,""ar"", ""en"")"),"small drink")</f>
        <v>small drink</v>
      </c>
      <c r="E253" s="5" t="s">
        <v>2128</v>
      </c>
      <c r="F253" s="9" t="s">
        <v>27</v>
      </c>
      <c r="G253" s="9" t="s">
        <v>28</v>
      </c>
      <c r="H253" s="16" t="s">
        <v>1549</v>
      </c>
      <c r="I253" s="92"/>
      <c r="J253" s="10">
        <v>0.0</v>
      </c>
      <c r="K253" s="11" t="s">
        <v>2129</v>
      </c>
      <c r="L253" s="8"/>
      <c r="M253" s="12">
        <v>4.0</v>
      </c>
      <c r="N253" s="8"/>
      <c r="O253" s="8"/>
      <c r="P253" s="10">
        <v>0.0</v>
      </c>
      <c r="Q253" s="4"/>
      <c r="R253" s="4"/>
      <c r="S253" s="4"/>
      <c r="T253" s="4"/>
      <c r="U253" s="4"/>
      <c r="V253" s="4"/>
      <c r="W253" s="4"/>
      <c r="X253" s="4"/>
      <c r="Y253" s="4"/>
    </row>
    <row r="254">
      <c r="A254" s="13" t="s">
        <v>2130</v>
      </c>
      <c r="B254" s="6">
        <v>2235.0</v>
      </c>
      <c r="C254" s="7" t="b">
        <v>1</v>
      </c>
      <c r="D254" s="8" t="str">
        <f>IFERROR(__xludf.DUMMYFUNCTION("GOOGLETRANSLATE(A254,""ar"", ""en"")"),"BABY HIGH CHAIR PLASTIC")</f>
        <v>BABY HIGH CHAIR PLASTIC</v>
      </c>
      <c r="E254" s="13" t="s">
        <v>2131</v>
      </c>
      <c r="F254" s="9" t="s">
        <v>27</v>
      </c>
      <c r="G254" s="9" t="s">
        <v>28</v>
      </c>
      <c r="H254" s="16" t="s">
        <v>1549</v>
      </c>
      <c r="I254" s="92"/>
      <c r="J254" s="31"/>
      <c r="K254" s="11" t="s">
        <v>2132</v>
      </c>
      <c r="L254" s="16"/>
      <c r="M254" s="15">
        <v>42.0</v>
      </c>
      <c r="N254" s="8"/>
      <c r="O254" s="8"/>
      <c r="P254" s="31"/>
      <c r="Q254" s="4"/>
      <c r="R254" s="4"/>
      <c r="S254" s="4"/>
      <c r="T254" s="4"/>
      <c r="U254" s="4"/>
      <c r="V254" s="4"/>
      <c r="W254" s="4"/>
      <c r="X254" s="4"/>
      <c r="Y254" s="4"/>
    </row>
    <row r="255">
      <c r="A255" s="13" t="s">
        <v>2133</v>
      </c>
      <c r="B255" s="6">
        <v>2237.0</v>
      </c>
      <c r="C255" s="7" t="b">
        <v>1</v>
      </c>
      <c r="D255" s="8" t="str">
        <f>IFERROR(__xludf.DUMMYFUNCTION("GOOGLETRANSLATE(A255,""ar"", ""en"")"),"BABY RESTRNT PLASTIC CHAIR")</f>
        <v>BABY RESTRNT PLASTIC CHAIR</v>
      </c>
      <c r="E255" s="13" t="s">
        <v>2134</v>
      </c>
      <c r="F255" s="9" t="s">
        <v>27</v>
      </c>
      <c r="G255" s="9" t="s">
        <v>28</v>
      </c>
      <c r="H255" s="16" t="s">
        <v>1549</v>
      </c>
      <c r="I255" s="101" t="s">
        <v>2135</v>
      </c>
      <c r="J255" s="31"/>
      <c r="K255" s="11" t="s">
        <v>2136</v>
      </c>
      <c r="L255" s="8"/>
      <c r="M255" s="15">
        <v>33.0</v>
      </c>
      <c r="N255" s="8"/>
      <c r="O255" s="8"/>
      <c r="P255" s="31"/>
      <c r="Q255" s="4"/>
      <c r="R255" s="4"/>
      <c r="S255" s="4"/>
      <c r="T255" s="4"/>
      <c r="U255" s="4"/>
      <c r="V255" s="4"/>
      <c r="W255" s="4"/>
      <c r="X255" s="4"/>
      <c r="Y255" s="4"/>
    </row>
    <row r="256">
      <c r="A256" s="63" t="s">
        <v>2137</v>
      </c>
      <c r="B256" s="60">
        <v>2245.0</v>
      </c>
      <c r="C256" s="106" t="b">
        <v>1</v>
      </c>
      <c r="D256" s="60" t="str">
        <f>IFERROR(__xludf.DUMMYFUNCTION("GOOGLETRANSLATE(A256,""ar"", ""en"")"),"BEIGE Wide Leather Dining Chair with Handle")</f>
        <v>BEIGE Wide Leather Dining Chair with Handle</v>
      </c>
      <c r="E256" s="59" t="s">
        <v>2138</v>
      </c>
      <c r="F256" s="9" t="s">
        <v>27</v>
      </c>
      <c r="G256" s="9" t="s">
        <v>18</v>
      </c>
      <c r="H256" s="16" t="s">
        <v>1484</v>
      </c>
      <c r="I256" s="104" t="s">
        <v>2139</v>
      </c>
      <c r="J256" s="12"/>
      <c r="K256" s="9" t="s">
        <v>2140</v>
      </c>
      <c r="L256" s="8"/>
      <c r="M256" s="61">
        <v>60.0</v>
      </c>
      <c r="N256" s="8"/>
      <c r="O256" s="8"/>
      <c r="P256" s="62"/>
      <c r="Q256" s="4"/>
      <c r="R256" s="4"/>
      <c r="S256" s="4"/>
      <c r="T256" s="4"/>
      <c r="U256" s="4"/>
      <c r="V256" s="4"/>
      <c r="W256" s="4"/>
      <c r="X256" s="4"/>
      <c r="Y256" s="4"/>
    </row>
    <row r="257">
      <c r="A257" s="63" t="s">
        <v>2141</v>
      </c>
      <c r="B257" s="60">
        <v>2255.0</v>
      </c>
      <c r="C257" s="106" t="b">
        <v>1</v>
      </c>
      <c r="D257" s="60" t="str">
        <f>IFERROR(__xludf.DUMMYFUNCTION("GOOGLETRANSLATE(A257,""ar"", ""en"")"),"309/72 Font Base Permitted")</f>
        <v>309/72 Font Base Permitted</v>
      </c>
      <c r="E257" s="59" t="s">
        <v>2142</v>
      </c>
      <c r="F257" s="9" t="s">
        <v>27</v>
      </c>
      <c r="G257" s="9" t="s">
        <v>28</v>
      </c>
      <c r="H257" s="16" t="s">
        <v>186</v>
      </c>
      <c r="I257" s="92"/>
      <c r="J257" s="12"/>
      <c r="K257" s="9" t="s">
        <v>2143</v>
      </c>
      <c r="L257" s="8"/>
      <c r="M257" s="61">
        <v>60.0</v>
      </c>
      <c r="N257" s="8"/>
      <c r="O257" s="8"/>
      <c r="P257" s="62"/>
      <c r="Q257" s="4"/>
      <c r="R257" s="4"/>
      <c r="S257" s="4"/>
      <c r="T257" s="4"/>
      <c r="U257" s="4"/>
      <c r="V257" s="4"/>
      <c r="W257" s="4"/>
      <c r="X257" s="4"/>
      <c r="Y257" s="4"/>
    </row>
    <row r="258">
      <c r="A258" s="63" t="s">
        <v>2144</v>
      </c>
      <c r="B258" s="60">
        <v>2307.0</v>
      </c>
      <c r="C258" s="106" t="b">
        <v>1</v>
      </c>
      <c r="D258" s="60" t="str">
        <f>IFERROR(__xludf.DUMMYFUNCTION("GOOGLETRANSLATE(A258,""ar"", ""en"")"),"BEIGE leather dining chair")</f>
        <v>BEIGE leather dining chair</v>
      </c>
      <c r="E258" s="59" t="s">
        <v>2145</v>
      </c>
      <c r="F258" s="9" t="s">
        <v>27</v>
      </c>
      <c r="G258" s="9" t="s">
        <v>18</v>
      </c>
      <c r="H258" s="16" t="s">
        <v>1484</v>
      </c>
      <c r="I258" s="104" t="s">
        <v>2146</v>
      </c>
      <c r="J258" s="12"/>
      <c r="K258" s="9" t="s">
        <v>2147</v>
      </c>
      <c r="L258" s="8"/>
      <c r="M258" s="61">
        <v>32.0</v>
      </c>
      <c r="N258" s="8"/>
      <c r="O258" s="8"/>
      <c r="P258" s="62"/>
      <c r="Q258" s="4"/>
      <c r="R258" s="4"/>
      <c r="S258" s="4"/>
      <c r="T258" s="4"/>
      <c r="U258" s="4"/>
      <c r="V258" s="4"/>
      <c r="W258" s="4"/>
      <c r="X258" s="4"/>
      <c r="Y258" s="4"/>
    </row>
    <row r="259">
      <c r="A259" s="63" t="s">
        <v>2144</v>
      </c>
      <c r="B259" s="60">
        <v>2310.0</v>
      </c>
      <c r="C259" s="106" t="b">
        <v>1</v>
      </c>
      <c r="D259" s="60" t="str">
        <f>IFERROR(__xludf.DUMMYFUNCTION("GOOGLETRANSLATE(A259,""ar"", ""en"")"),"BEIGE leather dining chair")</f>
        <v>BEIGE leather dining chair</v>
      </c>
      <c r="E259" s="59" t="s">
        <v>2148</v>
      </c>
      <c r="F259" s="9" t="s">
        <v>27</v>
      </c>
      <c r="G259" s="9" t="s">
        <v>18</v>
      </c>
      <c r="H259" s="16" t="s">
        <v>1484</v>
      </c>
      <c r="I259" s="104" t="s">
        <v>2139</v>
      </c>
      <c r="J259" s="12"/>
      <c r="K259" s="9" t="s">
        <v>2147</v>
      </c>
      <c r="L259" s="8"/>
      <c r="M259" s="61">
        <v>48.0</v>
      </c>
      <c r="N259" s="8"/>
      <c r="O259" s="8"/>
      <c r="P259" s="62"/>
      <c r="Q259" s="4"/>
      <c r="R259" s="4"/>
      <c r="S259" s="4"/>
      <c r="T259" s="4"/>
      <c r="U259" s="4"/>
      <c r="V259" s="4"/>
      <c r="W259" s="4"/>
      <c r="X259" s="4"/>
      <c r="Y259" s="4"/>
    </row>
    <row r="260">
      <c r="A260" s="68" t="s">
        <v>2149</v>
      </c>
      <c r="B260" s="60">
        <v>2322.0</v>
      </c>
      <c r="C260" s="106" t="b">
        <v>1</v>
      </c>
      <c r="D260" s="60" t="str">
        <f>IFERROR(__xludf.DUMMYFUNCTION("GOOGLETRANSLATE(A260,""ar"", ""en"")"),"Black plastic bar stool")</f>
        <v>Black plastic bar stool</v>
      </c>
      <c r="E260" s="69" t="s">
        <v>2150</v>
      </c>
      <c r="F260" s="9" t="s">
        <v>27</v>
      </c>
      <c r="G260" s="9" t="s">
        <v>28</v>
      </c>
      <c r="H260" s="16" t="s">
        <v>43</v>
      </c>
      <c r="I260" s="97" t="s">
        <v>1869</v>
      </c>
      <c r="J260" s="12"/>
      <c r="K260" s="9" t="s">
        <v>2151</v>
      </c>
      <c r="L260" s="8"/>
      <c r="M260" s="70">
        <v>80.0</v>
      </c>
      <c r="N260" s="8"/>
      <c r="O260" s="8"/>
      <c r="P260" s="62"/>
      <c r="Q260" s="4"/>
      <c r="R260" s="4"/>
      <c r="S260" s="4"/>
      <c r="T260" s="4"/>
      <c r="U260" s="4"/>
      <c r="V260" s="4"/>
      <c r="W260" s="4"/>
      <c r="X260" s="4"/>
      <c r="Y260" s="4"/>
    </row>
    <row r="261">
      <c r="A261" s="68" t="s">
        <v>2152</v>
      </c>
      <c r="B261" s="60">
        <v>2328.0</v>
      </c>
      <c r="C261" s="106" t="b">
        <v>1</v>
      </c>
      <c r="D261" s="60" t="str">
        <f>IFERROR(__xludf.DUMMYFUNCTION("GOOGLETRANSLATE(A261,""ar"", ""en"")"),"H 108 CM/54 rounded smooth bar font base")</f>
        <v>H 108 CM/54 rounded smooth bar font base</v>
      </c>
      <c r="E261" s="69" t="s">
        <v>2153</v>
      </c>
      <c r="F261" s="9" t="s">
        <v>27</v>
      </c>
      <c r="G261" s="9" t="s">
        <v>28</v>
      </c>
      <c r="H261" s="16" t="s">
        <v>186</v>
      </c>
      <c r="I261" s="92"/>
      <c r="J261" s="12"/>
      <c r="K261" s="9" t="s">
        <v>2154</v>
      </c>
      <c r="L261" s="8"/>
      <c r="M261" s="70">
        <v>60.0</v>
      </c>
      <c r="N261" s="8"/>
      <c r="O261" s="8"/>
      <c r="P261" s="62"/>
      <c r="Q261" s="4"/>
      <c r="R261" s="4"/>
      <c r="S261" s="4"/>
      <c r="T261" s="4"/>
      <c r="U261" s="4"/>
      <c r="V261" s="4"/>
      <c r="W261" s="4"/>
      <c r="X261" s="4"/>
      <c r="Y261" s="4"/>
    </row>
    <row r="262">
      <c r="A262" s="107" t="s">
        <v>2155</v>
      </c>
      <c r="B262" s="7">
        <v>2332.0</v>
      </c>
      <c r="C262" s="106" t="b">
        <v>1</v>
      </c>
      <c r="D262" s="60" t="str">
        <f>IFERROR(__xludf.DUMMYFUNCTION("GOOGLETRANSLATE(A262,""ar"", ""en"")"),"54cm Smooth Round Font Base")</f>
        <v>54cm Smooth Round Font Base</v>
      </c>
      <c r="E262" s="108" t="s">
        <v>2156</v>
      </c>
      <c r="F262" s="108" t="s">
        <v>27</v>
      </c>
      <c r="G262" s="108" t="s">
        <v>28</v>
      </c>
      <c r="H262" s="16" t="s">
        <v>186</v>
      </c>
      <c r="I262" s="109" t="s">
        <v>2157</v>
      </c>
      <c r="J262" s="62"/>
      <c r="K262" s="9" t="s">
        <v>2158</v>
      </c>
      <c r="L262" s="62"/>
      <c r="M262" s="62"/>
      <c r="N262" s="62"/>
      <c r="O262" s="62"/>
      <c r="P262" s="62"/>
    </row>
    <row r="263">
      <c r="A263" s="107" t="s">
        <v>2159</v>
      </c>
      <c r="B263" s="7">
        <v>2333.0</v>
      </c>
      <c r="C263" s="106" t="b">
        <v>1</v>
      </c>
      <c r="D263" s="60" t="str">
        <f>IFERROR(__xludf.DUMMYFUNCTION("GOOGLETRANSLATE(A263,""ar"", ""en"")"),"54cm Smooth Round Inflatable Iron Base")</f>
        <v>54cm Smooth Round Inflatable Iron Base</v>
      </c>
      <c r="E263" s="108" t="s">
        <v>1754</v>
      </c>
      <c r="F263" s="108" t="s">
        <v>27</v>
      </c>
      <c r="G263" s="108" t="s">
        <v>28</v>
      </c>
      <c r="H263" s="16" t="s">
        <v>186</v>
      </c>
      <c r="I263" s="109" t="s">
        <v>2157</v>
      </c>
      <c r="J263" s="62"/>
      <c r="K263" s="9" t="s">
        <v>2160</v>
      </c>
      <c r="L263" s="62"/>
      <c r="M263" s="62"/>
      <c r="N263" s="62"/>
      <c r="O263" s="62"/>
      <c r="P263" s="62"/>
    </row>
    <row r="264">
      <c r="A264" s="107" t="s">
        <v>838</v>
      </c>
      <c r="B264" s="7">
        <v>2334.0</v>
      </c>
      <c r="C264" s="106" t="b">
        <v>1</v>
      </c>
      <c r="D264" s="60" t="str">
        <f>IFERROR(__xludf.DUMMYFUNCTION("GOOGLETRANSLATE(A264,""ar"", ""en"")"),"Square font base")</f>
        <v>Square font base</v>
      </c>
      <c r="E264" s="108" t="s">
        <v>2161</v>
      </c>
      <c r="F264" s="108" t="s">
        <v>27</v>
      </c>
      <c r="G264" s="108" t="s">
        <v>28</v>
      </c>
      <c r="H264" s="16" t="s">
        <v>186</v>
      </c>
      <c r="I264" s="110"/>
      <c r="J264" s="62"/>
      <c r="K264" s="9" t="s">
        <v>2162</v>
      </c>
      <c r="L264" s="62"/>
      <c r="M264" s="62"/>
      <c r="N264" s="62"/>
      <c r="O264" s="62"/>
      <c r="P264" s="62"/>
    </row>
    <row r="265">
      <c r="A265" s="107" t="s">
        <v>2163</v>
      </c>
      <c r="B265" s="7">
        <v>2335.0</v>
      </c>
      <c r="C265" s="106" t="b">
        <v>1</v>
      </c>
      <c r="D265" s="60" t="str">
        <f>IFERROR(__xludf.DUMMYFUNCTION("GOOGLETRANSLATE(A265,""ar"", ""en"")"),"Font Base 4 Legs - Large Wide /306")</f>
        <v>Font Base 4 Legs - Large Wide /306</v>
      </c>
      <c r="E265" s="108" t="s">
        <v>1463</v>
      </c>
      <c r="F265" s="108" t="s">
        <v>27</v>
      </c>
      <c r="G265" s="108" t="s">
        <v>28</v>
      </c>
      <c r="H265" s="16" t="s">
        <v>186</v>
      </c>
      <c r="I265" s="110"/>
      <c r="J265" s="62"/>
      <c r="K265" s="9" t="s">
        <v>2164</v>
      </c>
      <c r="L265" s="62"/>
      <c r="M265" s="62"/>
      <c r="N265" s="62"/>
      <c r="O265" s="62"/>
      <c r="P265" s="62"/>
    </row>
    <row r="266">
      <c r="I266" s="111"/>
    </row>
    <row r="267">
      <c r="I267" s="111"/>
    </row>
    <row r="268">
      <c r="I268" s="111"/>
    </row>
    <row r="269">
      <c r="I269" s="111"/>
    </row>
    <row r="270">
      <c r="I270" s="111"/>
    </row>
    <row r="271">
      <c r="I271" s="111"/>
    </row>
    <row r="272">
      <c r="I272" s="111"/>
    </row>
    <row r="273">
      <c r="I273" s="111"/>
    </row>
    <row r="274">
      <c r="I274" s="111"/>
    </row>
    <row r="275">
      <c r="I275" s="111"/>
    </row>
    <row r="276">
      <c r="I276" s="111"/>
    </row>
    <row r="277">
      <c r="I277" s="111"/>
    </row>
    <row r="278">
      <c r="I278" s="111"/>
    </row>
    <row r="279">
      <c r="I279" s="111"/>
    </row>
    <row r="280">
      <c r="I280" s="111"/>
    </row>
    <row r="281">
      <c r="I281" s="111"/>
    </row>
    <row r="282">
      <c r="I282" s="111"/>
    </row>
    <row r="283">
      <c r="I283" s="111"/>
    </row>
    <row r="284">
      <c r="I284" s="111"/>
    </row>
    <row r="285">
      <c r="I285" s="111"/>
    </row>
    <row r="286">
      <c r="I286" s="111"/>
    </row>
    <row r="287">
      <c r="I287" s="111"/>
    </row>
    <row r="288">
      <c r="I288" s="111"/>
    </row>
    <row r="289">
      <c r="I289" s="111"/>
    </row>
    <row r="290">
      <c r="I290" s="111"/>
    </row>
    <row r="291">
      <c r="I291" s="111"/>
    </row>
    <row r="292">
      <c r="I292" s="111"/>
    </row>
    <row r="293">
      <c r="I293" s="111"/>
    </row>
    <row r="294">
      <c r="I294" s="111"/>
    </row>
    <row r="295">
      <c r="I295" s="111"/>
    </row>
    <row r="296">
      <c r="I296" s="111"/>
    </row>
    <row r="297">
      <c r="I297" s="111"/>
    </row>
    <row r="298">
      <c r="I298" s="111"/>
    </row>
    <row r="299">
      <c r="I299" s="111"/>
    </row>
    <row r="300">
      <c r="I300" s="111"/>
    </row>
    <row r="301">
      <c r="I301" s="111"/>
    </row>
    <row r="302">
      <c r="I302" s="111"/>
    </row>
    <row r="303">
      <c r="I303" s="111"/>
    </row>
    <row r="304">
      <c r="I304" s="111"/>
    </row>
    <row r="305">
      <c r="I305" s="111"/>
    </row>
    <row r="306">
      <c r="I306" s="111"/>
    </row>
    <row r="307">
      <c r="I307" s="111"/>
    </row>
    <row r="308">
      <c r="I308" s="111"/>
    </row>
    <row r="309">
      <c r="I309" s="111"/>
    </row>
    <row r="310">
      <c r="I310" s="111"/>
    </row>
    <row r="311">
      <c r="I311" s="111"/>
    </row>
    <row r="312">
      <c r="I312" s="111"/>
    </row>
    <row r="313">
      <c r="I313" s="111"/>
    </row>
    <row r="314">
      <c r="I314" s="111"/>
    </row>
    <row r="315">
      <c r="I315" s="111"/>
    </row>
    <row r="316">
      <c r="I316" s="111"/>
    </row>
    <row r="317">
      <c r="I317" s="111"/>
    </row>
    <row r="318">
      <c r="I318" s="111"/>
    </row>
    <row r="319">
      <c r="I319" s="111"/>
    </row>
    <row r="320">
      <c r="I320" s="111"/>
    </row>
    <row r="321">
      <c r="I321" s="111"/>
    </row>
    <row r="322">
      <c r="I322" s="111"/>
    </row>
    <row r="323">
      <c r="I323" s="111"/>
    </row>
    <row r="324">
      <c r="I324" s="111"/>
    </row>
    <row r="325">
      <c r="I325" s="111"/>
    </row>
    <row r="326">
      <c r="I326" s="111"/>
    </row>
    <row r="327">
      <c r="I327" s="111"/>
    </row>
    <row r="328">
      <c r="I328" s="111"/>
    </row>
    <row r="329">
      <c r="I329" s="111"/>
    </row>
    <row r="330">
      <c r="I330" s="111"/>
    </row>
    <row r="331">
      <c r="I331" s="111"/>
    </row>
    <row r="332">
      <c r="I332" s="111"/>
    </row>
    <row r="333">
      <c r="I333" s="111"/>
    </row>
    <row r="334">
      <c r="I334" s="111"/>
    </row>
    <row r="335">
      <c r="I335" s="111"/>
    </row>
    <row r="336">
      <c r="I336" s="111"/>
    </row>
    <row r="337">
      <c r="I337" s="111"/>
    </row>
    <row r="338">
      <c r="I338" s="111"/>
    </row>
    <row r="339">
      <c r="I339" s="111"/>
    </row>
    <row r="340">
      <c r="I340" s="111"/>
    </row>
    <row r="341">
      <c r="I341" s="111"/>
    </row>
    <row r="342">
      <c r="I342" s="111"/>
    </row>
    <row r="343">
      <c r="I343" s="111"/>
    </row>
    <row r="344">
      <c r="I344" s="111"/>
    </row>
    <row r="345">
      <c r="I345" s="111"/>
    </row>
    <row r="346">
      <c r="I346" s="111"/>
    </row>
    <row r="347">
      <c r="I347" s="111"/>
    </row>
    <row r="348">
      <c r="I348" s="111"/>
    </row>
    <row r="349">
      <c r="I349" s="111"/>
    </row>
    <row r="350">
      <c r="I350" s="111"/>
    </row>
    <row r="351">
      <c r="I351" s="111"/>
    </row>
    <row r="352">
      <c r="I352" s="111"/>
    </row>
    <row r="353">
      <c r="I353" s="111"/>
    </row>
    <row r="354">
      <c r="I354" s="111"/>
    </row>
    <row r="355">
      <c r="I355" s="111"/>
    </row>
    <row r="356">
      <c r="I356" s="111"/>
    </row>
    <row r="357">
      <c r="I357" s="111"/>
    </row>
    <row r="358">
      <c r="I358" s="111"/>
    </row>
    <row r="359">
      <c r="I359" s="111"/>
    </row>
    <row r="360">
      <c r="I360" s="111"/>
    </row>
    <row r="361">
      <c r="I361" s="111"/>
    </row>
    <row r="362">
      <c r="I362" s="111"/>
    </row>
    <row r="363">
      <c r="I363" s="111"/>
    </row>
    <row r="364">
      <c r="I364" s="111"/>
    </row>
    <row r="365">
      <c r="I365" s="111"/>
    </row>
    <row r="366">
      <c r="I366" s="111"/>
    </row>
    <row r="367">
      <c r="I367" s="111"/>
    </row>
    <row r="368">
      <c r="I368" s="111"/>
    </row>
    <row r="369">
      <c r="I369" s="111"/>
    </row>
    <row r="370">
      <c r="I370" s="111"/>
    </row>
    <row r="371">
      <c r="I371" s="111"/>
    </row>
    <row r="372">
      <c r="I372" s="111"/>
    </row>
    <row r="373">
      <c r="I373" s="111"/>
    </row>
    <row r="374">
      <c r="I374" s="111"/>
    </row>
    <row r="375">
      <c r="I375" s="111"/>
    </row>
    <row r="376">
      <c r="I376" s="111"/>
    </row>
    <row r="377">
      <c r="I377" s="111"/>
    </row>
    <row r="378">
      <c r="I378" s="111"/>
    </row>
    <row r="379">
      <c r="I379" s="111"/>
    </row>
    <row r="380">
      <c r="I380" s="111"/>
    </row>
    <row r="381">
      <c r="I381" s="111"/>
    </row>
    <row r="382">
      <c r="I382" s="111"/>
    </row>
    <row r="383">
      <c r="I383" s="111"/>
    </row>
    <row r="384">
      <c r="I384" s="111"/>
    </row>
    <row r="385">
      <c r="I385" s="111"/>
    </row>
    <row r="386">
      <c r="I386" s="111"/>
    </row>
    <row r="387">
      <c r="I387" s="111"/>
    </row>
    <row r="388">
      <c r="I388" s="111"/>
    </row>
    <row r="389">
      <c r="I389" s="111"/>
    </row>
    <row r="390">
      <c r="I390" s="111"/>
    </row>
    <row r="391">
      <c r="I391" s="111"/>
    </row>
    <row r="392">
      <c r="I392" s="111"/>
    </row>
    <row r="393">
      <c r="I393" s="111"/>
    </row>
    <row r="394">
      <c r="I394" s="111"/>
    </row>
    <row r="395">
      <c r="I395" s="111"/>
    </row>
    <row r="396">
      <c r="I396" s="111"/>
    </row>
    <row r="397">
      <c r="I397" s="111"/>
    </row>
    <row r="398">
      <c r="I398" s="111"/>
    </row>
    <row r="399">
      <c r="I399" s="111"/>
    </row>
    <row r="400">
      <c r="I400" s="111"/>
    </row>
    <row r="401">
      <c r="I401" s="111"/>
    </row>
    <row r="402">
      <c r="I402" s="111"/>
    </row>
    <row r="403">
      <c r="I403" s="111"/>
    </row>
    <row r="404">
      <c r="I404" s="111"/>
    </row>
    <row r="405">
      <c r="I405" s="111"/>
    </row>
    <row r="406">
      <c r="I406" s="111"/>
    </row>
    <row r="407">
      <c r="I407" s="111"/>
    </row>
    <row r="408">
      <c r="I408" s="111"/>
    </row>
    <row r="409">
      <c r="I409" s="111"/>
    </row>
    <row r="410">
      <c r="I410" s="111"/>
    </row>
    <row r="411">
      <c r="I411" s="111"/>
    </row>
    <row r="412">
      <c r="I412" s="111"/>
    </row>
    <row r="413">
      <c r="I413" s="111"/>
    </row>
    <row r="414">
      <c r="I414" s="111"/>
    </row>
    <row r="415">
      <c r="I415" s="111"/>
    </row>
    <row r="416">
      <c r="I416" s="111"/>
    </row>
    <row r="417">
      <c r="I417" s="111"/>
    </row>
    <row r="418">
      <c r="I418" s="111"/>
    </row>
    <row r="419">
      <c r="I419" s="111"/>
    </row>
    <row r="420">
      <c r="I420" s="111"/>
    </row>
    <row r="421">
      <c r="I421" s="111"/>
    </row>
    <row r="422">
      <c r="I422" s="111"/>
    </row>
    <row r="423">
      <c r="I423" s="111"/>
    </row>
    <row r="424">
      <c r="I424" s="111"/>
    </row>
    <row r="425">
      <c r="I425" s="111"/>
    </row>
    <row r="426">
      <c r="I426" s="111"/>
    </row>
    <row r="427">
      <c r="I427" s="111"/>
    </row>
    <row r="428">
      <c r="I428" s="111"/>
    </row>
    <row r="429">
      <c r="I429" s="111"/>
    </row>
    <row r="430">
      <c r="I430" s="111"/>
    </row>
    <row r="431">
      <c r="I431" s="111"/>
    </row>
    <row r="432">
      <c r="I432" s="111"/>
    </row>
    <row r="433">
      <c r="I433" s="111"/>
    </row>
    <row r="434">
      <c r="I434" s="111"/>
    </row>
    <row r="435">
      <c r="I435" s="111"/>
    </row>
    <row r="436">
      <c r="I436" s="111"/>
    </row>
    <row r="437">
      <c r="I437" s="111"/>
    </row>
    <row r="438">
      <c r="I438" s="111"/>
    </row>
    <row r="439">
      <c r="I439" s="111"/>
    </row>
    <row r="440">
      <c r="I440" s="111"/>
    </row>
    <row r="441">
      <c r="I441" s="111"/>
    </row>
    <row r="442">
      <c r="I442" s="111"/>
    </row>
    <row r="443">
      <c r="I443" s="111"/>
    </row>
    <row r="444">
      <c r="I444" s="111"/>
    </row>
    <row r="445">
      <c r="I445" s="111"/>
    </row>
    <row r="446">
      <c r="I446" s="111"/>
    </row>
    <row r="447">
      <c r="I447" s="111"/>
    </row>
    <row r="448">
      <c r="I448" s="111"/>
    </row>
    <row r="449">
      <c r="I449" s="111"/>
    </row>
    <row r="450">
      <c r="I450" s="111"/>
    </row>
    <row r="451">
      <c r="I451" s="111"/>
    </row>
    <row r="452">
      <c r="I452" s="111"/>
    </row>
    <row r="453">
      <c r="I453" s="111"/>
    </row>
    <row r="454">
      <c r="I454" s="111"/>
    </row>
    <row r="455">
      <c r="I455" s="111"/>
    </row>
    <row r="456">
      <c r="I456" s="111"/>
    </row>
    <row r="457">
      <c r="I457" s="111"/>
    </row>
    <row r="458">
      <c r="I458" s="111"/>
    </row>
    <row r="459">
      <c r="I459" s="111"/>
    </row>
    <row r="460">
      <c r="I460" s="111"/>
    </row>
    <row r="461">
      <c r="I461" s="111"/>
    </row>
    <row r="462">
      <c r="I462" s="111"/>
    </row>
    <row r="463">
      <c r="I463" s="111"/>
    </row>
    <row r="464">
      <c r="I464" s="111"/>
    </row>
    <row r="465">
      <c r="I465" s="111"/>
    </row>
    <row r="466">
      <c r="I466" s="111"/>
    </row>
    <row r="467">
      <c r="I467" s="111"/>
    </row>
    <row r="468">
      <c r="I468" s="111"/>
    </row>
    <row r="469">
      <c r="I469" s="111"/>
    </row>
    <row r="470">
      <c r="I470" s="111"/>
    </row>
    <row r="471">
      <c r="I471" s="111"/>
    </row>
    <row r="472">
      <c r="I472" s="111"/>
    </row>
    <row r="473">
      <c r="I473" s="111"/>
    </row>
    <row r="474">
      <c r="I474" s="111"/>
    </row>
    <row r="475">
      <c r="I475" s="111"/>
    </row>
    <row r="476">
      <c r="I476" s="111"/>
    </row>
    <row r="477">
      <c r="I477" s="111"/>
    </row>
    <row r="478">
      <c r="I478" s="111"/>
    </row>
    <row r="479">
      <c r="I479" s="111"/>
    </row>
    <row r="480">
      <c r="I480" s="111"/>
    </row>
    <row r="481">
      <c r="I481" s="111"/>
    </row>
    <row r="482">
      <c r="I482" s="111"/>
    </row>
    <row r="483">
      <c r="I483" s="111"/>
    </row>
    <row r="484">
      <c r="I484" s="111"/>
    </row>
    <row r="485">
      <c r="I485" s="111"/>
    </row>
    <row r="486">
      <c r="I486" s="111"/>
    </row>
    <row r="487">
      <c r="I487" s="111"/>
    </row>
    <row r="488">
      <c r="I488" s="111"/>
    </row>
    <row r="489">
      <c r="I489" s="111"/>
    </row>
    <row r="490">
      <c r="I490" s="111"/>
    </row>
    <row r="491">
      <c r="I491" s="111"/>
    </row>
    <row r="492">
      <c r="I492" s="111"/>
    </row>
    <row r="493">
      <c r="I493" s="111"/>
    </row>
    <row r="494">
      <c r="I494" s="111"/>
    </row>
    <row r="495">
      <c r="I495" s="111"/>
    </row>
    <row r="496">
      <c r="I496" s="111"/>
    </row>
    <row r="497">
      <c r="I497" s="111"/>
    </row>
    <row r="498">
      <c r="I498" s="111"/>
    </row>
    <row r="499">
      <c r="I499" s="111"/>
    </row>
    <row r="500">
      <c r="I500" s="111"/>
    </row>
    <row r="501">
      <c r="I501" s="111"/>
    </row>
    <row r="502">
      <c r="I502" s="111"/>
    </row>
    <row r="503">
      <c r="I503" s="111"/>
    </row>
    <row r="504">
      <c r="I504" s="111"/>
    </row>
    <row r="505">
      <c r="I505" s="111"/>
    </row>
    <row r="506">
      <c r="I506" s="111"/>
    </row>
    <row r="507">
      <c r="I507" s="111"/>
    </row>
    <row r="508">
      <c r="I508" s="111"/>
    </row>
    <row r="509">
      <c r="I509" s="111"/>
    </row>
    <row r="510">
      <c r="I510" s="111"/>
    </row>
    <row r="511">
      <c r="I511" s="111"/>
    </row>
    <row r="512">
      <c r="I512" s="111"/>
    </row>
    <row r="513">
      <c r="I513" s="111"/>
    </row>
    <row r="514">
      <c r="I514" s="111"/>
    </row>
    <row r="515">
      <c r="I515" s="111"/>
    </row>
    <row r="516">
      <c r="I516" s="111"/>
    </row>
    <row r="517">
      <c r="I517" s="111"/>
    </row>
    <row r="518">
      <c r="I518" s="111"/>
    </row>
    <row r="519">
      <c r="I519" s="111"/>
    </row>
    <row r="520">
      <c r="I520" s="111"/>
    </row>
    <row r="521">
      <c r="I521" s="111"/>
    </row>
    <row r="522">
      <c r="I522" s="111"/>
    </row>
    <row r="523">
      <c r="I523" s="111"/>
    </row>
    <row r="524">
      <c r="I524" s="111"/>
    </row>
    <row r="525">
      <c r="I525" s="111"/>
    </row>
    <row r="526">
      <c r="I526" s="111"/>
    </row>
    <row r="527">
      <c r="I527" s="111"/>
    </row>
    <row r="528">
      <c r="I528" s="111"/>
    </row>
    <row r="529">
      <c r="I529" s="111"/>
    </row>
    <row r="530">
      <c r="I530" s="111"/>
    </row>
    <row r="531">
      <c r="I531" s="111"/>
    </row>
    <row r="532">
      <c r="I532" s="111"/>
    </row>
    <row r="533">
      <c r="I533" s="111"/>
    </row>
    <row r="534">
      <c r="I534" s="111"/>
    </row>
    <row r="535">
      <c r="I535" s="111"/>
    </row>
    <row r="536">
      <c r="I536" s="111"/>
    </row>
    <row r="537">
      <c r="I537" s="111"/>
    </row>
    <row r="538">
      <c r="I538" s="111"/>
    </row>
    <row r="539">
      <c r="I539" s="111"/>
    </row>
    <row r="540">
      <c r="I540" s="111"/>
    </row>
    <row r="541">
      <c r="I541" s="111"/>
    </row>
    <row r="542">
      <c r="I542" s="111"/>
    </row>
    <row r="543">
      <c r="I543" s="111"/>
    </row>
    <row r="544">
      <c r="I544" s="111"/>
    </row>
    <row r="545">
      <c r="I545" s="111"/>
    </row>
    <row r="546">
      <c r="I546" s="111"/>
    </row>
    <row r="547">
      <c r="I547" s="111"/>
    </row>
    <row r="548">
      <c r="I548" s="111"/>
    </row>
    <row r="549">
      <c r="I549" s="111"/>
    </row>
    <row r="550">
      <c r="I550" s="111"/>
    </row>
    <row r="551">
      <c r="I551" s="111"/>
    </row>
    <row r="552">
      <c r="I552" s="111"/>
    </row>
    <row r="553">
      <c r="I553" s="111"/>
    </row>
    <row r="554">
      <c r="I554" s="111"/>
    </row>
    <row r="555">
      <c r="I555" s="111"/>
    </row>
    <row r="556">
      <c r="I556" s="111"/>
    </row>
    <row r="557">
      <c r="I557" s="111"/>
    </row>
    <row r="558">
      <c r="I558" s="111"/>
    </row>
    <row r="559">
      <c r="I559" s="111"/>
    </row>
    <row r="560">
      <c r="I560" s="111"/>
    </row>
    <row r="561">
      <c r="I561" s="111"/>
    </row>
    <row r="562">
      <c r="I562" s="111"/>
    </row>
    <row r="563">
      <c r="I563" s="111"/>
    </row>
    <row r="564">
      <c r="I564" s="111"/>
    </row>
    <row r="565">
      <c r="I565" s="111"/>
    </row>
    <row r="566">
      <c r="I566" s="111"/>
    </row>
    <row r="567">
      <c r="I567" s="111"/>
    </row>
    <row r="568">
      <c r="I568" s="111"/>
    </row>
    <row r="569">
      <c r="I569" s="111"/>
    </row>
    <row r="570">
      <c r="I570" s="111"/>
    </row>
    <row r="571">
      <c r="I571" s="111"/>
    </row>
    <row r="572">
      <c r="I572" s="111"/>
    </row>
    <row r="573">
      <c r="I573" s="111"/>
    </row>
    <row r="574">
      <c r="I574" s="111"/>
    </row>
    <row r="575">
      <c r="I575" s="111"/>
    </row>
    <row r="576">
      <c r="I576" s="111"/>
    </row>
    <row r="577">
      <c r="I577" s="111"/>
    </row>
    <row r="578">
      <c r="I578" s="111"/>
    </row>
    <row r="579">
      <c r="I579" s="111"/>
    </row>
    <row r="580">
      <c r="I580" s="111"/>
    </row>
    <row r="581">
      <c r="I581" s="111"/>
    </row>
    <row r="582">
      <c r="I582" s="111"/>
    </row>
    <row r="583">
      <c r="I583" s="111"/>
    </row>
    <row r="584">
      <c r="I584" s="111"/>
    </row>
    <row r="585">
      <c r="I585" s="111"/>
    </row>
    <row r="586">
      <c r="I586" s="111"/>
    </row>
    <row r="587">
      <c r="I587" s="111"/>
    </row>
    <row r="588">
      <c r="I588" s="111"/>
    </row>
    <row r="589">
      <c r="I589" s="111"/>
    </row>
    <row r="590">
      <c r="I590" s="111"/>
    </row>
    <row r="591">
      <c r="I591" s="111"/>
    </row>
    <row r="592">
      <c r="I592" s="111"/>
    </row>
    <row r="593">
      <c r="I593" s="111"/>
    </row>
    <row r="594">
      <c r="I594" s="111"/>
    </row>
    <row r="595">
      <c r="I595" s="111"/>
    </row>
    <row r="596">
      <c r="I596" s="111"/>
    </row>
    <row r="597">
      <c r="I597" s="111"/>
    </row>
    <row r="598">
      <c r="I598" s="111"/>
    </row>
    <row r="599">
      <c r="I599" s="111"/>
    </row>
    <row r="600">
      <c r="I600" s="111"/>
    </row>
    <row r="601">
      <c r="I601" s="111"/>
    </row>
    <row r="602">
      <c r="I602" s="111"/>
    </row>
    <row r="603">
      <c r="I603" s="111"/>
    </row>
    <row r="604">
      <c r="I604" s="111"/>
    </row>
    <row r="605">
      <c r="I605" s="111"/>
    </row>
    <row r="606">
      <c r="I606" s="111"/>
    </row>
    <row r="607">
      <c r="I607" s="111"/>
    </row>
    <row r="608">
      <c r="I608" s="111"/>
    </row>
    <row r="609">
      <c r="I609" s="111"/>
    </row>
    <row r="610">
      <c r="I610" s="111"/>
    </row>
    <row r="611">
      <c r="I611" s="111"/>
    </row>
    <row r="612">
      <c r="I612" s="111"/>
    </row>
    <row r="613">
      <c r="I613" s="111"/>
    </row>
    <row r="614">
      <c r="I614" s="111"/>
    </row>
    <row r="615">
      <c r="I615" s="111"/>
    </row>
    <row r="616">
      <c r="I616" s="111"/>
    </row>
    <row r="617">
      <c r="I617" s="111"/>
    </row>
    <row r="618">
      <c r="I618" s="111"/>
    </row>
    <row r="619">
      <c r="I619" s="111"/>
    </row>
    <row r="620">
      <c r="I620" s="111"/>
    </row>
    <row r="621">
      <c r="I621" s="111"/>
    </row>
    <row r="622">
      <c r="I622" s="111"/>
    </row>
    <row r="623">
      <c r="I623" s="111"/>
    </row>
    <row r="624">
      <c r="I624" s="111"/>
    </row>
    <row r="625">
      <c r="I625" s="111"/>
    </row>
    <row r="626">
      <c r="I626" s="111"/>
    </row>
    <row r="627">
      <c r="I627" s="111"/>
    </row>
    <row r="628">
      <c r="I628" s="111"/>
    </row>
    <row r="629">
      <c r="I629" s="111"/>
    </row>
    <row r="630">
      <c r="I630" s="111"/>
    </row>
    <row r="631">
      <c r="I631" s="111"/>
    </row>
    <row r="632">
      <c r="I632" s="111"/>
    </row>
    <row r="633">
      <c r="I633" s="111"/>
    </row>
    <row r="634">
      <c r="I634" s="111"/>
    </row>
    <row r="635">
      <c r="I635" s="111"/>
    </row>
    <row r="636">
      <c r="I636" s="111"/>
    </row>
    <row r="637">
      <c r="I637" s="111"/>
    </row>
    <row r="638">
      <c r="I638" s="111"/>
    </row>
    <row r="639">
      <c r="I639" s="111"/>
    </row>
    <row r="640">
      <c r="I640" s="111"/>
    </row>
    <row r="641">
      <c r="I641" s="111"/>
    </row>
    <row r="642">
      <c r="I642" s="111"/>
    </row>
    <row r="643">
      <c r="I643" s="111"/>
    </row>
    <row r="644">
      <c r="I644" s="111"/>
    </row>
    <row r="645">
      <c r="I645" s="111"/>
    </row>
    <row r="646">
      <c r="I646" s="111"/>
    </row>
    <row r="647">
      <c r="I647" s="111"/>
    </row>
    <row r="648">
      <c r="I648" s="111"/>
    </row>
    <row r="649">
      <c r="I649" s="111"/>
    </row>
    <row r="650">
      <c r="I650" s="111"/>
    </row>
    <row r="651">
      <c r="I651" s="111"/>
    </row>
    <row r="652">
      <c r="I652" s="111"/>
    </row>
    <row r="653">
      <c r="I653" s="111"/>
    </row>
    <row r="654">
      <c r="I654" s="111"/>
    </row>
    <row r="655">
      <c r="I655" s="111"/>
    </row>
    <row r="656">
      <c r="I656" s="111"/>
    </row>
    <row r="657">
      <c r="I657" s="111"/>
    </row>
    <row r="658">
      <c r="I658" s="111"/>
    </row>
    <row r="659">
      <c r="I659" s="111"/>
    </row>
    <row r="660">
      <c r="I660" s="111"/>
    </row>
    <row r="661">
      <c r="I661" s="111"/>
    </row>
    <row r="662">
      <c r="I662" s="111"/>
    </row>
    <row r="663">
      <c r="I663" s="111"/>
    </row>
    <row r="664">
      <c r="I664" s="111"/>
    </row>
    <row r="665">
      <c r="I665" s="111"/>
    </row>
    <row r="666">
      <c r="I666" s="111"/>
    </row>
    <row r="667">
      <c r="I667" s="111"/>
    </row>
    <row r="668">
      <c r="I668" s="111"/>
    </row>
    <row r="669">
      <c r="I669" s="111"/>
    </row>
    <row r="670">
      <c r="I670" s="111"/>
    </row>
    <row r="671">
      <c r="I671" s="111"/>
    </row>
    <row r="672">
      <c r="I672" s="111"/>
    </row>
    <row r="673">
      <c r="I673" s="111"/>
    </row>
    <row r="674">
      <c r="I674" s="111"/>
    </row>
    <row r="675">
      <c r="I675" s="111"/>
    </row>
    <row r="676">
      <c r="I676" s="111"/>
    </row>
    <row r="677">
      <c r="I677" s="111"/>
    </row>
    <row r="678">
      <c r="I678" s="111"/>
    </row>
    <row r="679">
      <c r="I679" s="111"/>
    </row>
    <row r="680">
      <c r="I680" s="111"/>
    </row>
    <row r="681">
      <c r="I681" s="111"/>
    </row>
    <row r="682">
      <c r="I682" s="111"/>
    </row>
    <row r="683">
      <c r="I683" s="111"/>
    </row>
    <row r="684">
      <c r="I684" s="111"/>
    </row>
    <row r="685">
      <c r="I685" s="111"/>
    </row>
    <row r="686">
      <c r="I686" s="111"/>
    </row>
    <row r="687">
      <c r="I687" s="111"/>
    </row>
    <row r="688">
      <c r="I688" s="111"/>
    </row>
    <row r="689">
      <c r="I689" s="111"/>
    </row>
    <row r="690">
      <c r="I690" s="111"/>
    </row>
    <row r="691">
      <c r="I691" s="111"/>
    </row>
    <row r="692">
      <c r="I692" s="111"/>
    </row>
    <row r="693">
      <c r="I693" s="111"/>
    </row>
    <row r="694">
      <c r="I694" s="111"/>
    </row>
    <row r="695">
      <c r="I695" s="111"/>
    </row>
    <row r="696">
      <c r="I696" s="111"/>
    </row>
    <row r="697">
      <c r="I697" s="111"/>
    </row>
    <row r="698">
      <c r="I698" s="111"/>
    </row>
    <row r="699">
      <c r="I699" s="111"/>
    </row>
    <row r="700">
      <c r="I700" s="111"/>
    </row>
    <row r="701">
      <c r="I701" s="111"/>
    </row>
    <row r="702">
      <c r="I702" s="111"/>
    </row>
    <row r="703">
      <c r="I703" s="111"/>
    </row>
    <row r="704">
      <c r="I704" s="111"/>
    </row>
    <row r="705">
      <c r="I705" s="111"/>
    </row>
    <row r="706">
      <c r="I706" s="111"/>
    </row>
    <row r="707">
      <c r="I707" s="111"/>
    </row>
    <row r="708">
      <c r="I708" s="111"/>
    </row>
    <row r="709">
      <c r="I709" s="111"/>
    </row>
    <row r="710">
      <c r="I710" s="111"/>
    </row>
    <row r="711">
      <c r="I711" s="111"/>
    </row>
    <row r="712">
      <c r="I712" s="111"/>
    </row>
    <row r="713">
      <c r="I713" s="111"/>
    </row>
    <row r="714">
      <c r="I714" s="111"/>
    </row>
    <row r="715">
      <c r="I715" s="111"/>
    </row>
    <row r="716">
      <c r="I716" s="111"/>
    </row>
    <row r="717">
      <c r="I717" s="111"/>
    </row>
    <row r="718">
      <c r="I718" s="111"/>
    </row>
    <row r="719">
      <c r="I719" s="111"/>
    </row>
    <row r="720">
      <c r="I720" s="111"/>
    </row>
    <row r="721">
      <c r="I721" s="111"/>
    </row>
    <row r="722">
      <c r="I722" s="111"/>
    </row>
    <row r="723">
      <c r="I723" s="111"/>
    </row>
    <row r="724">
      <c r="I724" s="111"/>
    </row>
    <row r="725">
      <c r="I725" s="111"/>
    </row>
    <row r="726">
      <c r="I726" s="111"/>
    </row>
    <row r="727">
      <c r="I727" s="111"/>
    </row>
    <row r="728">
      <c r="I728" s="111"/>
    </row>
    <row r="729">
      <c r="I729" s="111"/>
    </row>
    <row r="730">
      <c r="I730" s="111"/>
    </row>
    <row r="731">
      <c r="I731" s="111"/>
    </row>
    <row r="732">
      <c r="I732" s="111"/>
    </row>
    <row r="733">
      <c r="I733" s="111"/>
    </row>
    <row r="734">
      <c r="I734" s="111"/>
    </row>
    <row r="735">
      <c r="I735" s="111"/>
    </row>
    <row r="736">
      <c r="I736" s="111"/>
    </row>
    <row r="737">
      <c r="I737" s="111"/>
    </row>
    <row r="738">
      <c r="I738" s="111"/>
    </row>
    <row r="739">
      <c r="I739" s="111"/>
    </row>
    <row r="740">
      <c r="I740" s="111"/>
    </row>
    <row r="741">
      <c r="I741" s="111"/>
    </row>
    <row r="742">
      <c r="I742" s="111"/>
    </row>
    <row r="743">
      <c r="I743" s="111"/>
    </row>
    <row r="744">
      <c r="I744" s="111"/>
    </row>
    <row r="745">
      <c r="I745" s="111"/>
    </row>
    <row r="746">
      <c r="I746" s="111"/>
    </row>
    <row r="747">
      <c r="I747" s="111"/>
    </row>
    <row r="748">
      <c r="I748" s="111"/>
    </row>
    <row r="749">
      <c r="I749" s="111"/>
    </row>
    <row r="750">
      <c r="I750" s="111"/>
    </row>
    <row r="751">
      <c r="I751" s="111"/>
    </row>
    <row r="752">
      <c r="I752" s="111"/>
    </row>
    <row r="753">
      <c r="I753" s="111"/>
    </row>
    <row r="754">
      <c r="I754" s="111"/>
    </row>
    <row r="755">
      <c r="I755" s="111"/>
    </row>
    <row r="756">
      <c r="I756" s="111"/>
    </row>
    <row r="757">
      <c r="I757" s="111"/>
    </row>
    <row r="758">
      <c r="I758" s="111"/>
    </row>
    <row r="759">
      <c r="I759" s="111"/>
    </row>
    <row r="760">
      <c r="I760" s="111"/>
    </row>
    <row r="761">
      <c r="I761" s="111"/>
    </row>
    <row r="762">
      <c r="I762" s="111"/>
    </row>
    <row r="763">
      <c r="I763" s="111"/>
    </row>
    <row r="764">
      <c r="I764" s="111"/>
    </row>
    <row r="765">
      <c r="I765" s="111"/>
    </row>
    <row r="766">
      <c r="I766" s="111"/>
    </row>
    <row r="767">
      <c r="I767" s="111"/>
    </row>
    <row r="768">
      <c r="I768" s="111"/>
    </row>
    <row r="769">
      <c r="I769" s="111"/>
    </row>
    <row r="770">
      <c r="I770" s="111"/>
    </row>
    <row r="771">
      <c r="I771" s="111"/>
    </row>
    <row r="772">
      <c r="I772" s="111"/>
    </row>
    <row r="773">
      <c r="I773" s="111"/>
    </row>
    <row r="774">
      <c r="I774" s="111"/>
    </row>
    <row r="775">
      <c r="I775" s="111"/>
    </row>
    <row r="776">
      <c r="I776" s="111"/>
    </row>
    <row r="777">
      <c r="I777" s="111"/>
    </row>
    <row r="778">
      <c r="I778" s="111"/>
    </row>
    <row r="779">
      <c r="I779" s="111"/>
    </row>
    <row r="780">
      <c r="I780" s="111"/>
    </row>
    <row r="781">
      <c r="I781" s="111"/>
    </row>
    <row r="782">
      <c r="I782" s="111"/>
    </row>
    <row r="783">
      <c r="I783" s="111"/>
    </row>
    <row r="784">
      <c r="I784" s="111"/>
    </row>
    <row r="785">
      <c r="I785" s="111"/>
    </row>
    <row r="786">
      <c r="I786" s="111"/>
    </row>
    <row r="787">
      <c r="I787" s="111"/>
    </row>
    <row r="788">
      <c r="I788" s="111"/>
    </row>
    <row r="789">
      <c r="I789" s="111"/>
    </row>
    <row r="790">
      <c r="I790" s="111"/>
    </row>
    <row r="791">
      <c r="I791" s="111"/>
    </row>
    <row r="792">
      <c r="I792" s="111"/>
    </row>
    <row r="793">
      <c r="I793" s="111"/>
    </row>
    <row r="794">
      <c r="I794" s="111"/>
    </row>
    <row r="795">
      <c r="I795" s="111"/>
    </row>
    <row r="796">
      <c r="I796" s="111"/>
    </row>
    <row r="797">
      <c r="I797" s="111"/>
    </row>
    <row r="798">
      <c r="I798" s="111"/>
    </row>
    <row r="799">
      <c r="I799" s="111"/>
    </row>
    <row r="800">
      <c r="I800" s="111"/>
    </row>
    <row r="801">
      <c r="I801" s="111"/>
    </row>
    <row r="802">
      <c r="I802" s="111"/>
    </row>
    <row r="803">
      <c r="I803" s="111"/>
    </row>
    <row r="804">
      <c r="I804" s="111"/>
    </row>
    <row r="805">
      <c r="I805" s="111"/>
    </row>
    <row r="806">
      <c r="I806" s="111"/>
    </row>
    <row r="807">
      <c r="I807" s="111"/>
    </row>
    <row r="808">
      <c r="I808" s="111"/>
    </row>
    <row r="809">
      <c r="I809" s="111"/>
    </row>
    <row r="810">
      <c r="I810" s="111"/>
    </row>
    <row r="811">
      <c r="I811" s="111"/>
    </row>
    <row r="812">
      <c r="I812" s="111"/>
    </row>
    <row r="813">
      <c r="I813" s="111"/>
    </row>
    <row r="814">
      <c r="I814" s="111"/>
    </row>
    <row r="815">
      <c r="I815" s="111"/>
    </row>
    <row r="816">
      <c r="I816" s="111"/>
    </row>
    <row r="817">
      <c r="I817" s="111"/>
    </row>
    <row r="818">
      <c r="I818" s="111"/>
    </row>
    <row r="819">
      <c r="I819" s="111"/>
    </row>
    <row r="820">
      <c r="I820" s="111"/>
    </row>
    <row r="821">
      <c r="I821" s="111"/>
    </row>
    <row r="822">
      <c r="I822" s="111"/>
    </row>
    <row r="823">
      <c r="I823" s="111"/>
    </row>
    <row r="824">
      <c r="I824" s="111"/>
    </row>
    <row r="825">
      <c r="I825" s="111"/>
    </row>
    <row r="826">
      <c r="I826" s="111"/>
    </row>
    <row r="827">
      <c r="I827" s="111"/>
    </row>
    <row r="828">
      <c r="I828" s="111"/>
    </row>
    <row r="829">
      <c r="I829" s="111"/>
    </row>
    <row r="830">
      <c r="I830" s="111"/>
    </row>
    <row r="831">
      <c r="I831" s="111"/>
    </row>
    <row r="832">
      <c r="I832" s="111"/>
    </row>
    <row r="833">
      <c r="I833" s="111"/>
    </row>
    <row r="834">
      <c r="I834" s="111"/>
    </row>
    <row r="835">
      <c r="I835" s="111"/>
    </row>
    <row r="836">
      <c r="I836" s="111"/>
    </row>
    <row r="837">
      <c r="I837" s="111"/>
    </row>
    <row r="838">
      <c r="I838" s="111"/>
    </row>
    <row r="839">
      <c r="I839" s="111"/>
    </row>
    <row r="840">
      <c r="I840" s="111"/>
    </row>
    <row r="841">
      <c r="I841" s="111"/>
    </row>
    <row r="842">
      <c r="I842" s="111"/>
    </row>
    <row r="843">
      <c r="I843" s="111"/>
    </row>
    <row r="844">
      <c r="I844" s="111"/>
    </row>
    <row r="845">
      <c r="I845" s="111"/>
    </row>
    <row r="846">
      <c r="I846" s="111"/>
    </row>
    <row r="847">
      <c r="I847" s="111"/>
    </row>
    <row r="848">
      <c r="I848" s="111"/>
    </row>
    <row r="849">
      <c r="I849" s="111"/>
    </row>
    <row r="850">
      <c r="I850" s="111"/>
    </row>
    <row r="851">
      <c r="I851" s="111"/>
    </row>
    <row r="852">
      <c r="I852" s="111"/>
    </row>
    <row r="853">
      <c r="I853" s="111"/>
    </row>
    <row r="854">
      <c r="I854" s="111"/>
    </row>
    <row r="855">
      <c r="I855" s="111"/>
    </row>
    <row r="856">
      <c r="I856" s="111"/>
    </row>
    <row r="857">
      <c r="I857" s="111"/>
    </row>
    <row r="858">
      <c r="I858" s="111"/>
    </row>
    <row r="859">
      <c r="I859" s="111"/>
    </row>
    <row r="860">
      <c r="I860" s="111"/>
    </row>
    <row r="861">
      <c r="I861" s="111"/>
    </row>
    <row r="862">
      <c r="I862" s="111"/>
    </row>
    <row r="863">
      <c r="I863" s="111"/>
    </row>
    <row r="864">
      <c r="I864" s="111"/>
    </row>
    <row r="865">
      <c r="I865" s="111"/>
    </row>
    <row r="866">
      <c r="I866" s="111"/>
    </row>
    <row r="867">
      <c r="I867" s="111"/>
    </row>
    <row r="868">
      <c r="I868" s="111"/>
    </row>
    <row r="869">
      <c r="I869" s="111"/>
    </row>
    <row r="870">
      <c r="I870" s="111"/>
    </row>
    <row r="871">
      <c r="I871" s="111"/>
    </row>
    <row r="872">
      <c r="I872" s="111"/>
    </row>
    <row r="873">
      <c r="I873" s="111"/>
    </row>
    <row r="874">
      <c r="I874" s="111"/>
    </row>
    <row r="875">
      <c r="I875" s="111"/>
    </row>
    <row r="876">
      <c r="I876" s="111"/>
    </row>
    <row r="877">
      <c r="I877" s="111"/>
    </row>
    <row r="878">
      <c r="I878" s="111"/>
    </row>
    <row r="879">
      <c r="I879" s="111"/>
    </row>
    <row r="880">
      <c r="I880" s="111"/>
    </row>
    <row r="881">
      <c r="I881" s="111"/>
    </row>
    <row r="882">
      <c r="I882" s="111"/>
    </row>
    <row r="883">
      <c r="I883" s="111"/>
    </row>
    <row r="884">
      <c r="I884" s="111"/>
    </row>
    <row r="885">
      <c r="I885" s="111"/>
    </row>
    <row r="886">
      <c r="I886" s="111"/>
    </row>
    <row r="887">
      <c r="I887" s="111"/>
    </row>
    <row r="888">
      <c r="I888" s="111"/>
    </row>
    <row r="889">
      <c r="I889" s="111"/>
    </row>
    <row r="890">
      <c r="I890" s="111"/>
    </row>
    <row r="891">
      <c r="I891" s="111"/>
    </row>
    <row r="892">
      <c r="I892" s="111"/>
    </row>
    <row r="893">
      <c r="I893" s="111"/>
    </row>
    <row r="894">
      <c r="I894" s="111"/>
    </row>
    <row r="895">
      <c r="I895" s="111"/>
    </row>
    <row r="896">
      <c r="I896" s="111"/>
    </row>
    <row r="897">
      <c r="I897" s="111"/>
    </row>
    <row r="898">
      <c r="I898" s="111"/>
    </row>
    <row r="899">
      <c r="I899" s="111"/>
    </row>
  </sheetData>
  <autoFilter ref="$A$1:$Q$265"/>
  <conditionalFormatting sqref="M1 M24:M261">
    <cfRule type="cellIs" dxfId="0" priority="1" operator="between">
      <formula>0</formula>
      <formula>5</formula>
    </cfRule>
  </conditionalFormatting>
  <conditionalFormatting sqref="M23">
    <cfRule type="cellIs" dxfId="0" priority="2" operator="between">
      <formula>0</formula>
      <formula>5</formula>
    </cfRule>
  </conditionalFormatting>
  <conditionalFormatting sqref="M18:M22">
    <cfRule type="cellIs" dxfId="0" priority="3" operator="between">
      <formula>0</formula>
      <formula>5</formula>
    </cfRule>
  </conditionalFormatting>
  <conditionalFormatting sqref="M15:M17">
    <cfRule type="cellIs" dxfId="0" priority="4" operator="between">
      <formula>0</formula>
      <formula>5</formula>
    </cfRule>
  </conditionalFormatting>
  <conditionalFormatting sqref="M13:M14">
    <cfRule type="cellIs" dxfId="0" priority="5" operator="between">
      <formula>0</formula>
      <formula>5</formula>
    </cfRule>
  </conditionalFormatting>
  <conditionalFormatting sqref="M11:M12">
    <cfRule type="cellIs" dxfId="0" priority="6" operator="between">
      <formula>0</formula>
      <formula>5</formula>
    </cfRule>
  </conditionalFormatting>
  <conditionalFormatting sqref="M10">
    <cfRule type="cellIs" dxfId="0" priority="7" operator="between">
      <formula>0</formula>
      <formula>5</formula>
    </cfRule>
  </conditionalFormatting>
  <conditionalFormatting sqref="M9">
    <cfRule type="cellIs" dxfId="0" priority="8" operator="between">
      <formula>0</formula>
      <formula>5</formula>
    </cfRule>
  </conditionalFormatting>
  <conditionalFormatting sqref="M7:M8">
    <cfRule type="cellIs" dxfId="0" priority="9" operator="between">
      <formula>0</formula>
      <formula>5</formula>
    </cfRule>
  </conditionalFormatting>
  <conditionalFormatting sqref="M6">
    <cfRule type="cellIs" dxfId="0" priority="10" operator="between">
      <formula>0</formula>
      <formula>5</formula>
    </cfRule>
  </conditionalFormatting>
  <conditionalFormatting sqref="M5">
    <cfRule type="cellIs" dxfId="0" priority="11" operator="between">
      <formula>0</formula>
      <formula>5</formula>
    </cfRule>
  </conditionalFormatting>
  <dataValidations>
    <dataValidation type="list" allowBlank="1" showErrorMessage="1" sqref="F2:G265">
      <formula1>"Indoor,Outdoor,Restaurant"</formula1>
    </dataValidation>
    <dataValidation type="list" allowBlank="1" showErrorMessage="1" sqref="H2:H265">
      <formula1>"Table Top,Table Base,Aluminium Set,Plastic Chair,Aluminium Chair,Metal Chair,Wood + Fabric Chair,Rattan Set,Shoe Cabinet,Umbrella,Gazibo,Dining Table,Office Chair,Bar Tables,High Chair,Dining Chair,Swings,Mixed items"</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fitToPage="1"/>
  </sheetPr>
  <sheetViews>
    <sheetView workbookViewId="0"/>
  </sheetViews>
  <sheetFormatPr customHeight="1" defaultColWidth="12.63" defaultRowHeight="15.75"/>
  <cols>
    <col customWidth="1" min="1" max="1" width="42.38"/>
    <col customWidth="1" min="2" max="2" width="9.88"/>
    <col customWidth="1" min="3" max="3" width="26.25"/>
  </cols>
  <sheetData>
    <row r="1">
      <c r="A1" s="1" t="s">
        <v>0</v>
      </c>
      <c r="B1" s="2" t="s">
        <v>1</v>
      </c>
      <c r="C1" s="2" t="s">
        <v>4</v>
      </c>
    </row>
    <row r="2">
      <c r="A2" s="13" t="s">
        <v>2165</v>
      </c>
      <c r="B2" s="6">
        <v>1000.0</v>
      </c>
      <c r="C2" s="13" t="s">
        <v>2166</v>
      </c>
    </row>
    <row r="3">
      <c r="A3" s="5" t="s">
        <v>16</v>
      </c>
      <c r="B3" s="6">
        <v>1001.0</v>
      </c>
      <c r="C3" s="5" t="s">
        <v>17</v>
      </c>
    </row>
    <row r="4">
      <c r="A4" s="13" t="s">
        <v>20</v>
      </c>
      <c r="B4" s="6">
        <v>1002.0</v>
      </c>
      <c r="C4" s="13" t="s">
        <v>21</v>
      </c>
    </row>
    <row r="5">
      <c r="A5" s="5" t="s">
        <v>16</v>
      </c>
      <c r="B5" s="6">
        <v>1003.0</v>
      </c>
      <c r="C5" s="5" t="s">
        <v>23</v>
      </c>
    </row>
    <row r="6">
      <c r="A6" s="13" t="s">
        <v>16</v>
      </c>
      <c r="B6" s="6">
        <v>1004.0</v>
      </c>
      <c r="C6" s="13" t="s">
        <v>24</v>
      </c>
    </row>
    <row r="7">
      <c r="A7" s="5" t="s">
        <v>2167</v>
      </c>
      <c r="B7" s="6">
        <v>1005.0</v>
      </c>
      <c r="C7" s="5" t="s">
        <v>2168</v>
      </c>
    </row>
    <row r="8">
      <c r="A8" s="13" t="s">
        <v>25</v>
      </c>
      <c r="B8" s="6">
        <v>1006.0</v>
      </c>
      <c r="C8" s="13" t="s">
        <v>1474</v>
      </c>
    </row>
    <row r="9">
      <c r="A9" s="5" t="s">
        <v>25</v>
      </c>
      <c r="B9" s="6">
        <v>1007.0</v>
      </c>
      <c r="C9" s="5" t="s">
        <v>26</v>
      </c>
    </row>
    <row r="10">
      <c r="A10" s="13" t="s">
        <v>1476</v>
      </c>
      <c r="B10" s="6">
        <v>1008.0</v>
      </c>
      <c r="C10" s="13" t="s">
        <v>1477</v>
      </c>
    </row>
    <row r="11">
      <c r="A11" s="5" t="s">
        <v>1476</v>
      </c>
      <c r="B11" s="6">
        <v>1009.0</v>
      </c>
      <c r="C11" s="5" t="s">
        <v>1479</v>
      </c>
    </row>
    <row r="12">
      <c r="A12" s="13" t="s">
        <v>1476</v>
      </c>
      <c r="B12" s="6">
        <v>1010.0</v>
      </c>
      <c r="C12" s="13" t="s">
        <v>2169</v>
      </c>
    </row>
    <row r="13">
      <c r="A13" s="5" t="s">
        <v>1476</v>
      </c>
      <c r="B13" s="6">
        <v>1011.0</v>
      </c>
      <c r="C13" s="5" t="s">
        <v>2170</v>
      </c>
    </row>
    <row r="14">
      <c r="A14" s="13" t="s">
        <v>1476</v>
      </c>
      <c r="B14" s="6">
        <v>1012.0</v>
      </c>
      <c r="C14" s="32" t="s">
        <v>2171</v>
      </c>
    </row>
    <row r="15">
      <c r="A15" s="5" t="s">
        <v>31</v>
      </c>
      <c r="B15" s="6">
        <v>1013.0</v>
      </c>
      <c r="C15" s="5" t="s">
        <v>32</v>
      </c>
    </row>
    <row r="16">
      <c r="A16" s="13" t="s">
        <v>49</v>
      </c>
      <c r="B16" s="6">
        <v>1014.0</v>
      </c>
      <c r="C16" s="13" t="s">
        <v>1481</v>
      </c>
    </row>
    <row r="17">
      <c r="A17" s="5" t="s">
        <v>34</v>
      </c>
      <c r="B17" s="6">
        <v>1015.0</v>
      </c>
      <c r="C17" s="5" t="s">
        <v>35</v>
      </c>
    </row>
    <row r="18">
      <c r="A18" s="13" t="s">
        <v>2172</v>
      </c>
      <c r="B18" s="6">
        <v>1016.0</v>
      </c>
      <c r="C18" s="13" t="s">
        <v>2173</v>
      </c>
    </row>
    <row r="19">
      <c r="A19" s="5" t="s">
        <v>2174</v>
      </c>
      <c r="B19" s="6">
        <v>1017.0</v>
      </c>
      <c r="C19" s="5" t="s">
        <v>2175</v>
      </c>
    </row>
    <row r="20">
      <c r="A20" s="5" t="s">
        <v>37</v>
      </c>
      <c r="B20" s="6">
        <v>1018.0</v>
      </c>
      <c r="C20" s="5" t="s">
        <v>38</v>
      </c>
    </row>
    <row r="21">
      <c r="A21" s="13" t="s">
        <v>41</v>
      </c>
      <c r="B21" s="6">
        <v>1019.0</v>
      </c>
      <c r="C21" s="13" t="s">
        <v>42</v>
      </c>
    </row>
    <row r="22">
      <c r="A22" s="5" t="s">
        <v>37</v>
      </c>
      <c r="B22" s="6">
        <v>1020.0</v>
      </c>
      <c r="C22" s="5" t="s">
        <v>2176</v>
      </c>
    </row>
    <row r="23">
      <c r="A23" s="5" t="s">
        <v>45</v>
      </c>
      <c r="B23" s="6">
        <v>1021.0</v>
      </c>
      <c r="C23" s="5" t="s">
        <v>46</v>
      </c>
    </row>
    <row r="24">
      <c r="A24" s="13" t="s">
        <v>49</v>
      </c>
      <c r="B24" s="6">
        <v>1022.0</v>
      </c>
      <c r="C24" s="13" t="s">
        <v>50</v>
      </c>
    </row>
    <row r="25">
      <c r="A25" s="5" t="s">
        <v>2177</v>
      </c>
      <c r="B25" s="6">
        <v>1023.0</v>
      </c>
      <c r="C25" s="5" t="s">
        <v>2178</v>
      </c>
    </row>
    <row r="26">
      <c r="A26" s="13" t="s">
        <v>52</v>
      </c>
      <c r="B26" s="6">
        <v>1024.0</v>
      </c>
      <c r="C26" s="13" t="s">
        <v>53</v>
      </c>
    </row>
    <row r="27">
      <c r="A27" s="5" t="s">
        <v>37</v>
      </c>
      <c r="B27" s="6">
        <v>1025.0</v>
      </c>
      <c r="C27" s="5" t="s">
        <v>2179</v>
      </c>
    </row>
    <row r="28">
      <c r="A28" s="13" t="s">
        <v>49</v>
      </c>
      <c r="B28" s="6">
        <v>1026.0</v>
      </c>
      <c r="C28" s="13" t="s">
        <v>55</v>
      </c>
    </row>
    <row r="29">
      <c r="A29" s="5" t="s">
        <v>1482</v>
      </c>
      <c r="B29" s="6">
        <v>1027.0</v>
      </c>
      <c r="C29" s="5" t="s">
        <v>1483</v>
      </c>
    </row>
    <row r="30">
      <c r="A30" s="13" t="s">
        <v>56</v>
      </c>
      <c r="B30" s="6">
        <v>1028.0</v>
      </c>
      <c r="C30" s="13" t="s">
        <v>57</v>
      </c>
    </row>
    <row r="31">
      <c r="A31" s="5" t="s">
        <v>37</v>
      </c>
      <c r="B31" s="6">
        <v>1029.0</v>
      </c>
      <c r="C31" s="5" t="s">
        <v>1486</v>
      </c>
    </row>
    <row r="32">
      <c r="A32" s="13" t="s">
        <v>37</v>
      </c>
      <c r="B32" s="6">
        <v>1030.0</v>
      </c>
      <c r="C32" s="13" t="s">
        <v>1487</v>
      </c>
    </row>
    <row r="33">
      <c r="A33" s="5" t="s">
        <v>37</v>
      </c>
      <c r="B33" s="6">
        <v>1031.0</v>
      </c>
      <c r="C33" s="5" t="s">
        <v>59</v>
      </c>
    </row>
    <row r="34">
      <c r="A34" s="13" t="s">
        <v>37</v>
      </c>
      <c r="B34" s="6">
        <v>1032.0</v>
      </c>
      <c r="C34" s="13" t="s">
        <v>1489</v>
      </c>
    </row>
    <row r="35">
      <c r="A35" s="5" t="s">
        <v>2180</v>
      </c>
      <c r="B35" s="6">
        <v>1033.0</v>
      </c>
      <c r="C35" s="5" t="s">
        <v>2181</v>
      </c>
    </row>
    <row r="36">
      <c r="A36" s="13" t="s">
        <v>37</v>
      </c>
      <c r="B36" s="6">
        <v>1034.0</v>
      </c>
      <c r="C36" s="13" t="s">
        <v>1490</v>
      </c>
    </row>
    <row r="37">
      <c r="A37" s="5" t="s">
        <v>60</v>
      </c>
      <c r="B37" s="6">
        <v>1035.0</v>
      </c>
      <c r="C37" s="5" t="s">
        <v>61</v>
      </c>
    </row>
    <row r="38">
      <c r="A38" s="13" t="s">
        <v>64</v>
      </c>
      <c r="B38" s="6">
        <v>1036.0</v>
      </c>
      <c r="C38" s="13" t="s">
        <v>65</v>
      </c>
    </row>
    <row r="39">
      <c r="A39" s="5" t="s">
        <v>67</v>
      </c>
      <c r="B39" s="6">
        <v>1037.0</v>
      </c>
      <c r="C39" s="5" t="s">
        <v>68</v>
      </c>
    </row>
    <row r="40">
      <c r="A40" s="5" t="s">
        <v>37</v>
      </c>
      <c r="B40" s="6">
        <v>1038.0</v>
      </c>
      <c r="C40" s="5" t="s">
        <v>1491</v>
      </c>
    </row>
    <row r="41">
      <c r="A41" s="13" t="s">
        <v>37</v>
      </c>
      <c r="B41" s="6">
        <v>1039.0</v>
      </c>
      <c r="C41" s="13" t="s">
        <v>1492</v>
      </c>
    </row>
    <row r="42">
      <c r="A42" s="5" t="s">
        <v>2182</v>
      </c>
      <c r="B42" s="6">
        <v>1040.0</v>
      </c>
      <c r="C42" s="5" t="s">
        <v>2183</v>
      </c>
    </row>
    <row r="43">
      <c r="A43" s="13" t="s">
        <v>2184</v>
      </c>
      <c r="B43" s="6">
        <v>1041.0</v>
      </c>
      <c r="C43" s="13" t="s">
        <v>2185</v>
      </c>
    </row>
    <row r="44">
      <c r="A44" s="5" t="s">
        <v>2186</v>
      </c>
      <c r="B44" s="6">
        <v>1042.0</v>
      </c>
      <c r="C44" s="5" t="s">
        <v>2187</v>
      </c>
    </row>
    <row r="45">
      <c r="A45" s="5" t="s">
        <v>37</v>
      </c>
      <c r="B45" s="6">
        <v>1043.0</v>
      </c>
      <c r="C45" s="5" t="s">
        <v>2188</v>
      </c>
    </row>
    <row r="46">
      <c r="A46" s="13" t="s">
        <v>37</v>
      </c>
      <c r="B46" s="6">
        <v>1044.0</v>
      </c>
      <c r="C46" s="13" t="s">
        <v>2189</v>
      </c>
    </row>
    <row r="47">
      <c r="A47" s="5" t="s">
        <v>2186</v>
      </c>
      <c r="B47" s="6">
        <v>1045.0</v>
      </c>
      <c r="C47" s="5" t="s">
        <v>2190</v>
      </c>
    </row>
    <row r="48">
      <c r="A48" s="13" t="s">
        <v>1493</v>
      </c>
      <c r="B48" s="6">
        <v>1046.0</v>
      </c>
      <c r="C48" s="13" t="s">
        <v>1494</v>
      </c>
    </row>
    <row r="49">
      <c r="A49" s="5" t="s">
        <v>1496</v>
      </c>
      <c r="B49" s="6">
        <v>1047.0</v>
      </c>
      <c r="C49" s="5" t="s">
        <v>1497</v>
      </c>
    </row>
    <row r="50">
      <c r="A50" s="13" t="s">
        <v>70</v>
      </c>
      <c r="B50" s="6">
        <v>1048.0</v>
      </c>
      <c r="C50" s="13" t="s">
        <v>71</v>
      </c>
    </row>
    <row r="51">
      <c r="A51" s="13" t="s">
        <v>1500</v>
      </c>
      <c r="B51" s="6">
        <v>1049.0</v>
      </c>
      <c r="C51" s="13" t="s">
        <v>1501</v>
      </c>
    </row>
    <row r="52">
      <c r="A52" s="13" t="s">
        <v>1503</v>
      </c>
      <c r="B52" s="6">
        <v>1050.0</v>
      </c>
      <c r="C52" s="13" t="s">
        <v>1504</v>
      </c>
    </row>
    <row r="53">
      <c r="A53" s="13" t="s">
        <v>70</v>
      </c>
      <c r="B53" s="6">
        <v>1051.0</v>
      </c>
      <c r="C53" s="13" t="s">
        <v>1506</v>
      </c>
    </row>
    <row r="54">
      <c r="A54" s="5" t="s">
        <v>74</v>
      </c>
      <c r="B54" s="6">
        <v>1052.0</v>
      </c>
      <c r="C54" s="5" t="s">
        <v>75</v>
      </c>
    </row>
    <row r="55">
      <c r="A55" s="13" t="s">
        <v>77</v>
      </c>
      <c r="B55" s="6">
        <v>1053.0</v>
      </c>
      <c r="C55" s="13" t="s">
        <v>78</v>
      </c>
    </row>
    <row r="56">
      <c r="A56" s="5" t="s">
        <v>1507</v>
      </c>
      <c r="B56" s="6">
        <v>1054.0</v>
      </c>
      <c r="C56" s="5" t="s">
        <v>1508</v>
      </c>
    </row>
    <row r="57">
      <c r="A57" s="13" t="s">
        <v>37</v>
      </c>
      <c r="B57" s="6">
        <v>1055.0</v>
      </c>
      <c r="C57" s="13" t="s">
        <v>1510</v>
      </c>
    </row>
    <row r="58">
      <c r="A58" s="5" t="s">
        <v>1511</v>
      </c>
      <c r="B58" s="6">
        <v>1056.0</v>
      </c>
      <c r="C58" s="5" t="s">
        <v>1512</v>
      </c>
    </row>
    <row r="59">
      <c r="A59" s="13" t="s">
        <v>113</v>
      </c>
      <c r="B59" s="6">
        <v>1057.0</v>
      </c>
      <c r="C59" s="13" t="s">
        <v>1514</v>
      </c>
    </row>
    <row r="60">
      <c r="A60" s="5" t="s">
        <v>1511</v>
      </c>
      <c r="B60" s="6">
        <v>1058.0</v>
      </c>
      <c r="C60" s="5" t="s">
        <v>1515</v>
      </c>
    </row>
    <row r="61">
      <c r="A61" s="13" t="s">
        <v>37</v>
      </c>
      <c r="B61" s="6">
        <v>1059.0</v>
      </c>
      <c r="C61" s="13" t="s">
        <v>2191</v>
      </c>
    </row>
    <row r="62">
      <c r="A62" s="5" t="s">
        <v>37</v>
      </c>
      <c r="B62" s="6">
        <v>1060.0</v>
      </c>
      <c r="C62" s="5" t="s">
        <v>1517</v>
      </c>
    </row>
    <row r="63">
      <c r="A63" s="5" t="s">
        <v>80</v>
      </c>
      <c r="B63" s="6">
        <v>1061.0</v>
      </c>
      <c r="C63" s="5" t="s">
        <v>81</v>
      </c>
    </row>
    <row r="64">
      <c r="A64" s="13" t="s">
        <v>83</v>
      </c>
      <c r="B64" s="6">
        <v>1062.0</v>
      </c>
      <c r="C64" s="13" t="s">
        <v>84</v>
      </c>
    </row>
    <row r="65">
      <c r="A65" s="5" t="s">
        <v>1190</v>
      </c>
      <c r="B65" s="6">
        <v>1063.0</v>
      </c>
      <c r="C65" s="5" t="s">
        <v>1518</v>
      </c>
    </row>
    <row r="66">
      <c r="A66" s="13" t="s">
        <v>2192</v>
      </c>
      <c r="B66" s="6">
        <v>1064.0</v>
      </c>
      <c r="C66" s="13" t="s">
        <v>2193</v>
      </c>
    </row>
    <row r="67">
      <c r="A67" s="5" t="s">
        <v>1190</v>
      </c>
      <c r="B67" s="6">
        <v>1065.0</v>
      </c>
      <c r="C67" s="5" t="s">
        <v>1520</v>
      </c>
    </row>
    <row r="68">
      <c r="A68" s="13" t="s">
        <v>1190</v>
      </c>
      <c r="B68" s="6">
        <v>1066.0</v>
      </c>
      <c r="C68" s="13" t="s">
        <v>1521</v>
      </c>
    </row>
    <row r="69">
      <c r="A69" s="5" t="s">
        <v>1190</v>
      </c>
      <c r="B69" s="6">
        <v>1067.0</v>
      </c>
      <c r="C69" s="5" t="s">
        <v>1522</v>
      </c>
    </row>
    <row r="70">
      <c r="A70" s="13" t="s">
        <v>86</v>
      </c>
      <c r="B70" s="6">
        <v>1068.0</v>
      </c>
      <c r="C70" s="13" t="s">
        <v>87</v>
      </c>
    </row>
    <row r="71">
      <c r="A71" s="5" t="s">
        <v>37</v>
      </c>
      <c r="B71" s="6">
        <v>1069.0</v>
      </c>
      <c r="C71" s="5" t="s">
        <v>2194</v>
      </c>
    </row>
    <row r="72">
      <c r="A72" s="5" t="s">
        <v>37</v>
      </c>
      <c r="B72" s="6">
        <v>1070.0</v>
      </c>
      <c r="C72" s="5" t="s">
        <v>1524</v>
      </c>
    </row>
    <row r="73">
      <c r="A73" s="5" t="s">
        <v>1525</v>
      </c>
      <c r="B73" s="6">
        <v>1071.0</v>
      </c>
      <c r="C73" s="5" t="s">
        <v>1526</v>
      </c>
    </row>
    <row r="74">
      <c r="A74" s="13" t="s">
        <v>2195</v>
      </c>
      <c r="B74" s="6">
        <v>1072.0</v>
      </c>
      <c r="C74" s="13" t="s">
        <v>2196</v>
      </c>
    </row>
    <row r="75">
      <c r="A75" s="5" t="s">
        <v>1529</v>
      </c>
      <c r="B75" s="6">
        <v>1073.0</v>
      </c>
      <c r="C75" s="5" t="s">
        <v>1530</v>
      </c>
    </row>
    <row r="76">
      <c r="A76" s="13" t="s">
        <v>2197</v>
      </c>
      <c r="B76" s="6">
        <v>1074.0</v>
      </c>
      <c r="C76" s="13" t="s">
        <v>2198</v>
      </c>
    </row>
    <row r="77">
      <c r="A77" s="13" t="s">
        <v>89</v>
      </c>
      <c r="B77" s="6">
        <v>1075.0</v>
      </c>
      <c r="C77" s="13" t="s">
        <v>90</v>
      </c>
    </row>
    <row r="78">
      <c r="A78" s="5" t="s">
        <v>92</v>
      </c>
      <c r="B78" s="6">
        <v>1076.0</v>
      </c>
      <c r="C78" s="5" t="s">
        <v>93</v>
      </c>
    </row>
    <row r="79">
      <c r="A79" s="13" t="s">
        <v>92</v>
      </c>
      <c r="B79" s="6">
        <v>1077.0</v>
      </c>
      <c r="C79" s="13" t="s">
        <v>95</v>
      </c>
    </row>
    <row r="80">
      <c r="A80" s="13" t="s">
        <v>37</v>
      </c>
      <c r="B80" s="6">
        <v>1078.0</v>
      </c>
      <c r="C80" s="13" t="s">
        <v>1532</v>
      </c>
    </row>
    <row r="81">
      <c r="A81" s="5" t="s">
        <v>96</v>
      </c>
      <c r="B81" s="6">
        <v>1079.0</v>
      </c>
      <c r="C81" s="5" t="s">
        <v>97</v>
      </c>
    </row>
    <row r="82">
      <c r="A82" s="5" t="s">
        <v>2199</v>
      </c>
      <c r="B82" s="6">
        <v>1080.0</v>
      </c>
      <c r="C82" s="34" t="s">
        <v>2200</v>
      </c>
    </row>
    <row r="83">
      <c r="A83" s="13" t="s">
        <v>1533</v>
      </c>
      <c r="B83" s="6">
        <v>1081.0</v>
      </c>
      <c r="C83" s="13" t="s">
        <v>1534</v>
      </c>
    </row>
    <row r="84">
      <c r="A84" s="5" t="s">
        <v>100</v>
      </c>
      <c r="B84" s="6">
        <v>1082.0</v>
      </c>
      <c r="C84" s="33" t="s">
        <v>101</v>
      </c>
    </row>
    <row r="85">
      <c r="A85" s="13" t="s">
        <v>1536</v>
      </c>
      <c r="B85" s="6">
        <v>1083.0</v>
      </c>
      <c r="C85" s="13" t="s">
        <v>1537</v>
      </c>
    </row>
    <row r="86">
      <c r="A86" s="5" t="s">
        <v>1539</v>
      </c>
      <c r="B86" s="6">
        <v>1084.0</v>
      </c>
      <c r="C86" s="33" t="s">
        <v>1540</v>
      </c>
    </row>
    <row r="87">
      <c r="A87" s="5" t="s">
        <v>2201</v>
      </c>
      <c r="B87" s="6">
        <v>1085.0</v>
      </c>
      <c r="C87" s="5" t="s">
        <v>1543</v>
      </c>
    </row>
    <row r="88">
      <c r="A88" s="13" t="s">
        <v>2202</v>
      </c>
      <c r="B88" s="6">
        <v>1086.0</v>
      </c>
      <c r="C88" s="13" t="s">
        <v>2203</v>
      </c>
    </row>
    <row r="89">
      <c r="A89" s="5" t="s">
        <v>2204</v>
      </c>
      <c r="B89" s="6">
        <v>1087.0</v>
      </c>
      <c r="C89" s="5" t="s">
        <v>2205</v>
      </c>
    </row>
    <row r="90">
      <c r="A90" s="13" t="s">
        <v>103</v>
      </c>
      <c r="B90" s="6">
        <v>1088.0</v>
      </c>
      <c r="C90" s="13" t="s">
        <v>104</v>
      </c>
    </row>
    <row r="91">
      <c r="A91" s="5" t="s">
        <v>103</v>
      </c>
      <c r="B91" s="6">
        <v>1089.0</v>
      </c>
      <c r="C91" s="5" t="s">
        <v>106</v>
      </c>
    </row>
    <row r="92">
      <c r="A92" s="13" t="s">
        <v>103</v>
      </c>
      <c r="B92" s="6">
        <v>1090.0</v>
      </c>
      <c r="C92" s="13" t="s">
        <v>107</v>
      </c>
    </row>
    <row r="93">
      <c r="A93" s="5" t="s">
        <v>103</v>
      </c>
      <c r="B93" s="6">
        <v>1091.0</v>
      </c>
      <c r="C93" s="5" t="s">
        <v>108</v>
      </c>
    </row>
    <row r="94">
      <c r="A94" s="13" t="s">
        <v>103</v>
      </c>
      <c r="B94" s="6">
        <v>1092.0</v>
      </c>
      <c r="C94" s="13" t="s">
        <v>109</v>
      </c>
    </row>
    <row r="95">
      <c r="A95" s="13" t="s">
        <v>110</v>
      </c>
      <c r="B95" s="6">
        <v>1093.0</v>
      </c>
      <c r="C95" s="13" t="s">
        <v>111</v>
      </c>
    </row>
    <row r="96">
      <c r="A96" s="5" t="s">
        <v>2206</v>
      </c>
      <c r="B96" s="6">
        <v>1094.0</v>
      </c>
      <c r="C96" s="5" t="s">
        <v>2207</v>
      </c>
    </row>
    <row r="97">
      <c r="A97" s="13" t="s">
        <v>37</v>
      </c>
      <c r="B97" s="6">
        <v>1095.0</v>
      </c>
      <c r="C97" s="13" t="s">
        <v>1546</v>
      </c>
    </row>
    <row r="98">
      <c r="A98" s="13" t="s">
        <v>2208</v>
      </c>
      <c r="B98" s="6">
        <v>1096.0</v>
      </c>
      <c r="C98" s="32" t="s">
        <v>2209</v>
      </c>
    </row>
    <row r="99">
      <c r="A99" s="5" t="s">
        <v>1547</v>
      </c>
      <c r="B99" s="6">
        <v>1097.0</v>
      </c>
      <c r="C99" s="5" t="s">
        <v>1548</v>
      </c>
    </row>
    <row r="100">
      <c r="A100" s="13" t="s">
        <v>2210</v>
      </c>
      <c r="B100" s="6">
        <v>1098.0</v>
      </c>
      <c r="C100" s="13" t="s">
        <v>2211</v>
      </c>
    </row>
    <row r="101">
      <c r="A101" s="5" t="s">
        <v>2210</v>
      </c>
      <c r="B101" s="6">
        <v>1099.0</v>
      </c>
      <c r="C101" s="5" t="s">
        <v>2212</v>
      </c>
    </row>
    <row r="102">
      <c r="A102" s="13" t="s">
        <v>113</v>
      </c>
      <c r="B102" s="6">
        <v>1100.0</v>
      </c>
      <c r="C102" s="13" t="s">
        <v>114</v>
      </c>
    </row>
    <row r="103">
      <c r="A103" s="13" t="s">
        <v>2213</v>
      </c>
      <c r="B103" s="6">
        <v>1101.0</v>
      </c>
      <c r="C103" s="13" t="s">
        <v>2214</v>
      </c>
    </row>
    <row r="104">
      <c r="A104" s="13" t="s">
        <v>116</v>
      </c>
      <c r="B104" s="6">
        <v>1102.0</v>
      </c>
      <c r="C104" s="13" t="s">
        <v>117</v>
      </c>
    </row>
    <row r="105">
      <c r="A105" s="5" t="s">
        <v>2215</v>
      </c>
      <c r="B105" s="6">
        <v>1103.0</v>
      </c>
      <c r="C105" s="5" t="s">
        <v>2216</v>
      </c>
    </row>
    <row r="106">
      <c r="A106" s="5" t="s">
        <v>2215</v>
      </c>
      <c r="B106" s="6">
        <v>1104.0</v>
      </c>
      <c r="C106" s="5" t="s">
        <v>2217</v>
      </c>
    </row>
    <row r="107">
      <c r="A107" s="5" t="s">
        <v>2218</v>
      </c>
      <c r="B107" s="6">
        <v>1105.0</v>
      </c>
      <c r="C107" s="5" t="s">
        <v>2219</v>
      </c>
    </row>
    <row r="108">
      <c r="A108" s="13" t="s">
        <v>2218</v>
      </c>
      <c r="B108" s="6">
        <v>1106.0</v>
      </c>
      <c r="C108" s="13" t="s">
        <v>2220</v>
      </c>
    </row>
    <row r="109">
      <c r="A109" s="5" t="s">
        <v>2221</v>
      </c>
      <c r="B109" s="6">
        <v>1107.0</v>
      </c>
      <c r="C109" s="5" t="s">
        <v>2222</v>
      </c>
    </row>
    <row r="110">
      <c r="A110" s="13" t="s">
        <v>2223</v>
      </c>
      <c r="B110" s="6">
        <v>1108.0</v>
      </c>
      <c r="C110" s="13" t="s">
        <v>2224</v>
      </c>
    </row>
    <row r="111">
      <c r="A111" s="13" t="s">
        <v>1551</v>
      </c>
      <c r="B111" s="6">
        <v>1109.0</v>
      </c>
      <c r="C111" s="13" t="s">
        <v>1552</v>
      </c>
    </row>
    <row r="112">
      <c r="A112" s="5" t="s">
        <v>2225</v>
      </c>
      <c r="B112" s="6">
        <v>1110.0</v>
      </c>
      <c r="C112" s="5" t="s">
        <v>2226</v>
      </c>
    </row>
    <row r="113">
      <c r="A113" s="13" t="s">
        <v>2227</v>
      </c>
      <c r="B113" s="6">
        <v>1111.0</v>
      </c>
      <c r="C113" s="13" t="s">
        <v>2228</v>
      </c>
    </row>
    <row r="114">
      <c r="A114" s="5" t="s">
        <v>2229</v>
      </c>
      <c r="B114" s="6">
        <v>1112.0</v>
      </c>
      <c r="C114" s="5" t="s">
        <v>2230</v>
      </c>
    </row>
    <row r="115">
      <c r="A115" s="13" t="s">
        <v>2231</v>
      </c>
      <c r="B115" s="6">
        <v>1113.0</v>
      </c>
      <c r="C115" s="13" t="s">
        <v>2232</v>
      </c>
    </row>
    <row r="116">
      <c r="A116" s="13" t="s">
        <v>2233</v>
      </c>
      <c r="B116" s="6">
        <v>1114.0</v>
      </c>
      <c r="C116" s="32" t="s">
        <v>2234</v>
      </c>
    </row>
    <row r="117">
      <c r="A117" s="5" t="s">
        <v>2235</v>
      </c>
      <c r="B117" s="6">
        <v>1115.0</v>
      </c>
      <c r="C117" s="34" t="s">
        <v>2236</v>
      </c>
    </row>
    <row r="118">
      <c r="A118" s="13" t="s">
        <v>2235</v>
      </c>
      <c r="B118" s="6">
        <v>1116.0</v>
      </c>
      <c r="C118" s="13" t="s">
        <v>2237</v>
      </c>
    </row>
    <row r="119">
      <c r="A119" s="5" t="s">
        <v>2238</v>
      </c>
      <c r="B119" s="6">
        <v>1117.0</v>
      </c>
      <c r="C119" s="33" t="s">
        <v>2239</v>
      </c>
    </row>
    <row r="120">
      <c r="A120" s="13" t="s">
        <v>2240</v>
      </c>
      <c r="B120" s="6">
        <v>1118.0</v>
      </c>
      <c r="C120" s="13" t="s">
        <v>2241</v>
      </c>
    </row>
    <row r="121">
      <c r="A121" s="5" t="s">
        <v>119</v>
      </c>
      <c r="B121" s="6">
        <v>1119.0</v>
      </c>
      <c r="C121" s="5" t="s">
        <v>120</v>
      </c>
    </row>
    <row r="122">
      <c r="A122" s="13" t="s">
        <v>2242</v>
      </c>
      <c r="B122" s="6">
        <v>1120.0</v>
      </c>
      <c r="C122" s="13" t="s">
        <v>2243</v>
      </c>
    </row>
    <row r="123">
      <c r="A123" s="13" t="s">
        <v>124</v>
      </c>
      <c r="B123" s="6">
        <v>1121.0</v>
      </c>
      <c r="C123" s="13" t="s">
        <v>125</v>
      </c>
    </row>
    <row r="124">
      <c r="A124" s="5" t="s">
        <v>127</v>
      </c>
      <c r="B124" s="6">
        <v>1122.0</v>
      </c>
      <c r="C124" s="33" t="s">
        <v>128</v>
      </c>
    </row>
    <row r="125">
      <c r="A125" s="13" t="s">
        <v>127</v>
      </c>
      <c r="B125" s="6">
        <v>1123.0</v>
      </c>
      <c r="C125" s="13" t="s">
        <v>130</v>
      </c>
    </row>
    <row r="126">
      <c r="A126" s="5" t="s">
        <v>127</v>
      </c>
      <c r="B126" s="6">
        <v>1124.0</v>
      </c>
      <c r="C126" s="33" t="s">
        <v>131</v>
      </c>
    </row>
    <row r="127">
      <c r="A127" s="13" t="s">
        <v>127</v>
      </c>
      <c r="B127" s="6">
        <v>1125.0</v>
      </c>
      <c r="C127" s="13" t="s">
        <v>132</v>
      </c>
    </row>
    <row r="128">
      <c r="A128" s="5" t="s">
        <v>127</v>
      </c>
      <c r="B128" s="6">
        <v>1126.0</v>
      </c>
      <c r="C128" s="5" t="s">
        <v>133</v>
      </c>
    </row>
    <row r="129">
      <c r="A129" s="13" t="s">
        <v>2244</v>
      </c>
      <c r="B129" s="6">
        <v>1127.0</v>
      </c>
      <c r="C129" s="13" t="s">
        <v>2245</v>
      </c>
    </row>
    <row r="130">
      <c r="A130" s="5" t="s">
        <v>2246</v>
      </c>
      <c r="B130" s="6">
        <v>1128.0</v>
      </c>
      <c r="C130" s="5" t="s">
        <v>2247</v>
      </c>
    </row>
    <row r="131">
      <c r="A131" s="13" t="s">
        <v>134</v>
      </c>
      <c r="B131" s="6">
        <v>1129.0</v>
      </c>
      <c r="C131" s="13" t="s">
        <v>135</v>
      </c>
    </row>
    <row r="132">
      <c r="A132" s="5" t="s">
        <v>137</v>
      </c>
      <c r="B132" s="6">
        <v>1130.0</v>
      </c>
      <c r="C132" s="5" t="s">
        <v>1473</v>
      </c>
    </row>
    <row r="133">
      <c r="A133" s="13" t="s">
        <v>2248</v>
      </c>
      <c r="B133" s="6">
        <v>1131.0</v>
      </c>
      <c r="C133" s="13" t="s">
        <v>2249</v>
      </c>
    </row>
    <row r="134">
      <c r="A134" s="5" t="s">
        <v>37</v>
      </c>
      <c r="B134" s="6">
        <v>1132.0</v>
      </c>
      <c r="C134" s="5" t="s">
        <v>2250</v>
      </c>
    </row>
    <row r="135">
      <c r="A135" s="5" t="s">
        <v>2251</v>
      </c>
      <c r="B135" s="6">
        <v>1133.0</v>
      </c>
      <c r="C135" s="5" t="s">
        <v>2252</v>
      </c>
    </row>
    <row r="136">
      <c r="A136" s="13" t="s">
        <v>2251</v>
      </c>
      <c r="B136" s="6">
        <v>1134.0</v>
      </c>
      <c r="C136" s="13" t="s">
        <v>2253</v>
      </c>
    </row>
    <row r="137">
      <c r="A137" s="5" t="s">
        <v>1554</v>
      </c>
      <c r="B137" s="6">
        <v>1135.0</v>
      </c>
      <c r="C137" s="5" t="s">
        <v>1555</v>
      </c>
    </row>
    <row r="138">
      <c r="A138" s="13" t="s">
        <v>1554</v>
      </c>
      <c r="B138" s="6">
        <v>1136.0</v>
      </c>
      <c r="C138" s="13" t="s">
        <v>1557</v>
      </c>
    </row>
    <row r="139">
      <c r="A139" s="5" t="s">
        <v>1554</v>
      </c>
      <c r="B139" s="6">
        <v>1137.0</v>
      </c>
      <c r="C139" s="5" t="s">
        <v>1558</v>
      </c>
    </row>
    <row r="140">
      <c r="A140" s="13" t="s">
        <v>1554</v>
      </c>
      <c r="B140" s="6">
        <v>1138.0</v>
      </c>
      <c r="C140" s="13" t="s">
        <v>2254</v>
      </c>
    </row>
    <row r="141">
      <c r="A141" s="5" t="s">
        <v>1559</v>
      </c>
      <c r="B141" s="6">
        <v>1139.0</v>
      </c>
      <c r="C141" s="5" t="s">
        <v>1560</v>
      </c>
    </row>
    <row r="142">
      <c r="A142" s="13" t="s">
        <v>138</v>
      </c>
      <c r="B142" s="6">
        <v>1140.0</v>
      </c>
      <c r="C142" s="32" t="s">
        <v>140</v>
      </c>
    </row>
    <row r="143">
      <c r="A143" s="5" t="s">
        <v>138</v>
      </c>
      <c r="B143" s="6">
        <v>1141.0</v>
      </c>
      <c r="C143" s="33" t="s">
        <v>143</v>
      </c>
    </row>
    <row r="144">
      <c r="A144" s="13" t="s">
        <v>138</v>
      </c>
      <c r="B144" s="6">
        <v>1142.0</v>
      </c>
      <c r="C144" s="32" t="s">
        <v>145</v>
      </c>
    </row>
    <row r="145">
      <c r="A145" s="5" t="s">
        <v>138</v>
      </c>
      <c r="B145" s="6">
        <v>1143.0</v>
      </c>
      <c r="C145" s="33" t="s">
        <v>147</v>
      </c>
    </row>
    <row r="146">
      <c r="A146" s="13" t="s">
        <v>149</v>
      </c>
      <c r="B146" s="6">
        <v>1144.0</v>
      </c>
      <c r="C146" s="32" t="s">
        <v>150</v>
      </c>
    </row>
    <row r="147">
      <c r="A147" s="5" t="s">
        <v>149</v>
      </c>
      <c r="B147" s="6">
        <v>1145.0</v>
      </c>
      <c r="C147" s="33" t="s">
        <v>152</v>
      </c>
    </row>
    <row r="148">
      <c r="A148" s="13" t="s">
        <v>154</v>
      </c>
      <c r="B148" s="6">
        <v>1146.0</v>
      </c>
      <c r="C148" s="32" t="s">
        <v>155</v>
      </c>
    </row>
    <row r="149">
      <c r="A149" s="5" t="s">
        <v>154</v>
      </c>
      <c r="B149" s="6">
        <v>1147.0</v>
      </c>
      <c r="C149" s="33" t="s">
        <v>157</v>
      </c>
    </row>
    <row r="150">
      <c r="A150" s="13" t="s">
        <v>154</v>
      </c>
      <c r="B150" s="6">
        <v>1148.0</v>
      </c>
      <c r="C150" s="35" t="s">
        <v>159</v>
      </c>
    </row>
    <row r="151">
      <c r="A151" s="5" t="s">
        <v>154</v>
      </c>
      <c r="B151" s="6">
        <v>1149.0</v>
      </c>
      <c r="C151" s="34" t="s">
        <v>160</v>
      </c>
    </row>
    <row r="152">
      <c r="A152" s="13" t="s">
        <v>161</v>
      </c>
      <c r="B152" s="6">
        <v>1150.0</v>
      </c>
      <c r="C152" s="35" t="s">
        <v>162</v>
      </c>
    </row>
    <row r="153">
      <c r="A153" s="5" t="s">
        <v>161</v>
      </c>
      <c r="B153" s="6">
        <v>1151.0</v>
      </c>
      <c r="C153" s="34" t="s">
        <v>163</v>
      </c>
    </row>
    <row r="154">
      <c r="A154" s="13" t="s">
        <v>161</v>
      </c>
      <c r="B154" s="6">
        <v>1152.0</v>
      </c>
      <c r="C154" s="35" t="s">
        <v>164</v>
      </c>
    </row>
    <row r="155">
      <c r="A155" s="5" t="s">
        <v>161</v>
      </c>
      <c r="B155" s="6">
        <v>1153.0</v>
      </c>
      <c r="C155" s="34" t="s">
        <v>165</v>
      </c>
    </row>
    <row r="156">
      <c r="A156" s="13" t="s">
        <v>49</v>
      </c>
      <c r="B156" s="6">
        <v>1154.0</v>
      </c>
      <c r="C156" s="13" t="s">
        <v>166</v>
      </c>
    </row>
    <row r="157">
      <c r="A157" s="5" t="s">
        <v>49</v>
      </c>
      <c r="B157" s="6">
        <v>1155.0</v>
      </c>
      <c r="C157" s="5" t="s">
        <v>1562</v>
      </c>
    </row>
    <row r="158">
      <c r="A158" s="13" t="s">
        <v>49</v>
      </c>
      <c r="B158" s="6">
        <v>1156.0</v>
      </c>
      <c r="C158" s="13" t="s">
        <v>1563</v>
      </c>
    </row>
    <row r="159">
      <c r="A159" s="5" t="s">
        <v>49</v>
      </c>
      <c r="B159" s="6">
        <v>1157.0</v>
      </c>
      <c r="C159" s="5" t="s">
        <v>1564</v>
      </c>
    </row>
    <row r="160">
      <c r="A160" s="5" t="s">
        <v>49</v>
      </c>
      <c r="B160" s="6">
        <v>1158.0</v>
      </c>
      <c r="C160" s="5" t="s">
        <v>2255</v>
      </c>
    </row>
    <row r="161">
      <c r="A161" s="5" t="s">
        <v>2256</v>
      </c>
      <c r="B161" s="6">
        <v>1159.0</v>
      </c>
      <c r="C161" s="5" t="s">
        <v>2257</v>
      </c>
    </row>
    <row r="162">
      <c r="A162" s="13" t="s">
        <v>2258</v>
      </c>
      <c r="B162" s="6">
        <v>1160.0</v>
      </c>
      <c r="C162" s="13" t="s">
        <v>2259</v>
      </c>
    </row>
    <row r="163">
      <c r="A163" s="5" t="s">
        <v>1565</v>
      </c>
      <c r="B163" s="6">
        <v>1161.0</v>
      </c>
      <c r="C163" s="5" t="s">
        <v>1566</v>
      </c>
    </row>
    <row r="164">
      <c r="A164" s="13" t="s">
        <v>1565</v>
      </c>
      <c r="B164" s="6">
        <v>1162.0</v>
      </c>
      <c r="C164" s="13" t="s">
        <v>2260</v>
      </c>
    </row>
    <row r="165">
      <c r="A165" s="5" t="s">
        <v>1568</v>
      </c>
      <c r="B165" s="6">
        <v>1163.0</v>
      </c>
      <c r="C165" s="5" t="s">
        <v>1569</v>
      </c>
    </row>
    <row r="166">
      <c r="A166" s="13" t="s">
        <v>2261</v>
      </c>
      <c r="B166" s="6">
        <v>1164.0</v>
      </c>
      <c r="C166" s="13" t="s">
        <v>2262</v>
      </c>
    </row>
    <row r="167">
      <c r="A167" s="5" t="s">
        <v>2261</v>
      </c>
      <c r="B167" s="6">
        <v>1165.0</v>
      </c>
      <c r="C167" s="5" t="s">
        <v>2263</v>
      </c>
    </row>
    <row r="168">
      <c r="A168" s="5" t="s">
        <v>167</v>
      </c>
      <c r="B168" s="6">
        <v>1166.0</v>
      </c>
      <c r="C168" s="5" t="s">
        <v>168</v>
      </c>
    </row>
    <row r="169">
      <c r="A169" s="13" t="s">
        <v>2264</v>
      </c>
      <c r="B169" s="6">
        <v>1167.0</v>
      </c>
      <c r="C169" s="13" t="s">
        <v>2265</v>
      </c>
    </row>
    <row r="170">
      <c r="A170" s="13" t="s">
        <v>170</v>
      </c>
      <c r="B170" s="6">
        <v>1168.0</v>
      </c>
      <c r="C170" s="13" t="s">
        <v>1571</v>
      </c>
    </row>
    <row r="171">
      <c r="A171" s="5" t="s">
        <v>1573</v>
      </c>
      <c r="B171" s="6">
        <v>1169.0</v>
      </c>
      <c r="C171" s="5" t="s">
        <v>1574</v>
      </c>
    </row>
    <row r="172">
      <c r="A172" s="13" t="s">
        <v>1577</v>
      </c>
      <c r="B172" s="6">
        <v>1170.0</v>
      </c>
      <c r="C172" s="13" t="s">
        <v>1578</v>
      </c>
    </row>
    <row r="173">
      <c r="A173" s="5" t="s">
        <v>1580</v>
      </c>
      <c r="B173" s="6">
        <v>1171.0</v>
      </c>
      <c r="C173" s="5" t="s">
        <v>1581</v>
      </c>
    </row>
    <row r="174">
      <c r="A174" s="5" t="s">
        <v>1583</v>
      </c>
      <c r="B174" s="6">
        <v>1172.0</v>
      </c>
      <c r="C174" s="5" t="s">
        <v>1584</v>
      </c>
    </row>
    <row r="175">
      <c r="A175" s="13" t="s">
        <v>170</v>
      </c>
      <c r="B175" s="6">
        <v>1173.0</v>
      </c>
      <c r="C175" s="13" t="s">
        <v>171</v>
      </c>
    </row>
    <row r="176">
      <c r="A176" s="5" t="s">
        <v>170</v>
      </c>
      <c r="B176" s="6">
        <v>1174.0</v>
      </c>
      <c r="C176" s="5" t="s">
        <v>1586</v>
      </c>
    </row>
    <row r="177">
      <c r="A177" s="13" t="s">
        <v>2266</v>
      </c>
      <c r="B177" s="6">
        <v>1175.0</v>
      </c>
      <c r="C177" s="13" t="s">
        <v>2267</v>
      </c>
    </row>
    <row r="178">
      <c r="A178" s="13" t="s">
        <v>2149</v>
      </c>
      <c r="B178" s="6">
        <v>1176.0</v>
      </c>
      <c r="C178" s="13" t="s">
        <v>2268</v>
      </c>
    </row>
    <row r="179">
      <c r="A179" s="5" t="s">
        <v>174</v>
      </c>
      <c r="B179" s="6">
        <v>1177.0</v>
      </c>
      <c r="C179" s="5" t="s">
        <v>1588</v>
      </c>
    </row>
    <row r="180">
      <c r="A180" s="13" t="s">
        <v>174</v>
      </c>
      <c r="B180" s="6">
        <v>1178.0</v>
      </c>
      <c r="C180" s="13" t="s">
        <v>1590</v>
      </c>
    </row>
    <row r="181">
      <c r="A181" s="5" t="s">
        <v>1592</v>
      </c>
      <c r="B181" s="6">
        <v>1179.0</v>
      </c>
      <c r="C181" s="5" t="s">
        <v>1593</v>
      </c>
    </row>
    <row r="182">
      <c r="A182" s="13" t="s">
        <v>1592</v>
      </c>
      <c r="B182" s="6">
        <v>1180.0</v>
      </c>
      <c r="C182" s="13" t="s">
        <v>1595</v>
      </c>
    </row>
    <row r="183">
      <c r="A183" s="5" t="s">
        <v>1596</v>
      </c>
      <c r="B183" s="6">
        <v>1181.0</v>
      </c>
      <c r="C183" s="5" t="s">
        <v>1597</v>
      </c>
    </row>
    <row r="184">
      <c r="A184" s="13" t="s">
        <v>174</v>
      </c>
      <c r="B184" s="6">
        <v>1182.0</v>
      </c>
      <c r="C184" s="13" t="s">
        <v>175</v>
      </c>
    </row>
    <row r="185">
      <c r="A185" s="5" t="s">
        <v>177</v>
      </c>
      <c r="B185" s="6">
        <v>1183.0</v>
      </c>
      <c r="C185" s="5" t="s">
        <v>178</v>
      </c>
    </row>
    <row r="186">
      <c r="A186" s="13" t="s">
        <v>174</v>
      </c>
      <c r="B186" s="6">
        <v>1184.0</v>
      </c>
      <c r="C186" s="13" t="s">
        <v>2269</v>
      </c>
    </row>
    <row r="187">
      <c r="A187" s="13" t="s">
        <v>174</v>
      </c>
      <c r="B187" s="6">
        <v>1185.0</v>
      </c>
      <c r="C187" s="13" t="s">
        <v>2270</v>
      </c>
    </row>
    <row r="188">
      <c r="A188" s="13" t="s">
        <v>2271</v>
      </c>
      <c r="B188" s="6">
        <v>1186.0</v>
      </c>
      <c r="C188" s="13" t="s">
        <v>2272</v>
      </c>
    </row>
    <row r="189">
      <c r="A189" s="5" t="s">
        <v>181</v>
      </c>
      <c r="B189" s="6">
        <v>1187.0</v>
      </c>
      <c r="C189" s="5" t="s">
        <v>182</v>
      </c>
    </row>
    <row r="190">
      <c r="A190" s="13" t="s">
        <v>2273</v>
      </c>
      <c r="B190" s="6">
        <v>1188.0</v>
      </c>
      <c r="C190" s="13" t="s">
        <v>2274</v>
      </c>
    </row>
    <row r="191">
      <c r="A191" s="5" t="s">
        <v>2275</v>
      </c>
      <c r="B191" s="6">
        <v>1189.0</v>
      </c>
      <c r="C191" s="5" t="s">
        <v>2276</v>
      </c>
    </row>
    <row r="192">
      <c r="A192" s="13" t="s">
        <v>2277</v>
      </c>
      <c r="B192" s="6">
        <v>1190.0</v>
      </c>
      <c r="C192" s="13" t="s">
        <v>2278</v>
      </c>
    </row>
    <row r="193">
      <c r="A193" s="5" t="s">
        <v>2279</v>
      </c>
      <c r="B193" s="6">
        <v>1191.0</v>
      </c>
      <c r="C193" s="5" t="s">
        <v>2280</v>
      </c>
    </row>
    <row r="194">
      <c r="A194" s="13" t="s">
        <v>1600</v>
      </c>
      <c r="B194" s="6">
        <v>1192.0</v>
      </c>
      <c r="C194" s="13" t="s">
        <v>1601</v>
      </c>
    </row>
    <row r="195">
      <c r="A195" s="5" t="s">
        <v>1604</v>
      </c>
      <c r="B195" s="6">
        <v>1193.0</v>
      </c>
      <c r="C195" s="33" t="s">
        <v>1605</v>
      </c>
    </row>
    <row r="196">
      <c r="A196" s="13" t="s">
        <v>184</v>
      </c>
      <c r="B196" s="6">
        <v>1194.0</v>
      </c>
      <c r="C196" s="13" t="s">
        <v>185</v>
      </c>
    </row>
    <row r="197">
      <c r="A197" s="5" t="s">
        <v>1607</v>
      </c>
      <c r="B197" s="6">
        <v>1195.0</v>
      </c>
      <c r="C197" s="33" t="s">
        <v>1608</v>
      </c>
    </row>
    <row r="198">
      <c r="A198" s="13" t="s">
        <v>189</v>
      </c>
      <c r="B198" s="6">
        <v>1196.0</v>
      </c>
      <c r="C198" s="13" t="s">
        <v>190</v>
      </c>
    </row>
    <row r="199">
      <c r="A199" s="5" t="s">
        <v>1610</v>
      </c>
      <c r="B199" s="6">
        <v>1197.0</v>
      </c>
      <c r="C199" s="33" t="s">
        <v>1611</v>
      </c>
    </row>
    <row r="200">
      <c r="A200" s="13" t="s">
        <v>2281</v>
      </c>
      <c r="B200" s="6">
        <v>1198.0</v>
      </c>
      <c r="C200" s="13" t="s">
        <v>2282</v>
      </c>
    </row>
    <row r="201">
      <c r="A201" s="5" t="s">
        <v>1613</v>
      </c>
      <c r="B201" s="6">
        <v>1199.0</v>
      </c>
      <c r="C201" s="5" t="s">
        <v>1614</v>
      </c>
    </row>
    <row r="202">
      <c r="A202" s="13" t="s">
        <v>1616</v>
      </c>
      <c r="B202" s="6">
        <v>1200.0</v>
      </c>
      <c r="C202" s="13" t="s">
        <v>1617</v>
      </c>
    </row>
    <row r="203">
      <c r="A203" s="5" t="s">
        <v>1619</v>
      </c>
      <c r="B203" s="6">
        <v>1201.0</v>
      </c>
      <c r="C203" s="5" t="s">
        <v>1620</v>
      </c>
    </row>
    <row r="204">
      <c r="A204" s="13" t="s">
        <v>192</v>
      </c>
      <c r="B204" s="6">
        <v>1202.0</v>
      </c>
      <c r="C204" s="13" t="s">
        <v>193</v>
      </c>
    </row>
    <row r="205">
      <c r="A205" s="5" t="s">
        <v>1622</v>
      </c>
      <c r="B205" s="6">
        <v>1203.0</v>
      </c>
      <c r="C205" s="5" t="s">
        <v>1623</v>
      </c>
    </row>
    <row r="206">
      <c r="A206" s="13" t="s">
        <v>1625</v>
      </c>
      <c r="B206" s="6">
        <v>1204.0</v>
      </c>
      <c r="C206" s="13" t="s">
        <v>1626</v>
      </c>
    </row>
    <row r="207">
      <c r="A207" s="5" t="s">
        <v>1628</v>
      </c>
      <c r="B207" s="6">
        <v>1205.0</v>
      </c>
      <c r="C207" s="5" t="s">
        <v>1629</v>
      </c>
    </row>
    <row r="208">
      <c r="A208" s="13" t="s">
        <v>195</v>
      </c>
      <c r="B208" s="6">
        <v>1206.0</v>
      </c>
      <c r="C208" s="13" t="s">
        <v>196</v>
      </c>
    </row>
    <row r="209">
      <c r="A209" s="5" t="s">
        <v>198</v>
      </c>
      <c r="B209" s="6">
        <v>1207.0</v>
      </c>
      <c r="C209" s="5" t="s">
        <v>1631</v>
      </c>
    </row>
    <row r="210">
      <c r="A210" s="13" t="s">
        <v>1632</v>
      </c>
      <c r="B210" s="6">
        <v>1208.0</v>
      </c>
      <c r="C210" s="13" t="s">
        <v>1633</v>
      </c>
    </row>
    <row r="211">
      <c r="A211" s="5" t="s">
        <v>195</v>
      </c>
      <c r="B211" s="6">
        <v>1209.0</v>
      </c>
      <c r="C211" s="5" t="s">
        <v>1635</v>
      </c>
    </row>
    <row r="212">
      <c r="A212" s="13" t="s">
        <v>198</v>
      </c>
      <c r="B212" s="6">
        <v>1210.0</v>
      </c>
      <c r="C212" s="13" t="s">
        <v>199</v>
      </c>
    </row>
    <row r="213">
      <c r="A213" s="5" t="s">
        <v>1632</v>
      </c>
      <c r="B213" s="6">
        <v>1211.0</v>
      </c>
      <c r="C213" s="5" t="s">
        <v>1636</v>
      </c>
    </row>
    <row r="214">
      <c r="A214" s="5" t="s">
        <v>1637</v>
      </c>
      <c r="B214" s="6">
        <v>1212.0</v>
      </c>
      <c r="C214" s="5" t="s">
        <v>2283</v>
      </c>
    </row>
    <row r="215">
      <c r="A215" s="13" t="s">
        <v>1637</v>
      </c>
      <c r="B215" s="6">
        <v>1213.0</v>
      </c>
      <c r="C215" s="13" t="s">
        <v>2284</v>
      </c>
    </row>
    <row r="216">
      <c r="A216" s="5" t="s">
        <v>527</v>
      </c>
      <c r="B216" s="6">
        <v>1214.0</v>
      </c>
      <c r="C216" s="5" t="s">
        <v>2285</v>
      </c>
    </row>
    <row r="217">
      <c r="A217" s="5" t="s">
        <v>527</v>
      </c>
      <c r="B217" s="6">
        <v>1215.0</v>
      </c>
      <c r="C217" s="5" t="s">
        <v>2286</v>
      </c>
    </row>
    <row r="218">
      <c r="A218" s="5" t="s">
        <v>527</v>
      </c>
      <c r="B218" s="6">
        <v>1216.0</v>
      </c>
      <c r="C218" s="5" t="s">
        <v>2287</v>
      </c>
    </row>
    <row r="219">
      <c r="A219" s="13" t="s">
        <v>2288</v>
      </c>
      <c r="B219" s="6">
        <v>1217.0</v>
      </c>
      <c r="C219" s="13" t="s">
        <v>2289</v>
      </c>
    </row>
    <row r="220">
      <c r="A220" s="5" t="s">
        <v>2290</v>
      </c>
      <c r="B220" s="6">
        <v>1218.0</v>
      </c>
      <c r="C220" s="5" t="s">
        <v>2291</v>
      </c>
    </row>
    <row r="221">
      <c r="A221" s="13" t="s">
        <v>2292</v>
      </c>
      <c r="B221" s="6">
        <v>1219.0</v>
      </c>
      <c r="C221" s="13" t="s">
        <v>2293</v>
      </c>
    </row>
    <row r="222">
      <c r="A222" s="5" t="s">
        <v>2294</v>
      </c>
      <c r="B222" s="6">
        <v>1220.0</v>
      </c>
      <c r="C222" s="5" t="s">
        <v>2295</v>
      </c>
    </row>
    <row r="223">
      <c r="A223" s="13" t="s">
        <v>1637</v>
      </c>
      <c r="B223" s="6">
        <v>1221.0</v>
      </c>
      <c r="C223" s="13" t="s">
        <v>1638</v>
      </c>
    </row>
    <row r="224">
      <c r="A224" s="5" t="s">
        <v>2296</v>
      </c>
      <c r="B224" s="6">
        <v>1222.0</v>
      </c>
      <c r="C224" s="5" t="s">
        <v>2297</v>
      </c>
    </row>
    <row r="225">
      <c r="A225" s="13" t="s">
        <v>527</v>
      </c>
      <c r="B225" s="6">
        <v>1223.0</v>
      </c>
      <c r="C225" s="13" t="s">
        <v>2298</v>
      </c>
    </row>
    <row r="226">
      <c r="A226" s="5" t="s">
        <v>2299</v>
      </c>
      <c r="B226" s="6">
        <v>1224.0</v>
      </c>
      <c r="C226" s="5" t="s">
        <v>2300</v>
      </c>
    </row>
    <row r="227">
      <c r="A227" s="13" t="s">
        <v>2301</v>
      </c>
      <c r="B227" s="6">
        <v>1225.0</v>
      </c>
      <c r="C227" s="32" t="s">
        <v>2302</v>
      </c>
    </row>
    <row r="228">
      <c r="A228" s="13" t="s">
        <v>2303</v>
      </c>
      <c r="B228" s="6">
        <v>1226.0</v>
      </c>
      <c r="C228" s="13" t="s">
        <v>2304</v>
      </c>
    </row>
    <row r="229">
      <c r="A229" s="5" t="s">
        <v>201</v>
      </c>
      <c r="B229" s="6">
        <v>1227.0</v>
      </c>
      <c r="C229" s="5" t="s">
        <v>202</v>
      </c>
    </row>
    <row r="230">
      <c r="A230" s="13" t="s">
        <v>2305</v>
      </c>
      <c r="B230" s="6">
        <v>1228.0</v>
      </c>
      <c r="C230" s="13" t="s">
        <v>2306</v>
      </c>
    </row>
    <row r="231">
      <c r="A231" s="5" t="s">
        <v>204</v>
      </c>
      <c r="B231" s="6">
        <v>1229.0</v>
      </c>
      <c r="C231" s="5" t="s">
        <v>205</v>
      </c>
    </row>
    <row r="232">
      <c r="A232" s="13" t="s">
        <v>2307</v>
      </c>
      <c r="B232" s="6">
        <v>1230.0</v>
      </c>
      <c r="C232" s="13" t="s">
        <v>2308</v>
      </c>
    </row>
    <row r="233">
      <c r="A233" s="5" t="s">
        <v>204</v>
      </c>
      <c r="B233" s="6">
        <v>1231.0</v>
      </c>
      <c r="C233" s="5" t="s">
        <v>2309</v>
      </c>
    </row>
    <row r="234">
      <c r="A234" s="5" t="s">
        <v>2310</v>
      </c>
      <c r="B234" s="6">
        <v>1232.0</v>
      </c>
      <c r="C234" s="112" t="s">
        <v>2311</v>
      </c>
    </row>
    <row r="235">
      <c r="A235" s="5" t="s">
        <v>2312</v>
      </c>
      <c r="B235" s="6">
        <v>1233.0</v>
      </c>
      <c r="C235" s="5" t="s">
        <v>2313</v>
      </c>
    </row>
    <row r="236">
      <c r="A236" s="13" t="s">
        <v>207</v>
      </c>
      <c r="B236" s="6">
        <v>1234.0</v>
      </c>
      <c r="C236" s="13" t="s">
        <v>208</v>
      </c>
    </row>
    <row r="237">
      <c r="A237" s="13" t="s">
        <v>1640</v>
      </c>
      <c r="B237" s="6">
        <v>1235.0</v>
      </c>
      <c r="C237" s="13" t="s">
        <v>1641</v>
      </c>
    </row>
    <row r="238">
      <c r="A238" s="5" t="s">
        <v>1640</v>
      </c>
      <c r="B238" s="6">
        <v>1236.0</v>
      </c>
      <c r="C238" s="5" t="s">
        <v>1643</v>
      </c>
    </row>
    <row r="239">
      <c r="A239" s="13" t="s">
        <v>1640</v>
      </c>
      <c r="B239" s="6">
        <v>1237.0</v>
      </c>
      <c r="C239" s="13" t="s">
        <v>1644</v>
      </c>
    </row>
    <row r="240">
      <c r="A240" s="5" t="s">
        <v>1645</v>
      </c>
      <c r="B240" s="6">
        <v>1238.0</v>
      </c>
      <c r="C240" s="5" t="s">
        <v>1646</v>
      </c>
    </row>
    <row r="241">
      <c r="A241" s="13" t="s">
        <v>1645</v>
      </c>
      <c r="B241" s="6">
        <v>1239.0</v>
      </c>
      <c r="C241" s="13" t="s">
        <v>1648</v>
      </c>
    </row>
    <row r="242">
      <c r="A242" s="5" t="s">
        <v>1645</v>
      </c>
      <c r="B242" s="6">
        <v>1240.0</v>
      </c>
      <c r="C242" s="5" t="s">
        <v>1649</v>
      </c>
    </row>
    <row r="243">
      <c r="A243" s="13" t="s">
        <v>1645</v>
      </c>
      <c r="B243" s="6">
        <v>1241.0</v>
      </c>
      <c r="C243" s="13" t="s">
        <v>1650</v>
      </c>
    </row>
    <row r="244">
      <c r="A244" s="5" t="s">
        <v>1651</v>
      </c>
      <c r="B244" s="6">
        <v>1242.0</v>
      </c>
      <c r="C244" s="5" t="s">
        <v>1652</v>
      </c>
    </row>
    <row r="245">
      <c r="A245" s="13" t="s">
        <v>1651</v>
      </c>
      <c r="B245" s="6">
        <v>1243.0</v>
      </c>
      <c r="C245" s="13" t="s">
        <v>2314</v>
      </c>
    </row>
    <row r="246">
      <c r="A246" s="5" t="s">
        <v>1651</v>
      </c>
      <c r="B246" s="6">
        <v>1244.0</v>
      </c>
      <c r="C246" s="5" t="s">
        <v>2315</v>
      </c>
    </row>
    <row r="247">
      <c r="A247" s="13" t="s">
        <v>1655</v>
      </c>
      <c r="B247" s="6">
        <v>1245.0</v>
      </c>
      <c r="C247" s="13" t="s">
        <v>1656</v>
      </c>
    </row>
    <row r="248">
      <c r="A248" s="5" t="s">
        <v>1655</v>
      </c>
      <c r="B248" s="6">
        <v>1246.0</v>
      </c>
      <c r="C248" s="5" t="s">
        <v>2316</v>
      </c>
    </row>
    <row r="249">
      <c r="A249" s="13" t="s">
        <v>2317</v>
      </c>
      <c r="B249" s="6">
        <v>1247.0</v>
      </c>
      <c r="C249" s="13" t="s">
        <v>2317</v>
      </c>
    </row>
    <row r="250">
      <c r="A250" s="13" t="s">
        <v>2318</v>
      </c>
      <c r="B250" s="6">
        <v>1248.0</v>
      </c>
      <c r="C250" s="13" t="s">
        <v>2319</v>
      </c>
    </row>
    <row r="251">
      <c r="A251" s="5" t="s">
        <v>2320</v>
      </c>
      <c r="B251" s="6">
        <v>1249.0</v>
      </c>
      <c r="C251" s="5" t="s">
        <v>2321</v>
      </c>
    </row>
    <row r="252">
      <c r="A252" s="13" t="s">
        <v>2322</v>
      </c>
      <c r="B252" s="6">
        <v>1250.0</v>
      </c>
      <c r="C252" s="13" t="s">
        <v>2323</v>
      </c>
    </row>
    <row r="253">
      <c r="A253" s="13" t="s">
        <v>2324</v>
      </c>
      <c r="B253" s="6">
        <v>1251.0</v>
      </c>
      <c r="C253" s="13" t="s">
        <v>2325</v>
      </c>
    </row>
    <row r="254">
      <c r="A254" s="5" t="s">
        <v>2326</v>
      </c>
      <c r="B254" s="6">
        <v>1252.0</v>
      </c>
      <c r="C254" s="5" t="s">
        <v>2327</v>
      </c>
    </row>
    <row r="255">
      <c r="A255" s="13" t="s">
        <v>2328</v>
      </c>
      <c r="B255" s="6">
        <v>1253.0</v>
      </c>
      <c r="C255" s="13" t="s">
        <v>2329</v>
      </c>
    </row>
    <row r="256">
      <c r="A256" s="5" t="s">
        <v>2330</v>
      </c>
      <c r="B256" s="6">
        <v>1254.0</v>
      </c>
      <c r="C256" s="5" t="s">
        <v>2331</v>
      </c>
    </row>
    <row r="257">
      <c r="A257" s="5" t="s">
        <v>2332</v>
      </c>
      <c r="B257" s="6">
        <v>1255.0</v>
      </c>
      <c r="C257" s="5" t="s">
        <v>2333</v>
      </c>
    </row>
    <row r="258">
      <c r="A258" s="13" t="s">
        <v>210</v>
      </c>
      <c r="B258" s="6">
        <v>1256.0</v>
      </c>
      <c r="C258" s="13" t="s">
        <v>211</v>
      </c>
    </row>
    <row r="259">
      <c r="A259" s="5" t="s">
        <v>2334</v>
      </c>
      <c r="B259" s="6">
        <v>1257.0</v>
      </c>
      <c r="C259" s="5" t="s">
        <v>2335</v>
      </c>
    </row>
    <row r="260">
      <c r="A260" s="5" t="s">
        <v>2336</v>
      </c>
      <c r="B260" s="6">
        <v>1258.0</v>
      </c>
      <c r="C260" s="5" t="s">
        <v>2337</v>
      </c>
    </row>
    <row r="261">
      <c r="A261" s="13" t="s">
        <v>213</v>
      </c>
      <c r="B261" s="6">
        <v>1259.0</v>
      </c>
      <c r="C261" s="13" t="s">
        <v>214</v>
      </c>
    </row>
    <row r="262">
      <c r="A262" s="5" t="s">
        <v>216</v>
      </c>
      <c r="B262" s="6">
        <v>1260.0</v>
      </c>
      <c r="C262" s="5" t="s">
        <v>217</v>
      </c>
    </row>
    <row r="263">
      <c r="A263" s="13" t="s">
        <v>219</v>
      </c>
      <c r="B263" s="6">
        <v>1261.0</v>
      </c>
      <c r="C263" s="13" t="s">
        <v>220</v>
      </c>
    </row>
    <row r="264">
      <c r="A264" s="5" t="s">
        <v>222</v>
      </c>
      <c r="B264" s="6">
        <v>1262.0</v>
      </c>
      <c r="C264" s="5" t="s">
        <v>223</v>
      </c>
    </row>
    <row r="265">
      <c r="A265" s="13" t="s">
        <v>226</v>
      </c>
      <c r="B265" s="6">
        <v>1263.0</v>
      </c>
      <c r="C265" s="32" t="s">
        <v>227</v>
      </c>
    </row>
    <row r="266">
      <c r="A266" s="5" t="s">
        <v>230</v>
      </c>
      <c r="B266" s="6">
        <v>1264.0</v>
      </c>
      <c r="C266" s="5" t="s">
        <v>231</v>
      </c>
    </row>
    <row r="267">
      <c r="A267" s="13" t="s">
        <v>233</v>
      </c>
      <c r="B267" s="6">
        <v>1265.0</v>
      </c>
      <c r="C267" s="13" t="s">
        <v>234</v>
      </c>
    </row>
    <row r="268">
      <c r="A268" s="5" t="s">
        <v>236</v>
      </c>
      <c r="B268" s="6">
        <v>1266.0</v>
      </c>
      <c r="C268" s="33" t="s">
        <v>237</v>
      </c>
    </row>
    <row r="269">
      <c r="A269" s="13" t="s">
        <v>239</v>
      </c>
      <c r="B269" s="6">
        <v>1267.0</v>
      </c>
      <c r="C269" s="32" t="s">
        <v>240</v>
      </c>
    </row>
    <row r="270">
      <c r="A270" s="5" t="s">
        <v>243</v>
      </c>
      <c r="B270" s="6">
        <v>1268.0</v>
      </c>
      <c r="C270" s="33" t="s">
        <v>244</v>
      </c>
    </row>
    <row r="271">
      <c r="A271" s="5" t="s">
        <v>2338</v>
      </c>
      <c r="B271" s="6">
        <v>1269.0</v>
      </c>
      <c r="C271" s="5" t="s">
        <v>2339</v>
      </c>
    </row>
    <row r="272">
      <c r="A272" s="13" t="s">
        <v>2338</v>
      </c>
      <c r="B272" s="6">
        <v>1270.0</v>
      </c>
      <c r="C272" s="13" t="s">
        <v>2340</v>
      </c>
    </row>
    <row r="273">
      <c r="A273" s="5" t="s">
        <v>2338</v>
      </c>
      <c r="B273" s="6">
        <v>1271.0</v>
      </c>
      <c r="C273" s="5" t="s">
        <v>2341</v>
      </c>
    </row>
    <row r="274">
      <c r="A274" s="5" t="s">
        <v>2342</v>
      </c>
      <c r="B274" s="6">
        <v>1272.0</v>
      </c>
      <c r="C274" s="5" t="s">
        <v>2343</v>
      </c>
    </row>
    <row r="275">
      <c r="A275" s="13" t="s">
        <v>2344</v>
      </c>
      <c r="B275" s="6">
        <v>1273.0</v>
      </c>
      <c r="C275" s="13" t="s">
        <v>2345</v>
      </c>
    </row>
    <row r="276">
      <c r="A276" s="5" t="s">
        <v>2338</v>
      </c>
      <c r="B276" s="6">
        <v>1274.0</v>
      </c>
      <c r="C276" s="5" t="s">
        <v>2346</v>
      </c>
    </row>
    <row r="277">
      <c r="A277" s="5" t="s">
        <v>2338</v>
      </c>
      <c r="B277" s="6">
        <v>1275.0</v>
      </c>
      <c r="C277" s="5" t="s">
        <v>2347</v>
      </c>
    </row>
    <row r="278">
      <c r="A278" s="13" t="s">
        <v>2338</v>
      </c>
      <c r="B278" s="6">
        <v>1276.0</v>
      </c>
      <c r="C278" s="13" t="s">
        <v>2348</v>
      </c>
    </row>
    <row r="279">
      <c r="A279" s="5" t="s">
        <v>2338</v>
      </c>
      <c r="B279" s="6">
        <v>1277.0</v>
      </c>
      <c r="C279" s="5" t="s">
        <v>2349</v>
      </c>
    </row>
    <row r="280">
      <c r="A280" s="5" t="s">
        <v>2350</v>
      </c>
      <c r="B280" s="6">
        <v>1278.0</v>
      </c>
      <c r="C280" s="5" t="s">
        <v>2351</v>
      </c>
    </row>
    <row r="281">
      <c r="A281" s="13" t="s">
        <v>2352</v>
      </c>
      <c r="B281" s="6">
        <v>1279.0</v>
      </c>
      <c r="C281" s="13" t="s">
        <v>2353</v>
      </c>
    </row>
    <row r="282">
      <c r="A282" s="13" t="s">
        <v>2354</v>
      </c>
      <c r="B282" s="6">
        <v>1280.0</v>
      </c>
      <c r="C282" s="13" t="s">
        <v>2355</v>
      </c>
    </row>
    <row r="283">
      <c r="A283" s="5" t="s">
        <v>2356</v>
      </c>
      <c r="B283" s="6">
        <v>1281.0</v>
      </c>
      <c r="C283" s="5" t="s">
        <v>2357</v>
      </c>
    </row>
    <row r="284">
      <c r="A284" s="13" t="s">
        <v>1658</v>
      </c>
      <c r="B284" s="6">
        <v>1282.0</v>
      </c>
      <c r="C284" s="13" t="s">
        <v>1659</v>
      </c>
    </row>
    <row r="285">
      <c r="A285" s="13" t="s">
        <v>2358</v>
      </c>
      <c r="B285" s="6">
        <v>1283.0</v>
      </c>
      <c r="C285" s="13" t="s">
        <v>2359</v>
      </c>
    </row>
    <row r="286">
      <c r="A286" s="5" t="s">
        <v>2360</v>
      </c>
      <c r="B286" s="6">
        <v>1284.0</v>
      </c>
      <c r="C286" s="5" t="s">
        <v>2361</v>
      </c>
    </row>
    <row r="287">
      <c r="A287" s="13" t="s">
        <v>2362</v>
      </c>
      <c r="B287" s="6">
        <v>1285.0</v>
      </c>
      <c r="C287" s="13" t="s">
        <v>2363</v>
      </c>
    </row>
    <row r="288">
      <c r="A288" s="5" t="s">
        <v>1658</v>
      </c>
      <c r="B288" s="6">
        <v>1286.0</v>
      </c>
      <c r="C288" s="5" t="s">
        <v>2364</v>
      </c>
    </row>
    <row r="289">
      <c r="A289" s="13" t="s">
        <v>2365</v>
      </c>
      <c r="B289" s="6">
        <v>1287.0</v>
      </c>
      <c r="C289" s="13" t="s">
        <v>2366</v>
      </c>
    </row>
    <row r="290">
      <c r="A290" s="13" t="s">
        <v>2365</v>
      </c>
      <c r="B290" s="6">
        <v>1288.0</v>
      </c>
      <c r="C290" s="13" t="s">
        <v>2367</v>
      </c>
    </row>
    <row r="291">
      <c r="A291" s="5" t="s">
        <v>1661</v>
      </c>
      <c r="B291" s="6">
        <v>1289.0</v>
      </c>
      <c r="C291" s="5" t="s">
        <v>1662</v>
      </c>
    </row>
    <row r="292">
      <c r="A292" s="13" t="s">
        <v>2368</v>
      </c>
      <c r="B292" s="6">
        <v>1290.0</v>
      </c>
      <c r="C292" s="13" t="s">
        <v>2369</v>
      </c>
    </row>
    <row r="293">
      <c r="A293" s="5" t="s">
        <v>1664</v>
      </c>
      <c r="B293" s="6">
        <v>1291.0</v>
      </c>
      <c r="C293" s="5" t="s">
        <v>1665</v>
      </c>
    </row>
    <row r="294">
      <c r="A294" s="13" t="s">
        <v>2370</v>
      </c>
      <c r="B294" s="6">
        <v>1292.0</v>
      </c>
      <c r="C294" s="13" t="s">
        <v>2371</v>
      </c>
    </row>
    <row r="295">
      <c r="A295" s="5" t="s">
        <v>246</v>
      </c>
      <c r="B295" s="6">
        <v>1293.0</v>
      </c>
      <c r="C295" s="5" t="s">
        <v>247</v>
      </c>
    </row>
    <row r="296">
      <c r="A296" s="13" t="s">
        <v>249</v>
      </c>
      <c r="B296" s="6">
        <v>1294.0</v>
      </c>
      <c r="C296" s="13" t="s">
        <v>250</v>
      </c>
    </row>
    <row r="297">
      <c r="A297" s="5" t="s">
        <v>252</v>
      </c>
      <c r="B297" s="6">
        <v>1295.0</v>
      </c>
      <c r="C297" s="5" t="s">
        <v>253</v>
      </c>
    </row>
    <row r="298">
      <c r="A298" s="13" t="s">
        <v>249</v>
      </c>
      <c r="B298" s="6">
        <v>1296.0</v>
      </c>
      <c r="C298" s="13" t="s">
        <v>1667</v>
      </c>
    </row>
    <row r="299">
      <c r="A299" s="5" t="s">
        <v>255</v>
      </c>
      <c r="B299" s="6">
        <v>1297.0</v>
      </c>
      <c r="C299" s="5" t="s">
        <v>256</v>
      </c>
    </row>
    <row r="300">
      <c r="A300" s="13" t="s">
        <v>1668</v>
      </c>
      <c r="B300" s="6">
        <v>1298.0</v>
      </c>
      <c r="C300" s="13" t="s">
        <v>1669</v>
      </c>
    </row>
    <row r="301">
      <c r="A301" s="5" t="s">
        <v>1671</v>
      </c>
      <c r="B301" s="6">
        <v>1299.0</v>
      </c>
      <c r="C301" s="5" t="s">
        <v>1672</v>
      </c>
    </row>
    <row r="302">
      <c r="A302" s="13" t="s">
        <v>258</v>
      </c>
      <c r="B302" s="6">
        <v>1300.0</v>
      </c>
      <c r="C302" s="13" t="s">
        <v>259</v>
      </c>
    </row>
    <row r="303">
      <c r="A303" s="5" t="s">
        <v>1674</v>
      </c>
      <c r="B303" s="6">
        <v>1301.0</v>
      </c>
      <c r="C303" s="5" t="s">
        <v>1675</v>
      </c>
    </row>
    <row r="304">
      <c r="A304" s="13" t="s">
        <v>1677</v>
      </c>
      <c r="B304" s="6">
        <v>1302.0</v>
      </c>
      <c r="C304" s="13" t="s">
        <v>1678</v>
      </c>
    </row>
    <row r="305">
      <c r="A305" s="5" t="s">
        <v>1680</v>
      </c>
      <c r="B305" s="6">
        <v>1303.0</v>
      </c>
      <c r="C305" s="5" t="s">
        <v>1681</v>
      </c>
    </row>
    <row r="306">
      <c r="A306" s="13" t="s">
        <v>1683</v>
      </c>
      <c r="B306" s="6">
        <v>1304.0</v>
      </c>
      <c r="C306" s="13" t="s">
        <v>1684</v>
      </c>
    </row>
    <row r="307">
      <c r="A307" s="5" t="s">
        <v>1686</v>
      </c>
      <c r="B307" s="6">
        <v>1305.0</v>
      </c>
      <c r="C307" s="5" t="s">
        <v>1687</v>
      </c>
    </row>
    <row r="308">
      <c r="A308" s="13" t="s">
        <v>261</v>
      </c>
      <c r="B308" s="6">
        <v>1306.0</v>
      </c>
      <c r="C308" s="13" t="s">
        <v>262</v>
      </c>
    </row>
    <row r="309">
      <c r="A309" s="5" t="s">
        <v>1689</v>
      </c>
      <c r="B309" s="6">
        <v>1307.0</v>
      </c>
      <c r="C309" s="5" t="s">
        <v>1690</v>
      </c>
    </row>
    <row r="310">
      <c r="A310" s="13" t="s">
        <v>264</v>
      </c>
      <c r="B310" s="6">
        <v>1308.0</v>
      </c>
      <c r="C310" s="13" t="s">
        <v>265</v>
      </c>
    </row>
    <row r="311">
      <c r="A311" s="5" t="s">
        <v>2372</v>
      </c>
      <c r="B311" s="6">
        <v>1309.0</v>
      </c>
      <c r="C311" s="5" t="s">
        <v>2373</v>
      </c>
    </row>
    <row r="312">
      <c r="A312" s="13" t="s">
        <v>844</v>
      </c>
      <c r="B312" s="6">
        <v>1310.0</v>
      </c>
      <c r="C312" s="13" t="s">
        <v>1692</v>
      </c>
    </row>
    <row r="313">
      <c r="A313" s="5" t="s">
        <v>2374</v>
      </c>
      <c r="B313" s="6">
        <v>1311.0</v>
      </c>
      <c r="C313" s="5" t="s">
        <v>2375</v>
      </c>
    </row>
    <row r="314">
      <c r="A314" s="13" t="s">
        <v>2376</v>
      </c>
      <c r="B314" s="6">
        <v>1312.0</v>
      </c>
      <c r="C314" s="13" t="s">
        <v>2377</v>
      </c>
    </row>
    <row r="315">
      <c r="A315" s="5" t="s">
        <v>267</v>
      </c>
      <c r="B315" s="6">
        <v>1313.0</v>
      </c>
      <c r="C315" s="5" t="s">
        <v>268</v>
      </c>
    </row>
    <row r="316">
      <c r="A316" s="5" t="s">
        <v>270</v>
      </c>
      <c r="B316" s="6">
        <v>1314.0</v>
      </c>
      <c r="C316" s="5" t="s">
        <v>271</v>
      </c>
    </row>
    <row r="317">
      <c r="A317" s="5" t="s">
        <v>273</v>
      </c>
      <c r="B317" s="6">
        <v>1315.0</v>
      </c>
      <c r="C317" s="5" t="s">
        <v>274</v>
      </c>
    </row>
    <row r="318">
      <c r="A318" s="13" t="s">
        <v>276</v>
      </c>
      <c r="B318" s="6">
        <v>1316.0</v>
      </c>
      <c r="C318" s="13" t="s">
        <v>277</v>
      </c>
    </row>
    <row r="319">
      <c r="A319" s="5" t="s">
        <v>1693</v>
      </c>
      <c r="B319" s="6">
        <v>1317.0</v>
      </c>
      <c r="C319" s="5" t="s">
        <v>1694</v>
      </c>
    </row>
    <row r="320">
      <c r="A320" s="13" t="s">
        <v>279</v>
      </c>
      <c r="B320" s="6">
        <v>1318.0</v>
      </c>
      <c r="C320" s="13" t="s">
        <v>280</v>
      </c>
    </row>
    <row r="321">
      <c r="A321" s="5" t="s">
        <v>2378</v>
      </c>
      <c r="B321" s="6">
        <v>1319.0</v>
      </c>
      <c r="C321" s="5" t="s">
        <v>2379</v>
      </c>
    </row>
    <row r="322">
      <c r="A322" s="13" t="s">
        <v>2378</v>
      </c>
      <c r="B322" s="6">
        <v>1320.0</v>
      </c>
      <c r="C322" s="13" t="s">
        <v>2380</v>
      </c>
    </row>
    <row r="323">
      <c r="A323" s="5" t="s">
        <v>2378</v>
      </c>
      <c r="B323" s="6">
        <v>1321.0</v>
      </c>
      <c r="C323" s="5" t="s">
        <v>2381</v>
      </c>
    </row>
    <row r="324">
      <c r="A324" s="13" t="s">
        <v>2378</v>
      </c>
      <c r="B324" s="6">
        <v>1322.0</v>
      </c>
      <c r="C324" s="13" t="s">
        <v>2382</v>
      </c>
    </row>
    <row r="325">
      <c r="A325" s="5" t="s">
        <v>1696</v>
      </c>
      <c r="B325" s="6">
        <v>1323.0</v>
      </c>
      <c r="C325" s="5" t="s">
        <v>1697</v>
      </c>
    </row>
    <row r="326">
      <c r="A326" s="13" t="s">
        <v>2383</v>
      </c>
      <c r="B326" s="6">
        <v>1324.0</v>
      </c>
      <c r="C326" s="13" t="s">
        <v>2384</v>
      </c>
    </row>
    <row r="327">
      <c r="A327" s="5" t="s">
        <v>2385</v>
      </c>
      <c r="B327" s="6">
        <v>1325.0</v>
      </c>
      <c r="C327" s="5" t="s">
        <v>2386</v>
      </c>
    </row>
    <row r="328">
      <c r="A328" s="13" t="s">
        <v>2387</v>
      </c>
      <c r="B328" s="6">
        <v>1326.0</v>
      </c>
      <c r="C328" s="32" t="s">
        <v>2388</v>
      </c>
    </row>
    <row r="329">
      <c r="A329" s="5" t="s">
        <v>2389</v>
      </c>
      <c r="B329" s="6">
        <v>1327.0</v>
      </c>
      <c r="C329" s="5" t="s">
        <v>2390</v>
      </c>
    </row>
    <row r="330">
      <c r="A330" s="13" t="s">
        <v>2391</v>
      </c>
      <c r="B330" s="6">
        <v>1328.0</v>
      </c>
      <c r="C330" s="13" t="s">
        <v>2392</v>
      </c>
    </row>
    <row r="331">
      <c r="A331" s="5" t="s">
        <v>2393</v>
      </c>
      <c r="B331" s="6">
        <v>1329.0</v>
      </c>
      <c r="C331" s="5" t="s">
        <v>2394</v>
      </c>
    </row>
    <row r="332">
      <c r="A332" s="13" t="s">
        <v>2395</v>
      </c>
      <c r="B332" s="6">
        <v>1330.0</v>
      </c>
      <c r="C332" s="32" t="s">
        <v>2396</v>
      </c>
    </row>
    <row r="333">
      <c r="A333" s="5" t="s">
        <v>2397</v>
      </c>
      <c r="B333" s="6">
        <v>1331.0</v>
      </c>
      <c r="C333" s="5" t="s">
        <v>2398</v>
      </c>
    </row>
    <row r="334">
      <c r="A334" s="13" t="s">
        <v>2399</v>
      </c>
      <c r="B334" s="6">
        <v>1332.0</v>
      </c>
      <c r="C334" s="13" t="s">
        <v>2400</v>
      </c>
    </row>
    <row r="335">
      <c r="A335" s="5" t="s">
        <v>2401</v>
      </c>
      <c r="B335" s="6">
        <v>1333.0</v>
      </c>
      <c r="C335" s="5" t="s">
        <v>2402</v>
      </c>
    </row>
    <row r="336">
      <c r="A336" s="13" t="s">
        <v>2403</v>
      </c>
      <c r="B336" s="6">
        <v>1334.0</v>
      </c>
      <c r="C336" s="13" t="s">
        <v>2404</v>
      </c>
    </row>
    <row r="337">
      <c r="A337" s="5" t="s">
        <v>2405</v>
      </c>
      <c r="B337" s="6">
        <v>1335.0</v>
      </c>
      <c r="C337" s="5" t="s">
        <v>2406</v>
      </c>
    </row>
    <row r="338">
      <c r="A338" s="13" t="s">
        <v>283</v>
      </c>
      <c r="B338" s="6">
        <v>1336.0</v>
      </c>
      <c r="C338" s="13" t="s">
        <v>284</v>
      </c>
    </row>
    <row r="339">
      <c r="A339" s="5" t="s">
        <v>2407</v>
      </c>
      <c r="B339" s="6">
        <v>1337.0</v>
      </c>
      <c r="C339" s="5" t="s">
        <v>2408</v>
      </c>
    </row>
    <row r="340">
      <c r="A340" s="13" t="s">
        <v>2409</v>
      </c>
      <c r="B340" s="6">
        <v>1338.0</v>
      </c>
      <c r="C340" s="13" t="s">
        <v>2410</v>
      </c>
    </row>
    <row r="341">
      <c r="A341" s="5" t="s">
        <v>2409</v>
      </c>
      <c r="B341" s="6">
        <v>1339.0</v>
      </c>
      <c r="C341" s="5" t="s">
        <v>2411</v>
      </c>
    </row>
    <row r="342">
      <c r="A342" s="13" t="s">
        <v>287</v>
      </c>
      <c r="B342" s="6">
        <v>1340.0</v>
      </c>
      <c r="C342" s="13" t="s">
        <v>288</v>
      </c>
    </row>
    <row r="343">
      <c r="A343" s="5" t="s">
        <v>289</v>
      </c>
      <c r="B343" s="6">
        <v>1341.0</v>
      </c>
      <c r="C343" s="5" t="s">
        <v>290</v>
      </c>
    </row>
    <row r="344">
      <c r="A344" s="13" t="s">
        <v>291</v>
      </c>
      <c r="B344" s="6">
        <v>1342.0</v>
      </c>
      <c r="C344" s="13" t="s">
        <v>292</v>
      </c>
    </row>
    <row r="345">
      <c r="A345" s="5" t="s">
        <v>294</v>
      </c>
      <c r="B345" s="6">
        <v>1343.0</v>
      </c>
      <c r="C345" s="5" t="s">
        <v>295</v>
      </c>
    </row>
    <row r="346">
      <c r="A346" s="13" t="s">
        <v>297</v>
      </c>
      <c r="B346" s="6">
        <v>1344.0</v>
      </c>
      <c r="C346" s="13" t="s">
        <v>298</v>
      </c>
    </row>
    <row r="347">
      <c r="A347" s="5" t="s">
        <v>299</v>
      </c>
      <c r="B347" s="6">
        <v>1345.0</v>
      </c>
      <c r="C347" s="5" t="s">
        <v>300</v>
      </c>
    </row>
    <row r="348">
      <c r="A348" s="13" t="s">
        <v>301</v>
      </c>
      <c r="B348" s="6">
        <v>1346.0</v>
      </c>
      <c r="C348" s="13" t="s">
        <v>302</v>
      </c>
    </row>
    <row r="349">
      <c r="A349" s="5" t="s">
        <v>304</v>
      </c>
      <c r="B349" s="6">
        <v>1347.0</v>
      </c>
      <c r="C349" s="5" t="s">
        <v>305</v>
      </c>
    </row>
    <row r="350">
      <c r="A350" s="13" t="s">
        <v>306</v>
      </c>
      <c r="B350" s="6">
        <v>1348.0</v>
      </c>
      <c r="C350" s="13" t="s">
        <v>307</v>
      </c>
    </row>
    <row r="351">
      <c r="A351" s="5" t="s">
        <v>308</v>
      </c>
      <c r="B351" s="6">
        <v>1349.0</v>
      </c>
      <c r="C351" s="5" t="s">
        <v>309</v>
      </c>
    </row>
    <row r="352">
      <c r="A352" s="13" t="s">
        <v>310</v>
      </c>
      <c r="B352" s="6">
        <v>1350.0</v>
      </c>
      <c r="C352" s="13" t="s">
        <v>311</v>
      </c>
    </row>
    <row r="353">
      <c r="A353" s="5" t="s">
        <v>312</v>
      </c>
      <c r="B353" s="6">
        <v>1351.0</v>
      </c>
      <c r="C353" s="5" t="s">
        <v>313</v>
      </c>
    </row>
    <row r="354">
      <c r="A354" s="13" t="s">
        <v>291</v>
      </c>
      <c r="B354" s="6">
        <v>1352.0</v>
      </c>
      <c r="C354" s="13" t="s">
        <v>314</v>
      </c>
    </row>
    <row r="355">
      <c r="A355" s="5" t="s">
        <v>316</v>
      </c>
      <c r="B355" s="6">
        <v>1353.0</v>
      </c>
      <c r="C355" s="5" t="s">
        <v>317</v>
      </c>
    </row>
    <row r="356">
      <c r="A356" s="13" t="s">
        <v>318</v>
      </c>
      <c r="B356" s="6">
        <v>1354.0</v>
      </c>
      <c r="C356" s="13" t="s">
        <v>319</v>
      </c>
    </row>
    <row r="357">
      <c r="A357" s="5" t="s">
        <v>320</v>
      </c>
      <c r="B357" s="6">
        <v>1355.0</v>
      </c>
      <c r="C357" s="5" t="s">
        <v>321</v>
      </c>
    </row>
    <row r="358">
      <c r="A358" s="13" t="s">
        <v>322</v>
      </c>
      <c r="B358" s="6">
        <v>1356.0</v>
      </c>
      <c r="C358" s="13" t="s">
        <v>323</v>
      </c>
    </row>
    <row r="359">
      <c r="A359" s="5" t="s">
        <v>325</v>
      </c>
      <c r="B359" s="6">
        <v>1357.0</v>
      </c>
      <c r="C359" s="5" t="s">
        <v>326</v>
      </c>
    </row>
    <row r="360">
      <c r="A360" s="13" t="s">
        <v>316</v>
      </c>
      <c r="B360" s="6">
        <v>1358.0</v>
      </c>
      <c r="C360" s="13" t="s">
        <v>327</v>
      </c>
    </row>
    <row r="361">
      <c r="A361" s="5" t="s">
        <v>325</v>
      </c>
      <c r="B361" s="6">
        <v>1359.0</v>
      </c>
      <c r="C361" s="5" t="s">
        <v>329</v>
      </c>
    </row>
    <row r="362">
      <c r="A362" s="13" t="s">
        <v>330</v>
      </c>
      <c r="B362" s="6">
        <v>1360.0</v>
      </c>
      <c r="C362" s="13" t="s">
        <v>331</v>
      </c>
    </row>
    <row r="363">
      <c r="A363" s="5" t="s">
        <v>333</v>
      </c>
      <c r="B363" s="6">
        <v>1361.0</v>
      </c>
      <c r="C363" s="5" t="s">
        <v>334</v>
      </c>
    </row>
    <row r="364">
      <c r="A364" s="13" t="s">
        <v>336</v>
      </c>
      <c r="B364" s="6">
        <v>1362.0</v>
      </c>
      <c r="C364" s="13" t="s">
        <v>337</v>
      </c>
    </row>
    <row r="365">
      <c r="A365" s="5" t="s">
        <v>339</v>
      </c>
      <c r="B365" s="6">
        <v>1363.0</v>
      </c>
      <c r="C365" s="5" t="s">
        <v>340</v>
      </c>
    </row>
    <row r="366">
      <c r="A366" s="13" t="s">
        <v>342</v>
      </c>
      <c r="B366" s="6">
        <v>1364.0</v>
      </c>
      <c r="C366" s="13" t="s">
        <v>343</v>
      </c>
    </row>
    <row r="367">
      <c r="A367" s="5" t="s">
        <v>1699</v>
      </c>
      <c r="B367" s="6">
        <v>1365.0</v>
      </c>
      <c r="C367" s="5" t="s">
        <v>1700</v>
      </c>
    </row>
    <row r="368">
      <c r="A368" s="13" t="s">
        <v>1703</v>
      </c>
      <c r="B368" s="6">
        <v>1366.0</v>
      </c>
      <c r="C368" s="13" t="s">
        <v>1704</v>
      </c>
    </row>
    <row r="369">
      <c r="A369" s="5" t="s">
        <v>1706</v>
      </c>
      <c r="B369" s="6">
        <v>1367.0</v>
      </c>
      <c r="C369" s="5" t="s">
        <v>1707</v>
      </c>
    </row>
    <row r="370">
      <c r="A370" s="13" t="s">
        <v>345</v>
      </c>
      <c r="B370" s="6">
        <v>1368.0</v>
      </c>
      <c r="C370" s="13" t="s">
        <v>346</v>
      </c>
    </row>
    <row r="371">
      <c r="A371" s="5" t="s">
        <v>2412</v>
      </c>
      <c r="B371" s="6">
        <v>1369.0</v>
      </c>
      <c r="C371" s="5" t="s">
        <v>2413</v>
      </c>
    </row>
    <row r="372">
      <c r="A372" s="5" t="s">
        <v>2414</v>
      </c>
      <c r="B372" s="6">
        <v>1370.0</v>
      </c>
      <c r="C372" s="5" t="s">
        <v>2415</v>
      </c>
    </row>
    <row r="373">
      <c r="A373" s="13" t="s">
        <v>348</v>
      </c>
      <c r="B373" s="6">
        <v>1371.0</v>
      </c>
      <c r="C373" s="13" t="s">
        <v>349</v>
      </c>
    </row>
    <row r="374">
      <c r="A374" s="5" t="s">
        <v>351</v>
      </c>
      <c r="B374" s="6">
        <v>1372.0</v>
      </c>
      <c r="C374" s="5" t="s">
        <v>352</v>
      </c>
    </row>
    <row r="375">
      <c r="A375" s="13" t="s">
        <v>1709</v>
      </c>
      <c r="B375" s="6">
        <v>1373.0</v>
      </c>
      <c r="C375" s="13" t="s">
        <v>1710</v>
      </c>
    </row>
    <row r="376">
      <c r="A376" s="5" t="s">
        <v>354</v>
      </c>
      <c r="B376" s="6">
        <v>1374.0</v>
      </c>
      <c r="C376" s="5" t="s">
        <v>355</v>
      </c>
    </row>
    <row r="377">
      <c r="A377" s="13" t="s">
        <v>357</v>
      </c>
      <c r="B377" s="6">
        <v>1375.0</v>
      </c>
      <c r="C377" s="13" t="s">
        <v>358</v>
      </c>
    </row>
    <row r="378">
      <c r="A378" s="5" t="s">
        <v>361</v>
      </c>
      <c r="B378" s="6">
        <v>1376.0</v>
      </c>
      <c r="C378" s="5" t="s">
        <v>362</v>
      </c>
    </row>
    <row r="379">
      <c r="A379" s="13" t="s">
        <v>364</v>
      </c>
      <c r="B379" s="6">
        <v>1377.0</v>
      </c>
      <c r="C379" s="13" t="s">
        <v>365</v>
      </c>
    </row>
    <row r="380">
      <c r="A380" s="5" t="s">
        <v>368</v>
      </c>
      <c r="B380" s="6">
        <v>1378.0</v>
      </c>
      <c r="C380" s="5" t="s">
        <v>369</v>
      </c>
    </row>
    <row r="381">
      <c r="A381" s="13" t="s">
        <v>371</v>
      </c>
      <c r="B381" s="6">
        <v>1379.0</v>
      </c>
      <c r="C381" s="13" t="s">
        <v>372</v>
      </c>
    </row>
    <row r="382">
      <c r="A382" s="5" t="s">
        <v>374</v>
      </c>
      <c r="B382" s="6">
        <v>1380.0</v>
      </c>
      <c r="C382" s="5" t="s">
        <v>375</v>
      </c>
    </row>
    <row r="383">
      <c r="A383" s="5" t="s">
        <v>2416</v>
      </c>
      <c r="B383" s="6">
        <v>1381.0</v>
      </c>
      <c r="C383" s="5" t="s">
        <v>2417</v>
      </c>
    </row>
    <row r="384">
      <c r="A384" s="13" t="s">
        <v>2418</v>
      </c>
      <c r="B384" s="6">
        <v>1382.0</v>
      </c>
      <c r="C384" s="13" t="s">
        <v>2419</v>
      </c>
    </row>
    <row r="385">
      <c r="A385" s="5" t="s">
        <v>2420</v>
      </c>
      <c r="B385" s="6">
        <v>1383.0</v>
      </c>
      <c r="C385" s="5" t="s">
        <v>2421</v>
      </c>
    </row>
    <row r="386">
      <c r="A386" s="13" t="s">
        <v>2422</v>
      </c>
      <c r="B386" s="6">
        <v>1384.0</v>
      </c>
      <c r="C386" s="13" t="s">
        <v>2423</v>
      </c>
    </row>
    <row r="387">
      <c r="A387" s="5" t="s">
        <v>377</v>
      </c>
      <c r="B387" s="6">
        <v>1385.0</v>
      </c>
      <c r="C387" s="5" t="s">
        <v>378</v>
      </c>
    </row>
    <row r="388">
      <c r="A388" s="13" t="s">
        <v>380</v>
      </c>
      <c r="B388" s="6">
        <v>1386.0</v>
      </c>
      <c r="C388" s="13" t="s">
        <v>381</v>
      </c>
    </row>
    <row r="389">
      <c r="A389" s="5" t="s">
        <v>1453</v>
      </c>
      <c r="B389" s="6">
        <v>1387.0</v>
      </c>
      <c r="C389" s="5" t="s">
        <v>2424</v>
      </c>
    </row>
    <row r="390">
      <c r="A390" s="13" t="s">
        <v>174</v>
      </c>
      <c r="B390" s="6">
        <v>1388.0</v>
      </c>
      <c r="C390" s="13" t="s">
        <v>2425</v>
      </c>
    </row>
    <row r="391">
      <c r="A391" s="5" t="s">
        <v>1453</v>
      </c>
      <c r="B391" s="6">
        <v>1389.0</v>
      </c>
      <c r="C391" s="5" t="s">
        <v>2426</v>
      </c>
    </row>
    <row r="392">
      <c r="A392" s="13" t="s">
        <v>174</v>
      </c>
      <c r="B392" s="6">
        <v>1390.0</v>
      </c>
      <c r="C392" s="13" t="s">
        <v>2427</v>
      </c>
    </row>
    <row r="393">
      <c r="A393" s="5" t="s">
        <v>384</v>
      </c>
      <c r="B393" s="6">
        <v>1391.0</v>
      </c>
      <c r="C393" s="5" t="s">
        <v>385</v>
      </c>
    </row>
    <row r="394">
      <c r="A394" s="13" t="s">
        <v>387</v>
      </c>
      <c r="B394" s="6">
        <v>1392.0</v>
      </c>
      <c r="C394" s="13" t="s">
        <v>388</v>
      </c>
    </row>
    <row r="395">
      <c r="A395" s="5" t="s">
        <v>387</v>
      </c>
      <c r="B395" s="6">
        <v>1393.0</v>
      </c>
      <c r="C395" s="5" t="s">
        <v>390</v>
      </c>
    </row>
    <row r="396">
      <c r="A396" s="13" t="s">
        <v>391</v>
      </c>
      <c r="B396" s="6">
        <v>1394.0</v>
      </c>
      <c r="C396" s="13" t="s">
        <v>392</v>
      </c>
    </row>
    <row r="397">
      <c r="A397" s="5" t="s">
        <v>394</v>
      </c>
      <c r="B397" s="6">
        <v>1395.0</v>
      </c>
      <c r="C397" s="5" t="s">
        <v>395</v>
      </c>
    </row>
    <row r="398">
      <c r="A398" s="13" t="s">
        <v>397</v>
      </c>
      <c r="B398" s="6">
        <v>1396.0</v>
      </c>
      <c r="C398" s="13" t="s">
        <v>398</v>
      </c>
    </row>
    <row r="399">
      <c r="A399" s="5" t="s">
        <v>400</v>
      </c>
      <c r="B399" s="6">
        <v>1397.0</v>
      </c>
      <c r="C399" s="5" t="s">
        <v>401</v>
      </c>
    </row>
    <row r="400">
      <c r="A400" s="13" t="s">
        <v>403</v>
      </c>
      <c r="B400" s="6">
        <v>1398.0</v>
      </c>
      <c r="C400" s="13" t="s">
        <v>404</v>
      </c>
    </row>
    <row r="401">
      <c r="A401" s="5" t="s">
        <v>406</v>
      </c>
      <c r="B401" s="6">
        <v>1399.0</v>
      </c>
      <c r="C401" s="5" t="s">
        <v>407</v>
      </c>
    </row>
    <row r="402">
      <c r="A402" s="13" t="s">
        <v>409</v>
      </c>
      <c r="B402" s="6">
        <v>1400.0</v>
      </c>
      <c r="C402" s="13" t="s">
        <v>410</v>
      </c>
    </row>
    <row r="403">
      <c r="A403" s="5" t="s">
        <v>412</v>
      </c>
      <c r="B403" s="6">
        <v>1401.0</v>
      </c>
      <c r="C403" s="5" t="s">
        <v>413</v>
      </c>
    </row>
    <row r="404">
      <c r="A404" s="13" t="s">
        <v>415</v>
      </c>
      <c r="B404" s="6">
        <v>1402.0</v>
      </c>
      <c r="C404" s="13" t="s">
        <v>416</v>
      </c>
    </row>
    <row r="405">
      <c r="A405" s="5" t="s">
        <v>418</v>
      </c>
      <c r="B405" s="6">
        <v>1403.0</v>
      </c>
      <c r="C405" s="5" t="s">
        <v>419</v>
      </c>
    </row>
    <row r="406">
      <c r="A406" s="13" t="s">
        <v>421</v>
      </c>
      <c r="B406" s="6">
        <v>1404.0</v>
      </c>
      <c r="C406" s="13" t="s">
        <v>422</v>
      </c>
    </row>
    <row r="407">
      <c r="A407" s="5" t="s">
        <v>2428</v>
      </c>
      <c r="B407" s="6">
        <v>1405.0</v>
      </c>
      <c r="C407" s="5" t="s">
        <v>2429</v>
      </c>
    </row>
    <row r="408">
      <c r="A408" s="13" t="s">
        <v>2430</v>
      </c>
      <c r="B408" s="6">
        <v>1406.0</v>
      </c>
      <c r="C408" s="13" t="s">
        <v>2431</v>
      </c>
    </row>
    <row r="409">
      <c r="A409" s="13" t="s">
        <v>2432</v>
      </c>
      <c r="B409" s="6">
        <v>1407.0</v>
      </c>
      <c r="C409" s="13" t="s">
        <v>2433</v>
      </c>
    </row>
    <row r="410">
      <c r="A410" s="13" t="s">
        <v>424</v>
      </c>
      <c r="B410" s="6">
        <v>1408.0</v>
      </c>
      <c r="C410" s="13" t="s">
        <v>425</v>
      </c>
    </row>
    <row r="411">
      <c r="A411" s="5" t="s">
        <v>428</v>
      </c>
      <c r="B411" s="6">
        <v>1409.0</v>
      </c>
      <c r="C411" s="5" t="s">
        <v>429</v>
      </c>
    </row>
    <row r="412">
      <c r="A412" s="5" t="s">
        <v>431</v>
      </c>
      <c r="B412" s="6">
        <v>1410.0</v>
      </c>
      <c r="C412" s="5" t="s">
        <v>2434</v>
      </c>
    </row>
    <row r="413">
      <c r="A413" s="13" t="s">
        <v>431</v>
      </c>
      <c r="B413" s="6">
        <v>1411.0</v>
      </c>
      <c r="C413" s="32" t="s">
        <v>2435</v>
      </c>
    </row>
    <row r="414">
      <c r="A414" s="5" t="s">
        <v>431</v>
      </c>
      <c r="B414" s="6">
        <v>1412.0</v>
      </c>
      <c r="C414" s="5" t="s">
        <v>432</v>
      </c>
    </row>
    <row r="415">
      <c r="A415" s="13" t="s">
        <v>434</v>
      </c>
      <c r="B415" s="6">
        <v>1413.0</v>
      </c>
      <c r="C415" s="13" t="s">
        <v>435</v>
      </c>
    </row>
    <row r="416">
      <c r="A416" s="5" t="s">
        <v>2436</v>
      </c>
      <c r="B416" s="6">
        <v>1414.0</v>
      </c>
      <c r="C416" s="5" t="s">
        <v>2437</v>
      </c>
    </row>
    <row r="417">
      <c r="A417" s="13" t="s">
        <v>431</v>
      </c>
      <c r="B417" s="6">
        <v>1415.0</v>
      </c>
      <c r="C417" s="13" t="s">
        <v>437</v>
      </c>
    </row>
    <row r="418">
      <c r="A418" s="5" t="s">
        <v>438</v>
      </c>
      <c r="B418" s="6">
        <v>1416.0</v>
      </c>
      <c r="C418" s="5" t="s">
        <v>439</v>
      </c>
    </row>
    <row r="419">
      <c r="A419" s="13" t="s">
        <v>431</v>
      </c>
      <c r="B419" s="6">
        <v>1417.0</v>
      </c>
      <c r="C419" s="35" t="s">
        <v>441</v>
      </c>
    </row>
    <row r="420">
      <c r="A420" s="5" t="s">
        <v>431</v>
      </c>
      <c r="B420" s="6">
        <v>1418.0</v>
      </c>
      <c r="C420" s="34" t="s">
        <v>2438</v>
      </c>
    </row>
    <row r="421">
      <c r="A421" s="13" t="s">
        <v>442</v>
      </c>
      <c r="B421" s="6">
        <v>1419.0</v>
      </c>
      <c r="C421" s="13" t="s">
        <v>443</v>
      </c>
    </row>
    <row r="422">
      <c r="A422" s="5" t="s">
        <v>2439</v>
      </c>
      <c r="B422" s="6">
        <v>1420.0</v>
      </c>
      <c r="C422" s="5" t="s">
        <v>2440</v>
      </c>
    </row>
    <row r="423">
      <c r="A423" s="13" t="s">
        <v>1712</v>
      </c>
      <c r="B423" s="6">
        <v>1421.0</v>
      </c>
      <c r="C423" s="13" t="s">
        <v>1713</v>
      </c>
    </row>
    <row r="424">
      <c r="A424" s="5" t="s">
        <v>1715</v>
      </c>
      <c r="B424" s="6">
        <v>1422.0</v>
      </c>
      <c r="C424" s="5" t="s">
        <v>1716</v>
      </c>
    </row>
    <row r="425">
      <c r="A425" s="13" t="s">
        <v>431</v>
      </c>
      <c r="B425" s="6">
        <v>1423.0</v>
      </c>
      <c r="C425" s="13" t="s">
        <v>445</v>
      </c>
    </row>
    <row r="426">
      <c r="A426" s="5" t="s">
        <v>1718</v>
      </c>
      <c r="B426" s="6">
        <v>1424.0</v>
      </c>
      <c r="C426" s="5" t="s">
        <v>1719</v>
      </c>
    </row>
    <row r="427">
      <c r="A427" s="13" t="s">
        <v>446</v>
      </c>
      <c r="B427" s="6">
        <v>1425.0</v>
      </c>
      <c r="C427" s="13" t="s">
        <v>447</v>
      </c>
    </row>
    <row r="428">
      <c r="A428" s="5" t="s">
        <v>1721</v>
      </c>
      <c r="B428" s="6">
        <v>1426.0</v>
      </c>
      <c r="C428" s="5" t="s">
        <v>1722</v>
      </c>
    </row>
    <row r="429">
      <c r="A429" s="13" t="s">
        <v>449</v>
      </c>
      <c r="B429" s="6">
        <v>1427.0</v>
      </c>
      <c r="C429" s="13" t="s">
        <v>450</v>
      </c>
    </row>
    <row r="430">
      <c r="A430" s="5" t="s">
        <v>452</v>
      </c>
      <c r="B430" s="6">
        <v>1428.0</v>
      </c>
      <c r="C430" s="5" t="s">
        <v>453</v>
      </c>
    </row>
    <row r="431">
      <c r="A431" s="13" t="s">
        <v>455</v>
      </c>
      <c r="B431" s="6">
        <v>1429.0</v>
      </c>
      <c r="C431" s="32" t="s">
        <v>456</v>
      </c>
    </row>
    <row r="432">
      <c r="A432" s="5" t="s">
        <v>458</v>
      </c>
      <c r="B432" s="6">
        <v>1430.0</v>
      </c>
      <c r="C432" s="5" t="s">
        <v>459</v>
      </c>
    </row>
    <row r="433">
      <c r="A433" s="13" t="s">
        <v>461</v>
      </c>
      <c r="B433" s="6">
        <v>1431.0</v>
      </c>
      <c r="C433" s="13" t="s">
        <v>462</v>
      </c>
    </row>
    <row r="434">
      <c r="A434" s="5" t="s">
        <v>464</v>
      </c>
      <c r="B434" s="6">
        <v>1432.0</v>
      </c>
      <c r="C434" s="33" t="s">
        <v>465</v>
      </c>
    </row>
    <row r="435">
      <c r="A435" s="13" t="s">
        <v>467</v>
      </c>
      <c r="B435" s="6">
        <v>1433.0</v>
      </c>
      <c r="C435" s="13" t="s">
        <v>468</v>
      </c>
    </row>
    <row r="436">
      <c r="A436" s="5" t="s">
        <v>470</v>
      </c>
      <c r="B436" s="6">
        <v>1434.0</v>
      </c>
      <c r="C436" s="33" t="s">
        <v>471</v>
      </c>
    </row>
    <row r="437">
      <c r="A437" s="13" t="s">
        <v>473</v>
      </c>
      <c r="B437" s="6">
        <v>1435.0</v>
      </c>
      <c r="C437" s="13" t="s">
        <v>474</v>
      </c>
    </row>
    <row r="438">
      <c r="A438" s="5" t="s">
        <v>476</v>
      </c>
      <c r="B438" s="6">
        <v>1436.0</v>
      </c>
      <c r="C438" s="5" t="s">
        <v>477</v>
      </c>
    </row>
    <row r="439">
      <c r="A439" s="13" t="s">
        <v>479</v>
      </c>
      <c r="B439" s="6">
        <v>1437.0</v>
      </c>
      <c r="C439" s="32" t="s">
        <v>480</v>
      </c>
    </row>
    <row r="440">
      <c r="A440" s="5" t="s">
        <v>482</v>
      </c>
      <c r="B440" s="6">
        <v>1438.0</v>
      </c>
      <c r="C440" s="33" t="s">
        <v>483</v>
      </c>
    </row>
    <row r="441">
      <c r="A441" s="13" t="s">
        <v>431</v>
      </c>
      <c r="B441" s="6">
        <v>1439.0</v>
      </c>
      <c r="C441" s="13" t="s">
        <v>485</v>
      </c>
    </row>
    <row r="442">
      <c r="A442" s="5" t="s">
        <v>486</v>
      </c>
      <c r="B442" s="6">
        <v>1440.0</v>
      </c>
      <c r="C442" s="5" t="s">
        <v>487</v>
      </c>
    </row>
    <row r="443">
      <c r="A443" s="13" t="s">
        <v>489</v>
      </c>
      <c r="B443" s="6">
        <v>1441.0</v>
      </c>
      <c r="C443" s="13" t="s">
        <v>490</v>
      </c>
    </row>
    <row r="444">
      <c r="A444" s="5" t="s">
        <v>492</v>
      </c>
      <c r="B444" s="6">
        <v>1442.0</v>
      </c>
      <c r="C444" s="34" t="s">
        <v>493</v>
      </c>
    </row>
    <row r="445">
      <c r="A445" s="13" t="s">
        <v>492</v>
      </c>
      <c r="B445" s="6">
        <v>1443.0</v>
      </c>
      <c r="C445" s="13" t="s">
        <v>495</v>
      </c>
    </row>
    <row r="446">
      <c r="A446" s="5" t="s">
        <v>2441</v>
      </c>
      <c r="B446" s="6">
        <v>1444.0</v>
      </c>
      <c r="C446" s="5" t="s">
        <v>2442</v>
      </c>
    </row>
    <row r="447">
      <c r="A447" s="13" t="s">
        <v>496</v>
      </c>
      <c r="B447" s="6">
        <v>1445.0</v>
      </c>
      <c r="C447" s="13" t="s">
        <v>497</v>
      </c>
    </row>
    <row r="448">
      <c r="A448" s="5" t="s">
        <v>499</v>
      </c>
      <c r="B448" s="6">
        <v>1446.0</v>
      </c>
      <c r="C448" s="33" t="s">
        <v>500</v>
      </c>
    </row>
    <row r="449">
      <c r="A449" s="13" t="s">
        <v>502</v>
      </c>
      <c r="B449" s="6">
        <v>1447.0</v>
      </c>
      <c r="C449" s="13" t="s">
        <v>503</v>
      </c>
    </row>
    <row r="450">
      <c r="A450" s="5" t="s">
        <v>505</v>
      </c>
      <c r="B450" s="6">
        <v>1448.0</v>
      </c>
      <c r="C450" s="5" t="s">
        <v>506</v>
      </c>
    </row>
    <row r="451">
      <c r="A451" s="13" t="s">
        <v>508</v>
      </c>
      <c r="B451" s="6">
        <v>1449.0</v>
      </c>
      <c r="C451" s="13" t="s">
        <v>509</v>
      </c>
    </row>
    <row r="452">
      <c r="A452" s="5" t="s">
        <v>511</v>
      </c>
      <c r="B452" s="6">
        <v>1450.0</v>
      </c>
      <c r="C452" s="5" t="s">
        <v>512</v>
      </c>
    </row>
    <row r="453">
      <c r="A453" s="13" t="s">
        <v>514</v>
      </c>
      <c r="B453" s="6">
        <v>1451.0</v>
      </c>
      <c r="C453" s="13" t="s">
        <v>515</v>
      </c>
    </row>
    <row r="454">
      <c r="A454" s="5" t="s">
        <v>2443</v>
      </c>
      <c r="B454" s="6">
        <v>1452.0</v>
      </c>
      <c r="C454" s="5" t="s">
        <v>2444</v>
      </c>
    </row>
    <row r="455">
      <c r="A455" s="13" t="s">
        <v>2445</v>
      </c>
      <c r="B455" s="6">
        <v>1453.0</v>
      </c>
      <c r="C455" s="13" t="s">
        <v>2446</v>
      </c>
    </row>
    <row r="456">
      <c r="A456" s="5" t="s">
        <v>2445</v>
      </c>
      <c r="B456" s="6">
        <v>1454.0</v>
      </c>
      <c r="C456" s="5" t="s">
        <v>2447</v>
      </c>
    </row>
    <row r="457">
      <c r="A457" s="13" t="s">
        <v>2445</v>
      </c>
      <c r="B457" s="6">
        <v>1455.0</v>
      </c>
      <c r="C457" s="13" t="s">
        <v>2448</v>
      </c>
    </row>
    <row r="458">
      <c r="A458" s="5" t="s">
        <v>2449</v>
      </c>
      <c r="B458" s="6">
        <v>1456.0</v>
      </c>
      <c r="C458" s="5" t="s">
        <v>2450</v>
      </c>
    </row>
    <row r="459">
      <c r="A459" s="13" t="s">
        <v>517</v>
      </c>
      <c r="B459" s="6">
        <v>1457.0</v>
      </c>
      <c r="C459" s="13" t="s">
        <v>518</v>
      </c>
    </row>
    <row r="460">
      <c r="A460" s="13" t="s">
        <v>521</v>
      </c>
      <c r="B460" s="6">
        <v>1458.0</v>
      </c>
      <c r="C460" s="13" t="s">
        <v>522</v>
      </c>
    </row>
    <row r="461">
      <c r="A461" s="5" t="s">
        <v>524</v>
      </c>
      <c r="B461" s="6">
        <v>1459.0</v>
      </c>
      <c r="C461" s="5" t="s">
        <v>525</v>
      </c>
    </row>
    <row r="462">
      <c r="A462" s="13" t="s">
        <v>527</v>
      </c>
      <c r="B462" s="6">
        <v>1460.0</v>
      </c>
      <c r="C462" s="13" t="s">
        <v>528</v>
      </c>
    </row>
    <row r="463">
      <c r="A463" s="13" t="s">
        <v>530</v>
      </c>
      <c r="B463" s="6">
        <v>1461.0</v>
      </c>
      <c r="C463" s="13" t="s">
        <v>531</v>
      </c>
    </row>
    <row r="464">
      <c r="A464" s="5" t="s">
        <v>533</v>
      </c>
      <c r="B464" s="6">
        <v>1462.0</v>
      </c>
      <c r="C464" s="5" t="s">
        <v>534</v>
      </c>
    </row>
    <row r="465">
      <c r="A465" s="13" t="s">
        <v>536</v>
      </c>
      <c r="B465" s="6">
        <v>1463.0</v>
      </c>
      <c r="C465" s="13" t="s">
        <v>537</v>
      </c>
    </row>
    <row r="466">
      <c r="A466" s="13" t="s">
        <v>527</v>
      </c>
      <c r="B466" s="6">
        <v>1464.0</v>
      </c>
      <c r="C466" s="13" t="s">
        <v>539</v>
      </c>
    </row>
    <row r="467">
      <c r="A467" s="13" t="s">
        <v>540</v>
      </c>
      <c r="B467" s="6">
        <v>1465.0</v>
      </c>
      <c r="C467" s="13" t="s">
        <v>541</v>
      </c>
    </row>
    <row r="468">
      <c r="A468" s="13" t="s">
        <v>2451</v>
      </c>
      <c r="B468" s="6">
        <v>1466.0</v>
      </c>
      <c r="C468" s="13" t="s">
        <v>2452</v>
      </c>
    </row>
    <row r="469">
      <c r="A469" s="13" t="s">
        <v>543</v>
      </c>
      <c r="B469" s="6">
        <v>1467.0</v>
      </c>
      <c r="C469" s="13" t="s">
        <v>544</v>
      </c>
    </row>
    <row r="470">
      <c r="A470" s="5" t="s">
        <v>546</v>
      </c>
      <c r="B470" s="6">
        <v>1468.0</v>
      </c>
      <c r="C470" s="5" t="s">
        <v>547</v>
      </c>
    </row>
    <row r="471">
      <c r="A471" s="13" t="s">
        <v>527</v>
      </c>
      <c r="B471" s="6">
        <v>1469.0</v>
      </c>
      <c r="C471" s="13" t="s">
        <v>549</v>
      </c>
    </row>
    <row r="472">
      <c r="A472" s="13" t="s">
        <v>550</v>
      </c>
      <c r="B472" s="6">
        <v>1470.0</v>
      </c>
      <c r="C472" s="13" t="s">
        <v>551</v>
      </c>
    </row>
    <row r="473">
      <c r="A473" s="5" t="s">
        <v>553</v>
      </c>
      <c r="B473" s="6">
        <v>1471.0</v>
      </c>
      <c r="C473" s="5" t="s">
        <v>554</v>
      </c>
    </row>
    <row r="474">
      <c r="A474" s="13" t="s">
        <v>2453</v>
      </c>
      <c r="B474" s="6">
        <v>1472.0</v>
      </c>
      <c r="C474" s="13" t="s">
        <v>2454</v>
      </c>
    </row>
    <row r="475">
      <c r="A475" s="5" t="s">
        <v>556</v>
      </c>
      <c r="B475" s="6">
        <v>1473.0</v>
      </c>
      <c r="C475" s="5" t="s">
        <v>557</v>
      </c>
    </row>
    <row r="476">
      <c r="A476" s="13" t="s">
        <v>559</v>
      </c>
      <c r="B476" s="6">
        <v>1474.0</v>
      </c>
      <c r="C476" s="13" t="s">
        <v>560</v>
      </c>
    </row>
    <row r="477">
      <c r="A477" s="5" t="s">
        <v>2455</v>
      </c>
      <c r="B477" s="6">
        <v>1475.0</v>
      </c>
      <c r="C477" s="5" t="s">
        <v>2456</v>
      </c>
    </row>
    <row r="478">
      <c r="A478" s="13" t="s">
        <v>562</v>
      </c>
      <c r="B478" s="6">
        <v>1476.0</v>
      </c>
      <c r="C478" s="13" t="s">
        <v>563</v>
      </c>
    </row>
    <row r="479">
      <c r="A479" s="13" t="s">
        <v>1724</v>
      </c>
      <c r="B479" s="6">
        <v>1477.0</v>
      </c>
      <c r="C479" s="13" t="s">
        <v>1725</v>
      </c>
    </row>
    <row r="480">
      <c r="A480" s="5" t="s">
        <v>1724</v>
      </c>
      <c r="B480" s="6">
        <v>1478.0</v>
      </c>
      <c r="C480" s="5" t="s">
        <v>2457</v>
      </c>
    </row>
    <row r="481">
      <c r="A481" s="13" t="s">
        <v>2458</v>
      </c>
      <c r="B481" s="6">
        <v>1479.0</v>
      </c>
      <c r="C481" s="13" t="s">
        <v>2459</v>
      </c>
    </row>
    <row r="482">
      <c r="A482" s="13" t="s">
        <v>2460</v>
      </c>
      <c r="B482" s="6">
        <v>1480.0</v>
      </c>
      <c r="C482" s="13" t="s">
        <v>2461</v>
      </c>
    </row>
    <row r="483">
      <c r="A483" s="5" t="s">
        <v>1728</v>
      </c>
      <c r="B483" s="6">
        <v>1481.0</v>
      </c>
      <c r="C483" s="5" t="s">
        <v>1729</v>
      </c>
    </row>
    <row r="484">
      <c r="A484" s="13" t="s">
        <v>1728</v>
      </c>
      <c r="B484" s="6">
        <v>1482.0</v>
      </c>
      <c r="C484" s="13" t="s">
        <v>2462</v>
      </c>
    </row>
    <row r="485">
      <c r="A485" s="5" t="s">
        <v>1732</v>
      </c>
      <c r="B485" s="6">
        <v>1483.0</v>
      </c>
      <c r="C485" s="5" t="s">
        <v>1733</v>
      </c>
    </row>
    <row r="486">
      <c r="A486" s="13" t="s">
        <v>2463</v>
      </c>
      <c r="B486" s="6">
        <v>1484.0</v>
      </c>
      <c r="C486" s="13" t="s">
        <v>2464</v>
      </c>
    </row>
    <row r="487">
      <c r="A487" s="5" t="s">
        <v>556</v>
      </c>
      <c r="B487" s="6">
        <v>1485.0</v>
      </c>
      <c r="C487" s="33" t="s">
        <v>2465</v>
      </c>
    </row>
    <row r="488">
      <c r="A488" s="13" t="s">
        <v>556</v>
      </c>
      <c r="B488" s="6">
        <v>1486.0</v>
      </c>
      <c r="C488" s="32" t="s">
        <v>2466</v>
      </c>
    </row>
    <row r="489">
      <c r="A489" s="5" t="s">
        <v>1735</v>
      </c>
      <c r="B489" s="6">
        <v>1487.0</v>
      </c>
      <c r="C489" s="5" t="s">
        <v>1736</v>
      </c>
    </row>
    <row r="490">
      <c r="A490" s="13" t="s">
        <v>2467</v>
      </c>
      <c r="B490" s="6">
        <v>1488.0</v>
      </c>
      <c r="C490" s="13" t="s">
        <v>2468</v>
      </c>
    </row>
    <row r="491">
      <c r="A491" s="5" t="s">
        <v>1738</v>
      </c>
      <c r="B491" s="6">
        <v>1489.0</v>
      </c>
      <c r="C491" s="5" t="s">
        <v>1739</v>
      </c>
    </row>
    <row r="492">
      <c r="A492" s="13" t="s">
        <v>1741</v>
      </c>
      <c r="B492" s="6">
        <v>1490.0</v>
      </c>
      <c r="C492" s="13" t="s">
        <v>1742</v>
      </c>
    </row>
    <row r="493">
      <c r="A493" s="5" t="s">
        <v>565</v>
      </c>
      <c r="B493" s="6">
        <v>1491.0</v>
      </c>
      <c r="C493" s="5" t="s">
        <v>566</v>
      </c>
    </row>
    <row r="494">
      <c r="A494" s="13" t="s">
        <v>568</v>
      </c>
      <c r="B494" s="6">
        <v>1492.0</v>
      </c>
      <c r="C494" s="13" t="s">
        <v>569</v>
      </c>
    </row>
    <row r="495">
      <c r="A495" s="5" t="s">
        <v>1744</v>
      </c>
      <c r="B495" s="6">
        <v>1493.0</v>
      </c>
      <c r="C495" s="5" t="s">
        <v>1745</v>
      </c>
    </row>
    <row r="496">
      <c r="A496" s="13" t="s">
        <v>1747</v>
      </c>
      <c r="B496" s="6">
        <v>1494.0</v>
      </c>
      <c r="C496" s="13" t="s">
        <v>1748</v>
      </c>
    </row>
    <row r="497">
      <c r="A497" s="5" t="s">
        <v>1750</v>
      </c>
      <c r="B497" s="6">
        <v>1495.0</v>
      </c>
      <c r="C497" s="5" t="s">
        <v>1751</v>
      </c>
    </row>
    <row r="498">
      <c r="A498" s="13" t="s">
        <v>2469</v>
      </c>
      <c r="B498" s="6">
        <v>1496.0</v>
      </c>
      <c r="C498" s="13" t="s">
        <v>2470</v>
      </c>
    </row>
    <row r="499">
      <c r="A499" s="5" t="s">
        <v>1753</v>
      </c>
      <c r="B499" s="6">
        <v>1497.0</v>
      </c>
      <c r="C499" s="5" t="s">
        <v>1754</v>
      </c>
    </row>
    <row r="500">
      <c r="A500" s="13" t="s">
        <v>1756</v>
      </c>
      <c r="B500" s="6">
        <v>1498.0</v>
      </c>
      <c r="C500" s="13" t="s">
        <v>1757</v>
      </c>
    </row>
    <row r="501">
      <c r="A501" s="5" t="s">
        <v>2471</v>
      </c>
      <c r="B501" s="6">
        <v>1499.0</v>
      </c>
      <c r="C501" s="5" t="s">
        <v>2472</v>
      </c>
    </row>
    <row r="502">
      <c r="A502" s="13" t="s">
        <v>571</v>
      </c>
      <c r="B502" s="6">
        <v>1500.0</v>
      </c>
      <c r="C502" s="13" t="s">
        <v>572</v>
      </c>
    </row>
    <row r="503">
      <c r="A503" s="5" t="s">
        <v>2473</v>
      </c>
      <c r="B503" s="6">
        <v>1501.0</v>
      </c>
      <c r="C503" s="5" t="s">
        <v>2474</v>
      </c>
    </row>
    <row r="504">
      <c r="A504" s="13" t="s">
        <v>2475</v>
      </c>
      <c r="B504" s="6">
        <v>1502.0</v>
      </c>
      <c r="C504" s="13" t="s">
        <v>2476</v>
      </c>
    </row>
    <row r="505">
      <c r="A505" s="5" t="s">
        <v>2475</v>
      </c>
      <c r="B505" s="6">
        <v>1503.0</v>
      </c>
      <c r="C505" s="5" t="s">
        <v>2477</v>
      </c>
    </row>
    <row r="506">
      <c r="A506" s="13" t="s">
        <v>574</v>
      </c>
      <c r="B506" s="6">
        <v>1504.0</v>
      </c>
      <c r="C506" s="13" t="s">
        <v>575</v>
      </c>
    </row>
    <row r="507">
      <c r="A507" s="5" t="s">
        <v>1759</v>
      </c>
      <c r="B507" s="6">
        <v>1505.0</v>
      </c>
      <c r="C507" s="5" t="s">
        <v>1760</v>
      </c>
    </row>
    <row r="508">
      <c r="A508" s="13" t="s">
        <v>2478</v>
      </c>
      <c r="B508" s="6">
        <v>1506.0</v>
      </c>
      <c r="C508" s="13" t="s">
        <v>2479</v>
      </c>
    </row>
    <row r="509">
      <c r="A509" s="5" t="s">
        <v>1762</v>
      </c>
      <c r="B509" s="6">
        <v>1507.0</v>
      </c>
      <c r="C509" s="5" t="s">
        <v>2480</v>
      </c>
    </row>
    <row r="510">
      <c r="A510" s="13" t="s">
        <v>1762</v>
      </c>
      <c r="B510" s="6">
        <v>1508.0</v>
      </c>
      <c r="C510" s="13" t="s">
        <v>1763</v>
      </c>
    </row>
    <row r="511">
      <c r="A511" s="5" t="s">
        <v>2481</v>
      </c>
      <c r="B511" s="6">
        <v>1509.0</v>
      </c>
      <c r="C511" s="5" t="s">
        <v>2482</v>
      </c>
    </row>
    <row r="512">
      <c r="A512" s="13" t="s">
        <v>577</v>
      </c>
      <c r="B512" s="6">
        <v>1510.0</v>
      </c>
      <c r="C512" s="13" t="s">
        <v>1765</v>
      </c>
    </row>
    <row r="513">
      <c r="A513" s="5" t="s">
        <v>577</v>
      </c>
      <c r="B513" s="6">
        <v>1511.0</v>
      </c>
      <c r="C513" s="5" t="s">
        <v>578</v>
      </c>
    </row>
    <row r="514">
      <c r="A514" s="13" t="s">
        <v>1237</v>
      </c>
      <c r="B514" s="6">
        <v>1512.0</v>
      </c>
      <c r="C514" s="13" t="s">
        <v>1766</v>
      </c>
    </row>
    <row r="515">
      <c r="A515" s="5" t="s">
        <v>1237</v>
      </c>
      <c r="B515" s="6">
        <v>1513.0</v>
      </c>
      <c r="C515" s="5" t="s">
        <v>1767</v>
      </c>
    </row>
    <row r="516">
      <c r="A516" s="13" t="s">
        <v>2483</v>
      </c>
      <c r="B516" s="6">
        <v>1514.0</v>
      </c>
      <c r="C516" s="13" t="s">
        <v>2484</v>
      </c>
    </row>
    <row r="517">
      <c r="A517" s="5" t="s">
        <v>1237</v>
      </c>
      <c r="B517" s="6">
        <v>1515.0</v>
      </c>
      <c r="C517" s="5" t="s">
        <v>2485</v>
      </c>
    </row>
    <row r="518">
      <c r="A518" s="13" t="s">
        <v>1768</v>
      </c>
      <c r="B518" s="6">
        <v>1516.0</v>
      </c>
      <c r="C518" s="13" t="s">
        <v>1769</v>
      </c>
    </row>
    <row r="519">
      <c r="A519" s="5" t="s">
        <v>577</v>
      </c>
      <c r="B519" s="6">
        <v>1517.0</v>
      </c>
      <c r="C519" s="5" t="s">
        <v>580</v>
      </c>
    </row>
    <row r="520">
      <c r="A520" s="13" t="s">
        <v>577</v>
      </c>
      <c r="B520" s="6">
        <v>1518.0</v>
      </c>
      <c r="C520" s="13" t="s">
        <v>2486</v>
      </c>
    </row>
    <row r="521">
      <c r="A521" s="5" t="s">
        <v>581</v>
      </c>
      <c r="B521" s="6">
        <v>1519.0</v>
      </c>
      <c r="C521" s="5" t="s">
        <v>582</v>
      </c>
    </row>
    <row r="522">
      <c r="A522" s="13" t="s">
        <v>584</v>
      </c>
      <c r="B522" s="6">
        <v>1520.0</v>
      </c>
      <c r="C522" s="13" t="s">
        <v>585</v>
      </c>
    </row>
    <row r="523">
      <c r="A523" s="5" t="s">
        <v>581</v>
      </c>
      <c r="B523" s="6">
        <v>1521.0</v>
      </c>
      <c r="C523" s="5" t="s">
        <v>587</v>
      </c>
    </row>
    <row r="524">
      <c r="A524" s="13" t="s">
        <v>2487</v>
      </c>
      <c r="B524" s="6">
        <v>1522.0</v>
      </c>
      <c r="C524" s="13" t="s">
        <v>2488</v>
      </c>
    </row>
    <row r="525">
      <c r="A525" s="5" t="s">
        <v>1771</v>
      </c>
      <c r="B525" s="6">
        <v>1523.0</v>
      </c>
      <c r="C525" s="5" t="s">
        <v>1772</v>
      </c>
    </row>
    <row r="526">
      <c r="A526" s="13" t="s">
        <v>1774</v>
      </c>
      <c r="B526" s="6">
        <v>1524.0</v>
      </c>
      <c r="C526" s="13" t="s">
        <v>1775</v>
      </c>
    </row>
    <row r="527">
      <c r="A527" s="5" t="s">
        <v>588</v>
      </c>
      <c r="B527" s="6">
        <v>1525.0</v>
      </c>
      <c r="C527" s="5" t="s">
        <v>589</v>
      </c>
    </row>
    <row r="528">
      <c r="A528" s="13" t="s">
        <v>1777</v>
      </c>
      <c r="B528" s="6">
        <v>1526.0</v>
      </c>
      <c r="C528" s="13" t="s">
        <v>1778</v>
      </c>
    </row>
    <row r="529">
      <c r="A529" s="5" t="s">
        <v>1780</v>
      </c>
      <c r="B529" s="6">
        <v>1527.0</v>
      </c>
      <c r="C529" s="5" t="s">
        <v>1781</v>
      </c>
    </row>
    <row r="530">
      <c r="A530" s="13" t="s">
        <v>1783</v>
      </c>
      <c r="B530" s="6">
        <v>1528.0</v>
      </c>
      <c r="C530" s="13" t="s">
        <v>1784</v>
      </c>
    </row>
    <row r="531">
      <c r="A531" s="5" t="s">
        <v>591</v>
      </c>
      <c r="B531" s="6">
        <v>1529.0</v>
      </c>
      <c r="C531" s="5" t="s">
        <v>592</v>
      </c>
    </row>
    <row r="532">
      <c r="A532" s="13" t="s">
        <v>2213</v>
      </c>
      <c r="B532" s="6">
        <v>1530.0</v>
      </c>
      <c r="C532" s="13" t="s">
        <v>2489</v>
      </c>
    </row>
    <row r="533">
      <c r="A533" s="5" t="s">
        <v>2213</v>
      </c>
      <c r="B533" s="6">
        <v>1531.0</v>
      </c>
      <c r="C533" s="5" t="s">
        <v>2490</v>
      </c>
    </row>
    <row r="534">
      <c r="A534" s="13" t="s">
        <v>2213</v>
      </c>
      <c r="B534" s="6">
        <v>1532.0</v>
      </c>
      <c r="C534" s="13" t="s">
        <v>2491</v>
      </c>
    </row>
    <row r="535">
      <c r="A535" s="5" t="s">
        <v>2213</v>
      </c>
      <c r="B535" s="6">
        <v>1533.0</v>
      </c>
      <c r="C535" s="5" t="s">
        <v>2492</v>
      </c>
    </row>
    <row r="536">
      <c r="A536" s="13" t="s">
        <v>2493</v>
      </c>
      <c r="B536" s="6">
        <v>1534.0</v>
      </c>
      <c r="C536" s="13" t="s">
        <v>2494</v>
      </c>
    </row>
    <row r="537">
      <c r="A537" s="5" t="s">
        <v>1786</v>
      </c>
      <c r="B537" s="6">
        <v>1535.0</v>
      </c>
      <c r="C537" s="5" t="s">
        <v>1787</v>
      </c>
    </row>
    <row r="538">
      <c r="A538" s="13" t="s">
        <v>2495</v>
      </c>
      <c r="B538" s="6">
        <v>1536.0</v>
      </c>
      <c r="C538" s="13" t="s">
        <v>2496</v>
      </c>
    </row>
    <row r="539">
      <c r="A539" s="5" t="s">
        <v>2497</v>
      </c>
      <c r="B539" s="6">
        <v>1537.0</v>
      </c>
      <c r="C539" s="5" t="s">
        <v>2498</v>
      </c>
    </row>
    <row r="540">
      <c r="A540" s="13" t="s">
        <v>1789</v>
      </c>
      <c r="B540" s="6">
        <v>1538.0</v>
      </c>
      <c r="C540" s="13" t="s">
        <v>1790</v>
      </c>
    </row>
    <row r="541">
      <c r="A541" s="5" t="s">
        <v>594</v>
      </c>
      <c r="B541" s="6">
        <v>1539.0</v>
      </c>
      <c r="C541" s="5" t="s">
        <v>595</v>
      </c>
    </row>
    <row r="542">
      <c r="A542" s="13" t="s">
        <v>1792</v>
      </c>
      <c r="B542" s="6">
        <v>1540.0</v>
      </c>
      <c r="C542" s="13" t="s">
        <v>1793</v>
      </c>
    </row>
    <row r="543">
      <c r="A543" s="5" t="s">
        <v>1795</v>
      </c>
      <c r="B543" s="6">
        <v>1541.0</v>
      </c>
      <c r="C543" s="5" t="s">
        <v>1796</v>
      </c>
    </row>
    <row r="544">
      <c r="A544" s="13" t="s">
        <v>597</v>
      </c>
      <c r="B544" s="6">
        <v>1542.0</v>
      </c>
      <c r="C544" s="13" t="s">
        <v>598</v>
      </c>
    </row>
    <row r="545">
      <c r="A545" s="5" t="s">
        <v>597</v>
      </c>
      <c r="B545" s="6">
        <v>1543.0</v>
      </c>
      <c r="C545" s="5" t="s">
        <v>600</v>
      </c>
    </row>
    <row r="546">
      <c r="A546" s="13" t="s">
        <v>601</v>
      </c>
      <c r="B546" s="6">
        <v>1544.0</v>
      </c>
      <c r="C546" s="13" t="s">
        <v>602</v>
      </c>
    </row>
    <row r="547">
      <c r="A547" s="5" t="s">
        <v>601</v>
      </c>
      <c r="B547" s="6">
        <v>1545.0</v>
      </c>
      <c r="C547" s="5" t="s">
        <v>604</v>
      </c>
    </row>
    <row r="548">
      <c r="A548" s="13" t="s">
        <v>1798</v>
      </c>
      <c r="B548" s="6">
        <v>1546.0</v>
      </c>
      <c r="C548" s="13" t="s">
        <v>1799</v>
      </c>
    </row>
    <row r="549">
      <c r="A549" s="5" t="s">
        <v>1801</v>
      </c>
      <c r="B549" s="6">
        <v>1547.0</v>
      </c>
      <c r="C549" s="5" t="s">
        <v>1802</v>
      </c>
    </row>
    <row r="550">
      <c r="A550" s="13" t="s">
        <v>1804</v>
      </c>
      <c r="B550" s="6">
        <v>1548.0</v>
      </c>
      <c r="C550" s="13" t="s">
        <v>1805</v>
      </c>
    </row>
    <row r="551">
      <c r="A551" s="5" t="s">
        <v>1804</v>
      </c>
      <c r="B551" s="6">
        <v>1549.0</v>
      </c>
      <c r="C551" s="5" t="s">
        <v>2499</v>
      </c>
    </row>
    <row r="552">
      <c r="A552" s="13" t="s">
        <v>2500</v>
      </c>
      <c r="B552" s="6">
        <v>1550.0</v>
      </c>
      <c r="C552" s="13" t="s">
        <v>2501</v>
      </c>
    </row>
    <row r="553">
      <c r="A553" s="5" t="s">
        <v>1807</v>
      </c>
      <c r="B553" s="6">
        <v>1551.0</v>
      </c>
      <c r="C553" s="5" t="s">
        <v>1808</v>
      </c>
    </row>
    <row r="554">
      <c r="A554" s="13" t="s">
        <v>1640</v>
      </c>
      <c r="B554" s="6">
        <v>1552.0</v>
      </c>
      <c r="C554" s="13" t="s">
        <v>1810</v>
      </c>
    </row>
    <row r="555">
      <c r="A555" s="5" t="s">
        <v>605</v>
      </c>
      <c r="B555" s="6">
        <v>1553.0</v>
      </c>
      <c r="C555" s="33" t="s">
        <v>1811</v>
      </c>
    </row>
    <row r="556">
      <c r="A556" s="13" t="s">
        <v>605</v>
      </c>
      <c r="B556" s="6">
        <v>1554.0</v>
      </c>
      <c r="C556" s="32" t="s">
        <v>606</v>
      </c>
    </row>
    <row r="557">
      <c r="A557" s="5" t="s">
        <v>605</v>
      </c>
      <c r="B557" s="6">
        <v>1555.0</v>
      </c>
      <c r="C557" s="33" t="s">
        <v>1812</v>
      </c>
    </row>
    <row r="558">
      <c r="A558" s="13" t="s">
        <v>1813</v>
      </c>
      <c r="B558" s="6">
        <v>1556.0</v>
      </c>
      <c r="C558" s="32" t="s">
        <v>1814</v>
      </c>
    </row>
    <row r="559">
      <c r="A559" s="5" t="s">
        <v>1813</v>
      </c>
      <c r="B559" s="6">
        <v>1557.0</v>
      </c>
      <c r="C559" s="33" t="s">
        <v>2502</v>
      </c>
    </row>
    <row r="560">
      <c r="A560" s="13" t="s">
        <v>1813</v>
      </c>
      <c r="B560" s="6">
        <v>1558.0</v>
      </c>
      <c r="C560" s="13" t="s">
        <v>2503</v>
      </c>
    </row>
    <row r="561">
      <c r="A561" s="5" t="s">
        <v>1817</v>
      </c>
      <c r="B561" s="6">
        <v>1559.0</v>
      </c>
      <c r="C561" s="33" t="s">
        <v>1818</v>
      </c>
    </row>
    <row r="562">
      <c r="A562" s="13" t="s">
        <v>1817</v>
      </c>
      <c r="B562" s="6">
        <v>1560.0</v>
      </c>
      <c r="C562" s="32" t="s">
        <v>2504</v>
      </c>
    </row>
    <row r="563">
      <c r="A563" s="5" t="s">
        <v>1817</v>
      </c>
      <c r="B563" s="6">
        <v>1561.0</v>
      </c>
      <c r="C563" s="5" t="s">
        <v>2505</v>
      </c>
    </row>
    <row r="564">
      <c r="A564" s="13" t="s">
        <v>1820</v>
      </c>
      <c r="B564" s="6">
        <v>1562.0</v>
      </c>
      <c r="C564" s="32" t="s">
        <v>1821</v>
      </c>
    </row>
    <row r="565">
      <c r="A565" s="5" t="s">
        <v>1823</v>
      </c>
      <c r="B565" s="6">
        <v>1563.0</v>
      </c>
      <c r="C565" s="5" t="s">
        <v>1824</v>
      </c>
    </row>
    <row r="566">
      <c r="A566" s="13" t="s">
        <v>1826</v>
      </c>
      <c r="B566" s="6">
        <v>1564.0</v>
      </c>
      <c r="C566" s="13" t="s">
        <v>1827</v>
      </c>
    </row>
    <row r="567">
      <c r="A567" s="5" t="s">
        <v>608</v>
      </c>
      <c r="B567" s="6">
        <v>1565.0</v>
      </c>
      <c r="C567" s="5" t="s">
        <v>609</v>
      </c>
    </row>
    <row r="568">
      <c r="A568" s="5" t="s">
        <v>611</v>
      </c>
      <c r="B568" s="6">
        <v>1566.0</v>
      </c>
      <c r="C568" s="5" t="s">
        <v>612</v>
      </c>
    </row>
    <row r="569">
      <c r="A569" s="13" t="s">
        <v>614</v>
      </c>
      <c r="B569" s="6">
        <v>1567.0</v>
      </c>
      <c r="C569" s="13" t="s">
        <v>615</v>
      </c>
    </row>
    <row r="570">
      <c r="A570" s="5" t="s">
        <v>617</v>
      </c>
      <c r="B570" s="6">
        <v>1568.0</v>
      </c>
      <c r="C570" s="5" t="s">
        <v>618</v>
      </c>
    </row>
    <row r="571">
      <c r="A571" s="13" t="s">
        <v>621</v>
      </c>
      <c r="B571" s="6">
        <v>1569.0</v>
      </c>
      <c r="C571" s="13" t="s">
        <v>622</v>
      </c>
    </row>
    <row r="572">
      <c r="A572" s="5" t="s">
        <v>623</v>
      </c>
      <c r="B572" s="6">
        <v>1570.0</v>
      </c>
      <c r="C572" s="5" t="s">
        <v>624</v>
      </c>
    </row>
    <row r="573">
      <c r="A573" s="13" t="s">
        <v>625</v>
      </c>
      <c r="B573" s="6">
        <v>1571.0</v>
      </c>
      <c r="C573" s="13" t="s">
        <v>626</v>
      </c>
    </row>
    <row r="574">
      <c r="A574" s="5" t="s">
        <v>627</v>
      </c>
      <c r="B574" s="6">
        <v>1572.0</v>
      </c>
      <c r="C574" s="5" t="s">
        <v>628</v>
      </c>
    </row>
    <row r="575">
      <c r="A575" s="13" t="s">
        <v>629</v>
      </c>
      <c r="B575" s="6">
        <v>1573.0</v>
      </c>
      <c r="C575" s="13" t="s">
        <v>630</v>
      </c>
    </row>
    <row r="576">
      <c r="A576" s="5" t="s">
        <v>1829</v>
      </c>
      <c r="B576" s="6">
        <v>1574.0</v>
      </c>
      <c r="C576" s="5" t="s">
        <v>1830</v>
      </c>
    </row>
    <row r="577">
      <c r="A577" s="13" t="s">
        <v>631</v>
      </c>
      <c r="B577" s="6">
        <v>1575.0</v>
      </c>
      <c r="C577" s="13" t="s">
        <v>632</v>
      </c>
    </row>
    <row r="578">
      <c r="A578" s="5" t="s">
        <v>635</v>
      </c>
      <c r="B578" s="6">
        <v>1576.0</v>
      </c>
      <c r="C578" s="5" t="s">
        <v>636</v>
      </c>
    </row>
    <row r="579">
      <c r="A579" s="13" t="s">
        <v>1832</v>
      </c>
      <c r="B579" s="6">
        <v>1577.0</v>
      </c>
      <c r="C579" s="13" t="s">
        <v>1833</v>
      </c>
    </row>
    <row r="580">
      <c r="A580" s="5" t="s">
        <v>638</v>
      </c>
      <c r="B580" s="6">
        <v>1578.0</v>
      </c>
      <c r="C580" s="34" t="s">
        <v>639</v>
      </c>
    </row>
    <row r="581">
      <c r="A581" s="13" t="s">
        <v>641</v>
      </c>
      <c r="B581" s="6">
        <v>1579.0</v>
      </c>
      <c r="C581" s="32" t="s">
        <v>642</v>
      </c>
    </row>
    <row r="582">
      <c r="A582" s="5" t="s">
        <v>644</v>
      </c>
      <c r="B582" s="6">
        <v>1580.0</v>
      </c>
      <c r="C582" s="34" t="s">
        <v>645</v>
      </c>
    </row>
    <row r="583">
      <c r="A583" s="13" t="s">
        <v>647</v>
      </c>
      <c r="B583" s="6">
        <v>1581.0</v>
      </c>
      <c r="C583" s="35" t="s">
        <v>648</v>
      </c>
    </row>
    <row r="584">
      <c r="A584" s="5" t="s">
        <v>650</v>
      </c>
      <c r="B584" s="6">
        <v>1582.0</v>
      </c>
      <c r="C584" s="33" t="s">
        <v>651</v>
      </c>
    </row>
    <row r="585">
      <c r="A585" s="13" t="s">
        <v>653</v>
      </c>
      <c r="B585" s="6">
        <v>1583.0</v>
      </c>
      <c r="C585" s="35" t="s">
        <v>654</v>
      </c>
    </row>
    <row r="586">
      <c r="A586" s="5" t="s">
        <v>656</v>
      </c>
      <c r="B586" s="6">
        <v>1584.0</v>
      </c>
      <c r="C586" s="34" t="s">
        <v>657</v>
      </c>
    </row>
    <row r="587">
      <c r="A587" s="13" t="s">
        <v>659</v>
      </c>
      <c r="B587" s="6">
        <v>1585.0</v>
      </c>
      <c r="C587" s="35" t="s">
        <v>660</v>
      </c>
    </row>
    <row r="588">
      <c r="A588" s="5" t="s">
        <v>662</v>
      </c>
      <c r="B588" s="6">
        <v>1586.0</v>
      </c>
      <c r="C588" s="34" t="s">
        <v>663</v>
      </c>
    </row>
    <row r="589">
      <c r="A589" s="13" t="s">
        <v>2506</v>
      </c>
      <c r="B589" s="6">
        <v>1587.0</v>
      </c>
      <c r="C589" s="13" t="s">
        <v>2507</v>
      </c>
    </row>
    <row r="590">
      <c r="A590" s="5" t="s">
        <v>2508</v>
      </c>
      <c r="B590" s="6">
        <v>1588.0</v>
      </c>
      <c r="C590" s="5" t="s">
        <v>2509</v>
      </c>
    </row>
    <row r="591">
      <c r="A591" s="5" t="s">
        <v>2506</v>
      </c>
      <c r="B591" s="6">
        <v>1589.0</v>
      </c>
      <c r="C591" s="5" t="s">
        <v>2510</v>
      </c>
    </row>
    <row r="592">
      <c r="A592" s="13" t="s">
        <v>2506</v>
      </c>
      <c r="B592" s="6">
        <v>1590.0</v>
      </c>
      <c r="C592" s="13" t="s">
        <v>2511</v>
      </c>
    </row>
    <row r="593">
      <c r="A593" s="5" t="s">
        <v>2512</v>
      </c>
      <c r="B593" s="6">
        <v>1591.0</v>
      </c>
      <c r="C593" s="5" t="s">
        <v>2513</v>
      </c>
    </row>
    <row r="594">
      <c r="A594" s="13" t="s">
        <v>665</v>
      </c>
      <c r="B594" s="6">
        <v>1592.0</v>
      </c>
      <c r="C594" s="13" t="s">
        <v>666</v>
      </c>
    </row>
    <row r="595">
      <c r="A595" s="13" t="s">
        <v>1059</v>
      </c>
      <c r="B595" s="6">
        <v>1593.0</v>
      </c>
      <c r="C595" s="13" t="s">
        <v>2514</v>
      </c>
    </row>
    <row r="596">
      <c r="A596" s="13" t="s">
        <v>2515</v>
      </c>
      <c r="B596" s="6">
        <v>1594.0</v>
      </c>
      <c r="C596" s="13" t="s">
        <v>2516</v>
      </c>
    </row>
    <row r="597">
      <c r="A597" s="5" t="s">
        <v>2517</v>
      </c>
      <c r="B597" s="6">
        <v>1595.0</v>
      </c>
      <c r="C597" s="5" t="s">
        <v>2518</v>
      </c>
    </row>
    <row r="598">
      <c r="A598" s="13" t="s">
        <v>1835</v>
      </c>
      <c r="B598" s="6">
        <v>1596.0</v>
      </c>
      <c r="C598" s="13" t="s">
        <v>1836</v>
      </c>
    </row>
    <row r="599">
      <c r="A599" s="5" t="s">
        <v>2519</v>
      </c>
      <c r="B599" s="6">
        <v>1597.0</v>
      </c>
      <c r="C599" s="5" t="s">
        <v>2520</v>
      </c>
    </row>
    <row r="600">
      <c r="A600" s="13" t="s">
        <v>2521</v>
      </c>
      <c r="B600" s="6">
        <v>1598.0</v>
      </c>
      <c r="C600" s="13" t="s">
        <v>2522</v>
      </c>
    </row>
    <row r="601">
      <c r="A601" s="5" t="s">
        <v>2523</v>
      </c>
      <c r="B601" s="6">
        <v>1599.0</v>
      </c>
      <c r="C601" s="5" t="s">
        <v>2524</v>
      </c>
    </row>
    <row r="602">
      <c r="A602" s="5" t="s">
        <v>2525</v>
      </c>
      <c r="B602" s="6">
        <v>1600.0</v>
      </c>
      <c r="C602" s="5" t="s">
        <v>2526</v>
      </c>
    </row>
    <row r="603">
      <c r="A603" s="5" t="s">
        <v>2527</v>
      </c>
      <c r="B603" s="6">
        <v>1601.0</v>
      </c>
      <c r="C603" s="5" t="s">
        <v>2528</v>
      </c>
    </row>
    <row r="604">
      <c r="A604" s="13" t="s">
        <v>668</v>
      </c>
      <c r="B604" s="6">
        <v>1602.0</v>
      </c>
      <c r="C604" s="13" t="s">
        <v>669</v>
      </c>
    </row>
    <row r="605">
      <c r="A605" s="5" t="s">
        <v>671</v>
      </c>
      <c r="B605" s="6">
        <v>1603.0</v>
      </c>
      <c r="C605" s="5" t="s">
        <v>672</v>
      </c>
    </row>
    <row r="606">
      <c r="A606" s="13" t="s">
        <v>527</v>
      </c>
      <c r="B606" s="6">
        <v>1604.0</v>
      </c>
      <c r="C606" s="13" t="s">
        <v>674</v>
      </c>
    </row>
    <row r="607">
      <c r="A607" s="13" t="s">
        <v>2529</v>
      </c>
      <c r="B607" s="6">
        <v>1605.0</v>
      </c>
      <c r="C607" s="13" t="s">
        <v>2530</v>
      </c>
    </row>
    <row r="608">
      <c r="A608" s="5" t="s">
        <v>2531</v>
      </c>
      <c r="B608" s="6">
        <v>1606.0</v>
      </c>
      <c r="C608" s="5" t="s">
        <v>2532</v>
      </c>
    </row>
    <row r="609">
      <c r="A609" s="13" t="s">
        <v>675</v>
      </c>
      <c r="B609" s="6">
        <v>1607.0</v>
      </c>
      <c r="C609" s="13" t="s">
        <v>676</v>
      </c>
    </row>
    <row r="610">
      <c r="A610" s="5" t="s">
        <v>678</v>
      </c>
      <c r="B610" s="6">
        <v>1608.0</v>
      </c>
      <c r="C610" s="34" t="s">
        <v>679</v>
      </c>
    </row>
    <row r="611">
      <c r="A611" s="13" t="s">
        <v>675</v>
      </c>
      <c r="B611" s="6">
        <v>1609.0</v>
      </c>
      <c r="C611" s="13" t="s">
        <v>681</v>
      </c>
    </row>
    <row r="612">
      <c r="A612" s="5" t="s">
        <v>2533</v>
      </c>
      <c r="B612" s="6">
        <v>1610.0</v>
      </c>
      <c r="C612" s="5" t="s">
        <v>2534</v>
      </c>
    </row>
    <row r="613">
      <c r="A613" s="13" t="s">
        <v>682</v>
      </c>
      <c r="B613" s="6">
        <v>1611.0</v>
      </c>
      <c r="C613" s="32" t="s">
        <v>683</v>
      </c>
    </row>
    <row r="614">
      <c r="A614" s="5" t="s">
        <v>1074</v>
      </c>
      <c r="B614" s="6">
        <v>1612.0</v>
      </c>
      <c r="C614" s="5" t="s">
        <v>2535</v>
      </c>
    </row>
    <row r="615">
      <c r="A615" s="13" t="s">
        <v>1074</v>
      </c>
      <c r="B615" s="6">
        <v>1613.0</v>
      </c>
      <c r="C615" s="13" t="s">
        <v>2536</v>
      </c>
    </row>
    <row r="616">
      <c r="A616" s="5" t="s">
        <v>1074</v>
      </c>
      <c r="B616" s="6">
        <v>1614.0</v>
      </c>
      <c r="C616" s="5" t="s">
        <v>2537</v>
      </c>
    </row>
    <row r="617">
      <c r="A617" s="13" t="s">
        <v>685</v>
      </c>
      <c r="B617" s="6">
        <v>1615.0</v>
      </c>
      <c r="C617" s="13" t="s">
        <v>686</v>
      </c>
    </row>
    <row r="618">
      <c r="A618" s="5" t="s">
        <v>685</v>
      </c>
      <c r="B618" s="6">
        <v>1616.0</v>
      </c>
      <c r="C618" s="33" t="s">
        <v>688</v>
      </c>
    </row>
    <row r="619">
      <c r="A619" s="13" t="s">
        <v>685</v>
      </c>
      <c r="B619" s="6">
        <v>1617.0</v>
      </c>
      <c r="C619" s="35" t="s">
        <v>690</v>
      </c>
    </row>
    <row r="620">
      <c r="A620" s="5" t="s">
        <v>685</v>
      </c>
      <c r="B620" s="6">
        <v>1618.0</v>
      </c>
      <c r="C620" s="34" t="s">
        <v>691</v>
      </c>
    </row>
    <row r="621">
      <c r="A621" s="13" t="s">
        <v>685</v>
      </c>
      <c r="B621" s="6">
        <v>1619.0</v>
      </c>
      <c r="C621" s="35" t="s">
        <v>692</v>
      </c>
    </row>
    <row r="622">
      <c r="A622" s="5" t="s">
        <v>685</v>
      </c>
      <c r="B622" s="6">
        <v>1620.0</v>
      </c>
      <c r="C622" s="5" t="s">
        <v>693</v>
      </c>
    </row>
    <row r="623">
      <c r="A623" s="13" t="s">
        <v>685</v>
      </c>
      <c r="B623" s="6">
        <v>1621.0</v>
      </c>
      <c r="C623" s="32" t="s">
        <v>695</v>
      </c>
    </row>
    <row r="624">
      <c r="A624" s="5" t="s">
        <v>685</v>
      </c>
      <c r="B624" s="6">
        <v>1622.0</v>
      </c>
      <c r="C624" s="34" t="s">
        <v>697</v>
      </c>
    </row>
    <row r="625">
      <c r="A625" s="13" t="s">
        <v>698</v>
      </c>
      <c r="B625" s="6">
        <v>1623.0</v>
      </c>
      <c r="C625" s="35" t="s">
        <v>699</v>
      </c>
    </row>
    <row r="626">
      <c r="A626" s="5" t="s">
        <v>698</v>
      </c>
      <c r="B626" s="6">
        <v>1624.0</v>
      </c>
      <c r="C626" s="34" t="s">
        <v>700</v>
      </c>
    </row>
    <row r="627">
      <c r="A627" s="13" t="s">
        <v>698</v>
      </c>
      <c r="B627" s="6">
        <v>1625.0</v>
      </c>
      <c r="C627" s="35" t="s">
        <v>701</v>
      </c>
    </row>
    <row r="628">
      <c r="A628" s="5" t="s">
        <v>698</v>
      </c>
      <c r="B628" s="6">
        <v>1626.0</v>
      </c>
      <c r="C628" s="34" t="s">
        <v>702</v>
      </c>
    </row>
    <row r="629">
      <c r="A629" s="13" t="s">
        <v>698</v>
      </c>
      <c r="B629" s="6">
        <v>1627.0</v>
      </c>
      <c r="C629" s="35" t="s">
        <v>703</v>
      </c>
    </row>
    <row r="630">
      <c r="A630" s="5" t="s">
        <v>698</v>
      </c>
      <c r="B630" s="6">
        <v>1628.0</v>
      </c>
      <c r="C630" s="34" t="s">
        <v>704</v>
      </c>
    </row>
    <row r="631">
      <c r="A631" s="13" t="s">
        <v>698</v>
      </c>
      <c r="B631" s="6">
        <v>1629.0</v>
      </c>
      <c r="C631" s="35" t="s">
        <v>705</v>
      </c>
    </row>
    <row r="632">
      <c r="A632" s="5" t="s">
        <v>698</v>
      </c>
      <c r="B632" s="6">
        <v>1630.0</v>
      </c>
      <c r="C632" s="34" t="s">
        <v>706</v>
      </c>
    </row>
    <row r="633">
      <c r="A633" s="13" t="s">
        <v>707</v>
      </c>
      <c r="B633" s="6">
        <v>1631.0</v>
      </c>
      <c r="C633" s="35" t="s">
        <v>708</v>
      </c>
    </row>
    <row r="634">
      <c r="A634" s="5" t="s">
        <v>707</v>
      </c>
      <c r="B634" s="6">
        <v>1632.0</v>
      </c>
      <c r="C634" s="5" t="s">
        <v>709</v>
      </c>
    </row>
    <row r="635">
      <c r="A635" s="13" t="s">
        <v>707</v>
      </c>
      <c r="B635" s="6">
        <v>1633.0</v>
      </c>
      <c r="C635" s="35" t="s">
        <v>711</v>
      </c>
    </row>
    <row r="636">
      <c r="A636" s="5" t="s">
        <v>707</v>
      </c>
      <c r="B636" s="6">
        <v>1634.0</v>
      </c>
      <c r="C636" s="34" t="s">
        <v>712</v>
      </c>
    </row>
    <row r="637">
      <c r="A637" s="13" t="s">
        <v>707</v>
      </c>
      <c r="B637" s="6">
        <v>1635.0</v>
      </c>
      <c r="C637" s="35" t="s">
        <v>713</v>
      </c>
    </row>
    <row r="638">
      <c r="A638" s="5" t="s">
        <v>707</v>
      </c>
      <c r="B638" s="6">
        <v>1636.0</v>
      </c>
      <c r="C638" s="34" t="s">
        <v>714</v>
      </c>
    </row>
    <row r="639">
      <c r="A639" s="13" t="s">
        <v>707</v>
      </c>
      <c r="B639" s="6">
        <v>1637.0</v>
      </c>
      <c r="C639" s="35" t="s">
        <v>715</v>
      </c>
    </row>
    <row r="640">
      <c r="A640" s="5" t="s">
        <v>707</v>
      </c>
      <c r="B640" s="6">
        <v>1638.0</v>
      </c>
      <c r="C640" s="5" t="s">
        <v>716</v>
      </c>
    </row>
    <row r="641">
      <c r="A641" s="13" t="s">
        <v>718</v>
      </c>
      <c r="B641" s="6">
        <v>1639.0</v>
      </c>
      <c r="C641" s="35" t="s">
        <v>719</v>
      </c>
    </row>
    <row r="642">
      <c r="A642" s="5" t="s">
        <v>718</v>
      </c>
      <c r="B642" s="6">
        <v>1640.0</v>
      </c>
      <c r="C642" s="34" t="s">
        <v>720</v>
      </c>
    </row>
    <row r="643">
      <c r="A643" s="13" t="s">
        <v>718</v>
      </c>
      <c r="B643" s="6">
        <v>1641.0</v>
      </c>
      <c r="C643" s="35" t="s">
        <v>721</v>
      </c>
    </row>
    <row r="644">
      <c r="A644" s="5" t="s">
        <v>718</v>
      </c>
      <c r="B644" s="6">
        <v>1642.0</v>
      </c>
      <c r="C644" s="34" t="s">
        <v>722</v>
      </c>
    </row>
    <row r="645">
      <c r="A645" s="13" t="s">
        <v>718</v>
      </c>
      <c r="B645" s="6">
        <v>1643.0</v>
      </c>
      <c r="C645" s="13" t="s">
        <v>723</v>
      </c>
    </row>
    <row r="646">
      <c r="A646" s="5" t="s">
        <v>718</v>
      </c>
      <c r="B646" s="6">
        <v>1644.0</v>
      </c>
      <c r="C646" s="34" t="s">
        <v>725</v>
      </c>
    </row>
    <row r="647">
      <c r="A647" s="13" t="s">
        <v>718</v>
      </c>
      <c r="B647" s="6">
        <v>1645.0</v>
      </c>
      <c r="C647" s="13" t="s">
        <v>726</v>
      </c>
    </row>
    <row r="648">
      <c r="A648" s="5" t="s">
        <v>718</v>
      </c>
      <c r="B648" s="6">
        <v>1646.0</v>
      </c>
      <c r="C648" s="34" t="s">
        <v>728</v>
      </c>
    </row>
    <row r="649">
      <c r="A649" s="13" t="s">
        <v>718</v>
      </c>
      <c r="B649" s="6">
        <v>1647.0</v>
      </c>
      <c r="C649" s="35" t="s">
        <v>729</v>
      </c>
    </row>
    <row r="650">
      <c r="A650" s="5" t="s">
        <v>718</v>
      </c>
      <c r="B650" s="6">
        <v>1648.0</v>
      </c>
      <c r="C650" s="34" t="s">
        <v>730</v>
      </c>
    </row>
    <row r="651">
      <c r="A651" s="13" t="s">
        <v>718</v>
      </c>
      <c r="B651" s="6">
        <v>1649.0</v>
      </c>
      <c r="C651" s="35" t="s">
        <v>731</v>
      </c>
    </row>
    <row r="652">
      <c r="A652" s="5" t="s">
        <v>718</v>
      </c>
      <c r="B652" s="6">
        <v>1650.0</v>
      </c>
      <c r="C652" s="34" t="s">
        <v>732</v>
      </c>
    </row>
    <row r="653">
      <c r="A653" s="13" t="s">
        <v>733</v>
      </c>
      <c r="B653" s="6">
        <v>1651.0</v>
      </c>
      <c r="C653" s="13" t="s">
        <v>734</v>
      </c>
    </row>
    <row r="654">
      <c r="A654" s="5" t="s">
        <v>733</v>
      </c>
      <c r="B654" s="6">
        <v>1652.0</v>
      </c>
      <c r="C654" s="5" t="s">
        <v>736</v>
      </c>
    </row>
    <row r="655">
      <c r="A655" s="13" t="s">
        <v>733</v>
      </c>
      <c r="B655" s="6">
        <v>1653.0</v>
      </c>
      <c r="C655" s="13" t="s">
        <v>737</v>
      </c>
    </row>
    <row r="656">
      <c r="A656" s="5" t="s">
        <v>2538</v>
      </c>
      <c r="B656" s="6">
        <v>1654.0</v>
      </c>
      <c r="C656" s="5" t="s">
        <v>2539</v>
      </c>
    </row>
    <row r="657">
      <c r="A657" s="13" t="s">
        <v>2443</v>
      </c>
      <c r="B657" s="6">
        <v>1655.0</v>
      </c>
      <c r="C657" s="13" t="s">
        <v>2540</v>
      </c>
    </row>
    <row r="658">
      <c r="A658" s="13" t="s">
        <v>738</v>
      </c>
      <c r="B658" s="6">
        <v>1656.0</v>
      </c>
      <c r="C658" s="13" t="s">
        <v>739</v>
      </c>
    </row>
    <row r="659">
      <c r="A659" s="13" t="s">
        <v>2443</v>
      </c>
      <c r="B659" s="6">
        <v>1657.0</v>
      </c>
      <c r="C659" s="13" t="s">
        <v>2541</v>
      </c>
    </row>
    <row r="660">
      <c r="A660" s="5" t="s">
        <v>2443</v>
      </c>
      <c r="B660" s="6">
        <v>1658.0</v>
      </c>
      <c r="C660" s="5" t="s">
        <v>2542</v>
      </c>
    </row>
    <row r="661">
      <c r="A661" s="13" t="s">
        <v>2443</v>
      </c>
      <c r="B661" s="6">
        <v>1659.0</v>
      </c>
      <c r="C661" s="13" t="s">
        <v>2543</v>
      </c>
    </row>
    <row r="662">
      <c r="A662" s="5" t="s">
        <v>2443</v>
      </c>
      <c r="B662" s="6">
        <v>1660.0</v>
      </c>
      <c r="C662" s="5" t="s">
        <v>2544</v>
      </c>
    </row>
    <row r="663">
      <c r="A663" s="5" t="s">
        <v>2545</v>
      </c>
      <c r="B663" s="6">
        <v>1661.0</v>
      </c>
      <c r="C663" s="5" t="s">
        <v>2546</v>
      </c>
    </row>
    <row r="664">
      <c r="A664" s="13" t="s">
        <v>741</v>
      </c>
      <c r="B664" s="6">
        <v>1662.0</v>
      </c>
      <c r="C664" s="13" t="s">
        <v>742</v>
      </c>
    </row>
    <row r="665">
      <c r="A665" s="13" t="s">
        <v>2547</v>
      </c>
      <c r="B665" s="6">
        <v>1663.0</v>
      </c>
      <c r="C665" s="13" t="s">
        <v>2548</v>
      </c>
    </row>
    <row r="666">
      <c r="A666" s="5" t="s">
        <v>1186</v>
      </c>
      <c r="B666" s="6">
        <v>1664.0</v>
      </c>
      <c r="C666" s="5" t="s">
        <v>2549</v>
      </c>
    </row>
    <row r="667">
      <c r="A667" s="13" t="s">
        <v>1186</v>
      </c>
      <c r="B667" s="6">
        <v>1665.0</v>
      </c>
      <c r="C667" s="13" t="s">
        <v>2550</v>
      </c>
    </row>
    <row r="668">
      <c r="A668" s="5" t="s">
        <v>1186</v>
      </c>
      <c r="B668" s="6">
        <v>1666.0</v>
      </c>
      <c r="C668" s="5" t="s">
        <v>2551</v>
      </c>
    </row>
    <row r="669">
      <c r="A669" s="13" t="s">
        <v>1186</v>
      </c>
      <c r="B669" s="6">
        <v>1667.0</v>
      </c>
      <c r="C669" s="13" t="s">
        <v>2552</v>
      </c>
    </row>
    <row r="670">
      <c r="A670" s="13" t="s">
        <v>2445</v>
      </c>
      <c r="B670" s="6">
        <v>1668.0</v>
      </c>
      <c r="C670" s="13" t="s">
        <v>2553</v>
      </c>
    </row>
    <row r="671">
      <c r="A671" s="5" t="s">
        <v>2554</v>
      </c>
      <c r="B671" s="6">
        <v>1669.0</v>
      </c>
      <c r="C671" s="5" t="s">
        <v>2555</v>
      </c>
    </row>
    <row r="672">
      <c r="A672" s="5" t="s">
        <v>744</v>
      </c>
      <c r="B672" s="6">
        <v>1670.0</v>
      </c>
      <c r="C672" s="5" t="s">
        <v>745</v>
      </c>
    </row>
    <row r="673">
      <c r="A673" s="13" t="s">
        <v>747</v>
      </c>
      <c r="B673" s="6">
        <v>1671.0</v>
      </c>
      <c r="C673" s="13" t="s">
        <v>748</v>
      </c>
    </row>
    <row r="674">
      <c r="A674" s="5" t="s">
        <v>2556</v>
      </c>
      <c r="B674" s="6">
        <v>1672.0</v>
      </c>
      <c r="C674" s="5" t="s">
        <v>2557</v>
      </c>
    </row>
    <row r="675">
      <c r="A675" s="13" t="s">
        <v>1839</v>
      </c>
      <c r="B675" s="6">
        <v>1673.0</v>
      </c>
      <c r="C675" s="13" t="s">
        <v>1840</v>
      </c>
    </row>
    <row r="676">
      <c r="A676" s="5" t="s">
        <v>1842</v>
      </c>
      <c r="B676" s="6">
        <v>1674.0</v>
      </c>
      <c r="C676" s="5" t="s">
        <v>1843</v>
      </c>
    </row>
    <row r="677">
      <c r="A677" s="13" t="s">
        <v>2558</v>
      </c>
      <c r="B677" s="6">
        <v>1675.0</v>
      </c>
      <c r="C677" s="13" t="s">
        <v>2559</v>
      </c>
    </row>
    <row r="678">
      <c r="A678" s="13" t="s">
        <v>750</v>
      </c>
      <c r="B678" s="6">
        <v>1676.0</v>
      </c>
      <c r="C678" s="13" t="s">
        <v>751</v>
      </c>
    </row>
    <row r="679">
      <c r="A679" s="5" t="s">
        <v>1845</v>
      </c>
      <c r="B679" s="6">
        <v>1677.0</v>
      </c>
      <c r="C679" s="5" t="s">
        <v>1846</v>
      </c>
    </row>
    <row r="680">
      <c r="A680" s="13" t="s">
        <v>2560</v>
      </c>
      <c r="B680" s="6">
        <v>1678.0</v>
      </c>
      <c r="C680" s="13" t="s">
        <v>1849</v>
      </c>
    </row>
    <row r="681">
      <c r="A681" s="5" t="s">
        <v>2561</v>
      </c>
      <c r="B681" s="6">
        <v>1679.0</v>
      </c>
      <c r="C681" s="5" t="s">
        <v>2562</v>
      </c>
    </row>
    <row r="682">
      <c r="A682" s="13" t="s">
        <v>2563</v>
      </c>
      <c r="B682" s="6">
        <v>1680.0</v>
      </c>
      <c r="C682" s="13" t="s">
        <v>2564</v>
      </c>
    </row>
    <row r="683">
      <c r="A683" s="5" t="s">
        <v>1852</v>
      </c>
      <c r="B683" s="6">
        <v>1681.0</v>
      </c>
      <c r="C683" s="5" t="s">
        <v>1853</v>
      </c>
    </row>
    <row r="684">
      <c r="A684" s="13" t="s">
        <v>1855</v>
      </c>
      <c r="B684" s="6">
        <v>1682.0</v>
      </c>
      <c r="C684" s="13" t="s">
        <v>1856</v>
      </c>
    </row>
    <row r="685">
      <c r="A685" s="5" t="s">
        <v>750</v>
      </c>
      <c r="B685" s="6">
        <v>1683.0</v>
      </c>
      <c r="C685" s="33" t="s">
        <v>1858</v>
      </c>
    </row>
    <row r="686">
      <c r="A686" s="13" t="s">
        <v>2565</v>
      </c>
      <c r="B686" s="6">
        <v>1684.0</v>
      </c>
      <c r="C686" s="32" t="s">
        <v>2566</v>
      </c>
    </row>
    <row r="687">
      <c r="A687" s="5" t="s">
        <v>750</v>
      </c>
      <c r="B687" s="6">
        <v>1685.0</v>
      </c>
      <c r="C687" s="5" t="s">
        <v>2567</v>
      </c>
    </row>
    <row r="688">
      <c r="A688" s="13" t="s">
        <v>753</v>
      </c>
      <c r="B688" s="6">
        <v>1686.0</v>
      </c>
      <c r="C688" s="13" t="s">
        <v>754</v>
      </c>
    </row>
    <row r="689">
      <c r="A689" s="5" t="s">
        <v>1860</v>
      </c>
      <c r="B689" s="6">
        <v>1687.0</v>
      </c>
      <c r="C689" s="33" t="s">
        <v>1861</v>
      </c>
    </row>
    <row r="690">
      <c r="A690" s="13" t="s">
        <v>756</v>
      </c>
      <c r="B690" s="6">
        <v>1688.0</v>
      </c>
      <c r="C690" s="32" t="s">
        <v>757</v>
      </c>
    </row>
    <row r="691">
      <c r="A691" s="5" t="s">
        <v>759</v>
      </c>
      <c r="B691" s="6">
        <v>1689.0</v>
      </c>
      <c r="C691" s="5" t="s">
        <v>760</v>
      </c>
    </row>
    <row r="692">
      <c r="A692" s="13" t="s">
        <v>70</v>
      </c>
      <c r="B692" s="6">
        <v>1690.0</v>
      </c>
      <c r="C692" s="13" t="s">
        <v>1863</v>
      </c>
    </row>
    <row r="693">
      <c r="A693" s="5" t="s">
        <v>70</v>
      </c>
      <c r="B693" s="6">
        <v>1691.0</v>
      </c>
      <c r="C693" s="5" t="s">
        <v>2568</v>
      </c>
    </row>
    <row r="694">
      <c r="A694" s="13" t="s">
        <v>70</v>
      </c>
      <c r="B694" s="6">
        <v>1692.0</v>
      </c>
      <c r="C694" s="13" t="s">
        <v>2569</v>
      </c>
    </row>
    <row r="695">
      <c r="A695" s="5" t="s">
        <v>70</v>
      </c>
      <c r="B695" s="6">
        <v>1693.0</v>
      </c>
      <c r="C695" s="5" t="s">
        <v>2570</v>
      </c>
    </row>
    <row r="696">
      <c r="A696" s="13" t="s">
        <v>74</v>
      </c>
      <c r="B696" s="6">
        <v>1694.0</v>
      </c>
      <c r="C696" s="13" t="s">
        <v>1865</v>
      </c>
    </row>
    <row r="697">
      <c r="A697" s="5" t="s">
        <v>70</v>
      </c>
      <c r="B697" s="6">
        <v>1695.0</v>
      </c>
      <c r="C697" s="5" t="s">
        <v>1866</v>
      </c>
    </row>
    <row r="698">
      <c r="A698" s="13" t="s">
        <v>70</v>
      </c>
      <c r="B698" s="6">
        <v>1696.0</v>
      </c>
      <c r="C698" s="13" t="s">
        <v>2571</v>
      </c>
    </row>
    <row r="699">
      <c r="A699" s="5" t="s">
        <v>70</v>
      </c>
      <c r="B699" s="6">
        <v>1697.0</v>
      </c>
      <c r="C699" s="5" t="s">
        <v>2572</v>
      </c>
    </row>
    <row r="700">
      <c r="A700" s="13" t="s">
        <v>70</v>
      </c>
      <c r="B700" s="6">
        <v>1698.0</v>
      </c>
      <c r="C700" s="13" t="s">
        <v>2573</v>
      </c>
    </row>
    <row r="701">
      <c r="A701" s="5" t="s">
        <v>70</v>
      </c>
      <c r="B701" s="6">
        <v>1699.0</v>
      </c>
      <c r="C701" s="5" t="s">
        <v>1868</v>
      </c>
    </row>
    <row r="702">
      <c r="A702" s="13" t="s">
        <v>70</v>
      </c>
      <c r="B702" s="6">
        <v>1700.0</v>
      </c>
      <c r="C702" s="13" t="s">
        <v>2574</v>
      </c>
    </row>
    <row r="703">
      <c r="A703" s="5" t="s">
        <v>1870</v>
      </c>
      <c r="B703" s="6">
        <v>1701.0</v>
      </c>
      <c r="C703" s="5" t="s">
        <v>1871</v>
      </c>
    </row>
    <row r="704">
      <c r="A704" s="13" t="s">
        <v>1870</v>
      </c>
      <c r="B704" s="6">
        <v>1702.0</v>
      </c>
      <c r="C704" s="13" t="s">
        <v>2575</v>
      </c>
    </row>
    <row r="705">
      <c r="A705" s="5" t="s">
        <v>1870</v>
      </c>
      <c r="B705" s="6">
        <v>1703.0</v>
      </c>
      <c r="C705" s="5" t="s">
        <v>2576</v>
      </c>
    </row>
    <row r="706">
      <c r="A706" s="13" t="s">
        <v>70</v>
      </c>
      <c r="B706" s="6">
        <v>1704.0</v>
      </c>
      <c r="C706" s="13" t="s">
        <v>1874</v>
      </c>
    </row>
    <row r="707">
      <c r="A707" s="5" t="s">
        <v>1875</v>
      </c>
      <c r="B707" s="6">
        <v>1705.0</v>
      </c>
      <c r="C707" s="5" t="s">
        <v>1876</v>
      </c>
    </row>
    <row r="708">
      <c r="A708" s="13" t="s">
        <v>1879</v>
      </c>
      <c r="B708" s="6">
        <v>1706.0</v>
      </c>
      <c r="C708" s="13" t="s">
        <v>2577</v>
      </c>
    </row>
    <row r="709">
      <c r="A709" s="5" t="s">
        <v>1879</v>
      </c>
      <c r="B709" s="6">
        <v>1707.0</v>
      </c>
      <c r="C709" s="5" t="s">
        <v>1880</v>
      </c>
    </row>
    <row r="710">
      <c r="A710" s="13" t="s">
        <v>1879</v>
      </c>
      <c r="B710" s="6">
        <v>1708.0</v>
      </c>
      <c r="C710" s="13" t="s">
        <v>2578</v>
      </c>
    </row>
    <row r="711">
      <c r="A711" s="5" t="s">
        <v>1879</v>
      </c>
      <c r="B711" s="6">
        <v>1709.0</v>
      </c>
      <c r="C711" s="5" t="s">
        <v>2579</v>
      </c>
    </row>
    <row r="712">
      <c r="A712" s="13" t="s">
        <v>1879</v>
      </c>
      <c r="B712" s="6">
        <v>1710.0</v>
      </c>
      <c r="C712" s="13" t="s">
        <v>2580</v>
      </c>
    </row>
    <row r="713">
      <c r="A713" s="5" t="s">
        <v>1879</v>
      </c>
      <c r="B713" s="6">
        <v>1711.0</v>
      </c>
      <c r="C713" s="5" t="s">
        <v>2581</v>
      </c>
    </row>
    <row r="714">
      <c r="A714" s="13" t="s">
        <v>762</v>
      </c>
      <c r="B714" s="6">
        <v>1712.0</v>
      </c>
      <c r="C714" s="13" t="s">
        <v>1883</v>
      </c>
    </row>
    <row r="715">
      <c r="A715" s="5" t="s">
        <v>762</v>
      </c>
      <c r="B715" s="6">
        <v>1713.0</v>
      </c>
      <c r="C715" s="5" t="s">
        <v>2582</v>
      </c>
    </row>
    <row r="716">
      <c r="A716" s="13" t="s">
        <v>762</v>
      </c>
      <c r="B716" s="6">
        <v>1714.0</v>
      </c>
      <c r="C716" s="13" t="s">
        <v>763</v>
      </c>
    </row>
    <row r="717">
      <c r="A717" s="5" t="s">
        <v>1885</v>
      </c>
      <c r="B717" s="6">
        <v>1715.0</v>
      </c>
      <c r="C717" s="5" t="s">
        <v>1886</v>
      </c>
    </row>
    <row r="718">
      <c r="A718" s="13" t="s">
        <v>765</v>
      </c>
      <c r="B718" s="6">
        <v>1716.0</v>
      </c>
      <c r="C718" s="13" t="s">
        <v>766</v>
      </c>
    </row>
    <row r="719">
      <c r="A719" s="5" t="s">
        <v>768</v>
      </c>
      <c r="B719" s="6">
        <v>1717.0</v>
      </c>
      <c r="C719" s="5" t="s">
        <v>769</v>
      </c>
    </row>
    <row r="720">
      <c r="A720" s="13" t="s">
        <v>1888</v>
      </c>
      <c r="B720" s="6">
        <v>1718.0</v>
      </c>
      <c r="C720" s="13" t="s">
        <v>1889</v>
      </c>
    </row>
    <row r="721">
      <c r="A721" s="5" t="s">
        <v>1891</v>
      </c>
      <c r="B721" s="6">
        <v>1719.0</v>
      </c>
      <c r="C721" s="5" t="s">
        <v>1892</v>
      </c>
    </row>
    <row r="722">
      <c r="A722" s="13" t="s">
        <v>771</v>
      </c>
      <c r="B722" s="6">
        <v>1720.0</v>
      </c>
      <c r="C722" s="13" t="s">
        <v>772</v>
      </c>
    </row>
    <row r="723">
      <c r="A723" s="5" t="s">
        <v>1894</v>
      </c>
      <c r="B723" s="6">
        <v>1721.0</v>
      </c>
      <c r="C723" s="5" t="s">
        <v>1895</v>
      </c>
    </row>
    <row r="724">
      <c r="A724" s="13" t="s">
        <v>2583</v>
      </c>
      <c r="B724" s="6">
        <v>1722.0</v>
      </c>
      <c r="C724" s="13" t="s">
        <v>2584</v>
      </c>
    </row>
    <row r="725">
      <c r="A725" s="5" t="s">
        <v>2583</v>
      </c>
      <c r="B725" s="6">
        <v>1723.0</v>
      </c>
      <c r="C725" s="5" t="s">
        <v>2585</v>
      </c>
    </row>
    <row r="726">
      <c r="A726" s="13" t="s">
        <v>1894</v>
      </c>
      <c r="B726" s="6">
        <v>1724.0</v>
      </c>
      <c r="C726" s="13" t="s">
        <v>2586</v>
      </c>
    </row>
    <row r="727">
      <c r="A727" s="5" t="s">
        <v>1898</v>
      </c>
      <c r="B727" s="6">
        <v>1725.0</v>
      </c>
      <c r="C727" s="5" t="s">
        <v>1899</v>
      </c>
    </row>
    <row r="728">
      <c r="A728" s="13" t="s">
        <v>1902</v>
      </c>
      <c r="B728" s="6">
        <v>1726.0</v>
      </c>
      <c r="C728" s="13" t="s">
        <v>1903</v>
      </c>
    </row>
    <row r="729">
      <c r="A729" s="5" t="s">
        <v>1906</v>
      </c>
      <c r="B729" s="6">
        <v>1727.0</v>
      </c>
      <c r="C729" s="5" t="s">
        <v>1907</v>
      </c>
    </row>
    <row r="730">
      <c r="A730" s="13" t="s">
        <v>2587</v>
      </c>
      <c r="B730" s="6">
        <v>1728.0</v>
      </c>
      <c r="C730" s="32" t="s">
        <v>2588</v>
      </c>
    </row>
    <row r="731">
      <c r="A731" s="5" t="s">
        <v>2589</v>
      </c>
      <c r="B731" s="6">
        <v>1729.0</v>
      </c>
      <c r="C731" s="34" t="s">
        <v>2590</v>
      </c>
    </row>
    <row r="732">
      <c r="A732" s="13" t="s">
        <v>2591</v>
      </c>
      <c r="B732" s="6">
        <v>1730.0</v>
      </c>
      <c r="C732" s="13" t="s">
        <v>2592</v>
      </c>
    </row>
    <row r="733">
      <c r="A733" s="5" t="s">
        <v>2593</v>
      </c>
      <c r="B733" s="6">
        <v>1731.0</v>
      </c>
      <c r="C733" s="5" t="s">
        <v>2594</v>
      </c>
    </row>
    <row r="734">
      <c r="A734" s="13" t="s">
        <v>2591</v>
      </c>
      <c r="B734" s="6">
        <v>1732.0</v>
      </c>
      <c r="C734" s="13" t="s">
        <v>2595</v>
      </c>
    </row>
    <row r="735">
      <c r="A735" s="5" t="s">
        <v>2596</v>
      </c>
      <c r="B735" s="6">
        <v>1733.0</v>
      </c>
      <c r="C735" s="5" t="s">
        <v>2597</v>
      </c>
    </row>
    <row r="736">
      <c r="A736" s="13" t="s">
        <v>1910</v>
      </c>
      <c r="B736" s="6">
        <v>1734.0</v>
      </c>
      <c r="C736" s="13" t="s">
        <v>1911</v>
      </c>
    </row>
    <row r="737">
      <c r="A737" s="5" t="s">
        <v>774</v>
      </c>
      <c r="B737" s="6">
        <v>1735.0</v>
      </c>
      <c r="C737" s="5" t="s">
        <v>775</v>
      </c>
    </row>
    <row r="738">
      <c r="A738" s="13" t="s">
        <v>2598</v>
      </c>
      <c r="B738" s="6">
        <v>1736.0</v>
      </c>
      <c r="C738" s="13" t="s">
        <v>2599</v>
      </c>
    </row>
    <row r="739">
      <c r="A739" s="5" t="s">
        <v>2600</v>
      </c>
      <c r="B739" s="6">
        <v>1737.0</v>
      </c>
      <c r="C739" s="5" t="s">
        <v>2601</v>
      </c>
    </row>
    <row r="740">
      <c r="A740" s="13" t="s">
        <v>2602</v>
      </c>
      <c r="B740" s="6">
        <v>1738.0</v>
      </c>
      <c r="C740" s="13" t="s">
        <v>2603</v>
      </c>
    </row>
    <row r="741">
      <c r="A741" s="5" t="s">
        <v>2604</v>
      </c>
      <c r="B741" s="6">
        <v>1739.0</v>
      </c>
      <c r="C741" s="5" t="s">
        <v>2605</v>
      </c>
    </row>
    <row r="742">
      <c r="A742" s="13" t="s">
        <v>2606</v>
      </c>
      <c r="B742" s="6">
        <v>1740.0</v>
      </c>
      <c r="C742" s="13" t="s">
        <v>2607</v>
      </c>
    </row>
    <row r="743">
      <c r="A743" s="5" t="s">
        <v>1914</v>
      </c>
      <c r="B743" s="6">
        <v>1741.0</v>
      </c>
      <c r="C743" s="5" t="s">
        <v>1915</v>
      </c>
    </row>
    <row r="744">
      <c r="A744" s="13" t="s">
        <v>1917</v>
      </c>
      <c r="B744" s="6">
        <v>1742.0</v>
      </c>
      <c r="C744" s="13" t="s">
        <v>1918</v>
      </c>
    </row>
    <row r="745">
      <c r="A745" s="5" t="s">
        <v>1917</v>
      </c>
      <c r="B745" s="6">
        <v>1743.0</v>
      </c>
      <c r="C745" s="5" t="s">
        <v>2608</v>
      </c>
    </row>
    <row r="746">
      <c r="A746" s="13" t="s">
        <v>1917</v>
      </c>
      <c r="B746" s="6">
        <v>1744.0</v>
      </c>
      <c r="C746" s="13" t="s">
        <v>2609</v>
      </c>
    </row>
    <row r="747">
      <c r="A747" s="5" t="s">
        <v>1917</v>
      </c>
      <c r="B747" s="6">
        <v>1745.0</v>
      </c>
      <c r="C747" s="5" t="s">
        <v>2610</v>
      </c>
    </row>
    <row r="748">
      <c r="A748" s="13" t="s">
        <v>1917</v>
      </c>
      <c r="B748" s="6">
        <v>1746.0</v>
      </c>
      <c r="C748" s="13" t="s">
        <v>2611</v>
      </c>
    </row>
    <row r="749">
      <c r="A749" s="5" t="s">
        <v>1921</v>
      </c>
      <c r="B749" s="6">
        <v>1747.0</v>
      </c>
      <c r="C749" s="5" t="s">
        <v>1922</v>
      </c>
    </row>
    <row r="750">
      <c r="A750" s="13" t="s">
        <v>1924</v>
      </c>
      <c r="B750" s="6">
        <v>1748.0</v>
      </c>
      <c r="C750" s="35" t="s">
        <v>1925</v>
      </c>
    </row>
    <row r="751">
      <c r="A751" s="5" t="s">
        <v>1927</v>
      </c>
      <c r="B751" s="6">
        <v>1749.0</v>
      </c>
      <c r="C751" s="5" t="s">
        <v>1928</v>
      </c>
    </row>
    <row r="752">
      <c r="A752" s="13" t="s">
        <v>1930</v>
      </c>
      <c r="B752" s="6">
        <v>1750.0</v>
      </c>
      <c r="C752" s="13" t="s">
        <v>1931</v>
      </c>
    </row>
    <row r="753">
      <c r="A753" s="5" t="s">
        <v>1932</v>
      </c>
      <c r="B753" s="6">
        <v>1751.0</v>
      </c>
      <c r="C753" s="5" t="s">
        <v>1933</v>
      </c>
    </row>
    <row r="754">
      <c r="A754" s="13" t="s">
        <v>777</v>
      </c>
      <c r="B754" s="6">
        <v>1752.0</v>
      </c>
      <c r="C754" s="13" t="s">
        <v>778</v>
      </c>
    </row>
    <row r="755">
      <c r="A755" s="5" t="s">
        <v>1735</v>
      </c>
      <c r="B755" s="6">
        <v>1753.0</v>
      </c>
      <c r="C755" s="5" t="s">
        <v>2612</v>
      </c>
    </row>
    <row r="756">
      <c r="A756" s="13" t="s">
        <v>2613</v>
      </c>
      <c r="B756" s="6">
        <v>1754.0</v>
      </c>
      <c r="C756" s="13" t="s">
        <v>2614</v>
      </c>
    </row>
    <row r="757">
      <c r="A757" s="5" t="s">
        <v>2615</v>
      </c>
      <c r="B757" s="6">
        <v>1755.0</v>
      </c>
      <c r="C757" s="5" t="s">
        <v>2616</v>
      </c>
    </row>
    <row r="758">
      <c r="A758" s="13" t="s">
        <v>2617</v>
      </c>
      <c r="B758" s="6">
        <v>1756.0</v>
      </c>
      <c r="C758" s="13" t="s">
        <v>2618</v>
      </c>
    </row>
    <row r="759">
      <c r="A759" s="5" t="s">
        <v>780</v>
      </c>
      <c r="B759" s="6">
        <v>1757.0</v>
      </c>
      <c r="C759" s="33" t="s">
        <v>1935</v>
      </c>
    </row>
    <row r="760">
      <c r="A760" s="13" t="s">
        <v>780</v>
      </c>
      <c r="B760" s="6">
        <v>1758.0</v>
      </c>
      <c r="C760" s="32" t="s">
        <v>781</v>
      </c>
    </row>
    <row r="761">
      <c r="A761" s="5" t="s">
        <v>780</v>
      </c>
      <c r="B761" s="6">
        <v>1759.0</v>
      </c>
      <c r="C761" s="5" t="s">
        <v>2619</v>
      </c>
    </row>
    <row r="762">
      <c r="A762" s="13" t="s">
        <v>780</v>
      </c>
      <c r="B762" s="6">
        <v>1760.0</v>
      </c>
      <c r="C762" s="35" t="s">
        <v>2620</v>
      </c>
    </row>
    <row r="763">
      <c r="A763" s="5" t="s">
        <v>780</v>
      </c>
      <c r="B763" s="6">
        <v>1761.0</v>
      </c>
      <c r="C763" s="5" t="s">
        <v>783</v>
      </c>
    </row>
    <row r="764">
      <c r="A764" s="13" t="s">
        <v>2621</v>
      </c>
      <c r="B764" s="6">
        <v>1762.0</v>
      </c>
      <c r="C764" s="13" t="s">
        <v>2622</v>
      </c>
    </row>
    <row r="765">
      <c r="A765" s="5" t="s">
        <v>784</v>
      </c>
      <c r="B765" s="6">
        <v>1763.0</v>
      </c>
      <c r="C765" s="5" t="s">
        <v>785</v>
      </c>
    </row>
    <row r="766">
      <c r="A766" s="13" t="s">
        <v>784</v>
      </c>
      <c r="B766" s="6">
        <v>1764.0</v>
      </c>
      <c r="C766" s="13" t="s">
        <v>787</v>
      </c>
    </row>
    <row r="767">
      <c r="A767" s="5" t="s">
        <v>784</v>
      </c>
      <c r="B767" s="6">
        <v>1765.0</v>
      </c>
      <c r="C767" s="5" t="s">
        <v>788</v>
      </c>
    </row>
    <row r="768">
      <c r="A768" s="13" t="s">
        <v>784</v>
      </c>
      <c r="B768" s="6">
        <v>1766.0</v>
      </c>
      <c r="C768" s="13" t="s">
        <v>789</v>
      </c>
    </row>
    <row r="769">
      <c r="A769" s="5" t="s">
        <v>790</v>
      </c>
      <c r="B769" s="6">
        <v>1767.0</v>
      </c>
      <c r="C769" s="5" t="s">
        <v>791</v>
      </c>
    </row>
    <row r="770">
      <c r="A770" s="13" t="s">
        <v>790</v>
      </c>
      <c r="B770" s="6">
        <v>1768.0</v>
      </c>
      <c r="C770" s="13" t="s">
        <v>793</v>
      </c>
    </row>
    <row r="771">
      <c r="A771" s="5" t="s">
        <v>2623</v>
      </c>
      <c r="B771" s="6">
        <v>1769.0</v>
      </c>
      <c r="C771" s="5" t="s">
        <v>2624</v>
      </c>
    </row>
    <row r="772">
      <c r="A772" s="13" t="s">
        <v>2625</v>
      </c>
      <c r="B772" s="6">
        <v>1770.0</v>
      </c>
      <c r="C772" s="13" t="s">
        <v>2626</v>
      </c>
    </row>
    <row r="773">
      <c r="A773" s="5" t="s">
        <v>1938</v>
      </c>
      <c r="B773" s="6">
        <v>1771.0</v>
      </c>
      <c r="C773" s="5" t="s">
        <v>1939</v>
      </c>
    </row>
    <row r="774">
      <c r="A774" s="13" t="s">
        <v>1941</v>
      </c>
      <c r="B774" s="6">
        <v>1772.0</v>
      </c>
      <c r="C774" s="13" t="s">
        <v>1942</v>
      </c>
    </row>
    <row r="775">
      <c r="A775" s="5" t="s">
        <v>2627</v>
      </c>
      <c r="B775" s="6">
        <v>1773.0</v>
      </c>
      <c r="C775" s="5" t="s">
        <v>2628</v>
      </c>
    </row>
    <row r="776">
      <c r="A776" s="13" t="s">
        <v>2629</v>
      </c>
      <c r="B776" s="6">
        <v>1774.0</v>
      </c>
      <c r="C776" s="13" t="s">
        <v>2630</v>
      </c>
    </row>
    <row r="777">
      <c r="A777" s="5" t="s">
        <v>1944</v>
      </c>
      <c r="B777" s="6">
        <v>1775.0</v>
      </c>
      <c r="C777" s="5" t="s">
        <v>1945</v>
      </c>
    </row>
    <row r="778">
      <c r="A778" s="13" t="s">
        <v>2631</v>
      </c>
      <c r="B778" s="6">
        <v>1776.0</v>
      </c>
      <c r="C778" s="13" t="s">
        <v>2632</v>
      </c>
    </row>
    <row r="779">
      <c r="A779" s="5" t="s">
        <v>2633</v>
      </c>
      <c r="B779" s="6">
        <v>1777.0</v>
      </c>
      <c r="C779" s="5" t="s">
        <v>2634</v>
      </c>
    </row>
    <row r="780">
      <c r="A780" s="13" t="s">
        <v>1947</v>
      </c>
      <c r="B780" s="6">
        <v>1778.0</v>
      </c>
      <c r="C780" s="13" t="s">
        <v>1948</v>
      </c>
    </row>
    <row r="781">
      <c r="A781" s="13" t="s">
        <v>2635</v>
      </c>
      <c r="B781" s="6">
        <v>1779.0</v>
      </c>
      <c r="C781" s="13" t="s">
        <v>2636</v>
      </c>
    </row>
    <row r="782">
      <c r="A782" s="5" t="s">
        <v>1947</v>
      </c>
      <c r="B782" s="6">
        <v>1780.0</v>
      </c>
      <c r="C782" s="5" t="s">
        <v>2637</v>
      </c>
    </row>
    <row r="783">
      <c r="A783" s="5" t="s">
        <v>1950</v>
      </c>
      <c r="B783" s="6">
        <v>1781.0</v>
      </c>
      <c r="C783" s="5" t="s">
        <v>1951</v>
      </c>
    </row>
    <row r="784">
      <c r="A784" s="13" t="s">
        <v>2638</v>
      </c>
      <c r="B784" s="6">
        <v>1782.0</v>
      </c>
      <c r="C784" s="13" t="s">
        <v>2639</v>
      </c>
    </row>
    <row r="785">
      <c r="A785" s="5" t="s">
        <v>2640</v>
      </c>
      <c r="B785" s="6">
        <v>1783.0</v>
      </c>
      <c r="C785" s="5" t="s">
        <v>2641</v>
      </c>
    </row>
    <row r="786">
      <c r="A786" s="13" t="s">
        <v>2642</v>
      </c>
      <c r="B786" s="6">
        <v>1784.0</v>
      </c>
      <c r="C786" s="13" t="s">
        <v>2643</v>
      </c>
    </row>
    <row r="787">
      <c r="A787" s="5" t="s">
        <v>2644</v>
      </c>
      <c r="B787" s="6">
        <v>1785.0</v>
      </c>
      <c r="C787" s="5" t="s">
        <v>2645</v>
      </c>
    </row>
    <row r="788">
      <c r="A788" s="13" t="s">
        <v>794</v>
      </c>
      <c r="B788" s="6">
        <v>1786.0</v>
      </c>
      <c r="C788" s="13" t="s">
        <v>795</v>
      </c>
    </row>
    <row r="789">
      <c r="A789" s="5" t="s">
        <v>2646</v>
      </c>
      <c r="B789" s="6">
        <v>1787.0</v>
      </c>
      <c r="C789" s="5" t="s">
        <v>2647</v>
      </c>
    </row>
    <row r="790">
      <c r="A790" s="13" t="s">
        <v>2648</v>
      </c>
      <c r="B790" s="6">
        <v>1788.0</v>
      </c>
      <c r="C790" s="13" t="s">
        <v>2649</v>
      </c>
    </row>
    <row r="791">
      <c r="A791" s="5" t="s">
        <v>2650</v>
      </c>
      <c r="B791" s="6">
        <v>1789.0</v>
      </c>
      <c r="C791" s="5" t="s">
        <v>2651</v>
      </c>
    </row>
    <row r="792">
      <c r="A792" s="13" t="s">
        <v>2652</v>
      </c>
      <c r="B792" s="6">
        <v>1790.0</v>
      </c>
      <c r="C792" s="13" t="s">
        <v>2653</v>
      </c>
    </row>
    <row r="793">
      <c r="A793" s="5" t="s">
        <v>2654</v>
      </c>
      <c r="B793" s="6">
        <v>1791.0</v>
      </c>
      <c r="C793" s="5" t="s">
        <v>2655</v>
      </c>
    </row>
    <row r="794">
      <c r="A794" s="13" t="s">
        <v>2656</v>
      </c>
      <c r="B794" s="6">
        <v>1792.0</v>
      </c>
      <c r="C794" s="13" t="s">
        <v>2657</v>
      </c>
    </row>
    <row r="795">
      <c r="A795" s="5" t="s">
        <v>2658</v>
      </c>
      <c r="B795" s="6">
        <v>1793.0</v>
      </c>
      <c r="C795" s="5" t="s">
        <v>2659</v>
      </c>
    </row>
    <row r="796">
      <c r="A796" s="13" t="s">
        <v>2660</v>
      </c>
      <c r="B796" s="6">
        <v>1794.0</v>
      </c>
      <c r="C796" s="13" t="s">
        <v>2661</v>
      </c>
    </row>
    <row r="797">
      <c r="A797" s="5" t="s">
        <v>2662</v>
      </c>
      <c r="B797" s="6">
        <v>1795.0</v>
      </c>
      <c r="C797" s="5" t="s">
        <v>2663</v>
      </c>
    </row>
    <row r="798">
      <c r="A798" s="13" t="s">
        <v>1953</v>
      </c>
      <c r="B798" s="6">
        <v>1796.0</v>
      </c>
      <c r="C798" s="13" t="s">
        <v>1954</v>
      </c>
    </row>
    <row r="799">
      <c r="A799" s="5" t="s">
        <v>2664</v>
      </c>
      <c r="B799" s="6">
        <v>1797.0</v>
      </c>
      <c r="C799" s="5" t="s">
        <v>2665</v>
      </c>
    </row>
    <row r="800">
      <c r="A800" s="13" t="s">
        <v>2666</v>
      </c>
      <c r="B800" s="6">
        <v>1798.0</v>
      </c>
      <c r="C800" s="13" t="s">
        <v>2667</v>
      </c>
    </row>
    <row r="801">
      <c r="A801" s="13" t="s">
        <v>797</v>
      </c>
      <c r="B801" s="6">
        <v>1799.0</v>
      </c>
      <c r="C801" s="13" t="s">
        <v>798</v>
      </c>
    </row>
    <row r="802">
      <c r="A802" s="5" t="s">
        <v>2668</v>
      </c>
      <c r="B802" s="6">
        <v>1800.0</v>
      </c>
      <c r="C802" s="5" t="s">
        <v>2669</v>
      </c>
    </row>
    <row r="803">
      <c r="A803" s="13" t="s">
        <v>2670</v>
      </c>
      <c r="B803" s="6">
        <v>1801.0</v>
      </c>
      <c r="C803" s="13" t="s">
        <v>2671</v>
      </c>
    </row>
    <row r="804">
      <c r="A804" s="5" t="s">
        <v>1956</v>
      </c>
      <c r="B804" s="6">
        <v>1802.0</v>
      </c>
      <c r="C804" s="5" t="s">
        <v>1957</v>
      </c>
    </row>
    <row r="805">
      <c r="A805" s="13" t="s">
        <v>1956</v>
      </c>
      <c r="B805" s="6">
        <v>1803.0</v>
      </c>
      <c r="C805" s="13" t="s">
        <v>2672</v>
      </c>
    </row>
    <row r="806">
      <c r="A806" s="5" t="s">
        <v>1956</v>
      </c>
      <c r="B806" s="6">
        <v>1804.0</v>
      </c>
      <c r="C806" s="5" t="s">
        <v>2673</v>
      </c>
    </row>
    <row r="807">
      <c r="A807" s="13" t="s">
        <v>1956</v>
      </c>
      <c r="B807" s="6">
        <v>1805.0</v>
      </c>
      <c r="C807" s="13" t="s">
        <v>2674</v>
      </c>
    </row>
    <row r="808">
      <c r="A808" s="5" t="s">
        <v>800</v>
      </c>
      <c r="B808" s="6">
        <v>1806.0</v>
      </c>
      <c r="C808" s="5" t="s">
        <v>801</v>
      </c>
    </row>
    <row r="809">
      <c r="A809" s="13" t="s">
        <v>803</v>
      </c>
      <c r="B809" s="6">
        <v>1807.0</v>
      </c>
      <c r="C809" s="13" t="s">
        <v>804</v>
      </c>
    </row>
    <row r="810">
      <c r="A810" s="5" t="s">
        <v>807</v>
      </c>
      <c r="B810" s="6">
        <v>1808.0</v>
      </c>
      <c r="C810" s="5" t="s">
        <v>808</v>
      </c>
    </row>
    <row r="811">
      <c r="A811" s="13" t="s">
        <v>810</v>
      </c>
      <c r="B811" s="6">
        <v>1809.0</v>
      </c>
      <c r="C811" s="13" t="s">
        <v>811</v>
      </c>
    </row>
    <row r="812">
      <c r="A812" s="5" t="s">
        <v>813</v>
      </c>
      <c r="B812" s="6">
        <v>1810.0</v>
      </c>
      <c r="C812" s="5" t="s">
        <v>814</v>
      </c>
    </row>
    <row r="813">
      <c r="A813" s="13" t="s">
        <v>816</v>
      </c>
      <c r="B813" s="6">
        <v>1811.0</v>
      </c>
      <c r="C813" s="13" t="s">
        <v>817</v>
      </c>
    </row>
    <row r="814">
      <c r="A814" s="5" t="s">
        <v>1960</v>
      </c>
      <c r="B814" s="6">
        <v>1812.0</v>
      </c>
      <c r="C814" s="5" t="s">
        <v>1961</v>
      </c>
    </row>
    <row r="815">
      <c r="A815" s="5" t="s">
        <v>252</v>
      </c>
      <c r="B815" s="6">
        <v>1813.0</v>
      </c>
      <c r="C815" s="5" t="s">
        <v>819</v>
      </c>
    </row>
    <row r="816">
      <c r="A816" s="13" t="s">
        <v>820</v>
      </c>
      <c r="B816" s="6">
        <v>1814.0</v>
      </c>
      <c r="C816" s="13" t="s">
        <v>821</v>
      </c>
    </row>
    <row r="817">
      <c r="A817" s="5" t="s">
        <v>823</v>
      </c>
      <c r="B817" s="6">
        <v>1815.0</v>
      </c>
      <c r="C817" s="5" t="s">
        <v>824</v>
      </c>
    </row>
    <row r="818">
      <c r="A818" s="13" t="s">
        <v>838</v>
      </c>
      <c r="B818" s="6">
        <v>1816.0</v>
      </c>
      <c r="C818" s="13" t="s">
        <v>1963</v>
      </c>
    </row>
    <row r="819">
      <c r="A819" s="5" t="s">
        <v>1964</v>
      </c>
      <c r="B819" s="6">
        <v>1817.0</v>
      </c>
      <c r="C819" s="5" t="s">
        <v>1465</v>
      </c>
    </row>
    <row r="820">
      <c r="A820" s="13" t="s">
        <v>1966</v>
      </c>
      <c r="B820" s="6">
        <v>1818.0</v>
      </c>
      <c r="C820" s="13" t="s">
        <v>1967</v>
      </c>
    </row>
    <row r="821">
      <c r="A821" s="5" t="s">
        <v>1394</v>
      </c>
      <c r="B821" s="6">
        <v>1819.0</v>
      </c>
      <c r="C821" s="5" t="s">
        <v>1395</v>
      </c>
    </row>
    <row r="822">
      <c r="A822" s="13" t="s">
        <v>826</v>
      </c>
      <c r="B822" s="6">
        <v>1820.0</v>
      </c>
      <c r="C822" s="13" t="s">
        <v>827</v>
      </c>
    </row>
    <row r="823">
      <c r="A823" s="5" t="s">
        <v>1466</v>
      </c>
      <c r="B823" s="6">
        <v>1821.0</v>
      </c>
      <c r="C823" s="5" t="s">
        <v>1467</v>
      </c>
    </row>
    <row r="824">
      <c r="A824" s="13" t="s">
        <v>1971</v>
      </c>
      <c r="B824" s="6">
        <v>1822.0</v>
      </c>
      <c r="C824" s="13" t="s">
        <v>1972</v>
      </c>
    </row>
    <row r="825">
      <c r="A825" s="5" t="s">
        <v>829</v>
      </c>
      <c r="B825" s="6">
        <v>1823.0</v>
      </c>
      <c r="C825" s="5" t="s">
        <v>830</v>
      </c>
    </row>
    <row r="826">
      <c r="A826" s="13" t="s">
        <v>1974</v>
      </c>
      <c r="B826" s="6">
        <v>1824.0</v>
      </c>
      <c r="C826" s="13" t="s">
        <v>1975</v>
      </c>
    </row>
    <row r="827">
      <c r="A827" s="5" t="s">
        <v>1977</v>
      </c>
      <c r="B827" s="6">
        <v>1825.0</v>
      </c>
      <c r="C827" s="5" t="s">
        <v>1978</v>
      </c>
    </row>
    <row r="828">
      <c r="A828" s="13" t="s">
        <v>1980</v>
      </c>
      <c r="B828" s="6">
        <v>1826.0</v>
      </c>
      <c r="C828" s="13" t="s">
        <v>1981</v>
      </c>
    </row>
    <row r="829">
      <c r="A829" s="5" t="s">
        <v>1468</v>
      </c>
      <c r="B829" s="6">
        <v>1827.0</v>
      </c>
      <c r="C829" s="5" t="s">
        <v>1469</v>
      </c>
    </row>
    <row r="830">
      <c r="A830" s="13" t="s">
        <v>1984</v>
      </c>
      <c r="B830" s="6">
        <v>1828.0</v>
      </c>
      <c r="C830" s="13" t="s">
        <v>1985</v>
      </c>
    </row>
    <row r="831">
      <c r="A831" s="5" t="s">
        <v>1987</v>
      </c>
      <c r="B831" s="6">
        <v>1829.0</v>
      </c>
      <c r="C831" s="5" t="s">
        <v>1988</v>
      </c>
    </row>
    <row r="832">
      <c r="A832" s="13" t="s">
        <v>1990</v>
      </c>
      <c r="B832" s="6">
        <v>1830.0</v>
      </c>
      <c r="C832" s="13" t="s">
        <v>1991</v>
      </c>
    </row>
    <row r="833">
      <c r="A833" s="13" t="s">
        <v>1990</v>
      </c>
      <c r="B833" s="6">
        <v>1831.0</v>
      </c>
      <c r="C833" s="13" t="s">
        <v>2675</v>
      </c>
    </row>
    <row r="834">
      <c r="A834" s="13" t="s">
        <v>1993</v>
      </c>
      <c r="B834" s="6">
        <v>1832.0</v>
      </c>
      <c r="C834" s="13" t="s">
        <v>1994</v>
      </c>
    </row>
    <row r="835">
      <c r="A835" s="5" t="s">
        <v>2676</v>
      </c>
      <c r="B835" s="6">
        <v>1833.0</v>
      </c>
      <c r="C835" s="5" t="s">
        <v>2677</v>
      </c>
    </row>
    <row r="836">
      <c r="A836" s="5" t="s">
        <v>832</v>
      </c>
      <c r="B836" s="6">
        <v>1834.0</v>
      </c>
      <c r="C836" s="5" t="s">
        <v>833</v>
      </c>
    </row>
    <row r="837">
      <c r="A837" s="13" t="s">
        <v>835</v>
      </c>
      <c r="B837" s="6">
        <v>1835.0</v>
      </c>
      <c r="C837" s="13" t="s">
        <v>836</v>
      </c>
    </row>
    <row r="838">
      <c r="A838" s="13" t="s">
        <v>844</v>
      </c>
      <c r="B838" s="6">
        <v>1836.0</v>
      </c>
      <c r="C838" s="13" t="s">
        <v>2678</v>
      </c>
    </row>
    <row r="839">
      <c r="A839" s="5" t="s">
        <v>838</v>
      </c>
      <c r="B839" s="6">
        <v>1837.0</v>
      </c>
      <c r="C839" s="5" t="s">
        <v>839</v>
      </c>
    </row>
    <row r="840">
      <c r="A840" s="13" t="s">
        <v>841</v>
      </c>
      <c r="B840" s="6">
        <v>1838.0</v>
      </c>
      <c r="C840" s="13" t="s">
        <v>842</v>
      </c>
    </row>
    <row r="841">
      <c r="A841" s="5" t="s">
        <v>844</v>
      </c>
      <c r="B841" s="6">
        <v>1839.0</v>
      </c>
      <c r="C841" s="5" t="s">
        <v>845</v>
      </c>
    </row>
    <row r="842">
      <c r="A842" s="13" t="s">
        <v>2679</v>
      </c>
      <c r="B842" s="6">
        <v>1840.0</v>
      </c>
      <c r="C842" s="13" t="s">
        <v>2680</v>
      </c>
    </row>
    <row r="843">
      <c r="A843" s="5" t="s">
        <v>847</v>
      </c>
      <c r="B843" s="6">
        <v>1841.0</v>
      </c>
      <c r="C843" s="5" t="s">
        <v>848</v>
      </c>
    </row>
    <row r="844">
      <c r="A844" s="13" t="s">
        <v>850</v>
      </c>
      <c r="B844" s="6">
        <v>1842.0</v>
      </c>
      <c r="C844" s="13" t="s">
        <v>851</v>
      </c>
    </row>
    <row r="845">
      <c r="A845" s="5" t="s">
        <v>1996</v>
      </c>
      <c r="B845" s="6">
        <v>1843.0</v>
      </c>
      <c r="C845" s="5" t="s">
        <v>1997</v>
      </c>
    </row>
    <row r="846">
      <c r="A846" s="13" t="s">
        <v>2681</v>
      </c>
      <c r="B846" s="6">
        <v>1844.0</v>
      </c>
      <c r="C846" s="13" t="s">
        <v>2682</v>
      </c>
    </row>
    <row r="847">
      <c r="A847" s="5" t="s">
        <v>853</v>
      </c>
      <c r="B847" s="6">
        <v>1845.0</v>
      </c>
      <c r="C847" s="5" t="s">
        <v>854</v>
      </c>
    </row>
    <row r="848">
      <c r="A848" s="13" t="s">
        <v>856</v>
      </c>
      <c r="B848" s="6">
        <v>1846.0</v>
      </c>
      <c r="C848" s="13" t="s">
        <v>857</v>
      </c>
    </row>
    <row r="849">
      <c r="A849" s="5" t="s">
        <v>1999</v>
      </c>
      <c r="B849" s="6">
        <v>1847.0</v>
      </c>
      <c r="C849" s="5" t="s">
        <v>2000</v>
      </c>
    </row>
    <row r="850">
      <c r="A850" s="13" t="s">
        <v>820</v>
      </c>
      <c r="B850" s="6">
        <v>1848.0</v>
      </c>
      <c r="C850" s="13" t="s">
        <v>2683</v>
      </c>
    </row>
    <row r="851">
      <c r="A851" s="5" t="s">
        <v>859</v>
      </c>
      <c r="B851" s="6">
        <v>1849.0</v>
      </c>
      <c r="C851" s="5" t="s">
        <v>860</v>
      </c>
    </row>
    <row r="852">
      <c r="A852" s="13" t="s">
        <v>863</v>
      </c>
      <c r="B852" s="6">
        <v>1850.0</v>
      </c>
      <c r="C852" s="13" t="s">
        <v>864</v>
      </c>
    </row>
    <row r="853">
      <c r="A853" s="5" t="s">
        <v>866</v>
      </c>
      <c r="B853" s="6">
        <v>1851.0</v>
      </c>
      <c r="C853" s="5" t="s">
        <v>867</v>
      </c>
    </row>
    <row r="854">
      <c r="A854" s="13" t="s">
        <v>868</v>
      </c>
      <c r="B854" s="6">
        <v>1852.0</v>
      </c>
      <c r="C854" s="13" t="s">
        <v>869</v>
      </c>
    </row>
    <row r="855">
      <c r="A855" s="5" t="s">
        <v>870</v>
      </c>
      <c r="B855" s="6">
        <v>1853.0</v>
      </c>
      <c r="C855" s="5" t="s">
        <v>871</v>
      </c>
    </row>
    <row r="856">
      <c r="A856" s="13" t="s">
        <v>872</v>
      </c>
      <c r="B856" s="6">
        <v>1854.0</v>
      </c>
      <c r="C856" s="13" t="s">
        <v>873</v>
      </c>
    </row>
    <row r="857">
      <c r="A857" s="5" t="s">
        <v>874</v>
      </c>
      <c r="B857" s="6">
        <v>1855.0</v>
      </c>
      <c r="C857" s="5" t="s">
        <v>875</v>
      </c>
    </row>
    <row r="858">
      <c r="A858" s="13" t="s">
        <v>877</v>
      </c>
      <c r="B858" s="6">
        <v>1856.0</v>
      </c>
      <c r="C858" s="13" t="s">
        <v>878</v>
      </c>
    </row>
    <row r="859">
      <c r="A859" s="5" t="s">
        <v>880</v>
      </c>
      <c r="B859" s="6">
        <v>1857.0</v>
      </c>
      <c r="C859" s="5" t="s">
        <v>881</v>
      </c>
    </row>
    <row r="860">
      <c r="A860" s="13" t="s">
        <v>882</v>
      </c>
      <c r="B860" s="6">
        <v>1858.0</v>
      </c>
      <c r="C860" s="13" t="s">
        <v>883</v>
      </c>
    </row>
    <row r="861">
      <c r="A861" s="5" t="s">
        <v>884</v>
      </c>
      <c r="B861" s="6">
        <v>1859.0</v>
      </c>
      <c r="C861" s="5" t="s">
        <v>885</v>
      </c>
    </row>
    <row r="862">
      <c r="A862" s="13" t="s">
        <v>886</v>
      </c>
      <c r="B862" s="6">
        <v>1860.0</v>
      </c>
      <c r="C862" s="13" t="s">
        <v>887</v>
      </c>
    </row>
    <row r="863">
      <c r="A863" s="5" t="s">
        <v>888</v>
      </c>
      <c r="B863" s="6">
        <v>1861.0</v>
      </c>
      <c r="C863" s="5" t="s">
        <v>889</v>
      </c>
    </row>
    <row r="864">
      <c r="A864" s="13" t="s">
        <v>890</v>
      </c>
      <c r="B864" s="6">
        <v>1862.0</v>
      </c>
      <c r="C864" s="13" t="s">
        <v>891</v>
      </c>
    </row>
    <row r="865">
      <c r="A865" s="5" t="s">
        <v>892</v>
      </c>
      <c r="B865" s="6">
        <v>1863.0</v>
      </c>
      <c r="C865" s="5" t="s">
        <v>893</v>
      </c>
    </row>
    <row r="866">
      <c r="A866" s="13" t="s">
        <v>895</v>
      </c>
      <c r="B866" s="6">
        <v>1864.0</v>
      </c>
      <c r="C866" s="13" t="s">
        <v>896</v>
      </c>
    </row>
    <row r="867">
      <c r="A867" s="5" t="s">
        <v>897</v>
      </c>
      <c r="B867" s="6">
        <v>1865.0</v>
      </c>
      <c r="C867" s="5" t="s">
        <v>898</v>
      </c>
    </row>
    <row r="868">
      <c r="A868" s="13" t="s">
        <v>899</v>
      </c>
      <c r="B868" s="6">
        <v>1866.0</v>
      </c>
      <c r="C868" s="13" t="s">
        <v>900</v>
      </c>
    </row>
    <row r="869">
      <c r="A869" s="5" t="s">
        <v>902</v>
      </c>
      <c r="B869" s="6">
        <v>1867.0</v>
      </c>
      <c r="C869" s="5" t="s">
        <v>903</v>
      </c>
    </row>
    <row r="870">
      <c r="A870" s="13" t="s">
        <v>905</v>
      </c>
      <c r="B870" s="6">
        <v>1868.0</v>
      </c>
      <c r="C870" s="13" t="s">
        <v>906</v>
      </c>
    </row>
    <row r="871">
      <c r="A871" s="5" t="s">
        <v>907</v>
      </c>
      <c r="B871" s="6">
        <v>1869.0</v>
      </c>
      <c r="C871" s="5" t="s">
        <v>908</v>
      </c>
    </row>
    <row r="872">
      <c r="A872" s="13" t="s">
        <v>909</v>
      </c>
      <c r="B872" s="6">
        <v>1870.0</v>
      </c>
      <c r="C872" s="13" t="s">
        <v>910</v>
      </c>
    </row>
    <row r="873">
      <c r="A873" s="5" t="s">
        <v>911</v>
      </c>
      <c r="B873" s="6">
        <v>1871.0</v>
      </c>
      <c r="C873" s="5" t="s">
        <v>912</v>
      </c>
    </row>
    <row r="874">
      <c r="A874" s="13" t="s">
        <v>914</v>
      </c>
      <c r="B874" s="6">
        <v>1872.0</v>
      </c>
      <c r="C874" s="13" t="s">
        <v>915</v>
      </c>
    </row>
    <row r="875">
      <c r="A875" s="5" t="s">
        <v>916</v>
      </c>
      <c r="B875" s="6">
        <v>1873.0</v>
      </c>
      <c r="C875" s="5" t="s">
        <v>917</v>
      </c>
    </row>
    <row r="876">
      <c r="A876" s="13" t="s">
        <v>918</v>
      </c>
      <c r="B876" s="6">
        <v>1874.0</v>
      </c>
      <c r="C876" s="13" t="s">
        <v>919</v>
      </c>
    </row>
    <row r="877">
      <c r="A877" s="5" t="s">
        <v>921</v>
      </c>
      <c r="B877" s="6">
        <v>1875.0</v>
      </c>
      <c r="C877" s="5" t="s">
        <v>922</v>
      </c>
    </row>
    <row r="878">
      <c r="A878" s="13" t="s">
        <v>923</v>
      </c>
      <c r="B878" s="6">
        <v>1876.0</v>
      </c>
      <c r="C878" s="13" t="s">
        <v>924</v>
      </c>
    </row>
    <row r="879">
      <c r="A879" s="5" t="s">
        <v>925</v>
      </c>
      <c r="B879" s="6">
        <v>1877.0</v>
      </c>
      <c r="C879" s="5" t="s">
        <v>926</v>
      </c>
    </row>
    <row r="880">
      <c r="A880" s="13" t="s">
        <v>928</v>
      </c>
      <c r="B880" s="6">
        <v>1878.0</v>
      </c>
      <c r="C880" s="13" t="s">
        <v>929</v>
      </c>
    </row>
    <row r="881">
      <c r="A881" s="5" t="s">
        <v>930</v>
      </c>
      <c r="B881" s="6">
        <v>1879.0</v>
      </c>
      <c r="C881" s="5" t="s">
        <v>931</v>
      </c>
    </row>
    <row r="882">
      <c r="A882" s="13" t="s">
        <v>933</v>
      </c>
      <c r="B882" s="6">
        <v>1880.0</v>
      </c>
      <c r="C882" s="13" t="s">
        <v>934</v>
      </c>
    </row>
    <row r="883">
      <c r="A883" s="5" t="s">
        <v>936</v>
      </c>
      <c r="B883" s="6">
        <v>1881.0</v>
      </c>
      <c r="C883" s="5" t="s">
        <v>937</v>
      </c>
    </row>
    <row r="884">
      <c r="A884" s="13" t="s">
        <v>938</v>
      </c>
      <c r="B884" s="6">
        <v>1882.0</v>
      </c>
      <c r="C884" s="13" t="s">
        <v>939</v>
      </c>
    </row>
    <row r="885">
      <c r="A885" s="5" t="s">
        <v>940</v>
      </c>
      <c r="B885" s="6">
        <v>1883.0</v>
      </c>
      <c r="C885" s="5" t="s">
        <v>941</v>
      </c>
    </row>
    <row r="886">
      <c r="A886" s="13" t="s">
        <v>942</v>
      </c>
      <c r="B886" s="6">
        <v>1884.0</v>
      </c>
      <c r="C886" s="13" t="s">
        <v>943</v>
      </c>
    </row>
    <row r="887">
      <c r="A887" s="5" t="s">
        <v>944</v>
      </c>
      <c r="B887" s="6">
        <v>1885.0</v>
      </c>
      <c r="C887" s="5" t="s">
        <v>945</v>
      </c>
    </row>
    <row r="888">
      <c r="A888" s="13" t="s">
        <v>946</v>
      </c>
      <c r="B888" s="6">
        <v>1886.0</v>
      </c>
      <c r="C888" s="13" t="s">
        <v>947</v>
      </c>
    </row>
    <row r="889">
      <c r="A889" s="5" t="s">
        <v>948</v>
      </c>
      <c r="B889" s="6">
        <v>1887.0</v>
      </c>
      <c r="C889" s="5" t="s">
        <v>949</v>
      </c>
    </row>
    <row r="890">
      <c r="A890" s="13" t="s">
        <v>950</v>
      </c>
      <c r="B890" s="6">
        <v>1888.0</v>
      </c>
      <c r="C890" s="13" t="s">
        <v>951</v>
      </c>
    </row>
    <row r="891">
      <c r="A891" s="5" t="s">
        <v>952</v>
      </c>
      <c r="B891" s="6">
        <v>1889.0</v>
      </c>
      <c r="C891" s="5" t="s">
        <v>953</v>
      </c>
    </row>
    <row r="892">
      <c r="A892" s="13" t="s">
        <v>954</v>
      </c>
      <c r="B892" s="6">
        <v>1890.0</v>
      </c>
      <c r="C892" s="13" t="s">
        <v>955</v>
      </c>
    </row>
    <row r="893">
      <c r="A893" s="5" t="s">
        <v>957</v>
      </c>
      <c r="B893" s="6">
        <v>1891.0</v>
      </c>
      <c r="C893" s="5" t="s">
        <v>958</v>
      </c>
    </row>
    <row r="894">
      <c r="A894" s="13" t="s">
        <v>960</v>
      </c>
      <c r="B894" s="6">
        <v>1892.0</v>
      </c>
      <c r="C894" s="13" t="s">
        <v>961</v>
      </c>
    </row>
    <row r="895">
      <c r="A895" s="5" t="s">
        <v>962</v>
      </c>
      <c r="B895" s="6">
        <v>1893.0</v>
      </c>
      <c r="C895" s="5" t="s">
        <v>963</v>
      </c>
    </row>
    <row r="896">
      <c r="A896" s="13" t="s">
        <v>964</v>
      </c>
      <c r="B896" s="6">
        <v>1894.0</v>
      </c>
      <c r="C896" s="13" t="s">
        <v>965</v>
      </c>
    </row>
    <row r="897">
      <c r="A897" s="5" t="s">
        <v>966</v>
      </c>
      <c r="B897" s="6">
        <v>1895.0</v>
      </c>
      <c r="C897" s="5" t="s">
        <v>967</v>
      </c>
    </row>
    <row r="898">
      <c r="A898" s="13" t="s">
        <v>968</v>
      </c>
      <c r="B898" s="6">
        <v>1896.0</v>
      </c>
      <c r="C898" s="13" t="s">
        <v>969</v>
      </c>
    </row>
    <row r="899">
      <c r="A899" s="5" t="s">
        <v>971</v>
      </c>
      <c r="B899" s="6">
        <v>1897.0</v>
      </c>
      <c r="C899" s="5" t="s">
        <v>972</v>
      </c>
    </row>
    <row r="900">
      <c r="A900" s="13" t="s">
        <v>974</v>
      </c>
      <c r="B900" s="6">
        <v>1898.0</v>
      </c>
      <c r="C900" s="13" t="s">
        <v>975</v>
      </c>
    </row>
    <row r="901">
      <c r="A901" s="5" t="s">
        <v>976</v>
      </c>
      <c r="B901" s="6">
        <v>1899.0</v>
      </c>
      <c r="C901" s="5" t="s">
        <v>977</v>
      </c>
    </row>
    <row r="902">
      <c r="A902" s="13" t="s">
        <v>978</v>
      </c>
      <c r="B902" s="6">
        <v>1900.0</v>
      </c>
      <c r="C902" s="13" t="s">
        <v>979</v>
      </c>
    </row>
    <row r="903">
      <c r="A903" s="5" t="s">
        <v>980</v>
      </c>
      <c r="B903" s="6">
        <v>1901.0</v>
      </c>
      <c r="C903" s="5" t="s">
        <v>981</v>
      </c>
    </row>
    <row r="904">
      <c r="A904" s="13" t="s">
        <v>982</v>
      </c>
      <c r="B904" s="6">
        <v>1902.0</v>
      </c>
      <c r="C904" s="13" t="s">
        <v>983</v>
      </c>
    </row>
    <row r="905">
      <c r="A905" s="5" t="s">
        <v>984</v>
      </c>
      <c r="B905" s="6">
        <v>1903.0</v>
      </c>
      <c r="C905" s="5" t="s">
        <v>985</v>
      </c>
    </row>
    <row r="906">
      <c r="A906" s="13" t="s">
        <v>986</v>
      </c>
      <c r="B906" s="6">
        <v>1904.0</v>
      </c>
      <c r="C906" s="13" t="s">
        <v>987</v>
      </c>
    </row>
    <row r="907">
      <c r="A907" s="5" t="s">
        <v>988</v>
      </c>
      <c r="B907" s="6">
        <v>1905.0</v>
      </c>
      <c r="C907" s="5" t="s">
        <v>989</v>
      </c>
    </row>
    <row r="908">
      <c r="A908" s="13" t="s">
        <v>991</v>
      </c>
      <c r="B908" s="6">
        <v>1906.0</v>
      </c>
      <c r="C908" s="13" t="s">
        <v>992</v>
      </c>
    </row>
    <row r="909">
      <c r="A909" s="5" t="s">
        <v>994</v>
      </c>
      <c r="B909" s="6">
        <v>1907.0</v>
      </c>
      <c r="C909" s="33" t="s">
        <v>995</v>
      </c>
    </row>
    <row r="910">
      <c r="A910" s="13" t="s">
        <v>996</v>
      </c>
      <c r="B910" s="6">
        <v>1908.0</v>
      </c>
      <c r="C910" s="13" t="s">
        <v>997</v>
      </c>
    </row>
    <row r="911">
      <c r="A911" s="5" t="s">
        <v>998</v>
      </c>
      <c r="B911" s="6">
        <v>1909.0</v>
      </c>
      <c r="C911" s="5" t="s">
        <v>999</v>
      </c>
    </row>
    <row r="912">
      <c r="A912" s="13" t="s">
        <v>1000</v>
      </c>
      <c r="B912" s="6">
        <v>1910.0</v>
      </c>
      <c r="C912" s="32" t="s">
        <v>1001</v>
      </c>
    </row>
    <row r="913">
      <c r="A913" s="5" t="s">
        <v>1002</v>
      </c>
      <c r="B913" s="6">
        <v>1911.0</v>
      </c>
      <c r="C913" s="33" t="s">
        <v>1003</v>
      </c>
    </row>
    <row r="914">
      <c r="A914" s="13" t="s">
        <v>1004</v>
      </c>
      <c r="B914" s="6">
        <v>1912.0</v>
      </c>
      <c r="C914" s="13" t="s">
        <v>1005</v>
      </c>
    </row>
    <row r="915">
      <c r="A915" s="5" t="s">
        <v>1006</v>
      </c>
      <c r="B915" s="6">
        <v>1913.0</v>
      </c>
      <c r="C915" s="5" t="s">
        <v>1007</v>
      </c>
    </row>
    <row r="916">
      <c r="A916" s="13" t="s">
        <v>1008</v>
      </c>
      <c r="B916" s="6">
        <v>1914.0</v>
      </c>
      <c r="C916" s="13" t="s">
        <v>1009</v>
      </c>
    </row>
    <row r="917">
      <c r="A917" s="5" t="s">
        <v>1010</v>
      </c>
      <c r="B917" s="6">
        <v>1915.0</v>
      </c>
      <c r="C917" s="5" t="s">
        <v>1011</v>
      </c>
    </row>
    <row r="918">
      <c r="A918" s="13" t="s">
        <v>1013</v>
      </c>
      <c r="B918" s="6">
        <v>1916.0</v>
      </c>
      <c r="C918" s="13" t="s">
        <v>1014</v>
      </c>
    </row>
    <row r="919">
      <c r="A919" s="5" t="s">
        <v>1016</v>
      </c>
      <c r="B919" s="6">
        <v>1917.0</v>
      </c>
      <c r="C919" s="5" t="s">
        <v>1017</v>
      </c>
    </row>
    <row r="920">
      <c r="A920" s="13" t="s">
        <v>1018</v>
      </c>
      <c r="B920" s="6">
        <v>1918.0</v>
      </c>
      <c r="C920" s="13" t="s">
        <v>1019</v>
      </c>
    </row>
    <row r="921">
      <c r="A921" s="5" t="s">
        <v>1020</v>
      </c>
      <c r="B921" s="6">
        <v>1919.0</v>
      </c>
      <c r="C921" s="5" t="s">
        <v>1021</v>
      </c>
    </row>
    <row r="922">
      <c r="A922" s="13" t="s">
        <v>1022</v>
      </c>
      <c r="B922" s="6">
        <v>1920.0</v>
      </c>
      <c r="C922" s="13" t="s">
        <v>1023</v>
      </c>
    </row>
    <row r="923">
      <c r="A923" s="5" t="s">
        <v>1024</v>
      </c>
      <c r="B923" s="6">
        <v>1921.0</v>
      </c>
      <c r="C923" s="5" t="s">
        <v>1025</v>
      </c>
    </row>
    <row r="924">
      <c r="A924" s="13" t="s">
        <v>1026</v>
      </c>
      <c r="B924" s="6">
        <v>1922.0</v>
      </c>
      <c r="C924" s="13" t="s">
        <v>1027</v>
      </c>
    </row>
    <row r="925">
      <c r="A925" s="5" t="s">
        <v>1028</v>
      </c>
      <c r="B925" s="6">
        <v>1923.0</v>
      </c>
      <c r="C925" s="5" t="s">
        <v>1029</v>
      </c>
    </row>
    <row r="926">
      <c r="A926" s="13" t="s">
        <v>1030</v>
      </c>
      <c r="B926" s="6">
        <v>1924.0</v>
      </c>
      <c r="C926" s="13" t="s">
        <v>1031</v>
      </c>
    </row>
    <row r="927">
      <c r="A927" s="5" t="s">
        <v>1033</v>
      </c>
      <c r="B927" s="6">
        <v>1925.0</v>
      </c>
      <c r="C927" s="5" t="s">
        <v>1034</v>
      </c>
    </row>
    <row r="928">
      <c r="A928" s="13" t="s">
        <v>1036</v>
      </c>
      <c r="B928" s="6">
        <v>1926.0</v>
      </c>
      <c r="C928" s="13" t="s">
        <v>1037</v>
      </c>
    </row>
    <row r="929">
      <c r="A929" s="5" t="s">
        <v>1038</v>
      </c>
      <c r="B929" s="6">
        <v>1927.0</v>
      </c>
      <c r="C929" s="5" t="s">
        <v>1039</v>
      </c>
    </row>
    <row r="930">
      <c r="A930" s="13" t="s">
        <v>1040</v>
      </c>
      <c r="B930" s="6">
        <v>1928.0</v>
      </c>
      <c r="C930" s="13" t="s">
        <v>1041</v>
      </c>
    </row>
    <row r="931">
      <c r="A931" s="5" t="s">
        <v>1042</v>
      </c>
      <c r="B931" s="6">
        <v>1929.0</v>
      </c>
      <c r="C931" s="5" t="s">
        <v>1043</v>
      </c>
    </row>
    <row r="932">
      <c r="A932" s="13" t="s">
        <v>1044</v>
      </c>
      <c r="B932" s="6">
        <v>1930.0</v>
      </c>
      <c r="C932" s="13" t="s">
        <v>1045</v>
      </c>
    </row>
    <row r="933">
      <c r="A933" s="5" t="s">
        <v>1046</v>
      </c>
      <c r="B933" s="6">
        <v>1931.0</v>
      </c>
      <c r="C933" s="5" t="s">
        <v>1047</v>
      </c>
    </row>
    <row r="934">
      <c r="A934" s="13" t="s">
        <v>1048</v>
      </c>
      <c r="B934" s="6">
        <v>1932.0</v>
      </c>
      <c r="C934" s="13" t="s">
        <v>1049</v>
      </c>
    </row>
    <row r="935">
      <c r="A935" s="13" t="s">
        <v>2443</v>
      </c>
      <c r="B935" s="6">
        <v>1933.0</v>
      </c>
      <c r="C935" s="13" t="s">
        <v>2684</v>
      </c>
    </row>
    <row r="936">
      <c r="A936" s="5" t="s">
        <v>2443</v>
      </c>
      <c r="B936" s="6">
        <v>1934.0</v>
      </c>
      <c r="C936" s="5" t="s">
        <v>2685</v>
      </c>
    </row>
    <row r="937">
      <c r="A937" s="13" t="s">
        <v>2443</v>
      </c>
      <c r="B937" s="6">
        <v>1935.0</v>
      </c>
      <c r="C937" s="13" t="s">
        <v>2686</v>
      </c>
    </row>
    <row r="938">
      <c r="A938" s="5" t="s">
        <v>2687</v>
      </c>
      <c r="B938" s="6">
        <v>1936.0</v>
      </c>
      <c r="C938" s="5" t="s">
        <v>2688</v>
      </c>
    </row>
    <row r="939">
      <c r="A939" s="13" t="s">
        <v>2443</v>
      </c>
      <c r="B939" s="6">
        <v>1937.0</v>
      </c>
      <c r="C939" s="13" t="s">
        <v>2689</v>
      </c>
    </row>
    <row r="940">
      <c r="A940" s="5" t="s">
        <v>2443</v>
      </c>
      <c r="B940" s="6">
        <v>1938.0</v>
      </c>
      <c r="C940" s="5" t="s">
        <v>2690</v>
      </c>
    </row>
    <row r="941">
      <c r="A941" s="13" t="s">
        <v>2687</v>
      </c>
      <c r="B941" s="6">
        <v>1939.0</v>
      </c>
      <c r="C941" s="13" t="s">
        <v>2691</v>
      </c>
    </row>
    <row r="942">
      <c r="A942" s="5" t="s">
        <v>2443</v>
      </c>
      <c r="B942" s="6">
        <v>1940.0</v>
      </c>
      <c r="C942" s="5" t="s">
        <v>2692</v>
      </c>
    </row>
    <row r="943">
      <c r="A943" s="13" t="s">
        <v>2687</v>
      </c>
      <c r="B943" s="6">
        <v>1941.0</v>
      </c>
      <c r="C943" s="13" t="s">
        <v>2693</v>
      </c>
    </row>
    <row r="944">
      <c r="A944" s="5" t="s">
        <v>2687</v>
      </c>
      <c r="B944" s="6">
        <v>1942.0</v>
      </c>
      <c r="C944" s="5" t="s">
        <v>2694</v>
      </c>
    </row>
    <row r="945">
      <c r="A945" s="13" t="s">
        <v>1050</v>
      </c>
      <c r="B945" s="6">
        <v>1943.0</v>
      </c>
      <c r="C945" s="13" t="s">
        <v>1051</v>
      </c>
    </row>
    <row r="946">
      <c r="A946" s="5" t="s">
        <v>2695</v>
      </c>
      <c r="B946" s="6">
        <v>1944.0</v>
      </c>
      <c r="C946" s="5" t="s">
        <v>2696</v>
      </c>
    </row>
    <row r="947">
      <c r="A947" s="13" t="s">
        <v>2687</v>
      </c>
      <c r="B947" s="6">
        <v>1945.0</v>
      </c>
      <c r="C947" s="13" t="s">
        <v>2697</v>
      </c>
    </row>
    <row r="948">
      <c r="A948" s="5" t="s">
        <v>2698</v>
      </c>
      <c r="B948" s="6">
        <v>1946.0</v>
      </c>
      <c r="C948" s="5" t="s">
        <v>2699</v>
      </c>
    </row>
    <row r="949">
      <c r="A949" s="13" t="s">
        <v>2700</v>
      </c>
      <c r="B949" s="6">
        <v>1947.0</v>
      </c>
      <c r="C949" s="13" t="s">
        <v>2701</v>
      </c>
    </row>
    <row r="950">
      <c r="A950" s="5" t="s">
        <v>2702</v>
      </c>
      <c r="B950" s="6">
        <v>1948.0</v>
      </c>
      <c r="C950" s="5" t="s">
        <v>2703</v>
      </c>
    </row>
    <row r="951">
      <c r="A951" s="13" t="s">
        <v>2704</v>
      </c>
      <c r="B951" s="6">
        <v>1949.0</v>
      </c>
      <c r="C951" s="13" t="s">
        <v>2705</v>
      </c>
    </row>
    <row r="952">
      <c r="A952" s="5" t="s">
        <v>2687</v>
      </c>
      <c r="B952" s="6">
        <v>1950.0</v>
      </c>
      <c r="C952" s="5" t="s">
        <v>2706</v>
      </c>
    </row>
    <row r="953">
      <c r="A953" s="13" t="s">
        <v>2687</v>
      </c>
      <c r="B953" s="6">
        <v>1951.0</v>
      </c>
      <c r="C953" s="13" t="s">
        <v>2707</v>
      </c>
    </row>
    <row r="954">
      <c r="A954" s="5" t="s">
        <v>1053</v>
      </c>
      <c r="B954" s="6">
        <v>1952.0</v>
      </c>
      <c r="C954" s="5" t="s">
        <v>1054</v>
      </c>
    </row>
    <row r="955">
      <c r="A955" s="13" t="s">
        <v>2708</v>
      </c>
      <c r="B955" s="6">
        <v>1953.0</v>
      </c>
      <c r="C955" s="13" t="s">
        <v>2709</v>
      </c>
    </row>
    <row r="956">
      <c r="A956" s="5" t="s">
        <v>2710</v>
      </c>
      <c r="B956" s="6">
        <v>1954.0</v>
      </c>
      <c r="C956" s="5" t="s">
        <v>2711</v>
      </c>
    </row>
    <row r="957">
      <c r="A957" s="13" t="s">
        <v>2712</v>
      </c>
      <c r="B957" s="6">
        <v>1955.0</v>
      </c>
      <c r="C957" s="13" t="s">
        <v>2713</v>
      </c>
    </row>
    <row r="958">
      <c r="A958" s="5" t="s">
        <v>1056</v>
      </c>
      <c r="B958" s="6">
        <v>1956.0</v>
      </c>
      <c r="C958" s="5" t="s">
        <v>1057</v>
      </c>
    </row>
    <row r="959">
      <c r="A959" s="13" t="s">
        <v>1059</v>
      </c>
      <c r="B959" s="6">
        <v>1957.0</v>
      </c>
      <c r="C959" s="13" t="s">
        <v>1060</v>
      </c>
    </row>
    <row r="960">
      <c r="A960" s="5" t="s">
        <v>1062</v>
      </c>
      <c r="B960" s="6">
        <v>1958.0</v>
      </c>
      <c r="C960" s="5" t="s">
        <v>1063</v>
      </c>
    </row>
    <row r="961">
      <c r="A961" s="13" t="s">
        <v>1065</v>
      </c>
      <c r="B961" s="6">
        <v>1959.0</v>
      </c>
      <c r="C961" s="13" t="s">
        <v>1066</v>
      </c>
    </row>
    <row r="962">
      <c r="A962" s="5" t="s">
        <v>1068</v>
      </c>
      <c r="B962" s="6">
        <v>1960.0</v>
      </c>
      <c r="C962" s="5" t="s">
        <v>1069</v>
      </c>
    </row>
    <row r="963">
      <c r="A963" s="13" t="s">
        <v>1071</v>
      </c>
      <c r="B963" s="6">
        <v>1961.0</v>
      </c>
      <c r="C963" s="13" t="s">
        <v>1072</v>
      </c>
    </row>
    <row r="964">
      <c r="A964" s="5" t="s">
        <v>1074</v>
      </c>
      <c r="B964" s="6">
        <v>1962.0</v>
      </c>
      <c r="C964" s="5" t="s">
        <v>1075</v>
      </c>
    </row>
    <row r="965">
      <c r="A965" s="13" t="s">
        <v>1077</v>
      </c>
      <c r="B965" s="6">
        <v>1963.0</v>
      </c>
      <c r="C965" s="13" t="s">
        <v>1078</v>
      </c>
    </row>
    <row r="966">
      <c r="A966" s="5" t="s">
        <v>1080</v>
      </c>
      <c r="B966" s="6">
        <v>1964.0</v>
      </c>
      <c r="C966" s="5" t="s">
        <v>1081</v>
      </c>
    </row>
    <row r="967">
      <c r="A967" s="13" t="s">
        <v>1083</v>
      </c>
      <c r="B967" s="6">
        <v>1965.0</v>
      </c>
      <c r="C967" s="13" t="s">
        <v>1084</v>
      </c>
    </row>
    <row r="968">
      <c r="A968" s="5" t="s">
        <v>2714</v>
      </c>
      <c r="B968" s="6">
        <v>1966.0</v>
      </c>
      <c r="C968" s="5" t="s">
        <v>2715</v>
      </c>
    </row>
    <row r="969">
      <c r="A969" s="13" t="s">
        <v>2716</v>
      </c>
      <c r="B969" s="6">
        <v>1967.0</v>
      </c>
      <c r="C969" s="13" t="s">
        <v>2717</v>
      </c>
    </row>
    <row r="970">
      <c r="A970" s="5" t="s">
        <v>2718</v>
      </c>
      <c r="B970" s="6">
        <v>1968.0</v>
      </c>
      <c r="C970" s="5" t="s">
        <v>2719</v>
      </c>
    </row>
    <row r="971">
      <c r="A971" s="13" t="s">
        <v>2720</v>
      </c>
      <c r="B971" s="6">
        <v>1969.0</v>
      </c>
      <c r="C971" s="13" t="s">
        <v>2721</v>
      </c>
    </row>
    <row r="972">
      <c r="A972" s="5" t="s">
        <v>2722</v>
      </c>
      <c r="B972" s="6">
        <v>1970.0</v>
      </c>
      <c r="C972" s="5" t="s">
        <v>2723</v>
      </c>
    </row>
    <row r="973">
      <c r="A973" s="13" t="s">
        <v>2724</v>
      </c>
      <c r="B973" s="6">
        <v>1971.0</v>
      </c>
      <c r="C973" s="13" t="s">
        <v>2725</v>
      </c>
    </row>
    <row r="974">
      <c r="A974" s="5" t="s">
        <v>1074</v>
      </c>
      <c r="B974" s="6">
        <v>1972.0</v>
      </c>
      <c r="C974" s="5" t="s">
        <v>2726</v>
      </c>
    </row>
    <row r="975">
      <c r="A975" s="13" t="s">
        <v>2727</v>
      </c>
      <c r="B975" s="6">
        <v>1973.0</v>
      </c>
      <c r="C975" s="13" t="s">
        <v>2728</v>
      </c>
    </row>
    <row r="976">
      <c r="A976" s="5" t="s">
        <v>2729</v>
      </c>
      <c r="B976" s="6">
        <v>1974.0</v>
      </c>
      <c r="C976" s="5" t="s">
        <v>2730</v>
      </c>
    </row>
    <row r="977">
      <c r="A977" s="13" t="s">
        <v>2731</v>
      </c>
      <c r="B977" s="6">
        <v>1975.0</v>
      </c>
      <c r="C977" s="13" t="s">
        <v>2732</v>
      </c>
    </row>
    <row r="978">
      <c r="A978" s="5" t="s">
        <v>2733</v>
      </c>
      <c r="B978" s="6">
        <v>1976.0</v>
      </c>
      <c r="C978" s="5" t="s">
        <v>2734</v>
      </c>
    </row>
    <row r="979">
      <c r="A979" s="13" t="s">
        <v>2735</v>
      </c>
      <c r="B979" s="6">
        <v>1977.0</v>
      </c>
      <c r="C979" s="13" t="s">
        <v>2736</v>
      </c>
    </row>
    <row r="980">
      <c r="A980" s="5" t="s">
        <v>2737</v>
      </c>
      <c r="B980" s="6">
        <v>1978.0</v>
      </c>
      <c r="C980" s="5" t="s">
        <v>2738</v>
      </c>
    </row>
    <row r="981">
      <c r="A981" s="13" t="s">
        <v>2739</v>
      </c>
      <c r="B981" s="6">
        <v>1979.0</v>
      </c>
      <c r="C981" s="13" t="s">
        <v>2740</v>
      </c>
    </row>
    <row r="982">
      <c r="A982" s="5" t="s">
        <v>2741</v>
      </c>
      <c r="B982" s="6">
        <v>1980.0</v>
      </c>
      <c r="C982" s="5" t="s">
        <v>2742</v>
      </c>
    </row>
    <row r="983">
      <c r="A983" s="13" t="s">
        <v>2743</v>
      </c>
      <c r="B983" s="6">
        <v>1981.0</v>
      </c>
      <c r="C983" s="13" t="s">
        <v>2744</v>
      </c>
    </row>
    <row r="984">
      <c r="A984" s="5" t="s">
        <v>2745</v>
      </c>
      <c r="B984" s="6">
        <v>1982.0</v>
      </c>
      <c r="C984" s="5" t="s">
        <v>2746</v>
      </c>
    </row>
    <row r="985">
      <c r="A985" s="13" t="s">
        <v>2747</v>
      </c>
      <c r="B985" s="6">
        <v>1983.0</v>
      </c>
      <c r="C985" s="13" t="s">
        <v>2748</v>
      </c>
    </row>
    <row r="986">
      <c r="A986" s="5" t="s">
        <v>2749</v>
      </c>
      <c r="B986" s="6">
        <v>1984.0</v>
      </c>
      <c r="C986" s="5" t="s">
        <v>2750</v>
      </c>
    </row>
    <row r="987">
      <c r="A987" s="13" t="s">
        <v>2751</v>
      </c>
      <c r="B987" s="6">
        <v>1985.0</v>
      </c>
      <c r="C987" s="13" t="s">
        <v>2752</v>
      </c>
    </row>
    <row r="988">
      <c r="A988" s="5" t="s">
        <v>2753</v>
      </c>
      <c r="B988" s="6">
        <v>1986.0</v>
      </c>
      <c r="C988" s="5" t="s">
        <v>2754</v>
      </c>
    </row>
    <row r="989">
      <c r="A989" s="13" t="s">
        <v>2755</v>
      </c>
      <c r="B989" s="6">
        <v>1987.0</v>
      </c>
      <c r="C989" s="13" t="s">
        <v>2756</v>
      </c>
    </row>
    <row r="990">
      <c r="A990" s="5" t="s">
        <v>1086</v>
      </c>
      <c r="B990" s="6">
        <v>1988.0</v>
      </c>
      <c r="C990" s="5" t="s">
        <v>1087</v>
      </c>
    </row>
    <row r="991">
      <c r="A991" s="13" t="s">
        <v>2757</v>
      </c>
      <c r="B991" s="6">
        <v>1989.0</v>
      </c>
      <c r="C991" s="13" t="s">
        <v>2758</v>
      </c>
    </row>
    <row r="992">
      <c r="A992" s="5" t="s">
        <v>1089</v>
      </c>
      <c r="B992" s="6">
        <v>1990.0</v>
      </c>
      <c r="C992" s="33" t="s">
        <v>1090</v>
      </c>
    </row>
    <row r="993">
      <c r="A993" s="13" t="s">
        <v>2759</v>
      </c>
      <c r="B993" s="6">
        <v>1991.0</v>
      </c>
      <c r="C993" s="13" t="s">
        <v>2760</v>
      </c>
    </row>
    <row r="994">
      <c r="A994" s="5" t="s">
        <v>1092</v>
      </c>
      <c r="B994" s="6">
        <v>1992.0</v>
      </c>
      <c r="C994" s="5" t="s">
        <v>1093</v>
      </c>
    </row>
    <row r="995">
      <c r="A995" s="13" t="s">
        <v>2761</v>
      </c>
      <c r="B995" s="6">
        <v>1993.0</v>
      </c>
      <c r="C995" s="13" t="s">
        <v>2762</v>
      </c>
    </row>
    <row r="996">
      <c r="A996" s="5" t="s">
        <v>1095</v>
      </c>
      <c r="B996" s="6">
        <v>1994.0</v>
      </c>
      <c r="C996" s="5" t="s">
        <v>1096</v>
      </c>
    </row>
    <row r="997">
      <c r="A997" s="13" t="s">
        <v>1098</v>
      </c>
      <c r="B997" s="6">
        <v>1995.0</v>
      </c>
      <c r="C997" s="13" t="s">
        <v>1099</v>
      </c>
    </row>
    <row r="998">
      <c r="A998" s="5" t="s">
        <v>1101</v>
      </c>
      <c r="B998" s="6">
        <v>1996.0</v>
      </c>
      <c r="C998" s="5" t="s">
        <v>1102</v>
      </c>
    </row>
    <row r="999">
      <c r="A999" s="13" t="s">
        <v>1104</v>
      </c>
      <c r="B999" s="6">
        <v>1997.0</v>
      </c>
      <c r="C999" s="13" t="s">
        <v>1105</v>
      </c>
    </row>
    <row r="1000">
      <c r="A1000" s="5" t="s">
        <v>1107</v>
      </c>
      <c r="B1000" s="6">
        <v>1998.0</v>
      </c>
      <c r="C1000" s="5" t="s">
        <v>1108</v>
      </c>
    </row>
    <row r="1001">
      <c r="A1001" s="13" t="s">
        <v>1110</v>
      </c>
      <c r="B1001" s="6">
        <v>1999.0</v>
      </c>
      <c r="C1001" s="13" t="s">
        <v>1111</v>
      </c>
    </row>
    <row r="1002">
      <c r="A1002" s="5" t="s">
        <v>1113</v>
      </c>
      <c r="B1002" s="6">
        <v>2000.0</v>
      </c>
      <c r="C1002" s="33" t="s">
        <v>1114</v>
      </c>
    </row>
    <row r="1003">
      <c r="A1003" s="13" t="s">
        <v>1077</v>
      </c>
      <c r="B1003" s="6">
        <v>2001.0</v>
      </c>
      <c r="C1003" s="13" t="s">
        <v>2763</v>
      </c>
    </row>
    <row r="1004">
      <c r="A1004" s="5" t="s">
        <v>1116</v>
      </c>
      <c r="B1004" s="6">
        <v>2002.0</v>
      </c>
      <c r="C1004" s="5" t="s">
        <v>1117</v>
      </c>
    </row>
    <row r="1005">
      <c r="A1005" s="13" t="s">
        <v>2002</v>
      </c>
      <c r="B1005" s="6">
        <v>2003.0</v>
      </c>
      <c r="C1005" s="13" t="s">
        <v>2003</v>
      </c>
    </row>
    <row r="1006">
      <c r="A1006" s="5" t="s">
        <v>2764</v>
      </c>
      <c r="B1006" s="6">
        <v>2004.0</v>
      </c>
      <c r="C1006" s="5" t="s">
        <v>2765</v>
      </c>
    </row>
    <row r="1007">
      <c r="A1007" s="13" t="s">
        <v>2005</v>
      </c>
      <c r="B1007" s="6">
        <v>2005.0</v>
      </c>
      <c r="C1007" s="13" t="s">
        <v>2006</v>
      </c>
    </row>
    <row r="1008">
      <c r="A1008" s="5" t="s">
        <v>2008</v>
      </c>
      <c r="B1008" s="6">
        <v>2006.0</v>
      </c>
      <c r="C1008" s="5" t="s">
        <v>2009</v>
      </c>
    </row>
    <row r="1009">
      <c r="A1009" s="13" t="s">
        <v>2011</v>
      </c>
      <c r="B1009" s="6">
        <v>2007.0</v>
      </c>
      <c r="C1009" s="13" t="s">
        <v>2012</v>
      </c>
    </row>
    <row r="1010">
      <c r="A1010" s="5" t="s">
        <v>1119</v>
      </c>
      <c r="B1010" s="6">
        <v>2008.0</v>
      </c>
      <c r="C1010" s="5" t="s">
        <v>1120</v>
      </c>
    </row>
    <row r="1011">
      <c r="A1011" s="13" t="s">
        <v>1122</v>
      </c>
      <c r="B1011" s="6">
        <v>2009.0</v>
      </c>
      <c r="C1011" s="13" t="s">
        <v>1123</v>
      </c>
    </row>
    <row r="1012">
      <c r="A1012" s="5" t="s">
        <v>1125</v>
      </c>
      <c r="B1012" s="6">
        <v>2010.0</v>
      </c>
      <c r="C1012" s="5" t="s">
        <v>1126</v>
      </c>
    </row>
    <row r="1013">
      <c r="A1013" s="13" t="s">
        <v>1128</v>
      </c>
      <c r="B1013" s="6">
        <v>2011.0</v>
      </c>
      <c r="C1013" s="13" t="s">
        <v>1129</v>
      </c>
    </row>
    <row r="1014">
      <c r="A1014" s="5" t="s">
        <v>1131</v>
      </c>
      <c r="B1014" s="6">
        <v>2012.0</v>
      </c>
      <c r="C1014" s="5" t="s">
        <v>1132</v>
      </c>
    </row>
    <row r="1015">
      <c r="A1015" s="13" t="s">
        <v>1134</v>
      </c>
      <c r="B1015" s="6">
        <v>2013.0</v>
      </c>
      <c r="C1015" s="32" t="s">
        <v>1135</v>
      </c>
    </row>
    <row r="1016">
      <c r="A1016" s="5" t="s">
        <v>1137</v>
      </c>
      <c r="B1016" s="6">
        <v>2014.0</v>
      </c>
      <c r="C1016" s="33" t="s">
        <v>1138</v>
      </c>
    </row>
    <row r="1017">
      <c r="A1017" s="13" t="s">
        <v>1140</v>
      </c>
      <c r="B1017" s="6">
        <v>2015.0</v>
      </c>
      <c r="C1017" s="32" t="s">
        <v>1141</v>
      </c>
    </row>
    <row r="1018">
      <c r="A1018" s="5" t="s">
        <v>1143</v>
      </c>
      <c r="B1018" s="6">
        <v>2016.0</v>
      </c>
      <c r="C1018" s="34" t="s">
        <v>1144</v>
      </c>
    </row>
    <row r="1019">
      <c r="A1019" s="13" t="s">
        <v>1146</v>
      </c>
      <c r="B1019" s="6">
        <v>2017.0</v>
      </c>
      <c r="C1019" s="13" t="s">
        <v>1147</v>
      </c>
    </row>
    <row r="1020">
      <c r="A1020" s="5" t="s">
        <v>2014</v>
      </c>
      <c r="B1020" s="6">
        <v>2018.0</v>
      </c>
      <c r="C1020" s="5" t="s">
        <v>2015</v>
      </c>
    </row>
    <row r="1021">
      <c r="A1021" s="13" t="s">
        <v>2017</v>
      </c>
      <c r="B1021" s="6">
        <v>2019.0</v>
      </c>
      <c r="C1021" s="13" t="s">
        <v>2018</v>
      </c>
    </row>
    <row r="1022">
      <c r="A1022" s="5" t="s">
        <v>2766</v>
      </c>
      <c r="B1022" s="6">
        <v>2020.0</v>
      </c>
      <c r="C1022" s="5" t="s">
        <v>2767</v>
      </c>
    </row>
    <row r="1023">
      <c r="A1023" s="13" t="s">
        <v>1149</v>
      </c>
      <c r="B1023" s="6">
        <v>2021.0</v>
      </c>
      <c r="C1023" s="13" t="s">
        <v>1150</v>
      </c>
    </row>
    <row r="1024">
      <c r="A1024" s="5" t="s">
        <v>2768</v>
      </c>
      <c r="B1024" s="6">
        <v>2022.0</v>
      </c>
      <c r="C1024" s="5" t="s">
        <v>2021</v>
      </c>
    </row>
    <row r="1025">
      <c r="A1025" s="13" t="s">
        <v>2769</v>
      </c>
      <c r="B1025" s="6">
        <v>2023.0</v>
      </c>
      <c r="C1025" s="13" t="s">
        <v>2770</v>
      </c>
    </row>
    <row r="1026">
      <c r="A1026" s="5" t="s">
        <v>2024</v>
      </c>
      <c r="B1026" s="6">
        <v>2024.0</v>
      </c>
      <c r="C1026" s="5" t="s">
        <v>2025</v>
      </c>
    </row>
    <row r="1027">
      <c r="A1027" s="13" t="s">
        <v>2771</v>
      </c>
      <c r="B1027" s="6">
        <v>2025.0</v>
      </c>
      <c r="C1027" s="13" t="s">
        <v>2772</v>
      </c>
    </row>
    <row r="1028">
      <c r="A1028" s="5" t="s">
        <v>2028</v>
      </c>
      <c r="B1028" s="6">
        <v>2026.0</v>
      </c>
      <c r="C1028" s="5" t="s">
        <v>2029</v>
      </c>
    </row>
    <row r="1029">
      <c r="A1029" s="13" t="s">
        <v>2773</v>
      </c>
      <c r="B1029" s="6">
        <v>2027.0</v>
      </c>
      <c r="C1029" s="13" t="s">
        <v>2774</v>
      </c>
    </row>
    <row r="1030">
      <c r="A1030" s="5" t="s">
        <v>1153</v>
      </c>
      <c r="B1030" s="6">
        <v>2028.0</v>
      </c>
      <c r="C1030" s="5" t="s">
        <v>1154</v>
      </c>
    </row>
    <row r="1031">
      <c r="A1031" s="13" t="s">
        <v>1156</v>
      </c>
      <c r="B1031" s="6">
        <v>2029.0</v>
      </c>
      <c r="C1031" s="13" t="s">
        <v>1157</v>
      </c>
    </row>
    <row r="1032">
      <c r="A1032" s="13" t="s">
        <v>1159</v>
      </c>
      <c r="B1032" s="6">
        <v>2030.0</v>
      </c>
      <c r="C1032" s="13" t="s">
        <v>1160</v>
      </c>
    </row>
    <row r="1033">
      <c r="A1033" s="5" t="s">
        <v>1159</v>
      </c>
      <c r="B1033" s="6">
        <v>2031.0</v>
      </c>
      <c r="C1033" s="5" t="s">
        <v>1163</v>
      </c>
    </row>
    <row r="1034">
      <c r="A1034" s="13" t="s">
        <v>1159</v>
      </c>
      <c r="B1034" s="6">
        <v>2032.0</v>
      </c>
      <c r="C1034" s="13" t="s">
        <v>1164</v>
      </c>
    </row>
    <row r="1035">
      <c r="A1035" s="5" t="s">
        <v>1159</v>
      </c>
      <c r="B1035" s="6">
        <v>2033.0</v>
      </c>
      <c r="C1035" s="5" t="s">
        <v>1165</v>
      </c>
    </row>
    <row r="1036">
      <c r="A1036" s="13" t="s">
        <v>1159</v>
      </c>
      <c r="B1036" s="6">
        <v>2034.0</v>
      </c>
      <c r="C1036" s="13" t="s">
        <v>1166</v>
      </c>
    </row>
    <row r="1037">
      <c r="A1037" s="13" t="s">
        <v>2032</v>
      </c>
      <c r="B1037" s="6">
        <v>2035.0</v>
      </c>
      <c r="C1037" s="13" t="s">
        <v>2033</v>
      </c>
    </row>
    <row r="1038">
      <c r="A1038" s="5" t="s">
        <v>2032</v>
      </c>
      <c r="B1038" s="6">
        <v>2036.0</v>
      </c>
      <c r="C1038" s="5" t="s">
        <v>2775</v>
      </c>
    </row>
    <row r="1039">
      <c r="A1039" s="13" t="s">
        <v>2032</v>
      </c>
      <c r="B1039" s="6">
        <v>2037.0</v>
      </c>
      <c r="C1039" s="13" t="s">
        <v>2776</v>
      </c>
    </row>
    <row r="1040">
      <c r="A1040" s="5" t="s">
        <v>2777</v>
      </c>
      <c r="B1040" s="6">
        <v>2038.0</v>
      </c>
      <c r="C1040" s="5" t="s">
        <v>2778</v>
      </c>
    </row>
    <row r="1041">
      <c r="A1041" s="13" t="s">
        <v>2036</v>
      </c>
      <c r="B1041" s="6">
        <v>2039.0</v>
      </c>
      <c r="C1041" s="13" t="s">
        <v>2037</v>
      </c>
    </row>
    <row r="1042">
      <c r="A1042" s="5" t="s">
        <v>1186</v>
      </c>
      <c r="B1042" s="6">
        <v>2040.0</v>
      </c>
      <c r="C1042" s="5" t="s">
        <v>2779</v>
      </c>
    </row>
    <row r="1043">
      <c r="A1043" s="13" t="s">
        <v>1186</v>
      </c>
      <c r="B1043" s="6">
        <v>2041.0</v>
      </c>
      <c r="C1043" s="13" t="s">
        <v>2780</v>
      </c>
    </row>
    <row r="1044">
      <c r="A1044" s="5" t="s">
        <v>1186</v>
      </c>
      <c r="B1044" s="6">
        <v>2042.0</v>
      </c>
      <c r="C1044" s="5" t="s">
        <v>2781</v>
      </c>
    </row>
    <row r="1045">
      <c r="A1045" s="13" t="s">
        <v>1167</v>
      </c>
      <c r="B1045" s="6">
        <v>2043.0</v>
      </c>
      <c r="C1045" s="13" t="s">
        <v>1168</v>
      </c>
    </row>
    <row r="1046">
      <c r="A1046" s="5" t="s">
        <v>1171</v>
      </c>
      <c r="B1046" s="6">
        <v>2044.0</v>
      </c>
      <c r="C1046" s="5" t="s">
        <v>1172</v>
      </c>
    </row>
    <row r="1047">
      <c r="A1047" s="13" t="s">
        <v>1174</v>
      </c>
      <c r="B1047" s="6">
        <v>2045.0</v>
      </c>
      <c r="C1047" s="13" t="s">
        <v>1175</v>
      </c>
    </row>
    <row r="1048">
      <c r="A1048" s="5" t="s">
        <v>1174</v>
      </c>
      <c r="B1048" s="6">
        <v>2046.0</v>
      </c>
      <c r="C1048" s="5" t="s">
        <v>1178</v>
      </c>
    </row>
    <row r="1049">
      <c r="A1049" s="13" t="s">
        <v>1174</v>
      </c>
      <c r="B1049" s="6">
        <v>2047.0</v>
      </c>
      <c r="C1049" s="13" t="s">
        <v>1179</v>
      </c>
    </row>
    <row r="1050">
      <c r="A1050" s="5" t="s">
        <v>1174</v>
      </c>
      <c r="B1050" s="6">
        <v>2048.0</v>
      </c>
      <c r="C1050" s="5" t="s">
        <v>1180</v>
      </c>
    </row>
    <row r="1051">
      <c r="A1051" s="13" t="s">
        <v>1174</v>
      </c>
      <c r="B1051" s="6">
        <v>2049.0</v>
      </c>
      <c r="C1051" s="13" t="s">
        <v>1181</v>
      </c>
    </row>
    <row r="1052">
      <c r="A1052" s="5" t="s">
        <v>1174</v>
      </c>
      <c r="B1052" s="6">
        <v>2050.0</v>
      </c>
      <c r="C1052" s="5" t="s">
        <v>1182</v>
      </c>
    </row>
    <row r="1053">
      <c r="A1053" s="13" t="s">
        <v>1183</v>
      </c>
      <c r="B1053" s="6">
        <v>2051.0</v>
      </c>
      <c r="C1053" s="13" t="s">
        <v>1184</v>
      </c>
    </row>
    <row r="1054">
      <c r="A1054" s="13" t="s">
        <v>1186</v>
      </c>
      <c r="B1054" s="6">
        <v>2052.0</v>
      </c>
      <c r="C1054" s="13" t="s">
        <v>1187</v>
      </c>
    </row>
    <row r="1055">
      <c r="A1055" s="5" t="s">
        <v>1186</v>
      </c>
      <c r="B1055" s="6">
        <v>2053.0</v>
      </c>
      <c r="C1055" s="5" t="s">
        <v>2782</v>
      </c>
    </row>
    <row r="1056">
      <c r="A1056" s="13" t="s">
        <v>1186</v>
      </c>
      <c r="B1056" s="6">
        <v>2054.0</v>
      </c>
      <c r="C1056" s="13" t="s">
        <v>2783</v>
      </c>
    </row>
    <row r="1057">
      <c r="A1057" s="5" t="s">
        <v>1186</v>
      </c>
      <c r="B1057" s="6">
        <v>2055.0</v>
      </c>
      <c r="C1057" s="5" t="s">
        <v>1189</v>
      </c>
    </row>
    <row r="1058">
      <c r="A1058" s="5" t="s">
        <v>2784</v>
      </c>
      <c r="B1058" s="6">
        <v>2056.0</v>
      </c>
      <c r="C1058" s="5" t="s">
        <v>2785</v>
      </c>
    </row>
    <row r="1059">
      <c r="A1059" s="13" t="s">
        <v>2039</v>
      </c>
      <c r="B1059" s="6">
        <v>2057.0</v>
      </c>
      <c r="C1059" s="13" t="s">
        <v>2040</v>
      </c>
    </row>
    <row r="1060">
      <c r="A1060" s="5" t="s">
        <v>2786</v>
      </c>
      <c r="B1060" s="6">
        <v>2058.0</v>
      </c>
      <c r="C1060" s="5" t="s">
        <v>2787</v>
      </c>
    </row>
    <row r="1061">
      <c r="A1061" s="13" t="s">
        <v>2786</v>
      </c>
      <c r="B1061" s="6">
        <v>2059.0</v>
      </c>
      <c r="C1061" s="13" t="s">
        <v>2788</v>
      </c>
    </row>
    <row r="1062">
      <c r="A1062" s="5" t="s">
        <v>2786</v>
      </c>
      <c r="B1062" s="6">
        <v>2060.0</v>
      </c>
      <c r="C1062" s="5" t="s">
        <v>2789</v>
      </c>
    </row>
    <row r="1063">
      <c r="A1063" s="13" t="s">
        <v>1190</v>
      </c>
      <c r="B1063" s="6">
        <v>2061.0</v>
      </c>
      <c r="C1063" s="13" t="s">
        <v>1191</v>
      </c>
    </row>
    <row r="1064">
      <c r="A1064" s="5" t="s">
        <v>1193</v>
      </c>
      <c r="B1064" s="6">
        <v>2062.0</v>
      </c>
      <c r="C1064" s="5" t="s">
        <v>1194</v>
      </c>
    </row>
    <row r="1065">
      <c r="A1065" s="13" t="s">
        <v>2042</v>
      </c>
      <c r="B1065" s="6">
        <v>2063.0</v>
      </c>
      <c r="C1065" s="13" t="s">
        <v>2043</v>
      </c>
    </row>
    <row r="1066">
      <c r="A1066" s="5" t="s">
        <v>2042</v>
      </c>
      <c r="B1066" s="6">
        <v>2064.0</v>
      </c>
      <c r="C1066" s="5" t="s">
        <v>2790</v>
      </c>
    </row>
    <row r="1067">
      <c r="A1067" s="13" t="s">
        <v>1186</v>
      </c>
      <c r="B1067" s="6">
        <v>2065.0</v>
      </c>
      <c r="C1067" s="13" t="s">
        <v>2791</v>
      </c>
    </row>
    <row r="1068">
      <c r="A1068" s="13" t="s">
        <v>2045</v>
      </c>
      <c r="B1068" s="6">
        <v>2066.0</v>
      </c>
      <c r="C1068" s="13" t="s">
        <v>2046</v>
      </c>
    </row>
    <row r="1069">
      <c r="A1069" s="5" t="s">
        <v>2048</v>
      </c>
      <c r="B1069" s="6">
        <v>2067.0</v>
      </c>
      <c r="C1069" s="33" t="s">
        <v>2049</v>
      </c>
    </row>
    <row r="1070">
      <c r="A1070" s="13" t="s">
        <v>1186</v>
      </c>
      <c r="B1070" s="6">
        <v>2068.0</v>
      </c>
      <c r="C1070" s="13" t="s">
        <v>2792</v>
      </c>
    </row>
    <row r="1071">
      <c r="A1071" s="5" t="s">
        <v>1186</v>
      </c>
      <c r="B1071" s="6">
        <v>2069.0</v>
      </c>
      <c r="C1071" s="5" t="s">
        <v>2793</v>
      </c>
    </row>
    <row r="1072">
      <c r="A1072" s="13" t="s">
        <v>2051</v>
      </c>
      <c r="B1072" s="6">
        <v>2070.0</v>
      </c>
      <c r="C1072" s="13" t="s">
        <v>2052</v>
      </c>
    </row>
    <row r="1073">
      <c r="A1073" s="5" t="s">
        <v>2051</v>
      </c>
      <c r="B1073" s="6">
        <v>2071.0</v>
      </c>
      <c r="C1073" s="5" t="s">
        <v>2794</v>
      </c>
    </row>
    <row r="1074">
      <c r="A1074" s="13" t="s">
        <v>2054</v>
      </c>
      <c r="B1074" s="6">
        <v>2072.0</v>
      </c>
      <c r="C1074" s="13" t="s">
        <v>2055</v>
      </c>
    </row>
    <row r="1075">
      <c r="A1075" s="5" t="s">
        <v>2054</v>
      </c>
      <c r="B1075" s="6">
        <v>2073.0</v>
      </c>
      <c r="C1075" s="5" t="s">
        <v>2795</v>
      </c>
    </row>
    <row r="1076">
      <c r="A1076" s="13" t="s">
        <v>2057</v>
      </c>
      <c r="B1076" s="6">
        <v>2074.0</v>
      </c>
      <c r="C1076" s="13" t="s">
        <v>2058</v>
      </c>
    </row>
    <row r="1077">
      <c r="A1077" s="5" t="s">
        <v>2057</v>
      </c>
      <c r="B1077" s="6">
        <v>2075.0</v>
      </c>
      <c r="C1077" s="5" t="s">
        <v>2796</v>
      </c>
    </row>
    <row r="1078">
      <c r="A1078" s="13" t="s">
        <v>1186</v>
      </c>
      <c r="B1078" s="6">
        <v>2076.0</v>
      </c>
      <c r="C1078" s="13" t="s">
        <v>2797</v>
      </c>
    </row>
    <row r="1079">
      <c r="A1079" s="5" t="s">
        <v>2060</v>
      </c>
      <c r="B1079" s="6">
        <v>2077.0</v>
      </c>
      <c r="C1079" s="5" t="s">
        <v>2061</v>
      </c>
    </row>
    <row r="1080">
      <c r="A1080" s="13" t="s">
        <v>1580</v>
      </c>
      <c r="B1080" s="6">
        <v>2078.0</v>
      </c>
      <c r="C1080" s="13" t="s">
        <v>2064</v>
      </c>
    </row>
    <row r="1081">
      <c r="A1081" s="5" t="s">
        <v>1186</v>
      </c>
      <c r="B1081" s="6">
        <v>2079.0</v>
      </c>
      <c r="C1081" s="5" t="s">
        <v>1196</v>
      </c>
    </row>
    <row r="1082">
      <c r="A1082" s="13" t="s">
        <v>1197</v>
      </c>
      <c r="B1082" s="6">
        <v>2080.0</v>
      </c>
      <c r="C1082" s="13" t="s">
        <v>1198</v>
      </c>
    </row>
    <row r="1083">
      <c r="A1083" s="5" t="s">
        <v>1200</v>
      </c>
      <c r="B1083" s="6">
        <v>2081.0</v>
      </c>
      <c r="C1083" s="5" t="s">
        <v>1201</v>
      </c>
    </row>
    <row r="1084">
      <c r="A1084" s="13" t="s">
        <v>1200</v>
      </c>
      <c r="B1084" s="6">
        <v>2082.0</v>
      </c>
      <c r="C1084" s="13" t="s">
        <v>2065</v>
      </c>
    </row>
    <row r="1085">
      <c r="A1085" s="5" t="s">
        <v>1200</v>
      </c>
      <c r="B1085" s="6">
        <v>2083.0</v>
      </c>
      <c r="C1085" s="5" t="s">
        <v>2798</v>
      </c>
    </row>
    <row r="1086">
      <c r="A1086" s="13" t="s">
        <v>1203</v>
      </c>
      <c r="B1086" s="6">
        <v>2084.0</v>
      </c>
      <c r="C1086" s="13" t="s">
        <v>1204</v>
      </c>
    </row>
    <row r="1087">
      <c r="A1087" s="5" t="s">
        <v>1186</v>
      </c>
      <c r="B1087" s="6">
        <v>2085.0</v>
      </c>
      <c r="C1087" s="5" t="s">
        <v>2799</v>
      </c>
    </row>
    <row r="1088">
      <c r="A1088" s="13" t="s">
        <v>2066</v>
      </c>
      <c r="B1088" s="6">
        <v>2086.0</v>
      </c>
      <c r="C1088" s="13" t="s">
        <v>2067</v>
      </c>
    </row>
    <row r="1089">
      <c r="A1089" s="5" t="s">
        <v>2066</v>
      </c>
      <c r="B1089" s="6">
        <v>2087.0</v>
      </c>
      <c r="C1089" s="5" t="s">
        <v>2800</v>
      </c>
    </row>
    <row r="1090">
      <c r="A1090" s="13" t="s">
        <v>174</v>
      </c>
      <c r="B1090" s="6">
        <v>2088.0</v>
      </c>
      <c r="C1090" s="13" t="s">
        <v>1206</v>
      </c>
    </row>
    <row r="1091">
      <c r="A1091" s="5" t="s">
        <v>174</v>
      </c>
      <c r="B1091" s="6">
        <v>2089.0</v>
      </c>
      <c r="C1091" s="5" t="s">
        <v>1207</v>
      </c>
    </row>
    <row r="1092">
      <c r="A1092" s="13" t="s">
        <v>1186</v>
      </c>
      <c r="B1092" s="6">
        <v>2090.0</v>
      </c>
      <c r="C1092" s="13" t="s">
        <v>2801</v>
      </c>
    </row>
    <row r="1093">
      <c r="A1093" s="5" t="s">
        <v>1186</v>
      </c>
      <c r="B1093" s="6">
        <v>2091.0</v>
      </c>
      <c r="C1093" s="5" t="s">
        <v>1208</v>
      </c>
    </row>
    <row r="1094">
      <c r="A1094" s="13" t="s">
        <v>1186</v>
      </c>
      <c r="B1094" s="6">
        <v>2092.0</v>
      </c>
      <c r="C1094" s="13" t="s">
        <v>2802</v>
      </c>
    </row>
    <row r="1095">
      <c r="A1095" s="5" t="s">
        <v>2803</v>
      </c>
      <c r="B1095" s="6">
        <v>2093.0</v>
      </c>
      <c r="C1095" s="5" t="s">
        <v>2804</v>
      </c>
    </row>
    <row r="1096">
      <c r="A1096" s="13" t="s">
        <v>2803</v>
      </c>
      <c r="B1096" s="6">
        <v>2094.0</v>
      </c>
      <c r="C1096" s="13" t="s">
        <v>2805</v>
      </c>
    </row>
    <row r="1097">
      <c r="A1097" s="5" t="s">
        <v>1193</v>
      </c>
      <c r="B1097" s="6">
        <v>2095.0</v>
      </c>
      <c r="C1097" s="5" t="s">
        <v>2069</v>
      </c>
    </row>
    <row r="1098">
      <c r="A1098" s="13" t="s">
        <v>2806</v>
      </c>
      <c r="B1098" s="6">
        <v>2096.0</v>
      </c>
      <c r="C1098" s="13" t="s">
        <v>2807</v>
      </c>
    </row>
    <row r="1099">
      <c r="A1099" s="5" t="s">
        <v>1186</v>
      </c>
      <c r="B1099" s="6">
        <v>2097.0</v>
      </c>
      <c r="C1099" s="5" t="s">
        <v>2808</v>
      </c>
    </row>
    <row r="1100">
      <c r="A1100" s="13" t="s">
        <v>1186</v>
      </c>
      <c r="B1100" s="6">
        <v>2098.0</v>
      </c>
      <c r="C1100" s="13" t="s">
        <v>2809</v>
      </c>
    </row>
    <row r="1101">
      <c r="A1101" s="5" t="s">
        <v>2810</v>
      </c>
      <c r="B1101" s="6">
        <v>2099.0</v>
      </c>
      <c r="C1101" s="5" t="s">
        <v>2811</v>
      </c>
    </row>
    <row r="1102">
      <c r="A1102" s="13" t="s">
        <v>2070</v>
      </c>
      <c r="B1102" s="6">
        <v>2100.0</v>
      </c>
      <c r="C1102" s="13" t="s">
        <v>1351</v>
      </c>
    </row>
    <row r="1103">
      <c r="A1103" s="5" t="s">
        <v>2812</v>
      </c>
      <c r="B1103" s="6">
        <v>2101.0</v>
      </c>
      <c r="C1103" s="5" t="s">
        <v>2813</v>
      </c>
    </row>
    <row r="1104">
      <c r="A1104" s="13" t="s">
        <v>2814</v>
      </c>
      <c r="B1104" s="6">
        <v>2102.0</v>
      </c>
      <c r="C1104" s="32" t="s">
        <v>2815</v>
      </c>
    </row>
    <row r="1105">
      <c r="A1105" s="5" t="s">
        <v>2816</v>
      </c>
      <c r="B1105" s="6">
        <v>2103.0</v>
      </c>
      <c r="C1105" s="5" t="s">
        <v>1353</v>
      </c>
    </row>
    <row r="1106">
      <c r="A1106" s="13" t="s">
        <v>1209</v>
      </c>
      <c r="B1106" s="6">
        <v>2104.0</v>
      </c>
      <c r="C1106" s="32" t="s">
        <v>1210</v>
      </c>
    </row>
    <row r="1107">
      <c r="A1107" s="5" t="s">
        <v>1209</v>
      </c>
      <c r="B1107" s="6">
        <v>2105.0</v>
      </c>
      <c r="C1107" s="33" t="s">
        <v>2073</v>
      </c>
    </row>
    <row r="1108">
      <c r="A1108" s="13" t="s">
        <v>1212</v>
      </c>
      <c r="B1108" s="6">
        <v>2106.0</v>
      </c>
      <c r="C1108" s="13" t="s">
        <v>2074</v>
      </c>
    </row>
    <row r="1109">
      <c r="A1109" s="5" t="s">
        <v>1212</v>
      </c>
      <c r="B1109" s="6">
        <v>2107.0</v>
      </c>
      <c r="C1109" s="5" t="s">
        <v>1213</v>
      </c>
    </row>
    <row r="1110">
      <c r="A1110" s="13" t="s">
        <v>2032</v>
      </c>
      <c r="B1110" s="6">
        <v>2108.0</v>
      </c>
      <c r="C1110" s="13" t="s">
        <v>2075</v>
      </c>
    </row>
    <row r="1111">
      <c r="A1111" s="5" t="s">
        <v>174</v>
      </c>
      <c r="B1111" s="6">
        <v>2109.0</v>
      </c>
      <c r="C1111" s="5" t="s">
        <v>2076</v>
      </c>
    </row>
    <row r="1112">
      <c r="A1112" s="13" t="s">
        <v>174</v>
      </c>
      <c r="B1112" s="6">
        <v>2110.0</v>
      </c>
      <c r="C1112" s="32" t="s">
        <v>2817</v>
      </c>
    </row>
    <row r="1113">
      <c r="A1113" s="5" t="s">
        <v>2078</v>
      </c>
      <c r="B1113" s="6">
        <v>2111.0</v>
      </c>
      <c r="C1113" s="5" t="s">
        <v>2079</v>
      </c>
    </row>
    <row r="1114">
      <c r="A1114" s="13" t="s">
        <v>2818</v>
      </c>
      <c r="B1114" s="6">
        <v>2112.0</v>
      </c>
      <c r="C1114" s="13" t="s">
        <v>2819</v>
      </c>
    </row>
    <row r="1115">
      <c r="A1115" s="5" t="s">
        <v>1453</v>
      </c>
      <c r="B1115" s="6">
        <v>2113.0</v>
      </c>
      <c r="C1115" s="5" t="s">
        <v>1459</v>
      </c>
    </row>
    <row r="1116">
      <c r="A1116" s="13" t="s">
        <v>1453</v>
      </c>
      <c r="B1116" s="6">
        <v>2114.0</v>
      </c>
      <c r="C1116" s="13" t="s">
        <v>2820</v>
      </c>
    </row>
    <row r="1117">
      <c r="A1117" s="5" t="s">
        <v>1453</v>
      </c>
      <c r="B1117" s="6">
        <v>2115.0</v>
      </c>
      <c r="C1117" s="5" t="s">
        <v>2821</v>
      </c>
    </row>
    <row r="1118">
      <c r="A1118" s="13" t="s">
        <v>1453</v>
      </c>
      <c r="B1118" s="6">
        <v>2116.0</v>
      </c>
      <c r="C1118" s="13" t="s">
        <v>2822</v>
      </c>
    </row>
    <row r="1119">
      <c r="A1119" s="5" t="s">
        <v>1453</v>
      </c>
      <c r="B1119" s="6">
        <v>2117.0</v>
      </c>
      <c r="C1119" s="5" t="s">
        <v>2823</v>
      </c>
    </row>
    <row r="1120">
      <c r="A1120" s="13" t="s">
        <v>2083</v>
      </c>
      <c r="B1120" s="6">
        <v>2118.0</v>
      </c>
      <c r="C1120" s="13" t="s">
        <v>2084</v>
      </c>
    </row>
    <row r="1121">
      <c r="A1121" s="5" t="s">
        <v>2083</v>
      </c>
      <c r="B1121" s="6">
        <v>2119.0</v>
      </c>
      <c r="C1121" s="5" t="s">
        <v>2824</v>
      </c>
    </row>
    <row r="1122">
      <c r="A1122" s="13" t="s">
        <v>2083</v>
      </c>
      <c r="B1122" s="6">
        <v>2120.0</v>
      </c>
      <c r="C1122" s="13" t="s">
        <v>2825</v>
      </c>
    </row>
    <row r="1123">
      <c r="A1123" s="5" t="s">
        <v>2083</v>
      </c>
      <c r="B1123" s="6">
        <v>2121.0</v>
      </c>
      <c r="C1123" s="33" t="s">
        <v>2826</v>
      </c>
    </row>
    <row r="1124">
      <c r="A1124" s="13" t="s">
        <v>1453</v>
      </c>
      <c r="B1124" s="6">
        <v>2122.0</v>
      </c>
      <c r="C1124" s="13" t="s">
        <v>1454</v>
      </c>
    </row>
    <row r="1125">
      <c r="A1125" s="5" t="s">
        <v>1453</v>
      </c>
      <c r="B1125" s="6">
        <v>2123.0</v>
      </c>
      <c r="C1125" s="5" t="s">
        <v>2827</v>
      </c>
    </row>
    <row r="1126">
      <c r="A1126" s="13" t="s">
        <v>1453</v>
      </c>
      <c r="B1126" s="6">
        <v>2124.0</v>
      </c>
      <c r="C1126" s="13" t="s">
        <v>2828</v>
      </c>
    </row>
    <row r="1127">
      <c r="A1127" s="5" t="s">
        <v>1453</v>
      </c>
      <c r="B1127" s="6">
        <v>2125.0</v>
      </c>
      <c r="C1127" s="5" t="s">
        <v>2829</v>
      </c>
    </row>
    <row r="1128">
      <c r="A1128" s="13" t="s">
        <v>1453</v>
      </c>
      <c r="B1128" s="6">
        <v>2126.0</v>
      </c>
      <c r="C1128" s="32" t="s">
        <v>2830</v>
      </c>
    </row>
    <row r="1129">
      <c r="A1129" s="5" t="s">
        <v>2831</v>
      </c>
      <c r="B1129" s="6">
        <v>2127.0</v>
      </c>
      <c r="C1129" s="5" t="s">
        <v>2089</v>
      </c>
    </row>
    <row r="1130">
      <c r="A1130" s="13" t="s">
        <v>1580</v>
      </c>
      <c r="B1130" s="6">
        <v>2128.0</v>
      </c>
      <c r="C1130" s="13" t="s">
        <v>2832</v>
      </c>
    </row>
    <row r="1131">
      <c r="A1131" s="5" t="s">
        <v>1580</v>
      </c>
      <c r="B1131" s="6">
        <v>2129.0</v>
      </c>
      <c r="C1131" s="5" t="s">
        <v>2833</v>
      </c>
    </row>
    <row r="1132">
      <c r="A1132" s="13" t="s">
        <v>1580</v>
      </c>
      <c r="B1132" s="6">
        <v>2130.0</v>
      </c>
      <c r="C1132" s="13" t="s">
        <v>2834</v>
      </c>
    </row>
    <row r="1133">
      <c r="A1133" s="5" t="s">
        <v>1580</v>
      </c>
      <c r="B1133" s="6">
        <v>2131.0</v>
      </c>
      <c r="C1133" s="5" t="s">
        <v>2835</v>
      </c>
    </row>
    <row r="1134">
      <c r="A1134" s="13" t="s">
        <v>2083</v>
      </c>
      <c r="B1134" s="6">
        <v>2132.0</v>
      </c>
      <c r="C1134" s="13" t="s">
        <v>2091</v>
      </c>
    </row>
    <row r="1135">
      <c r="A1135" s="5" t="s">
        <v>2083</v>
      </c>
      <c r="B1135" s="6">
        <v>2133.0</v>
      </c>
      <c r="C1135" s="5" t="s">
        <v>2836</v>
      </c>
    </row>
    <row r="1136">
      <c r="A1136" s="13" t="s">
        <v>2083</v>
      </c>
      <c r="B1136" s="6">
        <v>2134.0</v>
      </c>
      <c r="C1136" s="13" t="s">
        <v>2837</v>
      </c>
    </row>
    <row r="1137">
      <c r="A1137" s="5" t="s">
        <v>2083</v>
      </c>
      <c r="B1137" s="6">
        <v>2135.0</v>
      </c>
      <c r="C1137" s="5" t="s">
        <v>2838</v>
      </c>
    </row>
    <row r="1138">
      <c r="A1138" s="13" t="s">
        <v>2093</v>
      </c>
      <c r="B1138" s="6">
        <v>2136.0</v>
      </c>
      <c r="C1138" s="13" t="s">
        <v>2094</v>
      </c>
    </row>
    <row r="1139">
      <c r="A1139" s="5" t="s">
        <v>2839</v>
      </c>
      <c r="B1139" s="6">
        <v>2137.0</v>
      </c>
      <c r="C1139" s="5" t="s">
        <v>2840</v>
      </c>
    </row>
    <row r="1140">
      <c r="A1140" s="13" t="s">
        <v>2093</v>
      </c>
      <c r="B1140" s="6">
        <v>2138.0</v>
      </c>
      <c r="C1140" s="13" t="s">
        <v>2841</v>
      </c>
    </row>
    <row r="1141">
      <c r="A1141" s="5" t="s">
        <v>1215</v>
      </c>
      <c r="B1141" s="6">
        <v>2139.0</v>
      </c>
      <c r="C1141" s="33" t="s">
        <v>1216</v>
      </c>
    </row>
    <row r="1142">
      <c r="A1142" s="13" t="s">
        <v>1219</v>
      </c>
      <c r="B1142" s="6">
        <v>2140.0</v>
      </c>
      <c r="C1142" s="13" t="s">
        <v>1220</v>
      </c>
    </row>
    <row r="1143">
      <c r="A1143" s="5" t="s">
        <v>1222</v>
      </c>
      <c r="B1143" s="6">
        <v>2141.0</v>
      </c>
      <c r="C1143" s="33" t="s">
        <v>1223</v>
      </c>
    </row>
    <row r="1144">
      <c r="A1144" s="13" t="s">
        <v>2842</v>
      </c>
      <c r="B1144" s="6">
        <v>2142.0</v>
      </c>
      <c r="C1144" s="32" t="s">
        <v>2843</v>
      </c>
    </row>
    <row r="1145">
      <c r="A1145" s="5" t="s">
        <v>2097</v>
      </c>
      <c r="B1145" s="6">
        <v>2143.0</v>
      </c>
      <c r="C1145" s="5" t="s">
        <v>2098</v>
      </c>
    </row>
    <row r="1146">
      <c r="A1146" s="13" t="s">
        <v>1225</v>
      </c>
      <c r="B1146" s="6">
        <v>2144.0</v>
      </c>
      <c r="C1146" s="32" t="s">
        <v>1226</v>
      </c>
    </row>
    <row r="1147">
      <c r="A1147" s="5" t="s">
        <v>2100</v>
      </c>
      <c r="B1147" s="6">
        <v>2145.0</v>
      </c>
      <c r="C1147" s="33" t="s">
        <v>2101</v>
      </c>
    </row>
    <row r="1148">
      <c r="A1148" s="13" t="s">
        <v>2844</v>
      </c>
      <c r="B1148" s="6">
        <v>2146.0</v>
      </c>
      <c r="C1148" s="13" t="s">
        <v>2845</v>
      </c>
    </row>
    <row r="1149">
      <c r="A1149" s="5" t="s">
        <v>1228</v>
      </c>
      <c r="B1149" s="6">
        <v>2147.0</v>
      </c>
      <c r="C1149" s="5" t="s">
        <v>1229</v>
      </c>
    </row>
    <row r="1150">
      <c r="A1150" s="13" t="s">
        <v>2846</v>
      </c>
      <c r="B1150" s="6">
        <v>2148.0</v>
      </c>
      <c r="C1150" s="13" t="s">
        <v>2847</v>
      </c>
    </row>
    <row r="1151">
      <c r="A1151" s="5" t="s">
        <v>1596</v>
      </c>
      <c r="B1151" s="6">
        <v>2149.0</v>
      </c>
      <c r="C1151" s="5" t="s">
        <v>2103</v>
      </c>
    </row>
    <row r="1152">
      <c r="A1152" s="13" t="s">
        <v>1596</v>
      </c>
      <c r="B1152" s="6">
        <v>2150.0</v>
      </c>
      <c r="C1152" s="13" t="s">
        <v>2848</v>
      </c>
    </row>
    <row r="1153">
      <c r="A1153" s="5" t="s">
        <v>1231</v>
      </c>
      <c r="B1153" s="6">
        <v>2151.0</v>
      </c>
      <c r="C1153" s="5" t="s">
        <v>1232</v>
      </c>
    </row>
    <row r="1154">
      <c r="A1154" s="13" t="s">
        <v>2849</v>
      </c>
      <c r="B1154" s="6">
        <v>2152.0</v>
      </c>
      <c r="C1154" s="13" t="s">
        <v>2850</v>
      </c>
    </row>
    <row r="1155">
      <c r="A1155" s="5" t="s">
        <v>2851</v>
      </c>
      <c r="B1155" s="6">
        <v>2153.0</v>
      </c>
      <c r="C1155" s="5" t="s">
        <v>2852</v>
      </c>
    </row>
    <row r="1156">
      <c r="A1156" s="13" t="s">
        <v>2853</v>
      </c>
      <c r="B1156" s="6">
        <v>2154.0</v>
      </c>
      <c r="C1156" s="13" t="s">
        <v>2854</v>
      </c>
    </row>
    <row r="1157">
      <c r="A1157" s="5" t="s">
        <v>2855</v>
      </c>
      <c r="B1157" s="6">
        <v>2155.0</v>
      </c>
      <c r="C1157" s="5" t="s">
        <v>2856</v>
      </c>
    </row>
    <row r="1158">
      <c r="A1158" s="5" t="s">
        <v>2857</v>
      </c>
      <c r="B1158" s="6">
        <v>2156.0</v>
      </c>
      <c r="C1158" s="5" t="s">
        <v>2858</v>
      </c>
    </row>
    <row r="1159">
      <c r="A1159" s="13" t="s">
        <v>2859</v>
      </c>
      <c r="B1159" s="6">
        <v>2157.0</v>
      </c>
      <c r="C1159" s="13" t="s">
        <v>2860</v>
      </c>
    </row>
    <row r="1160">
      <c r="A1160" s="5" t="s">
        <v>1234</v>
      </c>
      <c r="B1160" s="6">
        <v>2158.0</v>
      </c>
      <c r="C1160" s="5" t="s">
        <v>1235</v>
      </c>
    </row>
    <row r="1161">
      <c r="A1161" s="13" t="s">
        <v>1237</v>
      </c>
      <c r="B1161" s="6">
        <v>2159.0</v>
      </c>
      <c r="C1161" s="13" t="s">
        <v>1238</v>
      </c>
    </row>
    <row r="1162">
      <c r="A1162" s="13" t="s">
        <v>2861</v>
      </c>
      <c r="B1162" s="6">
        <v>2160.0</v>
      </c>
      <c r="C1162" s="13" t="s">
        <v>2862</v>
      </c>
    </row>
    <row r="1163">
      <c r="A1163" s="5" t="s">
        <v>1240</v>
      </c>
      <c r="B1163" s="6">
        <v>2161.0</v>
      </c>
      <c r="C1163" s="5" t="s">
        <v>1241</v>
      </c>
    </row>
    <row r="1164">
      <c r="A1164" s="13" t="s">
        <v>629</v>
      </c>
      <c r="B1164" s="6">
        <v>2162.0</v>
      </c>
      <c r="C1164" s="13" t="s">
        <v>1243</v>
      </c>
    </row>
    <row r="1165">
      <c r="A1165" s="5" t="s">
        <v>2863</v>
      </c>
      <c r="B1165" s="6">
        <v>2163.0</v>
      </c>
      <c r="C1165" s="5" t="s">
        <v>2864</v>
      </c>
    </row>
    <row r="1166">
      <c r="A1166" s="13" t="s">
        <v>2865</v>
      </c>
      <c r="B1166" s="6">
        <v>2164.0</v>
      </c>
      <c r="C1166" s="13" t="s">
        <v>2866</v>
      </c>
    </row>
    <row r="1167">
      <c r="A1167" s="5" t="s">
        <v>1240</v>
      </c>
      <c r="B1167" s="6">
        <v>2165.0</v>
      </c>
      <c r="C1167" s="5" t="s">
        <v>1246</v>
      </c>
    </row>
    <row r="1168">
      <c r="A1168" s="13" t="s">
        <v>621</v>
      </c>
      <c r="B1168" s="6">
        <v>2166.0</v>
      </c>
      <c r="C1168" s="13" t="s">
        <v>1247</v>
      </c>
    </row>
    <row r="1169">
      <c r="A1169" s="5" t="s">
        <v>625</v>
      </c>
      <c r="B1169" s="6">
        <v>2167.0</v>
      </c>
      <c r="C1169" s="5" t="s">
        <v>2867</v>
      </c>
    </row>
    <row r="1170">
      <c r="A1170" s="13" t="s">
        <v>621</v>
      </c>
      <c r="B1170" s="6">
        <v>2168.0</v>
      </c>
      <c r="C1170" s="13" t="s">
        <v>1249</v>
      </c>
    </row>
    <row r="1171">
      <c r="A1171" s="5" t="s">
        <v>625</v>
      </c>
      <c r="B1171" s="6">
        <v>2169.0</v>
      </c>
      <c r="C1171" s="5" t="s">
        <v>1251</v>
      </c>
    </row>
    <row r="1172">
      <c r="A1172" s="13" t="s">
        <v>850</v>
      </c>
      <c r="B1172" s="6">
        <v>2170.0</v>
      </c>
      <c r="C1172" s="13" t="s">
        <v>1253</v>
      </c>
    </row>
    <row r="1173">
      <c r="A1173" s="5" t="s">
        <v>627</v>
      </c>
      <c r="B1173" s="6">
        <v>2171.0</v>
      </c>
      <c r="C1173" s="5" t="s">
        <v>1254</v>
      </c>
    </row>
    <row r="1174">
      <c r="A1174" s="13" t="s">
        <v>625</v>
      </c>
      <c r="B1174" s="6">
        <v>2172.0</v>
      </c>
      <c r="C1174" s="13" t="s">
        <v>1256</v>
      </c>
    </row>
    <row r="1175">
      <c r="A1175" s="5" t="s">
        <v>1258</v>
      </c>
      <c r="B1175" s="6">
        <v>2173.0</v>
      </c>
      <c r="C1175" s="5" t="s">
        <v>1259</v>
      </c>
    </row>
    <row r="1176">
      <c r="A1176" s="13" t="s">
        <v>1262</v>
      </c>
      <c r="B1176" s="6">
        <v>2174.0</v>
      </c>
      <c r="C1176" s="13" t="s">
        <v>1263</v>
      </c>
    </row>
    <row r="1177">
      <c r="A1177" s="5" t="s">
        <v>1265</v>
      </c>
      <c r="B1177" s="6">
        <v>2175.0</v>
      </c>
      <c r="C1177" s="5" t="s">
        <v>1266</v>
      </c>
    </row>
    <row r="1178">
      <c r="A1178" s="13" t="s">
        <v>1268</v>
      </c>
      <c r="B1178" s="6">
        <v>2176.0</v>
      </c>
      <c r="C1178" s="13" t="s">
        <v>1269</v>
      </c>
    </row>
    <row r="1179">
      <c r="A1179" s="5" t="s">
        <v>1271</v>
      </c>
      <c r="B1179" s="6">
        <v>2177.0</v>
      </c>
      <c r="C1179" s="5" t="s">
        <v>1272</v>
      </c>
    </row>
    <row r="1180">
      <c r="A1180" s="13" t="s">
        <v>621</v>
      </c>
      <c r="B1180" s="6">
        <v>2178.0</v>
      </c>
      <c r="C1180" s="13" t="s">
        <v>1274</v>
      </c>
    </row>
    <row r="1181">
      <c r="A1181" s="5" t="s">
        <v>625</v>
      </c>
      <c r="B1181" s="6">
        <v>2179.0</v>
      </c>
      <c r="C1181" s="5" t="s">
        <v>1276</v>
      </c>
    </row>
    <row r="1182">
      <c r="A1182" s="13" t="s">
        <v>629</v>
      </c>
      <c r="B1182" s="6">
        <v>2180.0</v>
      </c>
      <c r="C1182" s="13" t="s">
        <v>1277</v>
      </c>
    </row>
    <row r="1183">
      <c r="A1183" s="5" t="s">
        <v>1278</v>
      </c>
      <c r="B1183" s="6">
        <v>2181.0</v>
      </c>
      <c r="C1183" s="5" t="s">
        <v>1279</v>
      </c>
    </row>
    <row r="1184">
      <c r="A1184" s="13" t="s">
        <v>2868</v>
      </c>
      <c r="B1184" s="6">
        <v>2182.0</v>
      </c>
      <c r="C1184" s="13" t="s">
        <v>2869</v>
      </c>
    </row>
    <row r="1185">
      <c r="A1185" s="5" t="s">
        <v>738</v>
      </c>
      <c r="B1185" s="6">
        <v>2183.0</v>
      </c>
      <c r="C1185" s="5" t="s">
        <v>1281</v>
      </c>
    </row>
    <row r="1186">
      <c r="A1186" s="5" t="s">
        <v>2870</v>
      </c>
      <c r="B1186" s="6">
        <v>2184.0</v>
      </c>
      <c r="C1186" s="5" t="s">
        <v>2871</v>
      </c>
    </row>
    <row r="1187">
      <c r="A1187" s="5" t="s">
        <v>738</v>
      </c>
      <c r="B1187" s="6">
        <v>2185.0</v>
      </c>
      <c r="C1187" s="5" t="s">
        <v>1282</v>
      </c>
    </row>
    <row r="1188">
      <c r="A1188" s="5" t="s">
        <v>1283</v>
      </c>
      <c r="B1188" s="6">
        <v>2186.0</v>
      </c>
      <c r="C1188" s="5" t="s">
        <v>1284</v>
      </c>
    </row>
    <row r="1189">
      <c r="A1189" s="13" t="s">
        <v>738</v>
      </c>
      <c r="B1189" s="6">
        <v>2187.0</v>
      </c>
      <c r="C1189" s="13" t="s">
        <v>1286</v>
      </c>
    </row>
    <row r="1190">
      <c r="A1190" s="5" t="s">
        <v>1237</v>
      </c>
      <c r="B1190" s="6">
        <v>2188.0</v>
      </c>
      <c r="C1190" s="5" t="s">
        <v>2105</v>
      </c>
    </row>
    <row r="1191">
      <c r="A1191" s="13" t="s">
        <v>2872</v>
      </c>
      <c r="B1191" s="6">
        <v>2189.0</v>
      </c>
      <c r="C1191" s="13" t="s">
        <v>2873</v>
      </c>
    </row>
    <row r="1192">
      <c r="A1192" s="5" t="s">
        <v>2106</v>
      </c>
      <c r="B1192" s="6">
        <v>2190.0</v>
      </c>
      <c r="C1192" s="5" t="s">
        <v>2107</v>
      </c>
    </row>
    <row r="1193">
      <c r="A1193" s="13" t="s">
        <v>2874</v>
      </c>
      <c r="B1193" s="6">
        <v>2191.0</v>
      </c>
      <c r="C1193" s="13" t="s">
        <v>2875</v>
      </c>
    </row>
    <row r="1194">
      <c r="A1194" s="5" t="s">
        <v>850</v>
      </c>
      <c r="B1194" s="6">
        <v>2192.0</v>
      </c>
      <c r="C1194" s="5" t="s">
        <v>2109</v>
      </c>
    </row>
    <row r="1195">
      <c r="A1195" s="13" t="s">
        <v>1839</v>
      </c>
      <c r="B1195" s="6">
        <v>2193.0</v>
      </c>
      <c r="C1195" s="13" t="s">
        <v>2111</v>
      </c>
    </row>
    <row r="1196">
      <c r="A1196" s="5" t="s">
        <v>1287</v>
      </c>
      <c r="B1196" s="6">
        <v>2194.0</v>
      </c>
      <c r="C1196" s="5" t="s">
        <v>1288</v>
      </c>
    </row>
    <row r="1197">
      <c r="A1197" s="13" t="s">
        <v>1290</v>
      </c>
      <c r="B1197" s="6">
        <v>2195.0</v>
      </c>
      <c r="C1197" s="13" t="s">
        <v>1291</v>
      </c>
    </row>
    <row r="1198">
      <c r="A1198" s="5" t="s">
        <v>1294</v>
      </c>
      <c r="B1198" s="6">
        <v>2196.0</v>
      </c>
      <c r="C1198" s="5" t="s">
        <v>1295</v>
      </c>
    </row>
    <row r="1199">
      <c r="A1199" s="13" t="s">
        <v>1298</v>
      </c>
      <c r="B1199" s="6">
        <v>2197.0</v>
      </c>
      <c r="C1199" s="13" t="s">
        <v>1299</v>
      </c>
    </row>
    <row r="1200">
      <c r="A1200" s="5" t="s">
        <v>1301</v>
      </c>
      <c r="B1200" s="6">
        <v>2198.0</v>
      </c>
      <c r="C1200" s="5" t="s">
        <v>1302</v>
      </c>
    </row>
    <row r="1201">
      <c r="A1201" s="13" t="s">
        <v>2876</v>
      </c>
      <c r="B1201" s="6">
        <v>2199.0</v>
      </c>
      <c r="C1201" s="13" t="s">
        <v>2877</v>
      </c>
    </row>
    <row r="1202">
      <c r="A1202" s="5" t="s">
        <v>2878</v>
      </c>
      <c r="B1202" s="6">
        <v>2200.0</v>
      </c>
      <c r="C1202" s="5" t="s">
        <v>2879</v>
      </c>
    </row>
    <row r="1203">
      <c r="A1203" s="13" t="s">
        <v>2112</v>
      </c>
      <c r="B1203" s="6">
        <v>2201.0</v>
      </c>
      <c r="C1203" s="13" t="s">
        <v>2113</v>
      </c>
    </row>
    <row r="1204">
      <c r="A1204" s="5" t="s">
        <v>2115</v>
      </c>
      <c r="B1204" s="6">
        <v>2202.0</v>
      </c>
      <c r="C1204" s="5" t="s">
        <v>2116</v>
      </c>
    </row>
    <row r="1205">
      <c r="A1205" s="13" t="s">
        <v>1305</v>
      </c>
      <c r="B1205" s="6">
        <v>2203.0</v>
      </c>
      <c r="C1205" s="13" t="s">
        <v>1306</v>
      </c>
    </row>
    <row r="1206">
      <c r="A1206" s="5" t="s">
        <v>2880</v>
      </c>
      <c r="B1206" s="6">
        <v>2204.0</v>
      </c>
      <c r="C1206" s="5" t="s">
        <v>2881</v>
      </c>
    </row>
    <row r="1207">
      <c r="A1207" s="13" t="s">
        <v>2118</v>
      </c>
      <c r="B1207" s="6">
        <v>2205.0</v>
      </c>
      <c r="C1207" s="13" t="s">
        <v>2119</v>
      </c>
    </row>
    <row r="1208">
      <c r="A1208" s="5" t="s">
        <v>665</v>
      </c>
      <c r="B1208" s="6">
        <v>2206.0</v>
      </c>
      <c r="C1208" s="5" t="s">
        <v>2882</v>
      </c>
    </row>
    <row r="1209">
      <c r="A1209" s="13" t="s">
        <v>1308</v>
      </c>
      <c r="B1209" s="6">
        <v>2207.0</v>
      </c>
      <c r="C1209" s="13" t="s">
        <v>1309</v>
      </c>
    </row>
    <row r="1210">
      <c r="A1210" s="5" t="s">
        <v>1311</v>
      </c>
      <c r="B1210" s="6">
        <v>2208.0</v>
      </c>
      <c r="C1210" s="5" t="s">
        <v>1312</v>
      </c>
    </row>
    <row r="1211">
      <c r="A1211" s="13" t="s">
        <v>1237</v>
      </c>
      <c r="B1211" s="6">
        <v>2209.0</v>
      </c>
      <c r="C1211" s="13" t="s">
        <v>2122</v>
      </c>
    </row>
    <row r="1212">
      <c r="A1212" s="5" t="s">
        <v>252</v>
      </c>
      <c r="B1212" s="6">
        <v>2210.0</v>
      </c>
      <c r="C1212" s="5" t="s">
        <v>2123</v>
      </c>
    </row>
    <row r="1213">
      <c r="A1213" s="13" t="s">
        <v>1314</v>
      </c>
      <c r="B1213" s="6">
        <v>2211.0</v>
      </c>
      <c r="C1213" s="13" t="s">
        <v>1315</v>
      </c>
    </row>
    <row r="1214">
      <c r="A1214" s="5" t="s">
        <v>2443</v>
      </c>
      <c r="B1214" s="6">
        <v>2212.0</v>
      </c>
      <c r="C1214" s="5" t="s">
        <v>2883</v>
      </c>
    </row>
    <row r="1215">
      <c r="A1215" s="13" t="s">
        <v>1318</v>
      </c>
      <c r="B1215" s="6">
        <v>2213.0</v>
      </c>
      <c r="C1215" s="13" t="s">
        <v>1319</v>
      </c>
    </row>
    <row r="1216">
      <c r="A1216" s="5" t="s">
        <v>1322</v>
      </c>
      <c r="B1216" s="6">
        <v>2214.0</v>
      </c>
      <c r="C1216" s="5" t="s">
        <v>1323</v>
      </c>
    </row>
    <row r="1217">
      <c r="A1217" s="13" t="s">
        <v>2884</v>
      </c>
      <c r="B1217" s="6">
        <v>2215.0</v>
      </c>
      <c r="C1217" s="13" t="s">
        <v>2885</v>
      </c>
    </row>
    <row r="1218">
      <c r="A1218" s="5" t="s">
        <v>2886</v>
      </c>
      <c r="B1218" s="6">
        <v>2216.0</v>
      </c>
      <c r="C1218" s="5" t="s">
        <v>2887</v>
      </c>
    </row>
    <row r="1219">
      <c r="A1219" s="13" t="s">
        <v>1325</v>
      </c>
      <c r="B1219" s="6">
        <v>2217.0</v>
      </c>
      <c r="C1219" s="13" t="s">
        <v>1326</v>
      </c>
    </row>
    <row r="1220">
      <c r="A1220" s="5" t="s">
        <v>2888</v>
      </c>
      <c r="B1220" s="6">
        <v>2218.0</v>
      </c>
      <c r="C1220" s="5" t="s">
        <v>2889</v>
      </c>
    </row>
    <row r="1221">
      <c r="A1221" s="13" t="s">
        <v>2890</v>
      </c>
      <c r="B1221" s="6">
        <v>2219.0</v>
      </c>
      <c r="C1221" s="13" t="s">
        <v>2891</v>
      </c>
    </row>
    <row r="1222">
      <c r="A1222" s="5" t="s">
        <v>1328</v>
      </c>
      <c r="B1222" s="6">
        <v>2220.0</v>
      </c>
      <c r="C1222" s="5" t="s">
        <v>1329</v>
      </c>
    </row>
    <row r="1223">
      <c r="A1223" s="13" t="s">
        <v>1331</v>
      </c>
      <c r="B1223" s="6">
        <v>2221.0</v>
      </c>
      <c r="C1223" s="13" t="s">
        <v>1332</v>
      </c>
    </row>
    <row r="1224">
      <c r="A1224" s="5" t="s">
        <v>2892</v>
      </c>
      <c r="B1224" s="6">
        <v>2222.0</v>
      </c>
      <c r="C1224" s="5" t="s">
        <v>2893</v>
      </c>
    </row>
    <row r="1225">
      <c r="A1225" s="13" t="s">
        <v>1334</v>
      </c>
      <c r="B1225" s="6">
        <v>2223.0</v>
      </c>
      <c r="C1225" s="13" t="s">
        <v>1335</v>
      </c>
    </row>
    <row r="1226">
      <c r="A1226" s="5" t="s">
        <v>2894</v>
      </c>
      <c r="B1226" s="6">
        <v>2224.0</v>
      </c>
      <c r="C1226" s="5" t="s">
        <v>2895</v>
      </c>
    </row>
    <row r="1227">
      <c r="A1227" s="13" t="s">
        <v>1337</v>
      </c>
      <c r="B1227" s="6">
        <v>2225.0</v>
      </c>
      <c r="C1227" s="13" t="s">
        <v>1338</v>
      </c>
    </row>
    <row r="1228">
      <c r="A1228" s="13" t="s">
        <v>1340</v>
      </c>
      <c r="B1228" s="6">
        <v>2226.0</v>
      </c>
      <c r="C1228" s="13" t="s">
        <v>2896</v>
      </c>
    </row>
    <row r="1229">
      <c r="A1229" s="5" t="s">
        <v>1340</v>
      </c>
      <c r="B1229" s="6">
        <v>2227.0</v>
      </c>
      <c r="C1229" s="5" t="s">
        <v>1341</v>
      </c>
    </row>
    <row r="1230">
      <c r="A1230" s="13" t="s">
        <v>1343</v>
      </c>
      <c r="B1230" s="6">
        <v>2228.0</v>
      </c>
      <c r="C1230" s="13" t="s">
        <v>1344</v>
      </c>
    </row>
    <row r="1231">
      <c r="A1231" s="13" t="s">
        <v>2124</v>
      </c>
      <c r="B1231" s="6">
        <v>2229.0</v>
      </c>
      <c r="C1231" s="13" t="s">
        <v>2125</v>
      </c>
    </row>
    <row r="1232">
      <c r="A1232" s="5" t="s">
        <v>2127</v>
      </c>
      <c r="B1232" s="6">
        <v>2230.0</v>
      </c>
      <c r="C1232" s="5" t="s">
        <v>2128</v>
      </c>
    </row>
    <row r="1233">
      <c r="A1233" s="13" t="s">
        <v>2897</v>
      </c>
      <c r="B1233" s="6">
        <v>2231.0</v>
      </c>
      <c r="C1233" s="13" t="s">
        <v>2898</v>
      </c>
    </row>
    <row r="1234">
      <c r="A1234" s="5" t="s">
        <v>2897</v>
      </c>
      <c r="B1234" s="6">
        <v>2232.0</v>
      </c>
      <c r="C1234" s="5" t="s">
        <v>2899</v>
      </c>
    </row>
    <row r="1235">
      <c r="A1235" s="13" t="s">
        <v>2897</v>
      </c>
      <c r="B1235" s="6">
        <v>2233.0</v>
      </c>
      <c r="C1235" s="13" t="s">
        <v>2900</v>
      </c>
    </row>
    <row r="1236">
      <c r="A1236" s="5" t="s">
        <v>2897</v>
      </c>
      <c r="B1236" s="6">
        <v>2234.0</v>
      </c>
      <c r="C1236" s="5" t="s">
        <v>2901</v>
      </c>
    </row>
    <row r="1237">
      <c r="A1237" s="13" t="s">
        <v>2130</v>
      </c>
      <c r="B1237" s="6">
        <v>2235.0</v>
      </c>
      <c r="C1237" s="13" t="s">
        <v>2131</v>
      </c>
    </row>
    <row r="1238">
      <c r="A1238" s="5" t="s">
        <v>1346</v>
      </c>
      <c r="B1238" s="6">
        <v>2236.0</v>
      </c>
      <c r="C1238" s="5" t="s">
        <v>1347</v>
      </c>
    </row>
    <row r="1239">
      <c r="A1239" s="13" t="s">
        <v>2133</v>
      </c>
      <c r="B1239" s="6">
        <v>2237.0</v>
      </c>
      <c r="C1239" s="13" t="s">
        <v>2134</v>
      </c>
    </row>
    <row r="1240">
      <c r="A1240" s="5" t="s">
        <v>1735</v>
      </c>
      <c r="B1240" s="6">
        <v>2238.0</v>
      </c>
      <c r="C1240" s="5" t="s">
        <v>2902</v>
      </c>
    </row>
    <row r="1241">
      <c r="A1241" s="13" t="s">
        <v>2903</v>
      </c>
      <c r="B1241" s="6">
        <v>2239.0</v>
      </c>
      <c r="C1241" s="13" t="s">
        <v>2904</v>
      </c>
    </row>
    <row r="1242">
      <c r="A1242" s="59" t="s">
        <v>2905</v>
      </c>
      <c r="B1242" s="60">
        <v>2240.0</v>
      </c>
      <c r="C1242" s="59" t="s">
        <v>2906</v>
      </c>
    </row>
    <row r="1243">
      <c r="A1243" s="59" t="s">
        <v>2907</v>
      </c>
      <c r="B1243" s="60">
        <v>2241.0</v>
      </c>
      <c r="C1243" s="59" t="s">
        <v>2908</v>
      </c>
    </row>
    <row r="1244">
      <c r="A1244" s="59" t="s">
        <v>2909</v>
      </c>
      <c r="B1244" s="60">
        <v>2242.0</v>
      </c>
      <c r="C1244" s="59" t="s">
        <v>2910</v>
      </c>
    </row>
    <row r="1245">
      <c r="A1245" s="59" t="s">
        <v>2911</v>
      </c>
      <c r="B1245" s="60">
        <v>2243.0</v>
      </c>
      <c r="C1245" s="59" t="s">
        <v>2912</v>
      </c>
    </row>
    <row r="1246">
      <c r="A1246" s="59" t="s">
        <v>2913</v>
      </c>
      <c r="B1246" s="60">
        <v>2244.0</v>
      </c>
      <c r="C1246" s="59" t="s">
        <v>2914</v>
      </c>
    </row>
    <row r="1247">
      <c r="A1247" s="63" t="s">
        <v>2137</v>
      </c>
      <c r="B1247" s="60">
        <v>2245.0</v>
      </c>
      <c r="C1247" s="59" t="s">
        <v>2138</v>
      </c>
    </row>
    <row r="1248">
      <c r="A1248" s="63" t="s">
        <v>2915</v>
      </c>
      <c r="B1248" s="60">
        <v>2246.0</v>
      </c>
      <c r="C1248" s="59" t="s">
        <v>2916</v>
      </c>
    </row>
    <row r="1249">
      <c r="A1249" s="63" t="s">
        <v>2917</v>
      </c>
      <c r="B1249" s="60">
        <v>2247.0</v>
      </c>
      <c r="C1249" s="59" t="s">
        <v>2918</v>
      </c>
    </row>
    <row r="1250">
      <c r="A1250" s="63" t="s">
        <v>2919</v>
      </c>
      <c r="B1250" s="60">
        <v>2248.0</v>
      </c>
      <c r="C1250" s="59" t="s">
        <v>2920</v>
      </c>
    </row>
    <row r="1251">
      <c r="A1251" s="63" t="s">
        <v>2921</v>
      </c>
      <c r="B1251" s="60">
        <v>2249.0</v>
      </c>
      <c r="C1251" s="59" t="s">
        <v>2922</v>
      </c>
    </row>
    <row r="1252">
      <c r="A1252" s="63" t="s">
        <v>2923</v>
      </c>
      <c r="B1252" s="60">
        <v>2250.0</v>
      </c>
      <c r="C1252" s="59" t="s">
        <v>2924</v>
      </c>
    </row>
    <row r="1253">
      <c r="A1253" s="59" t="s">
        <v>1349</v>
      </c>
      <c r="B1253" s="60">
        <v>2251.0</v>
      </c>
      <c r="C1253" s="59" t="s">
        <v>1150</v>
      </c>
    </row>
    <row r="1254">
      <c r="A1254" s="63" t="s">
        <v>1350</v>
      </c>
      <c r="B1254" s="60">
        <v>2252.0</v>
      </c>
      <c r="C1254" s="59" t="s">
        <v>1351</v>
      </c>
    </row>
    <row r="1255">
      <c r="A1255" s="63" t="s">
        <v>1352</v>
      </c>
      <c r="B1255" s="60">
        <v>2253.0</v>
      </c>
      <c r="C1255" s="59" t="s">
        <v>1353</v>
      </c>
    </row>
    <row r="1256">
      <c r="A1256" s="63" t="s">
        <v>1354</v>
      </c>
      <c r="B1256" s="60">
        <v>2254.0</v>
      </c>
      <c r="C1256" s="59" t="s">
        <v>827</v>
      </c>
    </row>
    <row r="1257">
      <c r="A1257" s="63" t="s">
        <v>2141</v>
      </c>
      <c r="B1257" s="60">
        <v>2255.0</v>
      </c>
      <c r="C1257" s="59" t="s">
        <v>2142</v>
      </c>
    </row>
    <row r="1258">
      <c r="A1258" s="63" t="s">
        <v>1355</v>
      </c>
      <c r="B1258" s="60">
        <v>2256.0</v>
      </c>
      <c r="C1258" s="59" t="s">
        <v>1356</v>
      </c>
    </row>
    <row r="1259">
      <c r="A1259" s="59" t="s">
        <v>1357</v>
      </c>
      <c r="B1259" s="60">
        <v>2257.0</v>
      </c>
      <c r="C1259" s="59" t="s">
        <v>1358</v>
      </c>
    </row>
    <row r="1260">
      <c r="A1260" s="63" t="s">
        <v>1359</v>
      </c>
      <c r="B1260" s="60">
        <v>2258.0</v>
      </c>
      <c r="C1260" s="59" t="s">
        <v>1360</v>
      </c>
    </row>
    <row r="1261">
      <c r="A1261" s="63" t="s">
        <v>1362</v>
      </c>
      <c r="B1261" s="60">
        <v>2259.0</v>
      </c>
      <c r="C1261" s="59" t="s">
        <v>1363</v>
      </c>
    </row>
    <row r="1262">
      <c r="A1262" s="63" t="s">
        <v>1365</v>
      </c>
      <c r="B1262" s="60">
        <v>2260.0</v>
      </c>
      <c r="C1262" s="59" t="s">
        <v>1366</v>
      </c>
    </row>
    <row r="1263">
      <c r="A1263" s="63" t="s">
        <v>1368</v>
      </c>
      <c r="B1263" s="60">
        <v>2261.0</v>
      </c>
      <c r="C1263" s="59" t="s">
        <v>1369</v>
      </c>
    </row>
    <row r="1264">
      <c r="A1264" s="63" t="s">
        <v>1371</v>
      </c>
      <c r="B1264" s="60">
        <v>2262.0</v>
      </c>
      <c r="C1264" s="59" t="s">
        <v>1372</v>
      </c>
    </row>
    <row r="1265">
      <c r="A1265" s="63" t="s">
        <v>1374</v>
      </c>
      <c r="B1265" s="60">
        <v>2263.0</v>
      </c>
      <c r="C1265" s="59" t="s">
        <v>1375</v>
      </c>
    </row>
    <row r="1266">
      <c r="A1266" s="59" t="s">
        <v>1377</v>
      </c>
      <c r="B1266" s="60">
        <v>2264.0</v>
      </c>
      <c r="C1266" s="59" t="s">
        <v>1378</v>
      </c>
    </row>
    <row r="1267">
      <c r="A1267" s="59" t="s">
        <v>1380</v>
      </c>
      <c r="B1267" s="60">
        <v>2265.0</v>
      </c>
      <c r="C1267" s="59" t="s">
        <v>1381</v>
      </c>
    </row>
    <row r="1268">
      <c r="A1268" s="59" t="s">
        <v>1383</v>
      </c>
      <c r="B1268" s="60">
        <v>2266.0</v>
      </c>
      <c r="C1268" s="59" t="s">
        <v>1384</v>
      </c>
    </row>
    <row r="1269">
      <c r="A1269" s="59" t="s">
        <v>1386</v>
      </c>
      <c r="B1269" s="60">
        <v>2267.0</v>
      </c>
      <c r="C1269" s="59" t="s">
        <v>1387</v>
      </c>
    </row>
    <row r="1270">
      <c r="A1270" s="59" t="s">
        <v>1389</v>
      </c>
      <c r="B1270" s="60">
        <v>2268.0</v>
      </c>
      <c r="C1270" s="59" t="s">
        <v>1390</v>
      </c>
    </row>
    <row r="1271">
      <c r="A1271" s="59" t="s">
        <v>2925</v>
      </c>
      <c r="B1271" s="60">
        <v>2269.0</v>
      </c>
      <c r="C1271" s="59" t="s">
        <v>2926</v>
      </c>
    </row>
    <row r="1272">
      <c r="A1272" s="59" t="s">
        <v>2909</v>
      </c>
      <c r="B1272" s="60">
        <v>2270.0</v>
      </c>
      <c r="C1272" s="59" t="s">
        <v>2927</v>
      </c>
    </row>
    <row r="1273">
      <c r="A1273" s="59" t="s">
        <v>2913</v>
      </c>
      <c r="B1273" s="60">
        <v>2271.0</v>
      </c>
      <c r="C1273" s="59" t="s">
        <v>2928</v>
      </c>
    </row>
    <row r="1274">
      <c r="A1274" s="59" t="s">
        <v>2929</v>
      </c>
      <c r="B1274" s="60">
        <v>2272.0</v>
      </c>
      <c r="C1274" s="59" t="s">
        <v>2930</v>
      </c>
    </row>
    <row r="1275">
      <c r="A1275" s="59" t="s">
        <v>2931</v>
      </c>
      <c r="B1275" s="60">
        <v>2273.0</v>
      </c>
      <c r="C1275" s="59" t="s">
        <v>2932</v>
      </c>
    </row>
    <row r="1276">
      <c r="A1276" s="59" t="s">
        <v>2925</v>
      </c>
      <c r="B1276" s="60">
        <v>2274.0</v>
      </c>
      <c r="C1276" s="59" t="s">
        <v>2933</v>
      </c>
    </row>
    <row r="1277">
      <c r="A1277" s="63" t="s">
        <v>1392</v>
      </c>
      <c r="B1277" s="60">
        <v>2275.0</v>
      </c>
      <c r="C1277" s="59" t="s">
        <v>2934</v>
      </c>
    </row>
    <row r="1278">
      <c r="A1278" s="63" t="s">
        <v>1392</v>
      </c>
      <c r="B1278" s="60">
        <v>2276.0</v>
      </c>
      <c r="C1278" s="59" t="s">
        <v>2935</v>
      </c>
    </row>
    <row r="1279">
      <c r="A1279" s="63" t="s">
        <v>2936</v>
      </c>
      <c r="B1279" s="60">
        <v>2277.0</v>
      </c>
      <c r="C1279" s="59" t="s">
        <v>2937</v>
      </c>
    </row>
    <row r="1280">
      <c r="A1280" s="63" t="s">
        <v>2936</v>
      </c>
      <c r="B1280" s="60">
        <v>2278.0</v>
      </c>
      <c r="C1280" s="59" t="s">
        <v>2938</v>
      </c>
    </row>
    <row r="1281">
      <c r="A1281" s="63" t="s">
        <v>2936</v>
      </c>
      <c r="B1281" s="60">
        <v>2279.0</v>
      </c>
      <c r="C1281" s="59" t="s">
        <v>2939</v>
      </c>
    </row>
    <row r="1282">
      <c r="A1282" s="63" t="s">
        <v>2936</v>
      </c>
      <c r="B1282" s="60">
        <v>2280.0</v>
      </c>
      <c r="C1282" s="59" t="s">
        <v>2940</v>
      </c>
    </row>
    <row r="1283">
      <c r="A1283" s="63" t="s">
        <v>1392</v>
      </c>
      <c r="B1283" s="60">
        <v>2281.0</v>
      </c>
      <c r="C1283" s="59" t="s">
        <v>2941</v>
      </c>
    </row>
    <row r="1284">
      <c r="A1284" s="63" t="s">
        <v>1392</v>
      </c>
      <c r="B1284" s="60">
        <v>2282.0</v>
      </c>
      <c r="C1284" s="59" t="s">
        <v>1393</v>
      </c>
    </row>
    <row r="1285">
      <c r="A1285" s="63" t="s">
        <v>1394</v>
      </c>
      <c r="B1285" s="60">
        <v>2283.0</v>
      </c>
      <c r="C1285" s="59" t="s">
        <v>1395</v>
      </c>
    </row>
    <row r="1286">
      <c r="A1286" s="63" t="s">
        <v>189</v>
      </c>
      <c r="B1286" s="60">
        <v>2284.0</v>
      </c>
      <c r="C1286" s="59" t="s">
        <v>190</v>
      </c>
    </row>
    <row r="1287">
      <c r="A1287" s="63" t="s">
        <v>2942</v>
      </c>
      <c r="B1287" s="60">
        <v>2285.0</v>
      </c>
      <c r="C1287" s="59" t="s">
        <v>2943</v>
      </c>
    </row>
    <row r="1288">
      <c r="A1288" s="63" t="s">
        <v>1186</v>
      </c>
      <c r="B1288" s="60">
        <v>2286.0</v>
      </c>
      <c r="C1288" s="59" t="s">
        <v>1196</v>
      </c>
    </row>
    <row r="1289">
      <c r="A1289" s="63" t="s">
        <v>1186</v>
      </c>
      <c r="B1289" s="60">
        <v>2287.0</v>
      </c>
      <c r="C1289" s="59" t="s">
        <v>1396</v>
      </c>
    </row>
    <row r="1290">
      <c r="A1290" s="63" t="s">
        <v>1397</v>
      </c>
      <c r="B1290" s="60">
        <v>2288.0</v>
      </c>
      <c r="C1290" s="59" t="s">
        <v>1398</v>
      </c>
    </row>
    <row r="1291">
      <c r="A1291" s="59" t="s">
        <v>1400</v>
      </c>
      <c r="B1291" s="60">
        <v>2289.0</v>
      </c>
      <c r="C1291" s="59" t="s">
        <v>1401</v>
      </c>
    </row>
    <row r="1292">
      <c r="A1292" s="59" t="s">
        <v>1403</v>
      </c>
      <c r="B1292" s="60">
        <v>2290.0</v>
      </c>
      <c r="C1292" s="59" t="s">
        <v>1404</v>
      </c>
    </row>
    <row r="1293">
      <c r="A1293" s="59" t="s">
        <v>1406</v>
      </c>
      <c r="B1293" s="60">
        <v>2291.0</v>
      </c>
      <c r="C1293" s="59" t="s">
        <v>1407</v>
      </c>
    </row>
    <row r="1294">
      <c r="A1294" s="63" t="s">
        <v>1409</v>
      </c>
      <c r="B1294" s="60">
        <v>2292.0</v>
      </c>
      <c r="C1294" s="59" t="s">
        <v>1410</v>
      </c>
    </row>
    <row r="1295">
      <c r="A1295" s="63" t="s">
        <v>1412</v>
      </c>
      <c r="B1295" s="60">
        <v>2293.0</v>
      </c>
      <c r="C1295" s="59" t="s">
        <v>1413</v>
      </c>
    </row>
    <row r="1296">
      <c r="A1296" s="63" t="s">
        <v>1415</v>
      </c>
      <c r="B1296" s="60">
        <v>2294.0</v>
      </c>
      <c r="C1296" s="59" t="s">
        <v>1416</v>
      </c>
    </row>
    <row r="1297">
      <c r="A1297" s="63" t="s">
        <v>1418</v>
      </c>
      <c r="B1297" s="60">
        <v>2295.0</v>
      </c>
      <c r="C1297" s="59" t="s">
        <v>1419</v>
      </c>
    </row>
    <row r="1298">
      <c r="A1298" s="63" t="s">
        <v>1421</v>
      </c>
      <c r="B1298" s="60">
        <v>2296.0</v>
      </c>
      <c r="C1298" s="59" t="s">
        <v>1422</v>
      </c>
    </row>
    <row r="1299">
      <c r="A1299" s="59" t="s">
        <v>1424</v>
      </c>
      <c r="B1299" s="60">
        <v>2297.0</v>
      </c>
      <c r="C1299" s="59" t="s">
        <v>1425</v>
      </c>
    </row>
    <row r="1300">
      <c r="A1300" s="59" t="s">
        <v>1427</v>
      </c>
      <c r="B1300" s="60">
        <v>2298.0</v>
      </c>
      <c r="C1300" s="59" t="s">
        <v>1428</v>
      </c>
    </row>
    <row r="1301">
      <c r="A1301" s="59" t="s">
        <v>1430</v>
      </c>
      <c r="B1301" s="60">
        <v>2299.0</v>
      </c>
      <c r="C1301" s="59" t="s">
        <v>1431</v>
      </c>
    </row>
    <row r="1302">
      <c r="A1302" s="59" t="s">
        <v>1433</v>
      </c>
      <c r="B1302" s="60">
        <v>2300.0</v>
      </c>
      <c r="C1302" s="59" t="s">
        <v>1434</v>
      </c>
    </row>
    <row r="1303">
      <c r="A1303" s="59" t="s">
        <v>1436</v>
      </c>
      <c r="B1303" s="60">
        <v>2301.0</v>
      </c>
      <c r="C1303" s="59" t="s">
        <v>1437</v>
      </c>
    </row>
    <row r="1304">
      <c r="A1304" s="63" t="s">
        <v>1439</v>
      </c>
      <c r="B1304" s="60">
        <v>2302.0</v>
      </c>
      <c r="C1304" s="59" t="s">
        <v>1440</v>
      </c>
    </row>
    <row r="1305">
      <c r="A1305" s="59" t="s">
        <v>1442</v>
      </c>
      <c r="B1305" s="60">
        <v>2303.0</v>
      </c>
      <c r="C1305" s="59" t="s">
        <v>1443</v>
      </c>
    </row>
    <row r="1306">
      <c r="A1306" s="63" t="s">
        <v>1445</v>
      </c>
      <c r="B1306" s="60">
        <v>2304.0</v>
      </c>
      <c r="C1306" s="59" t="s">
        <v>1446</v>
      </c>
    </row>
    <row r="1307">
      <c r="A1307" s="59" t="s">
        <v>1448</v>
      </c>
      <c r="B1307" s="60">
        <v>2305.0</v>
      </c>
      <c r="C1307" s="59" t="s">
        <v>1449</v>
      </c>
    </row>
    <row r="1308">
      <c r="A1308" s="63" t="s">
        <v>635</v>
      </c>
      <c r="B1308" s="60">
        <v>2306.0</v>
      </c>
      <c r="C1308" s="59" t="s">
        <v>636</v>
      </c>
    </row>
    <row r="1309">
      <c r="A1309" s="63" t="s">
        <v>2144</v>
      </c>
      <c r="B1309" s="60">
        <v>2307.0</v>
      </c>
      <c r="C1309" s="59" t="s">
        <v>2145</v>
      </c>
    </row>
    <row r="1310">
      <c r="A1310" s="63" t="s">
        <v>1451</v>
      </c>
      <c r="B1310" s="60">
        <v>2308.0</v>
      </c>
      <c r="C1310" s="59" t="s">
        <v>1452</v>
      </c>
    </row>
    <row r="1311">
      <c r="A1311" s="63" t="s">
        <v>2944</v>
      </c>
      <c r="B1311" s="60">
        <v>2309.0</v>
      </c>
      <c r="C1311" s="59" t="s">
        <v>2945</v>
      </c>
    </row>
    <row r="1312">
      <c r="A1312" s="63" t="s">
        <v>2144</v>
      </c>
      <c r="B1312" s="60">
        <v>2310.0</v>
      </c>
      <c r="C1312" s="59" t="s">
        <v>2148</v>
      </c>
    </row>
    <row r="1313">
      <c r="A1313" s="63" t="s">
        <v>1451</v>
      </c>
      <c r="B1313" s="60">
        <v>2311.0</v>
      </c>
      <c r="C1313" s="59" t="s">
        <v>2946</v>
      </c>
    </row>
    <row r="1314">
      <c r="A1314" s="63" t="s">
        <v>2944</v>
      </c>
      <c r="B1314" s="60">
        <v>2312.0</v>
      </c>
      <c r="C1314" s="59" t="s">
        <v>2947</v>
      </c>
    </row>
    <row r="1315">
      <c r="A1315" s="59" t="s">
        <v>2905</v>
      </c>
      <c r="B1315" s="60">
        <v>2313.0</v>
      </c>
      <c r="C1315" s="59" t="s">
        <v>2948</v>
      </c>
    </row>
    <row r="1316">
      <c r="A1316" s="59" t="s">
        <v>2949</v>
      </c>
      <c r="B1316" s="60">
        <v>2314.0</v>
      </c>
      <c r="C1316" s="59" t="s">
        <v>2950</v>
      </c>
    </row>
    <row r="1317">
      <c r="A1317" s="59" t="s">
        <v>2911</v>
      </c>
      <c r="B1317" s="60">
        <v>2315.0</v>
      </c>
      <c r="C1317" s="59" t="s">
        <v>2951</v>
      </c>
    </row>
    <row r="1318">
      <c r="A1318" s="68" t="s">
        <v>1453</v>
      </c>
      <c r="B1318" s="60">
        <v>2316.0</v>
      </c>
      <c r="C1318" s="69" t="s">
        <v>1454</v>
      </c>
    </row>
    <row r="1319">
      <c r="A1319" s="68" t="s">
        <v>2078</v>
      </c>
      <c r="B1319" s="60">
        <v>2317.0</v>
      </c>
      <c r="C1319" s="69" t="s">
        <v>2079</v>
      </c>
    </row>
    <row r="1320">
      <c r="A1320" s="68" t="s">
        <v>2952</v>
      </c>
      <c r="B1320" s="60">
        <v>2318.0</v>
      </c>
      <c r="C1320" s="69" t="s">
        <v>2953</v>
      </c>
    </row>
    <row r="1321">
      <c r="A1321" s="68" t="s">
        <v>1455</v>
      </c>
      <c r="B1321" s="60">
        <v>2319.0</v>
      </c>
      <c r="C1321" s="69" t="s">
        <v>1456</v>
      </c>
    </row>
    <row r="1322">
      <c r="A1322" s="68" t="s">
        <v>2952</v>
      </c>
      <c r="B1322" s="60">
        <v>2320.0</v>
      </c>
      <c r="C1322" s="69" t="s">
        <v>2954</v>
      </c>
    </row>
    <row r="1323">
      <c r="A1323" s="68" t="s">
        <v>1457</v>
      </c>
      <c r="B1323" s="60">
        <v>2321.0</v>
      </c>
      <c r="C1323" s="69" t="s">
        <v>1458</v>
      </c>
    </row>
    <row r="1324">
      <c r="A1324" s="68" t="s">
        <v>2149</v>
      </c>
      <c r="B1324" s="60">
        <v>2322.0</v>
      </c>
      <c r="C1324" s="69" t="s">
        <v>2150</v>
      </c>
    </row>
    <row r="1325">
      <c r="A1325" s="68" t="s">
        <v>2083</v>
      </c>
      <c r="B1325" s="60">
        <v>2323.0</v>
      </c>
      <c r="C1325" s="69" t="s">
        <v>2955</v>
      </c>
    </row>
    <row r="1326">
      <c r="A1326" s="68" t="s">
        <v>1453</v>
      </c>
      <c r="B1326" s="60">
        <v>2324.0</v>
      </c>
      <c r="C1326" s="69" t="s">
        <v>1459</v>
      </c>
    </row>
    <row r="1327">
      <c r="A1327" s="68" t="s">
        <v>1460</v>
      </c>
      <c r="B1327" s="60">
        <v>2325.0</v>
      </c>
      <c r="C1327" s="69" t="s">
        <v>1461</v>
      </c>
    </row>
    <row r="1328">
      <c r="A1328" s="68" t="s">
        <v>1462</v>
      </c>
      <c r="B1328" s="60">
        <v>2326.0</v>
      </c>
      <c r="C1328" s="69" t="s">
        <v>1463</v>
      </c>
    </row>
    <row r="1329">
      <c r="A1329" s="68" t="s">
        <v>1464</v>
      </c>
      <c r="B1329" s="60">
        <v>2327.0</v>
      </c>
      <c r="C1329" s="69" t="s">
        <v>1465</v>
      </c>
    </row>
    <row r="1330">
      <c r="A1330" s="68" t="s">
        <v>2152</v>
      </c>
      <c r="B1330" s="60">
        <v>2328.0</v>
      </c>
      <c r="C1330" s="69" t="s">
        <v>2153</v>
      </c>
    </row>
    <row r="1331">
      <c r="A1331" s="68" t="s">
        <v>1466</v>
      </c>
      <c r="B1331" s="60">
        <v>2329.0</v>
      </c>
      <c r="C1331" s="69" t="s">
        <v>1467</v>
      </c>
    </row>
    <row r="1332">
      <c r="A1332" s="68" t="s">
        <v>1468</v>
      </c>
      <c r="B1332" s="60">
        <v>2330.0</v>
      </c>
      <c r="C1332" s="69" t="s">
        <v>1469</v>
      </c>
    </row>
    <row r="1333">
      <c r="A1333" s="68" t="s">
        <v>1470</v>
      </c>
      <c r="B1333" s="60">
        <v>2331.0</v>
      </c>
      <c r="C1333" s="69" t="s">
        <v>1471</v>
      </c>
    </row>
  </sheetData>
  <printOptions gridLines="1" horizontalCentered="1"/>
  <pageMargins bottom="0.75" footer="0.0" header="0.0" left="0.7" right="0.7" top="0.75"/>
  <pageSetup fitToHeight="0" paperSize="9" cellComments="atEnd" orientation="portrait" pageOrder="overThenDown"/>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36.88"/>
    <col customWidth="1" min="2" max="2" width="16.63"/>
    <col customWidth="1" min="3" max="3" width="36.63"/>
    <col customWidth="1" min="4" max="4" width="21.75"/>
    <col customWidth="1" min="6" max="6" width="27.0"/>
    <col customWidth="1" min="7" max="7" width="29.25"/>
    <col customWidth="1" min="9" max="9" width="27.25"/>
    <col customWidth="1" min="10" max="10" width="29.13"/>
    <col customWidth="1" min="12" max="12" width="14.13"/>
  </cols>
  <sheetData>
    <row r="1">
      <c r="A1" s="113" t="s">
        <v>0</v>
      </c>
      <c r="B1" s="114" t="s">
        <v>1</v>
      </c>
      <c r="C1" s="114" t="s">
        <v>3</v>
      </c>
      <c r="D1" s="114" t="s">
        <v>2956</v>
      </c>
      <c r="E1" s="113" t="s">
        <v>11</v>
      </c>
      <c r="F1" s="115" t="s">
        <v>7</v>
      </c>
      <c r="G1" s="113" t="s">
        <v>8</v>
      </c>
      <c r="H1" s="113" t="s">
        <v>13</v>
      </c>
      <c r="I1" s="113" t="s">
        <v>10</v>
      </c>
      <c r="J1" s="113" t="s">
        <v>2957</v>
      </c>
      <c r="K1" s="116" t="s">
        <v>14</v>
      </c>
      <c r="L1" s="116" t="s">
        <v>2958</v>
      </c>
    </row>
    <row r="2">
      <c r="A2" s="117" t="s">
        <v>2959</v>
      </c>
      <c r="B2" s="118"/>
      <c r="C2" s="118" t="s">
        <v>2960</v>
      </c>
      <c r="D2" s="119" t="s">
        <v>2179</v>
      </c>
      <c r="F2" s="9" t="s">
        <v>1484</v>
      </c>
      <c r="G2" s="120" t="s">
        <v>2961</v>
      </c>
    </row>
    <row r="3">
      <c r="A3" s="117" t="s">
        <v>113</v>
      </c>
      <c r="B3" s="118"/>
      <c r="C3" s="118" t="s">
        <v>2962</v>
      </c>
      <c r="D3" s="119" t="s">
        <v>1483</v>
      </c>
      <c r="F3" s="9" t="s">
        <v>1484</v>
      </c>
    </row>
    <row r="4">
      <c r="A4" s="117" t="s">
        <v>2963</v>
      </c>
      <c r="B4" s="118"/>
      <c r="C4" s="118" t="s">
        <v>2964</v>
      </c>
      <c r="D4" s="119" t="s">
        <v>1486</v>
      </c>
      <c r="F4" s="9" t="s">
        <v>1484</v>
      </c>
    </row>
    <row r="5">
      <c r="A5" s="117" t="s">
        <v>2963</v>
      </c>
      <c r="B5" s="118"/>
      <c r="C5" s="118" t="s">
        <v>2964</v>
      </c>
      <c r="D5" s="119" t="s">
        <v>1487</v>
      </c>
      <c r="F5" s="9" t="s">
        <v>1484</v>
      </c>
    </row>
    <row r="6">
      <c r="A6" s="117" t="s">
        <v>2184</v>
      </c>
      <c r="B6" s="118"/>
      <c r="C6" s="118" t="s">
        <v>2965</v>
      </c>
      <c r="D6" s="119" t="s">
        <v>2185</v>
      </c>
      <c r="F6" s="9" t="s">
        <v>1484</v>
      </c>
    </row>
    <row r="7">
      <c r="A7" s="117" t="s">
        <v>2963</v>
      </c>
      <c r="B7" s="118"/>
      <c r="C7" s="118" t="s">
        <v>2964</v>
      </c>
      <c r="D7" s="119" t="s">
        <v>1510</v>
      </c>
      <c r="F7" s="9" t="s">
        <v>1484</v>
      </c>
    </row>
    <row r="8">
      <c r="A8" s="117" t="s">
        <v>2963</v>
      </c>
      <c r="B8" s="118"/>
      <c r="C8" s="118" t="s">
        <v>2964</v>
      </c>
      <c r="D8" s="119" t="s">
        <v>59</v>
      </c>
      <c r="F8" s="9" t="s">
        <v>1484</v>
      </c>
    </row>
    <row r="9">
      <c r="A9" s="117" t="s">
        <v>2963</v>
      </c>
      <c r="B9" s="118"/>
      <c r="C9" s="118" t="s">
        <v>2964</v>
      </c>
      <c r="D9" s="119" t="s">
        <v>1490</v>
      </c>
      <c r="F9" s="9" t="s">
        <v>1484</v>
      </c>
    </row>
    <row r="10">
      <c r="A10" s="117" t="s">
        <v>2963</v>
      </c>
      <c r="B10" s="118"/>
      <c r="C10" s="118" t="s">
        <v>2964</v>
      </c>
      <c r="D10" s="119" t="s">
        <v>2966</v>
      </c>
      <c r="F10" s="9" t="s">
        <v>1484</v>
      </c>
    </row>
    <row r="11">
      <c r="A11" s="121" t="s">
        <v>37</v>
      </c>
      <c r="B11" s="118"/>
      <c r="C11" s="118" t="s">
        <v>2967</v>
      </c>
      <c r="D11" s="122" t="s">
        <v>2968</v>
      </c>
      <c r="F11" s="9" t="s">
        <v>1484</v>
      </c>
    </row>
    <row r="12">
      <c r="A12" s="117" t="s">
        <v>2963</v>
      </c>
      <c r="B12" s="118"/>
      <c r="C12" s="118" t="s">
        <v>2964</v>
      </c>
      <c r="D12" s="119" t="s">
        <v>1491</v>
      </c>
      <c r="F12" s="9" t="s">
        <v>1484</v>
      </c>
    </row>
    <row r="13">
      <c r="A13" s="117" t="s">
        <v>37</v>
      </c>
      <c r="B13" s="118"/>
      <c r="C13" s="118" t="s">
        <v>2967</v>
      </c>
      <c r="D13" s="119" t="s">
        <v>2969</v>
      </c>
      <c r="F13" s="9" t="s">
        <v>1484</v>
      </c>
    </row>
    <row r="14">
      <c r="A14" s="117" t="s">
        <v>2963</v>
      </c>
      <c r="B14" s="118"/>
      <c r="C14" s="118" t="s">
        <v>2964</v>
      </c>
      <c r="D14" s="119" t="s">
        <v>2970</v>
      </c>
      <c r="F14" s="9" t="s">
        <v>1484</v>
      </c>
    </row>
    <row r="15">
      <c r="A15" s="117" t="s">
        <v>2971</v>
      </c>
      <c r="B15" s="118"/>
      <c r="C15" s="118" t="s">
        <v>2972</v>
      </c>
      <c r="D15" s="119" t="s">
        <v>2973</v>
      </c>
      <c r="F15" s="9" t="s">
        <v>1484</v>
      </c>
    </row>
    <row r="16">
      <c r="A16" s="117" t="s">
        <v>2974</v>
      </c>
      <c r="B16" s="118"/>
      <c r="C16" s="118" t="s">
        <v>2975</v>
      </c>
      <c r="D16" s="119" t="s">
        <v>2976</v>
      </c>
      <c r="F16" s="9" t="s">
        <v>1484</v>
      </c>
    </row>
    <row r="17">
      <c r="A17" s="117" t="s">
        <v>2963</v>
      </c>
      <c r="B17" s="118"/>
      <c r="C17" s="118" t="s">
        <v>2964</v>
      </c>
      <c r="D17" s="119" t="s">
        <v>2977</v>
      </c>
      <c r="F17" s="9" t="s">
        <v>1484</v>
      </c>
    </row>
    <row r="18">
      <c r="A18" s="117" t="s">
        <v>2963</v>
      </c>
      <c r="B18" s="118"/>
      <c r="C18" s="118" t="s">
        <v>2964</v>
      </c>
      <c r="D18" s="119" t="s">
        <v>2978</v>
      </c>
      <c r="F18" s="9" t="s">
        <v>1484</v>
      </c>
    </row>
    <row r="19">
      <c r="A19" s="117" t="s">
        <v>113</v>
      </c>
      <c r="B19" s="118"/>
      <c r="C19" s="118" t="s">
        <v>2962</v>
      </c>
      <c r="D19" s="119" t="s">
        <v>2979</v>
      </c>
      <c r="F19" s="9" t="s">
        <v>1484</v>
      </c>
    </row>
    <row r="20">
      <c r="A20" s="117" t="s">
        <v>1511</v>
      </c>
      <c r="B20" s="118"/>
      <c r="C20" s="118" t="s">
        <v>2980</v>
      </c>
      <c r="D20" s="119" t="s">
        <v>2979</v>
      </c>
      <c r="F20" s="9" t="s">
        <v>1484</v>
      </c>
    </row>
    <row r="21">
      <c r="A21" s="117" t="s">
        <v>1511</v>
      </c>
      <c r="B21" s="118"/>
      <c r="C21" s="118" t="s">
        <v>2980</v>
      </c>
      <c r="D21" s="119" t="s">
        <v>2981</v>
      </c>
      <c r="F21" s="9" t="s">
        <v>1484</v>
      </c>
    </row>
    <row r="22">
      <c r="A22" s="117" t="s">
        <v>2963</v>
      </c>
      <c r="B22" s="118"/>
      <c r="C22" s="118" t="s">
        <v>2964</v>
      </c>
      <c r="D22" s="119" t="s">
        <v>1517</v>
      </c>
      <c r="F22" s="9" t="s">
        <v>1484</v>
      </c>
    </row>
    <row r="23">
      <c r="A23" s="117" t="s">
        <v>37</v>
      </c>
      <c r="B23" s="118"/>
      <c r="C23" s="118" t="s">
        <v>2967</v>
      </c>
      <c r="D23" s="119" t="s">
        <v>2982</v>
      </c>
      <c r="F23" s="9" t="s">
        <v>1484</v>
      </c>
    </row>
    <row r="24">
      <c r="A24" s="117" t="s">
        <v>37</v>
      </c>
      <c r="B24" s="118"/>
      <c r="C24" s="118" t="s">
        <v>2967</v>
      </c>
      <c r="D24" s="119" t="s">
        <v>2983</v>
      </c>
      <c r="F24" s="9" t="s">
        <v>1484</v>
      </c>
    </row>
    <row r="25">
      <c r="A25" s="117" t="s">
        <v>2963</v>
      </c>
      <c r="B25" s="118"/>
      <c r="C25" s="118" t="s">
        <v>2964</v>
      </c>
      <c r="D25" s="119" t="s">
        <v>2984</v>
      </c>
      <c r="F25" s="9" t="s">
        <v>1484</v>
      </c>
    </row>
    <row r="26">
      <c r="A26" s="117" t="s">
        <v>2963</v>
      </c>
      <c r="B26" s="118"/>
      <c r="C26" s="118" t="s">
        <v>2964</v>
      </c>
      <c r="D26" s="119" t="s">
        <v>1524</v>
      </c>
      <c r="F26" s="9" t="s">
        <v>1484</v>
      </c>
    </row>
    <row r="27">
      <c r="A27" s="117" t="s">
        <v>2963</v>
      </c>
      <c r="B27" s="118"/>
      <c r="C27" s="118" t="s">
        <v>2964</v>
      </c>
      <c r="D27" s="119" t="s">
        <v>2985</v>
      </c>
      <c r="F27" s="9" t="s">
        <v>1484</v>
      </c>
    </row>
    <row r="28">
      <c r="A28" s="117" t="s">
        <v>2986</v>
      </c>
      <c r="B28" s="118"/>
      <c r="C28" s="118" t="s">
        <v>2987</v>
      </c>
      <c r="D28" s="119" t="s">
        <v>2988</v>
      </c>
      <c r="F28" s="9" t="s">
        <v>1484</v>
      </c>
    </row>
    <row r="29">
      <c r="A29" s="117" t="s">
        <v>2199</v>
      </c>
      <c r="B29" s="118"/>
      <c r="C29" s="118" t="s">
        <v>2989</v>
      </c>
      <c r="D29" s="119" t="s">
        <v>2988</v>
      </c>
      <c r="F29" s="9" t="s">
        <v>1484</v>
      </c>
    </row>
    <row r="30">
      <c r="A30" s="117" t="s">
        <v>2990</v>
      </c>
      <c r="B30" s="118"/>
      <c r="C30" s="118" t="s">
        <v>2991</v>
      </c>
      <c r="D30" s="119" t="s">
        <v>2992</v>
      </c>
      <c r="F30" s="9" t="s">
        <v>1484</v>
      </c>
    </row>
    <row r="31">
      <c r="A31" s="117" t="s">
        <v>2993</v>
      </c>
      <c r="B31" s="118"/>
      <c r="C31" s="118" t="s">
        <v>2994</v>
      </c>
      <c r="D31" s="119" t="s">
        <v>2995</v>
      </c>
      <c r="F31" s="9" t="s">
        <v>1484</v>
      </c>
    </row>
    <row r="32">
      <c r="A32" s="117" t="s">
        <v>2996</v>
      </c>
      <c r="B32" s="118"/>
      <c r="C32" s="118" t="s">
        <v>2997</v>
      </c>
      <c r="D32" s="119" t="s">
        <v>2998</v>
      </c>
      <c r="F32" s="9" t="s">
        <v>1484</v>
      </c>
    </row>
    <row r="33">
      <c r="A33" s="117" t="s">
        <v>2999</v>
      </c>
      <c r="B33" s="118"/>
      <c r="C33" s="118" t="s">
        <v>3000</v>
      </c>
      <c r="D33" s="119" t="s">
        <v>3001</v>
      </c>
      <c r="F33" s="9" t="s">
        <v>1484</v>
      </c>
    </row>
    <row r="34">
      <c r="A34" s="117" t="s">
        <v>3002</v>
      </c>
      <c r="B34" s="118"/>
      <c r="C34" s="118" t="s">
        <v>3003</v>
      </c>
      <c r="D34" s="119" t="s">
        <v>3004</v>
      </c>
      <c r="F34" s="9" t="s">
        <v>1484</v>
      </c>
    </row>
    <row r="35">
      <c r="A35" s="117" t="s">
        <v>37</v>
      </c>
      <c r="B35" s="118"/>
      <c r="C35" s="118" t="s">
        <v>2967</v>
      </c>
      <c r="D35" s="119" t="s">
        <v>2194</v>
      </c>
      <c r="F35" s="9" t="s">
        <v>1484</v>
      </c>
    </row>
    <row r="36">
      <c r="A36" s="117" t="s">
        <v>113</v>
      </c>
      <c r="B36" s="118"/>
      <c r="C36" s="118" t="s">
        <v>2962</v>
      </c>
      <c r="D36" s="119" t="s">
        <v>3005</v>
      </c>
      <c r="F36" s="9" t="s">
        <v>1484</v>
      </c>
    </row>
    <row r="37">
      <c r="A37" s="117" t="s">
        <v>3006</v>
      </c>
      <c r="B37" s="118"/>
      <c r="C37" s="118" t="s">
        <v>3007</v>
      </c>
      <c r="D37" s="119" t="s">
        <v>3008</v>
      </c>
      <c r="F37" s="9" t="s">
        <v>1484</v>
      </c>
    </row>
    <row r="38">
      <c r="A38" s="117" t="s">
        <v>3009</v>
      </c>
      <c r="B38" s="118"/>
      <c r="C38" s="118" t="s">
        <v>3010</v>
      </c>
      <c r="D38" s="119" t="s">
        <v>3011</v>
      </c>
      <c r="F38" s="9" t="s">
        <v>1484</v>
      </c>
    </row>
    <row r="39">
      <c r="A39" s="117" t="s">
        <v>3012</v>
      </c>
      <c r="B39" s="118"/>
      <c r="C39" s="118" t="s">
        <v>3013</v>
      </c>
      <c r="D39" s="119" t="s">
        <v>3014</v>
      </c>
      <c r="F39" s="9" t="s">
        <v>1484</v>
      </c>
    </row>
    <row r="40">
      <c r="A40" s="117" t="s">
        <v>3015</v>
      </c>
      <c r="B40" s="118"/>
      <c r="C40" s="118" t="s">
        <v>3016</v>
      </c>
      <c r="D40" s="119" t="s">
        <v>3017</v>
      </c>
      <c r="F40" s="9" t="s">
        <v>1484</v>
      </c>
    </row>
    <row r="41">
      <c r="A41" s="123"/>
      <c r="B41" s="118"/>
      <c r="C41" s="118"/>
      <c r="D41" s="123"/>
    </row>
    <row r="42">
      <c r="A42" s="124" t="s">
        <v>2963</v>
      </c>
      <c r="D42" s="123"/>
    </row>
    <row r="43">
      <c r="A43" s="125" t="s">
        <v>3018</v>
      </c>
      <c r="B43" s="118"/>
      <c r="C43" s="118"/>
      <c r="D43" s="126" t="s">
        <v>3019</v>
      </c>
    </row>
    <row r="44">
      <c r="A44" s="117" t="s">
        <v>3020</v>
      </c>
      <c r="B44" s="118"/>
      <c r="C44" s="118" t="s">
        <v>3021</v>
      </c>
      <c r="D44" s="119" t="s">
        <v>3022</v>
      </c>
      <c r="F44" s="118" t="str">
        <f>IFERROR(__xludf.DUMMYFUNCTION("GOOGLETRANSLATE(A42,""AR"",""EN"")"),"dining chair")</f>
        <v>dining chair</v>
      </c>
    </row>
    <row r="45">
      <c r="A45" s="117" t="s">
        <v>3023</v>
      </c>
      <c r="B45" s="118"/>
      <c r="C45" s="118" t="s">
        <v>3024</v>
      </c>
      <c r="D45" s="119" t="s">
        <v>3025</v>
      </c>
      <c r="F45" s="127" t="s">
        <v>2964</v>
      </c>
    </row>
    <row r="46">
      <c r="A46" s="117" t="s">
        <v>3026</v>
      </c>
      <c r="B46" s="118"/>
      <c r="C46" s="118" t="s">
        <v>3027</v>
      </c>
      <c r="D46" s="119" t="s">
        <v>3028</v>
      </c>
      <c r="F46" s="127" t="s">
        <v>2964</v>
      </c>
    </row>
    <row r="47">
      <c r="A47" s="117" t="s">
        <v>3029</v>
      </c>
      <c r="B47" s="118"/>
      <c r="C47" s="118" t="s">
        <v>3030</v>
      </c>
      <c r="D47" s="119" t="s">
        <v>3031</v>
      </c>
      <c r="F47" s="127" t="s">
        <v>2964</v>
      </c>
    </row>
    <row r="48">
      <c r="A48" s="117" t="s">
        <v>3032</v>
      </c>
      <c r="B48" s="118"/>
      <c r="C48" s="118" t="s">
        <v>3033</v>
      </c>
      <c r="D48" s="119" t="s">
        <v>3034</v>
      </c>
      <c r="F48" s="127" t="s">
        <v>2964</v>
      </c>
    </row>
    <row r="49">
      <c r="A49" s="123"/>
      <c r="B49" s="118"/>
      <c r="C49" s="118"/>
      <c r="D49" s="123"/>
    </row>
    <row r="50">
      <c r="A50" s="124" t="s">
        <v>3035</v>
      </c>
      <c r="B50" s="118"/>
      <c r="C50" s="118"/>
      <c r="D50" s="123"/>
    </row>
    <row r="51">
      <c r="A51" s="125" t="s">
        <v>3018</v>
      </c>
      <c r="B51" s="118"/>
      <c r="C51" s="118"/>
      <c r="D51" s="126" t="s">
        <v>3019</v>
      </c>
    </row>
    <row r="52">
      <c r="A52" s="121" t="s">
        <v>3036</v>
      </c>
      <c r="B52" s="118"/>
      <c r="C52" s="118" t="s">
        <v>3037</v>
      </c>
      <c r="D52" s="122" t="s">
        <v>3038</v>
      </c>
      <c r="F52" s="9" t="s">
        <v>3039</v>
      </c>
    </row>
    <row r="53">
      <c r="A53" s="117" t="s">
        <v>3040</v>
      </c>
      <c r="B53" s="118"/>
      <c r="C53" s="118" t="s">
        <v>3041</v>
      </c>
      <c r="D53" s="119" t="s">
        <v>3042</v>
      </c>
      <c r="F53" s="9" t="s">
        <v>3039</v>
      </c>
    </row>
    <row r="54">
      <c r="A54" s="117" t="s">
        <v>3040</v>
      </c>
      <c r="B54" s="118"/>
      <c r="C54" s="118" t="s">
        <v>3041</v>
      </c>
      <c r="D54" s="119" t="s">
        <v>3043</v>
      </c>
      <c r="F54" s="9" t="s">
        <v>3039</v>
      </c>
    </row>
    <row r="55">
      <c r="A55" s="117" t="s">
        <v>3044</v>
      </c>
      <c r="B55" s="118"/>
      <c r="C55" s="118" t="s">
        <v>3045</v>
      </c>
      <c r="D55" s="119" t="s">
        <v>3043</v>
      </c>
      <c r="F55" s="9" t="s">
        <v>3039</v>
      </c>
    </row>
    <row r="56">
      <c r="A56" s="117" t="s">
        <v>3046</v>
      </c>
      <c r="B56" s="118"/>
      <c r="C56" s="118" t="s">
        <v>3047</v>
      </c>
      <c r="D56" s="119" t="s">
        <v>3048</v>
      </c>
      <c r="F56" s="9" t="s">
        <v>3039</v>
      </c>
    </row>
    <row r="57">
      <c r="A57" s="117" t="s">
        <v>3049</v>
      </c>
      <c r="B57" s="118"/>
      <c r="C57" s="118" t="s">
        <v>3050</v>
      </c>
      <c r="D57" s="119" t="s">
        <v>2323</v>
      </c>
      <c r="F57" s="9" t="s">
        <v>3039</v>
      </c>
    </row>
    <row r="58">
      <c r="A58" s="117" t="s">
        <v>3051</v>
      </c>
      <c r="B58" s="118"/>
      <c r="C58" s="118" t="s">
        <v>3052</v>
      </c>
      <c r="D58" s="119" t="s">
        <v>3053</v>
      </c>
      <c r="F58" s="9" t="s">
        <v>3039</v>
      </c>
    </row>
    <row r="59">
      <c r="A59" s="117" t="s">
        <v>2336</v>
      </c>
      <c r="B59" s="118"/>
      <c r="C59" s="118" t="s">
        <v>3054</v>
      </c>
      <c r="D59" s="119" t="s">
        <v>2327</v>
      </c>
      <c r="F59" s="9" t="s">
        <v>3039</v>
      </c>
    </row>
    <row r="60">
      <c r="A60" s="117" t="s">
        <v>3055</v>
      </c>
      <c r="B60" s="118"/>
      <c r="C60" s="118" t="s">
        <v>3056</v>
      </c>
      <c r="D60" s="119" t="s">
        <v>3057</v>
      </c>
      <c r="F60" s="9" t="s">
        <v>3039</v>
      </c>
    </row>
    <row r="61">
      <c r="A61" s="117" t="s">
        <v>3058</v>
      </c>
      <c r="B61" s="118"/>
      <c r="C61" s="118" t="s">
        <v>3059</v>
      </c>
      <c r="D61" s="119" t="s">
        <v>3060</v>
      </c>
      <c r="F61" s="9" t="s">
        <v>3039</v>
      </c>
    </row>
    <row r="62">
      <c r="A62" s="117" t="s">
        <v>3061</v>
      </c>
      <c r="B62" s="118"/>
      <c r="C62" s="118" t="s">
        <v>3062</v>
      </c>
      <c r="D62" s="119" t="s">
        <v>3063</v>
      </c>
      <c r="F62" s="9" t="s">
        <v>3039</v>
      </c>
    </row>
    <row r="63">
      <c r="A63" s="117" t="s">
        <v>3064</v>
      </c>
      <c r="B63" s="118"/>
      <c r="C63" s="118" t="s">
        <v>3065</v>
      </c>
      <c r="D63" s="119" t="s">
        <v>3066</v>
      </c>
      <c r="F63" s="9" t="s">
        <v>3039</v>
      </c>
    </row>
    <row r="64">
      <c r="A64" s="117" t="s">
        <v>3067</v>
      </c>
      <c r="B64" s="118"/>
      <c r="C64" s="118" t="s">
        <v>3068</v>
      </c>
      <c r="D64" s="119" t="s">
        <v>3069</v>
      </c>
      <c r="F64" s="9" t="s">
        <v>3039</v>
      </c>
    </row>
    <row r="65">
      <c r="A65" s="117" t="s">
        <v>3070</v>
      </c>
      <c r="B65" s="118"/>
      <c r="C65" s="118" t="s">
        <v>3071</v>
      </c>
      <c r="D65" s="119" t="s">
        <v>2325</v>
      </c>
      <c r="F65" s="9" t="s">
        <v>3039</v>
      </c>
    </row>
    <row r="66">
      <c r="A66" s="117" t="s">
        <v>3072</v>
      </c>
      <c r="B66" s="118"/>
      <c r="C66" s="118" t="s">
        <v>3073</v>
      </c>
      <c r="D66" s="119" t="s">
        <v>3074</v>
      </c>
      <c r="F66" s="9" t="s">
        <v>3039</v>
      </c>
    </row>
    <row r="67">
      <c r="A67" s="117" t="s">
        <v>3075</v>
      </c>
      <c r="B67" s="118"/>
      <c r="C67" s="118" t="s">
        <v>3076</v>
      </c>
      <c r="D67" s="119" t="s">
        <v>3077</v>
      </c>
      <c r="F67" s="9" t="s">
        <v>3039</v>
      </c>
    </row>
    <row r="68">
      <c r="A68" s="117" t="s">
        <v>671</v>
      </c>
      <c r="B68" s="118"/>
      <c r="C68" s="118" t="s">
        <v>3078</v>
      </c>
      <c r="D68" s="119" t="s">
        <v>3079</v>
      </c>
      <c r="F68" s="9" t="s">
        <v>3039</v>
      </c>
    </row>
    <row r="69">
      <c r="A69" s="117" t="s">
        <v>3080</v>
      </c>
      <c r="B69" s="118"/>
      <c r="C69" s="118" t="s">
        <v>3081</v>
      </c>
      <c r="D69" s="119" t="s">
        <v>3082</v>
      </c>
      <c r="F69" s="9" t="s">
        <v>3039</v>
      </c>
    </row>
    <row r="70">
      <c r="A70" s="117" t="s">
        <v>3083</v>
      </c>
      <c r="B70" s="118"/>
      <c r="C70" s="118" t="s">
        <v>3084</v>
      </c>
      <c r="D70" s="119" t="s">
        <v>3082</v>
      </c>
      <c r="F70" s="9" t="s">
        <v>3039</v>
      </c>
    </row>
    <row r="71">
      <c r="A71" s="117" t="s">
        <v>3085</v>
      </c>
      <c r="B71" s="118"/>
      <c r="C71" s="118" t="s">
        <v>3086</v>
      </c>
      <c r="D71" s="119" t="s">
        <v>3087</v>
      </c>
      <c r="F71" s="9" t="s">
        <v>3039</v>
      </c>
    </row>
    <row r="72">
      <c r="A72" s="117" t="s">
        <v>3088</v>
      </c>
      <c r="B72" s="118"/>
      <c r="C72" s="118" t="s">
        <v>3089</v>
      </c>
      <c r="D72" s="119" t="s">
        <v>3090</v>
      </c>
      <c r="F72" s="9" t="s">
        <v>3039</v>
      </c>
    </row>
    <row r="73">
      <c r="A73" s="117" t="s">
        <v>3091</v>
      </c>
      <c r="B73" s="118"/>
      <c r="C73" s="118" t="s">
        <v>3092</v>
      </c>
      <c r="D73" s="119" t="s">
        <v>3093</v>
      </c>
      <c r="F73" s="9" t="s">
        <v>3039</v>
      </c>
    </row>
    <row r="74">
      <c r="A74" s="117" t="s">
        <v>2318</v>
      </c>
      <c r="B74" s="118"/>
      <c r="C74" s="118" t="s">
        <v>3094</v>
      </c>
      <c r="D74" s="119" t="s">
        <v>2319</v>
      </c>
      <c r="F74" s="9" t="s">
        <v>3039</v>
      </c>
    </row>
    <row r="75">
      <c r="A75" s="117" t="s">
        <v>3095</v>
      </c>
      <c r="B75" s="118"/>
      <c r="C75" s="118" t="s">
        <v>3096</v>
      </c>
      <c r="D75" s="119" t="s">
        <v>3097</v>
      </c>
      <c r="F75" s="9" t="s">
        <v>3039</v>
      </c>
    </row>
    <row r="76">
      <c r="A76" s="128"/>
      <c r="B76" s="118"/>
      <c r="C76" s="118"/>
      <c r="D76" s="128"/>
    </row>
    <row r="77">
      <c r="A77" s="123"/>
      <c r="B77" s="118"/>
      <c r="C77" s="118"/>
      <c r="D77" s="123"/>
    </row>
    <row r="78">
      <c r="A78" s="124" t="s">
        <v>3098</v>
      </c>
      <c r="B78" s="118"/>
      <c r="C78" s="118"/>
      <c r="D78" s="123"/>
    </row>
    <row r="79">
      <c r="A79" s="125" t="s">
        <v>3018</v>
      </c>
      <c r="B79" s="118"/>
      <c r="C79" s="118"/>
      <c r="D79" s="126" t="s">
        <v>3019</v>
      </c>
    </row>
    <row r="80">
      <c r="A80" s="121" t="s">
        <v>2644</v>
      </c>
      <c r="B80" s="118"/>
      <c r="C80" s="118" t="s">
        <v>3099</v>
      </c>
      <c r="D80" s="122" t="s">
        <v>3100</v>
      </c>
      <c r="F80" s="9" t="s">
        <v>3101</v>
      </c>
    </row>
    <row r="81">
      <c r="A81" s="117" t="s">
        <v>3102</v>
      </c>
      <c r="B81" s="118"/>
      <c r="C81" s="118" t="s">
        <v>3103</v>
      </c>
      <c r="D81" s="122" t="s">
        <v>3104</v>
      </c>
      <c r="F81" s="9" t="s">
        <v>3101</v>
      </c>
    </row>
    <row r="82">
      <c r="A82" s="117" t="s">
        <v>3105</v>
      </c>
      <c r="B82" s="118"/>
      <c r="C82" s="118" t="s">
        <v>3106</v>
      </c>
      <c r="D82" s="119" t="s">
        <v>3107</v>
      </c>
      <c r="F82" s="9" t="s">
        <v>3101</v>
      </c>
    </row>
    <row r="83">
      <c r="A83" s="117" t="s">
        <v>3108</v>
      </c>
      <c r="B83" s="118"/>
      <c r="C83" s="118" t="s">
        <v>3109</v>
      </c>
      <c r="D83" s="119" t="s">
        <v>3110</v>
      </c>
      <c r="F83" s="9" t="s">
        <v>3101</v>
      </c>
    </row>
    <row r="84">
      <c r="A84" s="117" t="s">
        <v>3111</v>
      </c>
      <c r="B84" s="118"/>
      <c r="C84" s="118" t="s">
        <v>3112</v>
      </c>
      <c r="D84" s="119" t="s">
        <v>3113</v>
      </c>
      <c r="F84" s="9" t="s">
        <v>3101</v>
      </c>
    </row>
    <row r="85">
      <c r="A85" s="117" t="s">
        <v>3114</v>
      </c>
      <c r="B85" s="118"/>
      <c r="C85" s="118" t="s">
        <v>3115</v>
      </c>
      <c r="D85" s="119" t="s">
        <v>3116</v>
      </c>
      <c r="F85" s="9" t="s">
        <v>3101</v>
      </c>
    </row>
    <row r="86">
      <c r="A86" s="117" t="s">
        <v>3117</v>
      </c>
      <c r="B86" s="118"/>
      <c r="C86" s="118" t="s">
        <v>3118</v>
      </c>
      <c r="D86" s="119" t="s">
        <v>3119</v>
      </c>
      <c r="F86" s="9" t="s">
        <v>3101</v>
      </c>
    </row>
    <row r="87">
      <c r="A87" s="117" t="s">
        <v>3120</v>
      </c>
      <c r="B87" s="118"/>
      <c r="C87" s="118" t="s">
        <v>3121</v>
      </c>
      <c r="D87" s="119" t="s">
        <v>3122</v>
      </c>
      <c r="F87" s="9" t="s">
        <v>3101</v>
      </c>
    </row>
    <row r="88">
      <c r="A88" s="117" t="s">
        <v>3102</v>
      </c>
      <c r="B88" s="118"/>
      <c r="C88" s="118" t="s">
        <v>3103</v>
      </c>
      <c r="D88" s="119" t="s">
        <v>3123</v>
      </c>
      <c r="F88" s="9" t="s">
        <v>3101</v>
      </c>
    </row>
    <row r="89">
      <c r="A89" s="117" t="s">
        <v>3124</v>
      </c>
      <c r="B89" s="118"/>
      <c r="C89" s="118" t="s">
        <v>3125</v>
      </c>
      <c r="D89" s="119" t="s">
        <v>3126</v>
      </c>
      <c r="F89" s="9" t="s">
        <v>3101</v>
      </c>
    </row>
    <row r="90">
      <c r="A90" s="117" t="s">
        <v>3127</v>
      </c>
      <c r="B90" s="118"/>
      <c r="C90" s="118" t="s">
        <v>3128</v>
      </c>
      <c r="D90" s="119" t="s">
        <v>3129</v>
      </c>
      <c r="F90" s="9" t="s">
        <v>3101</v>
      </c>
    </row>
    <row r="91">
      <c r="A91" s="117" t="s">
        <v>3130</v>
      </c>
      <c r="B91" s="118"/>
      <c r="C91" s="118" t="s">
        <v>3131</v>
      </c>
      <c r="D91" s="119" t="s">
        <v>3132</v>
      </c>
      <c r="F91" s="9" t="s">
        <v>3101</v>
      </c>
    </row>
    <row r="92">
      <c r="A92" s="117" t="s">
        <v>3133</v>
      </c>
      <c r="B92" s="118"/>
      <c r="C92" s="118" t="s">
        <v>3134</v>
      </c>
      <c r="D92" s="119" t="s">
        <v>3135</v>
      </c>
      <c r="F92" s="9" t="s">
        <v>3101</v>
      </c>
    </row>
    <row r="93">
      <c r="A93" s="117" t="s">
        <v>2623</v>
      </c>
      <c r="B93" s="118"/>
      <c r="C93" s="118" t="s">
        <v>3136</v>
      </c>
      <c r="D93" s="119" t="s">
        <v>3137</v>
      </c>
      <c r="F93" s="9" t="s">
        <v>3101</v>
      </c>
    </row>
    <row r="94">
      <c r="A94" s="117" t="s">
        <v>3138</v>
      </c>
      <c r="B94" s="118"/>
      <c r="C94" s="118" t="s">
        <v>3139</v>
      </c>
      <c r="D94" s="119" t="s">
        <v>3140</v>
      </c>
      <c r="F94" s="9" t="s">
        <v>3101</v>
      </c>
    </row>
    <row r="95">
      <c r="A95" s="117" t="s">
        <v>3141</v>
      </c>
      <c r="B95" s="118"/>
      <c r="C95" s="118" t="s">
        <v>3142</v>
      </c>
      <c r="D95" s="119" t="s">
        <v>3143</v>
      </c>
      <c r="F95" s="9" t="s">
        <v>3101</v>
      </c>
    </row>
    <row r="96">
      <c r="A96" s="117" t="s">
        <v>2644</v>
      </c>
      <c r="B96" s="118"/>
      <c r="C96" s="118" t="s">
        <v>3099</v>
      </c>
      <c r="D96" s="119" t="s">
        <v>3144</v>
      </c>
      <c r="F96" s="9" t="s">
        <v>3101</v>
      </c>
    </row>
    <row r="97">
      <c r="A97" s="117" t="s">
        <v>2623</v>
      </c>
      <c r="B97" s="118"/>
      <c r="C97" s="118" t="s">
        <v>3136</v>
      </c>
      <c r="D97" s="119" t="s">
        <v>3145</v>
      </c>
      <c r="F97" s="9" t="s">
        <v>3101</v>
      </c>
    </row>
    <row r="98">
      <c r="A98" s="117" t="s">
        <v>3146</v>
      </c>
      <c r="B98" s="118"/>
      <c r="C98" s="118" t="s">
        <v>3147</v>
      </c>
      <c r="D98" s="119">
        <v>40081.0</v>
      </c>
      <c r="F98" s="9" t="s">
        <v>3101</v>
      </c>
    </row>
    <row r="99">
      <c r="A99" s="117" t="s">
        <v>3148</v>
      </c>
      <c r="B99" s="118"/>
      <c r="C99" s="118" t="s">
        <v>3149</v>
      </c>
      <c r="D99" s="119">
        <v>40134.0</v>
      </c>
      <c r="F99" s="9" t="s">
        <v>3101</v>
      </c>
    </row>
    <row r="100">
      <c r="A100" s="117" t="s">
        <v>3111</v>
      </c>
      <c r="B100" s="118"/>
      <c r="C100" s="118" t="s">
        <v>3112</v>
      </c>
      <c r="D100" s="119" t="s">
        <v>3150</v>
      </c>
      <c r="F100" s="9" t="s">
        <v>3101</v>
      </c>
    </row>
    <row r="101">
      <c r="A101" s="117" t="s">
        <v>3151</v>
      </c>
      <c r="B101" s="118"/>
      <c r="C101" s="118" t="s">
        <v>3152</v>
      </c>
      <c r="D101" s="119" t="s">
        <v>3153</v>
      </c>
      <c r="F101" s="9" t="s">
        <v>3101</v>
      </c>
    </row>
    <row r="102">
      <c r="A102" s="117" t="s">
        <v>3130</v>
      </c>
      <c r="B102" s="118"/>
      <c r="C102" s="118" t="s">
        <v>3131</v>
      </c>
      <c r="D102" s="119" t="s">
        <v>3154</v>
      </c>
      <c r="F102" s="9" t="s">
        <v>3101</v>
      </c>
    </row>
    <row r="103">
      <c r="A103" s="117" t="s">
        <v>3155</v>
      </c>
      <c r="B103" s="118"/>
      <c r="C103" s="118" t="s">
        <v>3156</v>
      </c>
      <c r="D103" s="119" t="s">
        <v>3157</v>
      </c>
      <c r="F103" s="9" t="s">
        <v>3101</v>
      </c>
    </row>
    <row r="104">
      <c r="A104" s="117" t="s">
        <v>3111</v>
      </c>
      <c r="B104" s="118"/>
      <c r="C104" s="118" t="s">
        <v>3112</v>
      </c>
      <c r="D104" s="119" t="s">
        <v>3158</v>
      </c>
      <c r="F104" s="9" t="s">
        <v>3101</v>
      </c>
    </row>
    <row r="105">
      <c r="A105" s="117" t="s">
        <v>3127</v>
      </c>
      <c r="B105" s="118"/>
      <c r="C105" s="118" t="s">
        <v>3128</v>
      </c>
      <c r="D105" s="119" t="s">
        <v>3159</v>
      </c>
      <c r="F105" s="9" t="s">
        <v>3101</v>
      </c>
    </row>
    <row r="106">
      <c r="A106" s="117" t="s">
        <v>3160</v>
      </c>
      <c r="B106" s="118"/>
      <c r="C106" s="118" t="s">
        <v>3161</v>
      </c>
      <c r="D106" s="119" t="s">
        <v>3162</v>
      </c>
      <c r="F106" s="9" t="s">
        <v>3101</v>
      </c>
    </row>
    <row r="107">
      <c r="A107" s="117" t="s">
        <v>3130</v>
      </c>
      <c r="B107" s="118"/>
      <c r="C107" s="118" t="s">
        <v>3131</v>
      </c>
      <c r="D107" s="119" t="s">
        <v>3163</v>
      </c>
      <c r="F107" s="9" t="s">
        <v>3101</v>
      </c>
    </row>
    <row r="108">
      <c r="A108" s="123"/>
      <c r="B108" s="118"/>
      <c r="C108" s="118"/>
      <c r="D108" s="123"/>
    </row>
    <row r="109">
      <c r="A109" s="123"/>
      <c r="B109" s="118"/>
      <c r="C109" s="118"/>
      <c r="D109" s="123"/>
    </row>
    <row r="110">
      <c r="A110" s="124" t="s">
        <v>3164</v>
      </c>
      <c r="B110" s="118"/>
      <c r="C110" s="118"/>
      <c r="D110" s="123"/>
    </row>
    <row r="111">
      <c r="A111" s="125" t="s">
        <v>3018</v>
      </c>
      <c r="B111" s="118"/>
      <c r="C111" s="118"/>
      <c r="D111" s="126" t="s">
        <v>3019</v>
      </c>
    </row>
    <row r="112">
      <c r="A112" s="121" t="s">
        <v>3165</v>
      </c>
      <c r="B112" s="118"/>
      <c r="C112" s="118" t="s">
        <v>3166</v>
      </c>
      <c r="D112" s="122">
        <v>1622.0</v>
      </c>
      <c r="F112" s="9" t="s">
        <v>3167</v>
      </c>
    </row>
    <row r="113">
      <c r="A113" s="117" t="s">
        <v>3168</v>
      </c>
      <c r="B113" s="118"/>
      <c r="C113" s="118" t="s">
        <v>3169</v>
      </c>
      <c r="D113" s="119" t="s">
        <v>3170</v>
      </c>
      <c r="F113" s="9" t="s">
        <v>3167</v>
      </c>
    </row>
    <row r="114">
      <c r="A114" s="121" t="s">
        <v>3165</v>
      </c>
      <c r="B114" s="118"/>
      <c r="C114" s="118" t="s">
        <v>3166</v>
      </c>
      <c r="D114" s="119" t="s">
        <v>3171</v>
      </c>
      <c r="F114" s="9" t="s">
        <v>3167</v>
      </c>
    </row>
    <row r="115">
      <c r="A115" s="121" t="s">
        <v>3172</v>
      </c>
      <c r="B115" s="118"/>
      <c r="C115" s="118" t="s">
        <v>3173</v>
      </c>
      <c r="D115" s="119" t="s">
        <v>3174</v>
      </c>
      <c r="F115" s="9" t="s">
        <v>3167</v>
      </c>
    </row>
    <row r="116">
      <c r="A116" s="121" t="s">
        <v>3175</v>
      </c>
      <c r="B116" s="118"/>
      <c r="C116" s="118" t="s">
        <v>3176</v>
      </c>
      <c r="D116" s="119" t="s">
        <v>3174</v>
      </c>
      <c r="F116" s="9" t="s">
        <v>3167</v>
      </c>
    </row>
    <row r="117">
      <c r="A117" s="117" t="s">
        <v>3177</v>
      </c>
      <c r="B117" s="118"/>
      <c r="C117" s="118" t="s">
        <v>3178</v>
      </c>
      <c r="D117" s="119" t="s">
        <v>3179</v>
      </c>
      <c r="F117" s="9" t="s">
        <v>3167</v>
      </c>
    </row>
    <row r="118">
      <c r="A118" s="117" t="s">
        <v>3165</v>
      </c>
      <c r="B118" s="118"/>
      <c r="C118" s="118" t="s">
        <v>3166</v>
      </c>
      <c r="D118" s="119" t="s">
        <v>2224</v>
      </c>
      <c r="F118" s="9" t="s">
        <v>3167</v>
      </c>
    </row>
    <row r="119">
      <c r="A119" s="117" t="s">
        <v>3180</v>
      </c>
      <c r="B119" s="118"/>
      <c r="C119" s="118" t="s">
        <v>3181</v>
      </c>
      <c r="D119" s="119" t="s">
        <v>3182</v>
      </c>
      <c r="F119" s="9" t="s">
        <v>3167</v>
      </c>
    </row>
    <row r="120">
      <c r="A120" s="117" t="s">
        <v>3183</v>
      </c>
      <c r="B120" s="118"/>
      <c r="C120" s="118" t="s">
        <v>3184</v>
      </c>
      <c r="D120" s="119" t="s">
        <v>3185</v>
      </c>
      <c r="F120" s="9" t="s">
        <v>3167</v>
      </c>
    </row>
    <row r="121">
      <c r="A121" s="128"/>
      <c r="B121" s="118"/>
      <c r="C121" s="118"/>
      <c r="D121" s="128"/>
    </row>
    <row r="122">
      <c r="A122" s="117" t="s">
        <v>3186</v>
      </c>
      <c r="B122" s="118"/>
      <c r="C122" s="118"/>
      <c r="D122" s="119" t="s">
        <v>3187</v>
      </c>
      <c r="F122" s="9" t="s">
        <v>3167</v>
      </c>
    </row>
    <row r="123">
      <c r="A123" s="117" t="s">
        <v>3188</v>
      </c>
      <c r="B123" s="118"/>
      <c r="C123" s="118"/>
      <c r="D123" s="119" t="s">
        <v>3189</v>
      </c>
      <c r="F123" s="9" t="s">
        <v>3167</v>
      </c>
    </row>
    <row r="124">
      <c r="A124" s="117" t="s">
        <v>2251</v>
      </c>
      <c r="B124" s="118"/>
      <c r="C124" s="118" t="s">
        <v>3190</v>
      </c>
      <c r="D124" s="119" t="s">
        <v>3191</v>
      </c>
      <c r="F124" s="9" t="s">
        <v>3167</v>
      </c>
    </row>
    <row r="125">
      <c r="A125" s="117" t="s">
        <v>2251</v>
      </c>
      <c r="B125" s="118"/>
      <c r="C125" s="118" t="s">
        <v>3190</v>
      </c>
      <c r="D125" s="119" t="s">
        <v>3192</v>
      </c>
      <c r="F125" s="9" t="s">
        <v>3167</v>
      </c>
    </row>
    <row r="126">
      <c r="A126" s="128"/>
      <c r="B126" s="118"/>
      <c r="C126" s="118"/>
      <c r="D126" s="128"/>
    </row>
    <row r="127">
      <c r="A127" s="128"/>
      <c r="B127" s="118"/>
      <c r="C127" s="118"/>
      <c r="D127" s="128"/>
    </row>
    <row r="128">
      <c r="A128" s="123"/>
      <c r="B128" s="118"/>
      <c r="C128" s="118"/>
      <c r="D128" s="123"/>
    </row>
    <row r="129">
      <c r="A129" s="123"/>
      <c r="B129" s="118"/>
      <c r="C129" s="118"/>
      <c r="D129" s="123"/>
    </row>
    <row r="130">
      <c r="A130" s="123"/>
      <c r="B130" s="118"/>
      <c r="C130" s="118"/>
      <c r="D130" s="123"/>
    </row>
    <row r="131">
      <c r="A131" s="124" t="s">
        <v>3193</v>
      </c>
      <c r="B131" s="118"/>
      <c r="C131" s="118"/>
      <c r="D131" s="123"/>
    </row>
    <row r="132">
      <c r="A132" s="125" t="s">
        <v>3018</v>
      </c>
      <c r="B132" s="118"/>
      <c r="C132" s="118"/>
      <c r="D132" s="126" t="s">
        <v>3019</v>
      </c>
    </row>
    <row r="133">
      <c r="A133" s="121" t="s">
        <v>2432</v>
      </c>
      <c r="B133" s="118"/>
      <c r="C133" s="118" t="s">
        <v>3194</v>
      </c>
      <c r="D133" s="122" t="s">
        <v>3195</v>
      </c>
      <c r="F133" s="9" t="s">
        <v>3196</v>
      </c>
    </row>
    <row r="134">
      <c r="A134" s="117" t="s">
        <v>3197</v>
      </c>
      <c r="B134" s="118"/>
      <c r="C134" s="118" t="s">
        <v>3198</v>
      </c>
      <c r="D134" s="119" t="s">
        <v>3199</v>
      </c>
      <c r="F134" s="9" t="s">
        <v>3196</v>
      </c>
    </row>
    <row r="135">
      <c r="A135" s="117" t="s">
        <v>3200</v>
      </c>
      <c r="B135" s="118"/>
      <c r="C135" s="118" t="s">
        <v>3201</v>
      </c>
      <c r="D135" s="119" t="s">
        <v>3202</v>
      </c>
      <c r="F135" s="9" t="s">
        <v>3196</v>
      </c>
    </row>
    <row r="136">
      <c r="A136" s="117" t="s">
        <v>3203</v>
      </c>
      <c r="B136" s="118"/>
      <c r="C136" s="118" t="s">
        <v>3204</v>
      </c>
      <c r="D136" s="119" t="s">
        <v>3205</v>
      </c>
      <c r="F136" s="9" t="s">
        <v>3196</v>
      </c>
    </row>
    <row r="137">
      <c r="A137" s="117" t="s">
        <v>3206</v>
      </c>
      <c r="B137" s="118"/>
      <c r="C137" s="118" t="s">
        <v>3207</v>
      </c>
      <c r="D137" s="119" t="s">
        <v>3208</v>
      </c>
      <c r="F137" s="9" t="s">
        <v>3196</v>
      </c>
    </row>
    <row r="138">
      <c r="A138" s="117" t="s">
        <v>3209</v>
      </c>
      <c r="B138" s="118"/>
      <c r="C138" s="118" t="s">
        <v>3210</v>
      </c>
      <c r="D138" s="119" t="s">
        <v>3211</v>
      </c>
      <c r="F138" s="9" t="s">
        <v>3196</v>
      </c>
    </row>
    <row r="139">
      <c r="A139" s="117" t="s">
        <v>3209</v>
      </c>
      <c r="B139" s="118"/>
      <c r="C139" s="118" t="s">
        <v>3210</v>
      </c>
      <c r="D139" s="119" t="s">
        <v>3212</v>
      </c>
      <c r="F139" s="9" t="s">
        <v>3196</v>
      </c>
    </row>
    <row r="140">
      <c r="A140" s="119" t="s">
        <v>3213</v>
      </c>
      <c r="B140" s="118"/>
      <c r="C140" s="118" t="s">
        <v>3214</v>
      </c>
      <c r="D140" s="119" t="s">
        <v>3215</v>
      </c>
      <c r="F140" s="9" t="s">
        <v>3196</v>
      </c>
    </row>
    <row r="141">
      <c r="A141" s="117" t="s">
        <v>3216</v>
      </c>
      <c r="B141" s="118"/>
      <c r="C141" s="118" t="s">
        <v>3217</v>
      </c>
      <c r="D141" s="119" t="s">
        <v>3218</v>
      </c>
      <c r="F141" s="9" t="s">
        <v>3196</v>
      </c>
    </row>
    <row r="142">
      <c r="A142" s="117" t="s">
        <v>3219</v>
      </c>
      <c r="B142" s="118"/>
      <c r="C142" s="118" t="s">
        <v>3220</v>
      </c>
      <c r="D142" s="119" t="s">
        <v>3221</v>
      </c>
      <c r="F142" s="9" t="s">
        <v>3196</v>
      </c>
    </row>
    <row r="143">
      <c r="A143" s="117" t="s">
        <v>3222</v>
      </c>
      <c r="B143" s="118"/>
      <c r="C143" s="118" t="s">
        <v>3223</v>
      </c>
      <c r="D143" s="119" t="s">
        <v>3224</v>
      </c>
      <c r="F143" s="9" t="s">
        <v>3196</v>
      </c>
    </row>
    <row r="144">
      <c r="A144" s="117" t="s">
        <v>3225</v>
      </c>
      <c r="B144" s="118"/>
      <c r="C144" s="118" t="s">
        <v>3226</v>
      </c>
      <c r="D144" s="119" t="s">
        <v>3221</v>
      </c>
      <c r="F144" s="9" t="s">
        <v>3196</v>
      </c>
    </row>
    <row r="145">
      <c r="A145" s="128"/>
      <c r="B145" s="118"/>
      <c r="C145" s="118"/>
      <c r="D145" s="128"/>
    </row>
    <row r="146">
      <c r="A146" s="123"/>
      <c r="B146" s="118"/>
      <c r="C146" s="118"/>
      <c r="D146" s="123"/>
    </row>
    <row r="147">
      <c r="A147" s="123"/>
      <c r="B147" s="118"/>
      <c r="C147" s="118"/>
      <c r="D147" s="123"/>
    </row>
    <row r="148">
      <c r="A148" s="124" t="s">
        <v>3227</v>
      </c>
      <c r="B148" s="118"/>
      <c r="C148" s="118"/>
      <c r="D148" s="123"/>
    </row>
    <row r="149">
      <c r="A149" s="125" t="s">
        <v>3018</v>
      </c>
      <c r="B149" s="118"/>
      <c r="C149" s="118"/>
      <c r="D149" s="126" t="s">
        <v>3019</v>
      </c>
    </row>
    <row r="150">
      <c r="A150" s="121" t="s">
        <v>3228</v>
      </c>
      <c r="B150" s="118"/>
      <c r="C150" s="118" t="s">
        <v>3229</v>
      </c>
      <c r="D150" s="122" t="s">
        <v>3230</v>
      </c>
      <c r="F150" s="9" t="s">
        <v>3231</v>
      </c>
    </row>
    <row r="151">
      <c r="A151" s="117" t="s">
        <v>3228</v>
      </c>
      <c r="B151" s="118"/>
      <c r="C151" s="118" t="s">
        <v>3229</v>
      </c>
      <c r="D151" s="119" t="s">
        <v>3232</v>
      </c>
      <c r="F151" s="9" t="s">
        <v>3231</v>
      </c>
    </row>
    <row r="152">
      <c r="A152" s="128"/>
      <c r="B152" s="118"/>
      <c r="C152" s="118"/>
      <c r="D152" s="128"/>
    </row>
    <row r="153">
      <c r="A153" s="117" t="s">
        <v>3233</v>
      </c>
      <c r="B153" s="118"/>
      <c r="C153" s="118" t="s">
        <v>3234</v>
      </c>
      <c r="D153" s="119" t="s">
        <v>3235</v>
      </c>
      <c r="F153" s="9" t="s">
        <v>3231</v>
      </c>
    </row>
    <row r="154">
      <c r="A154" s="117" t="s">
        <v>3236</v>
      </c>
      <c r="B154" s="118"/>
      <c r="C154" s="118"/>
      <c r="D154" s="119" t="s">
        <v>3237</v>
      </c>
      <c r="F154" s="9" t="s">
        <v>3231</v>
      </c>
    </row>
    <row r="155">
      <c r="A155" s="117" t="s">
        <v>3238</v>
      </c>
      <c r="B155" s="118"/>
      <c r="C155" s="118" t="s">
        <v>3239</v>
      </c>
      <c r="D155" s="119" t="s">
        <v>3240</v>
      </c>
      <c r="F155" s="9" t="s">
        <v>3231</v>
      </c>
    </row>
    <row r="156">
      <c r="A156" s="117" t="s">
        <v>678</v>
      </c>
      <c r="B156" s="118"/>
      <c r="C156" s="118" t="s">
        <v>3241</v>
      </c>
      <c r="D156" s="119">
        <v>1703.0</v>
      </c>
      <c r="F156" s="9" t="s">
        <v>3231</v>
      </c>
    </row>
    <row r="157">
      <c r="A157" s="117" t="s">
        <v>3242</v>
      </c>
      <c r="B157" s="118"/>
      <c r="C157" s="118" t="s">
        <v>3243</v>
      </c>
      <c r="D157" s="119">
        <v>1705.0</v>
      </c>
      <c r="F157" s="9" t="s">
        <v>3231</v>
      </c>
    </row>
    <row r="158">
      <c r="A158" s="117" t="s">
        <v>3244</v>
      </c>
      <c r="B158" s="118"/>
      <c r="C158" s="118" t="s">
        <v>3245</v>
      </c>
      <c r="D158" s="119">
        <v>1701.0</v>
      </c>
      <c r="F158" s="9" t="s">
        <v>3231</v>
      </c>
    </row>
    <row r="159">
      <c r="A159" s="117" t="s">
        <v>3246</v>
      </c>
      <c r="B159" s="118"/>
      <c r="C159" s="118" t="s">
        <v>3247</v>
      </c>
      <c r="D159" s="119">
        <v>219.0</v>
      </c>
      <c r="F159" s="9" t="s">
        <v>3231</v>
      </c>
    </row>
    <row r="160">
      <c r="A160" s="117" t="s">
        <v>3248</v>
      </c>
      <c r="B160" s="118"/>
      <c r="C160" s="118" t="s">
        <v>3249</v>
      </c>
      <c r="D160" s="119" t="s">
        <v>3250</v>
      </c>
      <c r="F160" s="9" t="s">
        <v>3231</v>
      </c>
    </row>
    <row r="161">
      <c r="A161" s="117" t="s">
        <v>3248</v>
      </c>
      <c r="B161" s="118"/>
      <c r="C161" s="118" t="s">
        <v>3249</v>
      </c>
      <c r="D161" s="119" t="s">
        <v>3251</v>
      </c>
      <c r="F161" s="9" t="s">
        <v>3231</v>
      </c>
    </row>
    <row r="162">
      <c r="A162" s="117" t="s">
        <v>678</v>
      </c>
      <c r="B162" s="118"/>
      <c r="C162" s="118" t="s">
        <v>3241</v>
      </c>
      <c r="D162" s="119" t="s">
        <v>3252</v>
      </c>
      <c r="F162" s="9" t="s">
        <v>3231</v>
      </c>
    </row>
    <row r="163">
      <c r="A163" s="128"/>
      <c r="B163" s="118"/>
      <c r="C163" s="118"/>
      <c r="D163" s="128"/>
    </row>
    <row r="164">
      <c r="A164" s="117" t="s">
        <v>3253</v>
      </c>
      <c r="B164" s="118"/>
      <c r="C164" s="118" t="s">
        <v>3254</v>
      </c>
      <c r="D164" s="119" t="s">
        <v>3255</v>
      </c>
      <c r="F164" s="9" t="s">
        <v>3231</v>
      </c>
    </row>
    <row r="165">
      <c r="A165" s="117" t="s">
        <v>3253</v>
      </c>
      <c r="B165" s="118"/>
      <c r="C165" s="118"/>
      <c r="D165" s="119" t="s">
        <v>3256</v>
      </c>
      <c r="F165" s="9" t="s">
        <v>3231</v>
      </c>
    </row>
    <row r="166">
      <c r="A166" s="117" t="s">
        <v>3253</v>
      </c>
      <c r="B166" s="118"/>
      <c r="C166" s="118" t="s">
        <v>3254</v>
      </c>
      <c r="D166" s="119" t="s">
        <v>3257</v>
      </c>
      <c r="F166" s="9" t="s">
        <v>3231</v>
      </c>
    </row>
    <row r="167">
      <c r="A167" s="117" t="s">
        <v>3258</v>
      </c>
      <c r="B167" s="118"/>
      <c r="C167" s="118" t="s">
        <v>3259</v>
      </c>
      <c r="D167" s="119" t="s">
        <v>3260</v>
      </c>
      <c r="F167" s="9" t="s">
        <v>3231</v>
      </c>
    </row>
    <row r="168">
      <c r="A168" s="117" t="s">
        <v>3261</v>
      </c>
      <c r="B168" s="118"/>
      <c r="C168" s="118" t="s">
        <v>3262</v>
      </c>
      <c r="D168" s="119" t="s">
        <v>3263</v>
      </c>
      <c r="F168" s="9" t="s">
        <v>3231</v>
      </c>
    </row>
    <row r="169">
      <c r="A169" s="128"/>
      <c r="B169" s="118"/>
      <c r="C169" s="118"/>
      <c r="D169" s="128"/>
    </row>
    <row r="170">
      <c r="A170" s="117" t="s">
        <v>3264</v>
      </c>
      <c r="B170" s="118"/>
      <c r="C170" s="118" t="s">
        <v>3265</v>
      </c>
      <c r="D170" s="119" t="s">
        <v>3266</v>
      </c>
      <c r="F170" s="9" t="s">
        <v>3231</v>
      </c>
    </row>
    <row r="171">
      <c r="A171" s="117" t="s">
        <v>3267</v>
      </c>
      <c r="B171" s="118"/>
      <c r="C171" s="118"/>
      <c r="D171" s="119" t="s">
        <v>3266</v>
      </c>
      <c r="F171" s="9" t="s">
        <v>3231</v>
      </c>
    </row>
    <row r="172">
      <c r="A172" s="117" t="s">
        <v>3268</v>
      </c>
      <c r="B172" s="118"/>
      <c r="C172" s="118" t="s">
        <v>3269</v>
      </c>
      <c r="D172" s="119" t="s">
        <v>3266</v>
      </c>
      <c r="F172" s="9" t="s">
        <v>3231</v>
      </c>
    </row>
    <row r="173">
      <c r="A173" s="117" t="s">
        <v>3270</v>
      </c>
      <c r="B173" s="118"/>
      <c r="C173" s="118" t="s">
        <v>3271</v>
      </c>
      <c r="D173" s="119" t="s">
        <v>23</v>
      </c>
      <c r="F173" s="9" t="s">
        <v>3231</v>
      </c>
    </row>
    <row r="174">
      <c r="A174" s="117" t="s">
        <v>3270</v>
      </c>
      <c r="B174" s="118"/>
      <c r="C174" s="118" t="s">
        <v>3271</v>
      </c>
      <c r="D174" s="119" t="s">
        <v>24</v>
      </c>
      <c r="F174" s="9" t="s">
        <v>3231</v>
      </c>
    </row>
    <row r="175">
      <c r="A175" s="117" t="s">
        <v>3270</v>
      </c>
      <c r="B175" s="118"/>
      <c r="C175" s="118" t="s">
        <v>3271</v>
      </c>
      <c r="D175" s="119" t="s">
        <v>17</v>
      </c>
      <c r="F175" s="9" t="s">
        <v>3231</v>
      </c>
    </row>
    <row r="176">
      <c r="A176" s="117" t="s">
        <v>3270</v>
      </c>
      <c r="B176" s="118"/>
      <c r="C176" s="118" t="s">
        <v>3271</v>
      </c>
      <c r="D176" s="119" t="s">
        <v>3272</v>
      </c>
      <c r="F176" s="9" t="s">
        <v>3231</v>
      </c>
    </row>
    <row r="177">
      <c r="A177" s="128"/>
      <c r="B177" s="118"/>
      <c r="C177" s="118"/>
      <c r="D177" s="128"/>
    </row>
    <row r="178">
      <c r="A178" s="124" t="s">
        <v>3273</v>
      </c>
      <c r="B178" s="118"/>
      <c r="C178" s="118"/>
      <c r="D178" s="123"/>
    </row>
    <row r="179">
      <c r="A179" s="125" t="s">
        <v>3018</v>
      </c>
      <c r="B179" s="118"/>
      <c r="C179" s="118"/>
      <c r="D179" s="126" t="s">
        <v>3019</v>
      </c>
    </row>
    <row r="180">
      <c r="A180" s="121" t="s">
        <v>3274</v>
      </c>
      <c r="B180" s="118"/>
      <c r="C180" s="118" t="s">
        <v>3275</v>
      </c>
      <c r="D180" s="122" t="s">
        <v>3276</v>
      </c>
      <c r="F180" s="9" t="s">
        <v>3277</v>
      </c>
    </row>
    <row r="181">
      <c r="A181" s="117" t="s">
        <v>3278</v>
      </c>
      <c r="B181" s="118"/>
      <c r="C181" s="118" t="s">
        <v>3279</v>
      </c>
      <c r="D181" s="119" t="s">
        <v>3280</v>
      </c>
      <c r="F181" s="9" t="s">
        <v>3277</v>
      </c>
    </row>
    <row r="182">
      <c r="A182" s="117" t="s">
        <v>3281</v>
      </c>
      <c r="B182" s="118"/>
      <c r="C182" s="118" t="s">
        <v>3282</v>
      </c>
      <c r="D182" s="119" t="s">
        <v>3283</v>
      </c>
      <c r="F182" s="9" t="s">
        <v>3277</v>
      </c>
    </row>
    <row r="183">
      <c r="A183" s="117" t="s">
        <v>3284</v>
      </c>
      <c r="B183" s="118"/>
      <c r="C183" s="118" t="s">
        <v>3285</v>
      </c>
      <c r="D183" s="119" t="s">
        <v>3286</v>
      </c>
      <c r="F183" s="9" t="s">
        <v>3277</v>
      </c>
    </row>
    <row r="184">
      <c r="A184" s="117" t="s">
        <v>3278</v>
      </c>
      <c r="B184" s="118"/>
      <c r="C184" s="118" t="s">
        <v>3279</v>
      </c>
      <c r="D184" s="119" t="s">
        <v>3287</v>
      </c>
      <c r="F184" s="9" t="s">
        <v>3277</v>
      </c>
    </row>
    <row r="185">
      <c r="A185" s="117" t="s">
        <v>3288</v>
      </c>
      <c r="B185" s="118"/>
      <c r="C185" s="118" t="s">
        <v>3289</v>
      </c>
      <c r="D185" s="119" t="s">
        <v>3290</v>
      </c>
      <c r="F185" s="9" t="s">
        <v>3277</v>
      </c>
    </row>
    <row r="186">
      <c r="A186" s="117" t="s">
        <v>3288</v>
      </c>
      <c r="B186" s="118"/>
      <c r="C186" s="118" t="s">
        <v>3289</v>
      </c>
      <c r="D186" s="119" t="s">
        <v>3291</v>
      </c>
      <c r="F186" s="9" t="s">
        <v>3277</v>
      </c>
    </row>
    <row r="187">
      <c r="A187" s="128"/>
      <c r="B187" s="118"/>
      <c r="C187" s="118"/>
      <c r="D187" s="128"/>
    </row>
    <row r="188">
      <c r="A188" s="117" t="s">
        <v>1547</v>
      </c>
      <c r="B188" s="118"/>
      <c r="C188" s="118" t="s">
        <v>3292</v>
      </c>
      <c r="D188" s="119" t="s">
        <v>3293</v>
      </c>
      <c r="F188" s="9" t="s">
        <v>3277</v>
      </c>
    </row>
    <row r="189">
      <c r="A189" s="117" t="s">
        <v>3294</v>
      </c>
      <c r="B189" s="118"/>
      <c r="C189" s="118"/>
      <c r="D189" s="119" t="s">
        <v>3295</v>
      </c>
      <c r="F189" s="9" t="s">
        <v>3277</v>
      </c>
    </row>
    <row r="190">
      <c r="A190" s="117" t="s">
        <v>3296</v>
      </c>
      <c r="B190" s="118"/>
      <c r="C190" s="118" t="s">
        <v>3297</v>
      </c>
      <c r="D190" s="119" t="s">
        <v>3298</v>
      </c>
      <c r="F190" s="9" t="s">
        <v>3277</v>
      </c>
    </row>
    <row r="191">
      <c r="A191" s="117" t="s">
        <v>3299</v>
      </c>
      <c r="B191" s="118"/>
      <c r="C191" s="118" t="s">
        <v>3300</v>
      </c>
      <c r="D191" s="119" t="s">
        <v>3301</v>
      </c>
      <c r="F191" s="9" t="s">
        <v>3277</v>
      </c>
    </row>
    <row r="192">
      <c r="A192" s="117" t="s">
        <v>2060</v>
      </c>
      <c r="B192" s="118"/>
      <c r="C192" s="118" t="s">
        <v>3302</v>
      </c>
      <c r="D192" s="119" t="s">
        <v>3303</v>
      </c>
      <c r="F192" s="9" t="s">
        <v>3277</v>
      </c>
    </row>
    <row r="193">
      <c r="A193" s="117" t="s">
        <v>2036</v>
      </c>
      <c r="B193" s="118"/>
      <c r="C193" s="118" t="s">
        <v>3304</v>
      </c>
      <c r="D193" s="119" t="s">
        <v>3305</v>
      </c>
      <c r="F193" s="9" t="s">
        <v>3277</v>
      </c>
    </row>
    <row r="194">
      <c r="A194" s="117" t="s">
        <v>3306</v>
      </c>
      <c r="B194" s="118"/>
      <c r="C194" s="118" t="s">
        <v>3307</v>
      </c>
      <c r="D194" s="119" t="s">
        <v>3308</v>
      </c>
      <c r="F194" s="9" t="s">
        <v>3277</v>
      </c>
    </row>
    <row r="195">
      <c r="A195" s="117" t="s">
        <v>3309</v>
      </c>
      <c r="B195" s="118"/>
      <c r="C195" s="118" t="s">
        <v>3310</v>
      </c>
      <c r="D195" s="119" t="s">
        <v>3311</v>
      </c>
      <c r="F195" s="9" t="s">
        <v>3277</v>
      </c>
    </row>
    <row r="196">
      <c r="A196" s="128"/>
      <c r="B196" s="118"/>
      <c r="C196" s="118"/>
      <c r="D196" s="128"/>
    </row>
    <row r="197">
      <c r="A197" s="128"/>
      <c r="B197" s="118"/>
      <c r="C197" s="118"/>
      <c r="D197" s="128"/>
    </row>
    <row r="198">
      <c r="A198" s="128"/>
      <c r="B198" s="118"/>
      <c r="C198" s="118"/>
      <c r="D198" s="128"/>
    </row>
    <row r="199">
      <c r="A199" s="128"/>
      <c r="B199" s="118"/>
      <c r="C199" s="118"/>
      <c r="D199" s="128"/>
    </row>
    <row r="200">
      <c r="A200" s="124" t="s">
        <v>2443</v>
      </c>
      <c r="B200" s="118"/>
      <c r="C200" s="118"/>
      <c r="D200" s="123"/>
    </row>
    <row r="201">
      <c r="A201" s="125" t="s">
        <v>3018</v>
      </c>
      <c r="B201" s="118"/>
      <c r="C201" s="118"/>
      <c r="D201" s="126" t="s">
        <v>3019</v>
      </c>
    </row>
    <row r="202">
      <c r="A202" s="121" t="s">
        <v>3312</v>
      </c>
      <c r="B202" s="118"/>
      <c r="C202" s="118" t="s">
        <v>3313</v>
      </c>
      <c r="D202" s="122" t="s">
        <v>3314</v>
      </c>
      <c r="F202" s="9" t="s">
        <v>3315</v>
      </c>
    </row>
    <row r="203">
      <c r="A203" s="117" t="s">
        <v>2443</v>
      </c>
      <c r="B203" s="118"/>
      <c r="C203" s="118" t="s">
        <v>3315</v>
      </c>
      <c r="D203" s="119" t="s">
        <v>3316</v>
      </c>
      <c r="F203" s="9" t="s">
        <v>3315</v>
      </c>
    </row>
    <row r="204">
      <c r="A204" s="117" t="s">
        <v>2443</v>
      </c>
      <c r="B204" s="118"/>
      <c r="C204" s="118" t="s">
        <v>3315</v>
      </c>
      <c r="D204" s="119" t="s">
        <v>3317</v>
      </c>
      <c r="F204" s="9" t="s">
        <v>3315</v>
      </c>
    </row>
    <row r="205">
      <c r="A205" s="117" t="s">
        <v>2443</v>
      </c>
      <c r="B205" s="118"/>
      <c r="C205" s="118" t="s">
        <v>3315</v>
      </c>
      <c r="D205" s="119" t="s">
        <v>3318</v>
      </c>
      <c r="F205" s="9" t="s">
        <v>3315</v>
      </c>
    </row>
    <row r="206">
      <c r="A206" s="117" t="s">
        <v>2443</v>
      </c>
      <c r="B206" s="118"/>
      <c r="C206" s="118" t="s">
        <v>3315</v>
      </c>
      <c r="D206" s="119" t="s">
        <v>3319</v>
      </c>
      <c r="F206" s="9" t="s">
        <v>3315</v>
      </c>
    </row>
    <row r="207">
      <c r="A207" s="117" t="s">
        <v>2443</v>
      </c>
      <c r="B207" s="118"/>
      <c r="C207" s="118" t="s">
        <v>3315</v>
      </c>
      <c r="D207" s="119" t="s">
        <v>3320</v>
      </c>
      <c r="F207" s="9" t="s">
        <v>3315</v>
      </c>
    </row>
    <row r="208">
      <c r="A208" s="117" t="s">
        <v>2443</v>
      </c>
      <c r="B208" s="118"/>
      <c r="C208" s="118" t="s">
        <v>3315</v>
      </c>
      <c r="D208" s="119" t="s">
        <v>3321</v>
      </c>
      <c r="F208" s="9" t="s">
        <v>3315</v>
      </c>
    </row>
    <row r="209">
      <c r="A209" s="117" t="s">
        <v>2443</v>
      </c>
      <c r="B209" s="118"/>
      <c r="C209" s="118" t="s">
        <v>3315</v>
      </c>
      <c r="D209" s="119" t="s">
        <v>3322</v>
      </c>
      <c r="F209" s="9" t="s">
        <v>3315</v>
      </c>
    </row>
    <row r="210">
      <c r="A210" s="117" t="s">
        <v>2443</v>
      </c>
      <c r="B210" s="118"/>
      <c r="C210" s="118" t="s">
        <v>3315</v>
      </c>
      <c r="D210" s="119" t="s">
        <v>3323</v>
      </c>
      <c r="F210" s="9" t="s">
        <v>3315</v>
      </c>
    </row>
    <row r="211">
      <c r="A211" s="117" t="s">
        <v>2215</v>
      </c>
      <c r="B211" s="118"/>
      <c r="C211" s="118" t="s">
        <v>3324</v>
      </c>
      <c r="D211" s="119" t="s">
        <v>3325</v>
      </c>
      <c r="F211" s="9" t="s">
        <v>3315</v>
      </c>
    </row>
    <row r="212">
      <c r="A212" s="117" t="s">
        <v>116</v>
      </c>
      <c r="B212" s="118"/>
      <c r="C212" s="118" t="s">
        <v>3326</v>
      </c>
      <c r="D212" s="119" t="s">
        <v>3327</v>
      </c>
      <c r="F212" s="9" t="s">
        <v>3315</v>
      </c>
    </row>
    <row r="213">
      <c r="A213" s="117" t="s">
        <v>3328</v>
      </c>
      <c r="B213" s="118"/>
      <c r="C213" s="118" t="s">
        <v>3329</v>
      </c>
      <c r="D213" s="119" t="s">
        <v>3330</v>
      </c>
      <c r="F213" s="9" t="s">
        <v>3315</v>
      </c>
    </row>
    <row r="214">
      <c r="A214" s="117" t="s">
        <v>3331</v>
      </c>
      <c r="B214" s="118"/>
      <c r="C214" s="118" t="s">
        <v>3332</v>
      </c>
      <c r="D214" s="119" t="s">
        <v>3333</v>
      </c>
      <c r="F214" s="9" t="s">
        <v>3315</v>
      </c>
    </row>
    <row r="215">
      <c r="A215" s="117" t="s">
        <v>2443</v>
      </c>
      <c r="B215" s="118"/>
      <c r="C215" s="118" t="s">
        <v>3315</v>
      </c>
      <c r="D215" s="119" t="s">
        <v>3334</v>
      </c>
      <c r="F215" s="9" t="s">
        <v>3315</v>
      </c>
    </row>
    <row r="216">
      <c r="A216" s="117" t="s">
        <v>2443</v>
      </c>
      <c r="B216" s="118"/>
      <c r="C216" s="118" t="s">
        <v>3315</v>
      </c>
      <c r="D216" s="119" t="s">
        <v>3335</v>
      </c>
      <c r="F216" s="9" t="s">
        <v>3315</v>
      </c>
    </row>
    <row r="217">
      <c r="A217" s="117" t="s">
        <v>2443</v>
      </c>
      <c r="B217" s="118"/>
      <c r="C217" s="118" t="s">
        <v>3315</v>
      </c>
      <c r="D217" s="119" t="s">
        <v>3336</v>
      </c>
      <c r="F217" s="9" t="s">
        <v>3315</v>
      </c>
    </row>
    <row r="218">
      <c r="A218" s="117" t="s">
        <v>2443</v>
      </c>
      <c r="B218" s="118"/>
      <c r="C218" s="118" t="s">
        <v>3315</v>
      </c>
      <c r="D218" s="119" t="s">
        <v>3337</v>
      </c>
      <c r="F218" s="9" t="s">
        <v>3315</v>
      </c>
    </row>
    <row r="219">
      <c r="A219" s="117" t="s">
        <v>2443</v>
      </c>
      <c r="B219" s="118"/>
      <c r="C219" s="118" t="s">
        <v>3315</v>
      </c>
      <c r="D219" s="119" t="s">
        <v>3338</v>
      </c>
      <c r="F219" s="9" t="s">
        <v>3315</v>
      </c>
    </row>
    <row r="220">
      <c r="A220" s="117" t="s">
        <v>2443</v>
      </c>
      <c r="B220" s="118"/>
      <c r="C220" s="118" t="s">
        <v>3315</v>
      </c>
      <c r="D220" s="119" t="s">
        <v>3339</v>
      </c>
      <c r="F220" s="9" t="s">
        <v>3315</v>
      </c>
    </row>
    <row r="221">
      <c r="A221" s="117" t="s">
        <v>2443</v>
      </c>
      <c r="B221" s="118"/>
      <c r="C221" s="118" t="s">
        <v>3315</v>
      </c>
      <c r="D221" s="119" t="s">
        <v>3340</v>
      </c>
      <c r="F221" s="9" t="s">
        <v>3315</v>
      </c>
    </row>
    <row r="222">
      <c r="A222" s="117" t="s">
        <v>2443</v>
      </c>
      <c r="B222" s="118"/>
      <c r="C222" s="118" t="s">
        <v>3315</v>
      </c>
      <c r="D222" s="119" t="s">
        <v>3341</v>
      </c>
      <c r="F222" s="9" t="s">
        <v>3315</v>
      </c>
    </row>
    <row r="223">
      <c r="A223" s="117" t="s">
        <v>2443</v>
      </c>
      <c r="B223" s="118"/>
      <c r="C223" s="118" t="s">
        <v>3315</v>
      </c>
      <c r="D223" s="119" t="s">
        <v>3342</v>
      </c>
      <c r="F223" s="9" t="s">
        <v>3315</v>
      </c>
    </row>
    <row r="224">
      <c r="A224" s="117" t="s">
        <v>2443</v>
      </c>
      <c r="B224" s="118"/>
      <c r="C224" s="118" t="s">
        <v>3315</v>
      </c>
      <c r="D224" s="119" t="s">
        <v>3343</v>
      </c>
      <c r="F224" s="9" t="s">
        <v>3315</v>
      </c>
    </row>
    <row r="225">
      <c r="A225" s="117" t="s">
        <v>2443</v>
      </c>
      <c r="B225" s="118"/>
      <c r="C225" s="118" t="s">
        <v>3315</v>
      </c>
      <c r="D225" s="119" t="s">
        <v>3344</v>
      </c>
      <c r="F225" s="9" t="s">
        <v>3315</v>
      </c>
    </row>
    <row r="226">
      <c r="A226" s="117" t="s">
        <v>2443</v>
      </c>
      <c r="B226" s="118"/>
      <c r="C226" s="118" t="s">
        <v>3315</v>
      </c>
      <c r="D226" s="119" t="s">
        <v>3345</v>
      </c>
      <c r="F226" s="9" t="s">
        <v>3315</v>
      </c>
    </row>
    <row r="227">
      <c r="A227" s="117" t="s">
        <v>2443</v>
      </c>
      <c r="B227" s="118"/>
      <c r="C227" s="118" t="s">
        <v>3315</v>
      </c>
      <c r="D227" s="119" t="s">
        <v>3346</v>
      </c>
      <c r="F227" s="9" t="s">
        <v>3315</v>
      </c>
    </row>
    <row r="228">
      <c r="A228" s="117" t="s">
        <v>2443</v>
      </c>
      <c r="B228" s="118"/>
      <c r="C228" s="118" t="s">
        <v>3315</v>
      </c>
      <c r="D228" s="119" t="s">
        <v>3347</v>
      </c>
      <c r="F228" s="9" t="s">
        <v>3315</v>
      </c>
    </row>
    <row r="229">
      <c r="A229" s="117" t="s">
        <v>2443</v>
      </c>
      <c r="B229" s="118"/>
      <c r="C229" s="118" t="s">
        <v>3315</v>
      </c>
      <c r="D229" s="119" t="s">
        <v>3348</v>
      </c>
      <c r="F229" s="9" t="s">
        <v>3315</v>
      </c>
    </row>
    <row r="230">
      <c r="A230" s="117" t="s">
        <v>2443</v>
      </c>
      <c r="B230" s="118"/>
      <c r="C230" s="118" t="s">
        <v>3315</v>
      </c>
      <c r="D230" s="119" t="s">
        <v>3349</v>
      </c>
      <c r="F230" s="9" t="s">
        <v>3315</v>
      </c>
    </row>
    <row r="231">
      <c r="A231" s="117" t="s">
        <v>3350</v>
      </c>
      <c r="B231" s="118"/>
      <c r="C231" s="118" t="s">
        <v>3351</v>
      </c>
      <c r="D231" s="119" t="s">
        <v>3352</v>
      </c>
      <c r="F231" s="9" t="s">
        <v>3315</v>
      </c>
    </row>
    <row r="232">
      <c r="A232" s="117" t="s">
        <v>3353</v>
      </c>
      <c r="B232" s="118"/>
      <c r="C232" s="118" t="s">
        <v>3354</v>
      </c>
      <c r="D232" s="119" t="s">
        <v>3355</v>
      </c>
      <c r="F232" s="9" t="s">
        <v>3315</v>
      </c>
    </row>
    <row r="233">
      <c r="A233" s="117" t="s">
        <v>3356</v>
      </c>
      <c r="B233" s="118"/>
      <c r="C233" s="118" t="s">
        <v>3357</v>
      </c>
      <c r="D233" s="119" t="s">
        <v>3358</v>
      </c>
      <c r="F233" s="9" t="s">
        <v>3315</v>
      </c>
    </row>
    <row r="234">
      <c r="A234" s="117" t="s">
        <v>3359</v>
      </c>
      <c r="B234" s="118"/>
      <c r="C234" s="118" t="s">
        <v>3360</v>
      </c>
      <c r="D234" s="119" t="s">
        <v>3361</v>
      </c>
      <c r="F234" s="9" t="s">
        <v>3315</v>
      </c>
    </row>
    <row r="235">
      <c r="A235" s="118"/>
      <c r="B235" s="118"/>
      <c r="C235" s="118"/>
      <c r="D235" s="118"/>
    </row>
    <row r="236">
      <c r="A236" s="118"/>
      <c r="B236" s="118"/>
      <c r="C236" s="118"/>
      <c r="D236" s="118"/>
    </row>
    <row r="237">
      <c r="A237" s="118"/>
      <c r="B237" s="118"/>
      <c r="C237" s="118"/>
      <c r="D237" s="118"/>
    </row>
    <row r="238">
      <c r="A238" s="124" t="s">
        <v>3362</v>
      </c>
      <c r="B238" s="118"/>
      <c r="C238" s="118"/>
      <c r="D238" s="118"/>
    </row>
    <row r="239">
      <c r="A239" s="125" t="s">
        <v>3018</v>
      </c>
      <c r="B239" s="118"/>
      <c r="C239" s="118"/>
      <c r="D239" s="126" t="s">
        <v>3019</v>
      </c>
    </row>
    <row r="240">
      <c r="A240" s="121" t="s">
        <v>3363</v>
      </c>
      <c r="B240" s="118"/>
      <c r="C240" s="118" t="s">
        <v>3364</v>
      </c>
      <c r="D240" s="122" t="s">
        <v>3365</v>
      </c>
      <c r="F240" s="9" t="s">
        <v>3366</v>
      </c>
    </row>
    <row r="241">
      <c r="A241" s="121" t="s">
        <v>3367</v>
      </c>
      <c r="B241" s="118"/>
      <c r="C241" s="118" t="s">
        <v>3368</v>
      </c>
      <c r="D241" s="119" t="s">
        <v>3369</v>
      </c>
      <c r="F241" s="9" t="s">
        <v>3366</v>
      </c>
    </row>
    <row r="242">
      <c r="A242" s="121" t="s">
        <v>3370</v>
      </c>
      <c r="B242" s="118"/>
      <c r="C242" s="118" t="s">
        <v>3371</v>
      </c>
      <c r="D242" s="129" t="s">
        <v>3372</v>
      </c>
      <c r="F242" s="9" t="s">
        <v>3366</v>
      </c>
    </row>
    <row r="243">
      <c r="A243" s="128"/>
      <c r="B243" s="118"/>
      <c r="C243" s="118" t="e">
        <v>#VALUE!</v>
      </c>
      <c r="D243" s="128"/>
    </row>
    <row r="244">
      <c r="A244" s="117" t="s">
        <v>2687</v>
      </c>
      <c r="B244" s="118"/>
      <c r="C244" s="118" t="s">
        <v>3373</v>
      </c>
      <c r="D244" s="119" t="s">
        <v>3374</v>
      </c>
      <c r="F244" s="9" t="s">
        <v>3366</v>
      </c>
    </row>
    <row r="245">
      <c r="A245" s="117" t="s">
        <v>3375</v>
      </c>
      <c r="B245" s="118"/>
      <c r="C245" s="118"/>
      <c r="D245" s="119" t="s">
        <v>3376</v>
      </c>
      <c r="F245" s="9" t="s">
        <v>3366</v>
      </c>
    </row>
    <row r="246">
      <c r="A246" s="117" t="s">
        <v>3377</v>
      </c>
      <c r="B246" s="118"/>
      <c r="C246" s="118" t="s">
        <v>3378</v>
      </c>
      <c r="D246" s="119" t="s">
        <v>3379</v>
      </c>
      <c r="F246" s="9" t="s">
        <v>3366</v>
      </c>
    </row>
    <row r="247">
      <c r="A247" s="117" t="s">
        <v>3380</v>
      </c>
      <c r="B247" s="118"/>
      <c r="C247" s="118" t="s">
        <v>3381</v>
      </c>
      <c r="D247" s="119" t="s">
        <v>3382</v>
      </c>
      <c r="F247" s="9" t="s">
        <v>3366</v>
      </c>
    </row>
    <row r="248">
      <c r="A248" s="117" t="s">
        <v>3380</v>
      </c>
      <c r="B248" s="118"/>
      <c r="C248" s="118" t="s">
        <v>3381</v>
      </c>
      <c r="D248" s="119" t="s">
        <v>3383</v>
      </c>
      <c r="F248" s="9" t="s">
        <v>3366</v>
      </c>
    </row>
    <row r="249">
      <c r="A249" s="117" t="s">
        <v>3384</v>
      </c>
      <c r="B249" s="118"/>
      <c r="C249" s="118" t="s">
        <v>3385</v>
      </c>
      <c r="D249" s="119" t="s">
        <v>3386</v>
      </c>
      <c r="F249" s="9" t="s">
        <v>3366</v>
      </c>
    </row>
    <row r="250">
      <c r="A250" s="117" t="s">
        <v>3384</v>
      </c>
      <c r="B250" s="118"/>
      <c r="C250" s="118" t="s">
        <v>3385</v>
      </c>
      <c r="D250" s="119" t="s">
        <v>3387</v>
      </c>
      <c r="F250" s="9" t="s">
        <v>3366</v>
      </c>
    </row>
    <row r="251">
      <c r="A251" s="117" t="s">
        <v>3380</v>
      </c>
      <c r="B251" s="118"/>
      <c r="C251" s="118" t="s">
        <v>3381</v>
      </c>
      <c r="D251" s="119" t="s">
        <v>3388</v>
      </c>
      <c r="F251" s="9" t="s">
        <v>3366</v>
      </c>
    </row>
    <row r="252">
      <c r="A252" s="117" t="s">
        <v>3384</v>
      </c>
      <c r="B252" s="118"/>
      <c r="C252" s="118" t="s">
        <v>3385</v>
      </c>
      <c r="D252" s="119" t="s">
        <v>3389</v>
      </c>
      <c r="F252" s="9" t="s">
        <v>3366</v>
      </c>
    </row>
    <row r="253">
      <c r="A253" s="117" t="s">
        <v>3390</v>
      </c>
      <c r="B253" s="118"/>
      <c r="C253" s="118" t="s">
        <v>3391</v>
      </c>
      <c r="D253" s="119" t="s">
        <v>3392</v>
      </c>
      <c r="F253" s="9" t="s">
        <v>3366</v>
      </c>
    </row>
    <row r="254">
      <c r="A254" s="117" t="s">
        <v>3380</v>
      </c>
      <c r="B254" s="118"/>
      <c r="C254" s="118" t="s">
        <v>3381</v>
      </c>
      <c r="D254" s="119" t="s">
        <v>3393</v>
      </c>
      <c r="F254" s="9" t="s">
        <v>3366</v>
      </c>
    </row>
    <row r="255">
      <c r="A255" s="117" t="s">
        <v>3380</v>
      </c>
      <c r="B255" s="118"/>
      <c r="C255" s="118" t="s">
        <v>3381</v>
      </c>
      <c r="D255" s="119" t="s">
        <v>3394</v>
      </c>
      <c r="F255" s="9" t="s">
        <v>3366</v>
      </c>
    </row>
    <row r="256">
      <c r="A256" s="117" t="s">
        <v>3390</v>
      </c>
      <c r="B256" s="118"/>
      <c r="C256" s="118" t="s">
        <v>3391</v>
      </c>
      <c r="D256" s="119" t="s">
        <v>3395</v>
      </c>
      <c r="F256" s="9" t="s">
        <v>3366</v>
      </c>
    </row>
    <row r="257">
      <c r="A257" s="117" t="s">
        <v>3390</v>
      </c>
      <c r="B257" s="118"/>
      <c r="C257" s="118" t="s">
        <v>3391</v>
      </c>
      <c r="D257" s="119" t="s">
        <v>3396</v>
      </c>
      <c r="F257" s="9" t="s">
        <v>3366</v>
      </c>
    </row>
    <row r="258">
      <c r="A258" s="117" t="s">
        <v>3390</v>
      </c>
      <c r="B258" s="118"/>
      <c r="C258" s="118" t="s">
        <v>3391</v>
      </c>
      <c r="D258" s="119" t="s">
        <v>3397</v>
      </c>
      <c r="F258" s="9" t="s">
        <v>3366</v>
      </c>
    </row>
    <row r="259">
      <c r="A259" s="117" t="s">
        <v>3390</v>
      </c>
      <c r="B259" s="118"/>
      <c r="C259" s="118" t="s">
        <v>3391</v>
      </c>
      <c r="D259" s="119" t="s">
        <v>3398</v>
      </c>
      <c r="F259" s="9" t="s">
        <v>3366</v>
      </c>
    </row>
    <row r="260">
      <c r="A260" s="117" t="s">
        <v>3390</v>
      </c>
      <c r="B260" s="118"/>
      <c r="C260" s="118" t="s">
        <v>3391</v>
      </c>
      <c r="D260" s="119" t="s">
        <v>3399</v>
      </c>
      <c r="F260" s="9" t="s">
        <v>3366</v>
      </c>
    </row>
    <row r="261">
      <c r="A261" s="117" t="s">
        <v>3400</v>
      </c>
      <c r="B261" s="118"/>
      <c r="C261" s="118" t="s">
        <v>3401</v>
      </c>
      <c r="D261" s="119" t="s">
        <v>3402</v>
      </c>
      <c r="F261" s="9" t="s">
        <v>3366</v>
      </c>
    </row>
    <row r="262">
      <c r="A262" s="117" t="s">
        <v>3390</v>
      </c>
      <c r="B262" s="118"/>
      <c r="C262" s="118" t="s">
        <v>3391</v>
      </c>
      <c r="D262" s="119" t="s">
        <v>3403</v>
      </c>
      <c r="F262" s="9" t="s">
        <v>3366</v>
      </c>
    </row>
    <row r="263">
      <c r="A263" s="117" t="s">
        <v>3390</v>
      </c>
      <c r="B263" s="118"/>
      <c r="C263" s="118" t="s">
        <v>3391</v>
      </c>
      <c r="D263" s="119" t="s">
        <v>3404</v>
      </c>
      <c r="F263" s="9" t="s">
        <v>3366</v>
      </c>
    </row>
    <row r="264">
      <c r="A264" s="117" t="s">
        <v>3400</v>
      </c>
      <c r="B264" s="118"/>
      <c r="C264" s="118" t="s">
        <v>3401</v>
      </c>
      <c r="D264" s="119" t="s">
        <v>3405</v>
      </c>
      <c r="F264" s="9" t="s">
        <v>3366</v>
      </c>
    </row>
    <row r="265">
      <c r="A265" s="117" t="s">
        <v>3400</v>
      </c>
      <c r="B265" s="118"/>
      <c r="C265" s="118" t="s">
        <v>3401</v>
      </c>
      <c r="D265" s="119" t="s">
        <v>3406</v>
      </c>
      <c r="F265" s="9" t="s">
        <v>3366</v>
      </c>
    </row>
    <row r="266">
      <c r="A266" s="117" t="s">
        <v>3390</v>
      </c>
      <c r="B266" s="118"/>
      <c r="C266" s="118" t="s">
        <v>3391</v>
      </c>
      <c r="D266" s="119" t="s">
        <v>3407</v>
      </c>
      <c r="F266" s="9" t="s">
        <v>3366</v>
      </c>
    </row>
    <row r="267">
      <c r="A267" s="94"/>
      <c r="B267" s="118"/>
      <c r="C267" s="118"/>
      <c r="D267" s="94"/>
    </row>
    <row r="268">
      <c r="A268" s="94"/>
      <c r="B268" s="118"/>
      <c r="C268" s="118"/>
      <c r="D268" s="94"/>
    </row>
    <row r="269">
      <c r="A269" s="118"/>
      <c r="B269" s="118"/>
      <c r="C269" s="118"/>
      <c r="D269" s="118"/>
    </row>
    <row r="270">
      <c r="A270" s="118"/>
      <c r="B270" s="118"/>
      <c r="C270" s="118"/>
      <c r="D270" s="118"/>
    </row>
    <row r="271">
      <c r="A271" s="118"/>
      <c r="B271" s="118"/>
      <c r="C271" s="118"/>
      <c r="D271" s="118"/>
    </row>
    <row r="272">
      <c r="A272" s="124" t="s">
        <v>49</v>
      </c>
      <c r="B272" s="118"/>
      <c r="C272" s="118"/>
      <c r="D272" s="118"/>
    </row>
    <row r="273">
      <c r="A273" s="125" t="s">
        <v>3018</v>
      </c>
      <c r="B273" s="118"/>
      <c r="C273" s="118"/>
      <c r="D273" s="126" t="s">
        <v>3019</v>
      </c>
    </row>
    <row r="274">
      <c r="A274" s="121" t="s">
        <v>3408</v>
      </c>
      <c r="B274" s="118"/>
      <c r="C274" s="118" t="s">
        <v>3409</v>
      </c>
      <c r="D274" s="122" t="s">
        <v>3410</v>
      </c>
      <c r="F274" s="9" t="s">
        <v>3411</v>
      </c>
    </row>
    <row r="275">
      <c r="A275" s="117" t="s">
        <v>3412</v>
      </c>
      <c r="B275" s="118"/>
      <c r="C275" s="118" t="s">
        <v>3413</v>
      </c>
      <c r="D275" s="119" t="s">
        <v>3414</v>
      </c>
      <c r="F275" s="9" t="s">
        <v>3411</v>
      </c>
    </row>
    <row r="276">
      <c r="A276" s="117" t="s">
        <v>2806</v>
      </c>
      <c r="B276" s="118"/>
      <c r="C276" s="118" t="s">
        <v>3415</v>
      </c>
      <c r="D276" s="119" t="s">
        <v>3416</v>
      </c>
      <c r="F276" s="9" t="s">
        <v>3411</v>
      </c>
    </row>
    <row r="277">
      <c r="A277" s="117" t="s">
        <v>3408</v>
      </c>
      <c r="B277" s="118"/>
      <c r="C277" s="118" t="s">
        <v>3409</v>
      </c>
      <c r="D277" s="119" t="s">
        <v>3417</v>
      </c>
      <c r="F277" s="9" t="s">
        <v>3411</v>
      </c>
    </row>
    <row r="278">
      <c r="A278" s="117" t="s">
        <v>1493</v>
      </c>
      <c r="B278" s="118"/>
      <c r="C278" s="118" t="s">
        <v>3418</v>
      </c>
      <c r="D278" s="119" t="s">
        <v>3419</v>
      </c>
      <c r="F278" s="9" t="s">
        <v>3411</v>
      </c>
    </row>
    <row r="279">
      <c r="A279" s="117" t="s">
        <v>3408</v>
      </c>
      <c r="B279" s="118"/>
      <c r="C279" s="118" t="s">
        <v>3409</v>
      </c>
      <c r="D279" s="119" t="s">
        <v>3420</v>
      </c>
      <c r="F279" s="9" t="s">
        <v>3411</v>
      </c>
    </row>
    <row r="280">
      <c r="A280" s="117" t="s">
        <v>3408</v>
      </c>
      <c r="B280" s="118"/>
      <c r="C280" s="118" t="s">
        <v>3409</v>
      </c>
      <c r="D280" s="119" t="s">
        <v>3017</v>
      </c>
      <c r="F280" s="9" t="s">
        <v>3411</v>
      </c>
    </row>
    <row r="281">
      <c r="A281" s="117" t="s">
        <v>3408</v>
      </c>
      <c r="B281" s="118"/>
      <c r="C281" s="118" t="s">
        <v>3409</v>
      </c>
      <c r="D281" s="119" t="s">
        <v>3421</v>
      </c>
      <c r="F281" s="9" t="s">
        <v>3411</v>
      </c>
    </row>
    <row r="282">
      <c r="A282" s="117" t="s">
        <v>49</v>
      </c>
      <c r="B282" s="118"/>
      <c r="C282" s="118" t="s">
        <v>3422</v>
      </c>
      <c r="D282" s="130" t="s">
        <v>3423</v>
      </c>
      <c r="F282" s="9" t="s">
        <v>3411</v>
      </c>
    </row>
    <row r="283">
      <c r="A283" s="117" t="s">
        <v>49</v>
      </c>
      <c r="B283" s="118"/>
      <c r="C283" s="118" t="s">
        <v>3422</v>
      </c>
      <c r="D283" s="119" t="s">
        <v>3424</v>
      </c>
      <c r="F283" s="9" t="s">
        <v>3411</v>
      </c>
    </row>
    <row r="284">
      <c r="A284" s="117" t="s">
        <v>49</v>
      </c>
      <c r="B284" s="118"/>
      <c r="C284" s="118" t="s">
        <v>3422</v>
      </c>
      <c r="D284" s="119" t="s">
        <v>3425</v>
      </c>
      <c r="F284" s="9" t="s">
        <v>3411</v>
      </c>
    </row>
    <row r="285">
      <c r="A285" s="117" t="s">
        <v>3426</v>
      </c>
      <c r="B285" s="118"/>
      <c r="C285" s="118" t="s">
        <v>3427</v>
      </c>
      <c r="D285" s="119" t="s">
        <v>3428</v>
      </c>
      <c r="F285" s="9" t="s">
        <v>3411</v>
      </c>
    </row>
    <row r="286">
      <c r="A286" s="117" t="s">
        <v>3429</v>
      </c>
      <c r="B286" s="118"/>
      <c r="C286" s="118" t="s">
        <v>3430</v>
      </c>
      <c r="D286" s="119" t="s">
        <v>1504</v>
      </c>
      <c r="F286" s="9" t="s">
        <v>3411</v>
      </c>
    </row>
    <row r="287">
      <c r="A287" s="117" t="s">
        <v>3431</v>
      </c>
      <c r="B287" s="118"/>
      <c r="C287" s="118" t="s">
        <v>3432</v>
      </c>
      <c r="D287" s="119" t="s">
        <v>3433</v>
      </c>
      <c r="F287" s="9" t="s">
        <v>3411</v>
      </c>
    </row>
    <row r="288">
      <c r="A288" s="117" t="s">
        <v>3434</v>
      </c>
      <c r="B288" s="118"/>
      <c r="C288" s="118" t="s">
        <v>3435</v>
      </c>
      <c r="D288" s="119" t="s">
        <v>3436</v>
      </c>
      <c r="F288" s="9" t="s">
        <v>3411</v>
      </c>
    </row>
    <row r="289">
      <c r="A289" s="117" t="s">
        <v>3437</v>
      </c>
      <c r="B289" s="118"/>
      <c r="C289" s="118" t="s">
        <v>3438</v>
      </c>
      <c r="D289" s="119" t="s">
        <v>3439</v>
      </c>
      <c r="F289" s="9" t="s">
        <v>3411</v>
      </c>
    </row>
    <row r="290">
      <c r="A290" s="117" t="s">
        <v>2806</v>
      </c>
      <c r="B290" s="118"/>
      <c r="C290" s="118" t="s">
        <v>3415</v>
      </c>
      <c r="D290" s="119" t="s">
        <v>3440</v>
      </c>
      <c r="F290" s="9" t="s">
        <v>3411</v>
      </c>
    </row>
    <row r="291">
      <c r="A291" s="117" t="s">
        <v>3441</v>
      </c>
      <c r="B291" s="118"/>
      <c r="C291" s="118" t="s">
        <v>3442</v>
      </c>
      <c r="D291" s="119" t="s">
        <v>3443</v>
      </c>
      <c r="F291" s="9" t="s">
        <v>3411</v>
      </c>
    </row>
    <row r="292">
      <c r="A292" s="117" t="s">
        <v>3444</v>
      </c>
      <c r="B292" s="118"/>
      <c r="C292" s="118" t="s">
        <v>3445</v>
      </c>
      <c r="D292" s="119" t="s">
        <v>3446</v>
      </c>
      <c r="F292" s="9" t="s">
        <v>3411</v>
      </c>
    </row>
    <row r="293">
      <c r="A293" s="117" t="s">
        <v>3447</v>
      </c>
      <c r="B293" s="118"/>
      <c r="C293" s="118" t="s">
        <v>3448</v>
      </c>
      <c r="D293" s="119" t="s">
        <v>3449</v>
      </c>
      <c r="F293" s="9" t="s">
        <v>3411</v>
      </c>
    </row>
    <row r="294">
      <c r="A294" s="117" t="s">
        <v>3450</v>
      </c>
      <c r="B294" s="118"/>
      <c r="C294" s="118" t="s">
        <v>3451</v>
      </c>
      <c r="D294" s="119" t="s">
        <v>3452</v>
      </c>
      <c r="F294" s="9" t="s">
        <v>3411</v>
      </c>
    </row>
    <row r="295">
      <c r="A295" s="117" t="s">
        <v>3453</v>
      </c>
      <c r="B295" s="118"/>
      <c r="C295" s="118" t="s">
        <v>3454</v>
      </c>
      <c r="D295" s="119" t="s">
        <v>3455</v>
      </c>
      <c r="F295" s="9" t="s">
        <v>3411</v>
      </c>
    </row>
    <row r="296">
      <c r="A296" s="117" t="s">
        <v>3456</v>
      </c>
      <c r="B296" s="118"/>
      <c r="C296" s="118" t="s">
        <v>3457</v>
      </c>
      <c r="D296" s="119" t="s">
        <v>3458</v>
      </c>
      <c r="F296" s="9" t="s">
        <v>3411</v>
      </c>
    </row>
    <row r="297">
      <c r="A297" s="117" t="s">
        <v>3459</v>
      </c>
      <c r="B297" s="118"/>
      <c r="C297" s="118" t="s">
        <v>3460</v>
      </c>
      <c r="D297" s="119" t="s">
        <v>3461</v>
      </c>
      <c r="F297" s="9" t="s">
        <v>3411</v>
      </c>
    </row>
    <row r="298">
      <c r="A298" s="117" t="s">
        <v>3462</v>
      </c>
      <c r="B298" s="118"/>
      <c r="C298" s="118" t="s">
        <v>3463</v>
      </c>
      <c r="D298" s="119" t="s">
        <v>3464</v>
      </c>
      <c r="F298" s="9" t="s">
        <v>3411</v>
      </c>
    </row>
    <row r="299">
      <c r="A299" s="117" t="s">
        <v>3465</v>
      </c>
      <c r="B299" s="118"/>
      <c r="C299" s="118" t="s">
        <v>3466</v>
      </c>
      <c r="D299" s="119" t="s">
        <v>3464</v>
      </c>
      <c r="F299" s="9" t="s">
        <v>3411</v>
      </c>
    </row>
    <row r="300">
      <c r="A300" s="117" t="s">
        <v>3467</v>
      </c>
      <c r="B300" s="118"/>
      <c r="C300" s="118" t="s">
        <v>3468</v>
      </c>
      <c r="D300" s="119" t="s">
        <v>3469</v>
      </c>
      <c r="F300" s="9" t="s">
        <v>3411</v>
      </c>
    </row>
    <row r="301">
      <c r="A301" s="117" t="s">
        <v>3470</v>
      </c>
      <c r="B301" s="118"/>
      <c r="C301" s="118" t="s">
        <v>3471</v>
      </c>
      <c r="D301" s="119" t="s">
        <v>3472</v>
      </c>
      <c r="F301" s="9" t="s">
        <v>3411</v>
      </c>
    </row>
    <row r="302">
      <c r="A302" s="117" t="s">
        <v>3473</v>
      </c>
      <c r="B302" s="118"/>
      <c r="C302" s="118" t="s">
        <v>3474</v>
      </c>
      <c r="D302" s="119" t="s">
        <v>3475</v>
      </c>
      <c r="F302" s="9" t="s">
        <v>3411</v>
      </c>
    </row>
    <row r="303">
      <c r="A303" s="117" t="s">
        <v>49</v>
      </c>
      <c r="B303" s="118"/>
      <c r="C303" s="118" t="s">
        <v>3422</v>
      </c>
      <c r="D303" s="119" t="s">
        <v>46</v>
      </c>
      <c r="F303" s="9" t="s">
        <v>3411</v>
      </c>
    </row>
    <row r="304">
      <c r="A304" s="117" t="s">
        <v>3408</v>
      </c>
      <c r="B304" s="118"/>
      <c r="C304" s="118" t="s">
        <v>3409</v>
      </c>
      <c r="D304" s="119" t="s">
        <v>55</v>
      </c>
      <c r="F304" s="9" t="s">
        <v>3411</v>
      </c>
    </row>
    <row r="305">
      <c r="A305" s="117" t="s">
        <v>3459</v>
      </c>
      <c r="B305" s="118"/>
      <c r="C305" s="118" t="s">
        <v>3460</v>
      </c>
      <c r="D305" s="131" t="s">
        <v>2046</v>
      </c>
      <c r="F305" s="9" t="s">
        <v>3411</v>
      </c>
    </row>
    <row r="306">
      <c r="A306" s="117" t="s">
        <v>3476</v>
      </c>
      <c r="B306" s="118"/>
      <c r="C306" s="118" t="s">
        <v>3477</v>
      </c>
      <c r="D306" s="131" t="s">
        <v>3478</v>
      </c>
      <c r="F306" s="9" t="s">
        <v>3411</v>
      </c>
    </row>
    <row r="307">
      <c r="A307" s="117" t="s">
        <v>3479</v>
      </c>
      <c r="B307" s="118"/>
      <c r="C307" s="118" t="s">
        <v>3480</v>
      </c>
      <c r="D307" s="131" t="s">
        <v>3478</v>
      </c>
      <c r="F307" s="9" t="s">
        <v>3411</v>
      </c>
    </row>
    <row r="308">
      <c r="A308" s="117" t="s">
        <v>3481</v>
      </c>
      <c r="B308" s="118"/>
      <c r="C308" s="118" t="s">
        <v>3482</v>
      </c>
      <c r="D308" s="119" t="s">
        <v>3483</v>
      </c>
      <c r="F308" s="9" t="s">
        <v>3411</v>
      </c>
    </row>
    <row r="309">
      <c r="A309" s="117" t="s">
        <v>3484</v>
      </c>
      <c r="B309" s="118"/>
      <c r="C309" s="118" t="s">
        <v>3485</v>
      </c>
      <c r="D309" s="119" t="s">
        <v>3483</v>
      </c>
      <c r="F309" s="9" t="s">
        <v>3411</v>
      </c>
    </row>
    <row r="310">
      <c r="A310" s="117" t="s">
        <v>3459</v>
      </c>
      <c r="B310" s="118"/>
      <c r="C310" s="118" t="s">
        <v>3460</v>
      </c>
      <c r="D310" s="119" t="s">
        <v>3486</v>
      </c>
      <c r="F310" s="9" t="s">
        <v>3411</v>
      </c>
    </row>
    <row r="311">
      <c r="A311" s="117" t="s">
        <v>3459</v>
      </c>
      <c r="B311" s="118"/>
      <c r="C311" s="118" t="s">
        <v>3460</v>
      </c>
      <c r="D311" s="119" t="s">
        <v>3487</v>
      </c>
      <c r="F311" s="9" t="s">
        <v>3411</v>
      </c>
    </row>
    <row r="312">
      <c r="A312" s="128"/>
      <c r="B312" s="118"/>
      <c r="C312" s="118"/>
      <c r="D312" s="128"/>
    </row>
    <row r="313">
      <c r="A313" s="124" t="s">
        <v>1583</v>
      </c>
      <c r="B313" s="118"/>
      <c r="C313" s="118"/>
      <c r="D313" s="118"/>
    </row>
    <row r="314">
      <c r="A314" s="125" t="s">
        <v>3018</v>
      </c>
      <c r="B314" s="118"/>
      <c r="C314" s="118"/>
      <c r="D314" s="126" t="s">
        <v>3019</v>
      </c>
    </row>
    <row r="315">
      <c r="A315" s="117" t="s">
        <v>3488</v>
      </c>
      <c r="B315" s="118"/>
      <c r="C315" s="118" t="s">
        <v>3489</v>
      </c>
      <c r="D315" s="131" t="s">
        <v>3490</v>
      </c>
      <c r="F315" s="9" t="s">
        <v>3491</v>
      </c>
    </row>
    <row r="316">
      <c r="A316" s="117" t="s">
        <v>3488</v>
      </c>
      <c r="B316" s="118"/>
      <c r="C316" s="118" t="s">
        <v>3489</v>
      </c>
      <c r="D316" s="119" t="s">
        <v>3492</v>
      </c>
      <c r="F316" s="9" t="s">
        <v>3491</v>
      </c>
    </row>
    <row r="317">
      <c r="A317" s="117" t="s">
        <v>3488</v>
      </c>
      <c r="B317" s="118"/>
      <c r="C317" s="118" t="s">
        <v>3489</v>
      </c>
      <c r="D317" s="119" t="s">
        <v>3493</v>
      </c>
      <c r="F317" s="9" t="s">
        <v>3491</v>
      </c>
    </row>
    <row r="318">
      <c r="A318" s="117" t="s">
        <v>3488</v>
      </c>
      <c r="B318" s="118"/>
      <c r="C318" s="118" t="s">
        <v>3489</v>
      </c>
      <c r="D318" s="119" t="s">
        <v>3494</v>
      </c>
      <c r="F318" s="9" t="s">
        <v>3491</v>
      </c>
    </row>
    <row r="319">
      <c r="A319" s="117" t="s">
        <v>3488</v>
      </c>
      <c r="B319" s="118"/>
      <c r="C319" s="118" t="s">
        <v>3489</v>
      </c>
      <c r="D319" s="119" t="s">
        <v>3495</v>
      </c>
      <c r="F319" s="9" t="s">
        <v>3491</v>
      </c>
    </row>
    <row r="320">
      <c r="A320" s="117" t="s">
        <v>3496</v>
      </c>
      <c r="B320" s="118"/>
      <c r="C320" s="118" t="s">
        <v>3497</v>
      </c>
      <c r="D320" s="119" t="s">
        <v>3498</v>
      </c>
      <c r="F320" s="9" t="s">
        <v>3491</v>
      </c>
    </row>
    <row r="321">
      <c r="A321" s="117" t="s">
        <v>3499</v>
      </c>
      <c r="B321" s="118"/>
      <c r="C321" s="118" t="s">
        <v>3500</v>
      </c>
      <c r="D321" s="119" t="s">
        <v>3501</v>
      </c>
      <c r="F321" s="9" t="s">
        <v>3491</v>
      </c>
    </row>
    <row r="322">
      <c r="A322" s="117" t="s">
        <v>3502</v>
      </c>
      <c r="B322" s="118"/>
      <c r="C322" s="118" t="s">
        <v>3503</v>
      </c>
      <c r="D322" s="119" t="s">
        <v>3504</v>
      </c>
      <c r="F322" s="9" t="s">
        <v>3491</v>
      </c>
    </row>
    <row r="323">
      <c r="A323" s="123"/>
      <c r="B323" s="118"/>
      <c r="C323" s="118"/>
      <c r="D323" s="123"/>
    </row>
    <row r="324">
      <c r="A324" s="132" t="s">
        <v>3505</v>
      </c>
      <c r="B324" s="118"/>
      <c r="C324" s="118"/>
      <c r="D324" s="118"/>
    </row>
    <row r="325">
      <c r="A325" s="125" t="s">
        <v>3018</v>
      </c>
      <c r="B325" s="118"/>
      <c r="C325" s="118"/>
      <c r="D325" s="126" t="s">
        <v>3019</v>
      </c>
    </row>
    <row r="326">
      <c r="A326" s="121" t="s">
        <v>3506</v>
      </c>
      <c r="B326" s="118"/>
      <c r="C326" s="118" t="s">
        <v>3507</v>
      </c>
      <c r="D326" s="122" t="s">
        <v>3508</v>
      </c>
      <c r="F326" s="9" t="s">
        <v>3509</v>
      </c>
    </row>
    <row r="327">
      <c r="A327" s="121" t="s">
        <v>3506</v>
      </c>
      <c r="B327" s="118"/>
      <c r="C327" s="118" t="s">
        <v>3507</v>
      </c>
      <c r="D327" s="119" t="s">
        <v>3510</v>
      </c>
      <c r="F327" s="9" t="s">
        <v>3509</v>
      </c>
    </row>
    <row r="328">
      <c r="A328" s="121" t="s">
        <v>3506</v>
      </c>
      <c r="B328" s="118"/>
      <c r="C328" s="118" t="s">
        <v>3507</v>
      </c>
      <c r="D328" s="119" t="s">
        <v>2313</v>
      </c>
      <c r="F328" s="9" t="s">
        <v>3509</v>
      </c>
    </row>
    <row r="329">
      <c r="A329" s="121" t="s">
        <v>3506</v>
      </c>
      <c r="B329" s="118"/>
      <c r="C329" s="118" t="s">
        <v>3507</v>
      </c>
      <c r="D329" s="119" t="s">
        <v>3511</v>
      </c>
      <c r="F329" s="9" t="s">
        <v>3509</v>
      </c>
    </row>
    <row r="330">
      <c r="A330" s="121" t="s">
        <v>3512</v>
      </c>
      <c r="B330" s="118"/>
      <c r="C330" s="118" t="s">
        <v>3513</v>
      </c>
      <c r="D330" s="119" t="s">
        <v>2442</v>
      </c>
      <c r="F330" s="9" t="s">
        <v>3509</v>
      </c>
    </row>
    <row r="331">
      <c r="A331" s="117" t="s">
        <v>3514</v>
      </c>
      <c r="B331" s="118"/>
      <c r="C331" s="118" t="s">
        <v>3515</v>
      </c>
      <c r="D331" s="119" t="s">
        <v>3516</v>
      </c>
      <c r="F331" s="9" t="s">
        <v>3509</v>
      </c>
    </row>
    <row r="332">
      <c r="A332" s="117" t="s">
        <v>3517</v>
      </c>
      <c r="B332" s="118"/>
      <c r="C332" s="118"/>
      <c r="D332" s="119" t="s">
        <v>3518</v>
      </c>
      <c r="F332" s="9" t="s">
        <v>3509</v>
      </c>
    </row>
    <row r="333">
      <c r="A333" s="117" t="s">
        <v>765</v>
      </c>
      <c r="B333" s="118"/>
      <c r="C333" s="118" t="s">
        <v>3519</v>
      </c>
      <c r="D333" s="119" t="s">
        <v>3520</v>
      </c>
      <c r="F333" s="9" t="s">
        <v>3509</v>
      </c>
    </row>
    <row r="334">
      <c r="A334" s="117" t="s">
        <v>768</v>
      </c>
      <c r="B334" s="118"/>
      <c r="C334" s="118" t="s">
        <v>3521</v>
      </c>
      <c r="D334" s="119" t="s">
        <v>3522</v>
      </c>
      <c r="F334" s="9" t="s">
        <v>3509</v>
      </c>
    </row>
    <row r="335">
      <c r="A335" s="117" t="s">
        <v>1888</v>
      </c>
      <c r="B335" s="118"/>
      <c r="C335" s="118" t="s">
        <v>3523</v>
      </c>
      <c r="D335" s="119" t="s">
        <v>3524</v>
      </c>
      <c r="F335" s="9" t="s">
        <v>3509</v>
      </c>
    </row>
    <row r="336">
      <c r="A336" s="117" t="s">
        <v>3525</v>
      </c>
      <c r="B336" s="118"/>
      <c r="C336" s="118" t="s">
        <v>3526</v>
      </c>
      <c r="D336" s="119" t="s">
        <v>211</v>
      </c>
      <c r="F336" s="9" t="s">
        <v>3509</v>
      </c>
    </row>
    <row r="337">
      <c r="A337" s="117" t="s">
        <v>3525</v>
      </c>
      <c r="B337" s="118"/>
      <c r="C337" s="118" t="s">
        <v>3526</v>
      </c>
      <c r="D337" s="119" t="s">
        <v>3527</v>
      </c>
      <c r="F337" s="9" t="s">
        <v>3509</v>
      </c>
    </row>
    <row r="338">
      <c r="A338" s="117" t="s">
        <v>70</v>
      </c>
      <c r="B338" s="118"/>
      <c r="C338" s="118" t="s">
        <v>3528</v>
      </c>
      <c r="D338" s="119" t="s">
        <v>3529</v>
      </c>
      <c r="F338" s="9" t="s">
        <v>3509</v>
      </c>
    </row>
    <row r="339">
      <c r="A339" s="117" t="s">
        <v>70</v>
      </c>
      <c r="B339" s="118"/>
      <c r="C339" s="118"/>
      <c r="D339" s="119" t="s">
        <v>3530</v>
      </c>
      <c r="F339" s="9" t="s">
        <v>3509</v>
      </c>
    </row>
    <row r="340">
      <c r="A340" s="117" t="s">
        <v>74</v>
      </c>
      <c r="B340" s="118"/>
      <c r="C340" s="118" t="s">
        <v>3531</v>
      </c>
      <c r="D340" s="119" t="s">
        <v>3532</v>
      </c>
      <c r="F340" s="9" t="s">
        <v>3509</v>
      </c>
    </row>
    <row r="341">
      <c r="A341" s="117" t="s">
        <v>70</v>
      </c>
      <c r="B341" s="118"/>
      <c r="C341" s="118" t="s">
        <v>3528</v>
      </c>
      <c r="D341" s="119" t="s">
        <v>3533</v>
      </c>
      <c r="F341" s="9" t="s">
        <v>3509</v>
      </c>
    </row>
    <row r="342">
      <c r="A342" s="117" t="s">
        <v>3534</v>
      </c>
      <c r="B342" s="118"/>
      <c r="C342" s="118" t="s">
        <v>3535</v>
      </c>
      <c r="D342" s="119" t="s">
        <v>3536</v>
      </c>
      <c r="F342" s="9" t="s">
        <v>3509</v>
      </c>
    </row>
    <row r="343">
      <c r="A343" s="117" t="s">
        <v>3537</v>
      </c>
      <c r="B343" s="118"/>
      <c r="C343" s="118" t="s">
        <v>3538</v>
      </c>
      <c r="D343" s="119" t="s">
        <v>1172</v>
      </c>
      <c r="F343" s="9" t="s">
        <v>3509</v>
      </c>
    </row>
    <row r="344">
      <c r="A344" s="117" t="s">
        <v>70</v>
      </c>
      <c r="B344" s="118"/>
      <c r="C344" s="118" t="s">
        <v>3528</v>
      </c>
      <c r="D344" s="119" t="s">
        <v>3539</v>
      </c>
      <c r="F344" s="9" t="s">
        <v>3509</v>
      </c>
    </row>
    <row r="345">
      <c r="A345" s="117" t="s">
        <v>70</v>
      </c>
      <c r="B345" s="118"/>
      <c r="C345" s="118" t="s">
        <v>3528</v>
      </c>
      <c r="D345" s="119" t="s">
        <v>3540</v>
      </c>
      <c r="F345" s="9" t="s">
        <v>3509</v>
      </c>
    </row>
    <row r="346">
      <c r="A346" s="117" t="s">
        <v>3541</v>
      </c>
      <c r="B346" s="118"/>
      <c r="C346" s="118" t="s">
        <v>3542</v>
      </c>
      <c r="D346" s="119" t="s">
        <v>3543</v>
      </c>
      <c r="F346" s="9" t="s">
        <v>3509</v>
      </c>
    </row>
    <row r="347">
      <c r="A347" s="117" t="s">
        <v>70</v>
      </c>
      <c r="B347" s="118"/>
      <c r="C347" s="118" t="s">
        <v>3528</v>
      </c>
      <c r="D347" s="119" t="s">
        <v>3544</v>
      </c>
      <c r="F347" s="9" t="s">
        <v>3509</v>
      </c>
    </row>
    <row r="348">
      <c r="A348" s="117" t="s">
        <v>3545</v>
      </c>
      <c r="B348" s="118"/>
      <c r="C348" s="118" t="s">
        <v>3546</v>
      </c>
      <c r="D348" s="119" t="s">
        <v>3547</v>
      </c>
      <c r="F348" s="9" t="s">
        <v>3509</v>
      </c>
    </row>
    <row r="349">
      <c r="A349" s="117" t="s">
        <v>753</v>
      </c>
      <c r="B349" s="118"/>
      <c r="C349" s="118" t="s">
        <v>3548</v>
      </c>
      <c r="D349" s="119" t="s">
        <v>3549</v>
      </c>
      <c r="F349" s="9" t="s">
        <v>3509</v>
      </c>
    </row>
    <row r="350">
      <c r="A350" s="117" t="s">
        <v>3550</v>
      </c>
      <c r="B350" s="118"/>
      <c r="C350" s="118" t="s">
        <v>3551</v>
      </c>
      <c r="D350" s="119" t="s">
        <v>3552</v>
      </c>
      <c r="F350" s="9" t="s">
        <v>3509</v>
      </c>
    </row>
    <row r="351">
      <c r="A351" s="117" t="s">
        <v>3553</v>
      </c>
      <c r="B351" s="118"/>
      <c r="C351" s="118" t="s">
        <v>3554</v>
      </c>
      <c r="D351" s="119" t="s">
        <v>3552</v>
      </c>
      <c r="F351" s="9" t="s">
        <v>3509</v>
      </c>
    </row>
    <row r="352">
      <c r="A352" s="117" t="s">
        <v>3555</v>
      </c>
      <c r="B352" s="118"/>
      <c r="C352" s="118" t="s">
        <v>3556</v>
      </c>
      <c r="D352" s="119" t="s">
        <v>3557</v>
      </c>
      <c r="F352" s="9" t="s">
        <v>3509</v>
      </c>
    </row>
    <row r="353">
      <c r="A353" s="117" t="s">
        <v>3558</v>
      </c>
      <c r="B353" s="118"/>
      <c r="C353" s="118" t="s">
        <v>3559</v>
      </c>
      <c r="D353" s="119" t="s">
        <v>3560</v>
      </c>
      <c r="F353" s="9" t="s">
        <v>3509</v>
      </c>
    </row>
    <row r="354">
      <c r="A354" s="117" t="s">
        <v>3561</v>
      </c>
      <c r="B354" s="118"/>
      <c r="C354" s="118" t="s">
        <v>3562</v>
      </c>
      <c r="D354" s="119" t="s">
        <v>3560</v>
      </c>
      <c r="F354" s="9" t="s">
        <v>3509</v>
      </c>
    </row>
    <row r="355">
      <c r="A355" s="117" t="s">
        <v>3563</v>
      </c>
      <c r="B355" s="118"/>
      <c r="C355" s="118"/>
      <c r="D355" s="119" t="s">
        <v>3564</v>
      </c>
      <c r="F355" s="9" t="s">
        <v>3509</v>
      </c>
    </row>
    <row r="356">
      <c r="A356" s="117" t="s">
        <v>3563</v>
      </c>
      <c r="B356" s="118"/>
      <c r="C356" s="118"/>
      <c r="D356" s="119" t="s">
        <v>3565</v>
      </c>
      <c r="F356" s="9" t="s">
        <v>3509</v>
      </c>
    </row>
    <row r="357">
      <c r="A357" s="128"/>
      <c r="B357" s="118"/>
      <c r="C357" s="118"/>
      <c r="D357" s="128"/>
    </row>
    <row r="358">
      <c r="A358" s="118"/>
      <c r="B358" s="118"/>
      <c r="C358" s="118"/>
      <c r="D358" s="118"/>
    </row>
    <row r="359">
      <c r="A359" s="124" t="s">
        <v>3566</v>
      </c>
      <c r="B359" s="118"/>
      <c r="C359" s="118"/>
      <c r="D359" s="118"/>
    </row>
    <row r="360">
      <c r="A360" s="125" t="s">
        <v>3018</v>
      </c>
      <c r="B360" s="118"/>
      <c r="C360" s="118"/>
      <c r="D360" s="126" t="s">
        <v>3019</v>
      </c>
    </row>
    <row r="361">
      <c r="A361" s="121" t="s">
        <v>3567</v>
      </c>
      <c r="B361" s="118"/>
      <c r="C361" s="118" t="s">
        <v>3568</v>
      </c>
      <c r="D361" s="122" t="s">
        <v>3569</v>
      </c>
      <c r="F361" s="9" t="s">
        <v>3570</v>
      </c>
    </row>
    <row r="362">
      <c r="A362" s="121" t="s">
        <v>3567</v>
      </c>
      <c r="B362" s="118"/>
      <c r="C362" s="118" t="s">
        <v>3568</v>
      </c>
      <c r="D362" s="122" t="s">
        <v>2219</v>
      </c>
      <c r="F362" s="9" t="s">
        <v>3570</v>
      </c>
    </row>
    <row r="363">
      <c r="A363" s="121" t="s">
        <v>3567</v>
      </c>
      <c r="B363" s="118"/>
      <c r="C363" s="118" t="s">
        <v>3568</v>
      </c>
      <c r="D363" s="119" t="s">
        <v>3571</v>
      </c>
      <c r="F363" s="9" t="s">
        <v>3570</v>
      </c>
    </row>
    <row r="364">
      <c r="A364" s="117" t="s">
        <v>3572</v>
      </c>
      <c r="B364" s="118"/>
      <c r="C364" s="118" t="s">
        <v>3573</v>
      </c>
      <c r="D364" s="119" t="s">
        <v>3574</v>
      </c>
      <c r="F364" s="9" t="s">
        <v>3570</v>
      </c>
    </row>
    <row r="365">
      <c r="A365" s="121" t="s">
        <v>2218</v>
      </c>
      <c r="B365" s="118"/>
      <c r="C365" s="118" t="s">
        <v>3575</v>
      </c>
      <c r="D365" s="119" t="s">
        <v>3576</v>
      </c>
      <c r="F365" s="9" t="s">
        <v>3570</v>
      </c>
    </row>
    <row r="366">
      <c r="A366" s="121" t="s">
        <v>2218</v>
      </c>
      <c r="B366" s="118"/>
      <c r="C366" s="118" t="s">
        <v>3575</v>
      </c>
      <c r="D366" s="119" t="s">
        <v>3577</v>
      </c>
      <c r="F366" s="9" t="s">
        <v>3570</v>
      </c>
    </row>
    <row r="367">
      <c r="A367" s="121" t="s">
        <v>2218</v>
      </c>
      <c r="B367" s="118"/>
      <c r="C367" s="118" t="s">
        <v>3575</v>
      </c>
      <c r="D367" s="119" t="s">
        <v>3578</v>
      </c>
      <c r="F367" s="9" t="s">
        <v>3570</v>
      </c>
    </row>
    <row r="368">
      <c r="A368" s="117" t="s">
        <v>3579</v>
      </c>
      <c r="B368" s="118"/>
      <c r="C368" s="118" t="s">
        <v>3580</v>
      </c>
      <c r="D368" s="119" t="s">
        <v>3581</v>
      </c>
      <c r="F368" s="9" t="s">
        <v>3570</v>
      </c>
    </row>
    <row r="369">
      <c r="A369" s="117" t="s">
        <v>3579</v>
      </c>
      <c r="B369" s="118"/>
      <c r="C369" s="118" t="s">
        <v>3580</v>
      </c>
      <c r="D369" s="119" t="s">
        <v>3582</v>
      </c>
      <c r="F369" s="9" t="s">
        <v>3570</v>
      </c>
    </row>
    <row r="370">
      <c r="A370" s="117" t="s">
        <v>3583</v>
      </c>
      <c r="B370" s="118"/>
      <c r="C370" s="118" t="s">
        <v>3584</v>
      </c>
      <c r="D370" s="119" t="s">
        <v>3585</v>
      </c>
      <c r="F370" s="9" t="s">
        <v>3570</v>
      </c>
    </row>
    <row r="371">
      <c r="A371" s="117" t="s">
        <v>3586</v>
      </c>
      <c r="B371" s="118"/>
      <c r="C371" s="118" t="s">
        <v>3587</v>
      </c>
      <c r="D371" s="119" t="s">
        <v>3588</v>
      </c>
      <c r="F371" s="9" t="s">
        <v>3570</v>
      </c>
    </row>
    <row r="372">
      <c r="A372" s="117" t="s">
        <v>3589</v>
      </c>
      <c r="B372" s="118"/>
      <c r="C372" s="118" t="s">
        <v>3590</v>
      </c>
      <c r="D372" s="119" t="s">
        <v>3591</v>
      </c>
      <c r="F372" s="9" t="s">
        <v>3570</v>
      </c>
    </row>
    <row r="373">
      <c r="A373" s="117" t="s">
        <v>2445</v>
      </c>
      <c r="B373" s="118"/>
      <c r="C373" s="118" t="s">
        <v>3592</v>
      </c>
      <c r="D373" s="119" t="s">
        <v>3593</v>
      </c>
      <c r="F373" s="9" t="s">
        <v>3570</v>
      </c>
    </row>
    <row r="374">
      <c r="A374" s="117" t="s">
        <v>2445</v>
      </c>
      <c r="B374" s="118"/>
      <c r="C374" s="118" t="s">
        <v>3592</v>
      </c>
      <c r="D374" s="119" t="s">
        <v>2446</v>
      </c>
      <c r="F374" s="9" t="s">
        <v>3570</v>
      </c>
    </row>
    <row r="375">
      <c r="A375" s="117" t="s">
        <v>2445</v>
      </c>
      <c r="B375" s="118"/>
      <c r="C375" s="118" t="s">
        <v>3592</v>
      </c>
      <c r="D375" s="119" t="s">
        <v>3594</v>
      </c>
      <c r="F375" s="9" t="s">
        <v>3570</v>
      </c>
    </row>
    <row r="376">
      <c r="A376" s="128"/>
      <c r="B376" s="118"/>
      <c r="C376" s="118" t="e">
        <v>#VALUE!</v>
      </c>
      <c r="D376" s="128"/>
    </row>
    <row r="377">
      <c r="A377" s="117" t="s">
        <v>3595</v>
      </c>
      <c r="B377" s="118"/>
      <c r="C377" s="118" t="s">
        <v>3596</v>
      </c>
      <c r="D377" s="119" t="s">
        <v>3597</v>
      </c>
      <c r="F377" s="9" t="s">
        <v>3570</v>
      </c>
    </row>
    <row r="378">
      <c r="A378" s="117" t="s">
        <v>3598</v>
      </c>
      <c r="B378" s="118"/>
      <c r="C378" s="118"/>
      <c r="D378" s="131" t="s">
        <v>3599</v>
      </c>
      <c r="F378" s="9" t="s">
        <v>3570</v>
      </c>
    </row>
    <row r="379">
      <c r="A379" s="117" t="s">
        <v>3600</v>
      </c>
      <c r="B379" s="118"/>
      <c r="C379" s="118" t="s">
        <v>3601</v>
      </c>
      <c r="D379" s="131" t="s">
        <v>3602</v>
      </c>
      <c r="F379" s="9" t="s">
        <v>3570</v>
      </c>
    </row>
    <row r="380">
      <c r="A380" s="117" t="s">
        <v>3603</v>
      </c>
      <c r="B380" s="118"/>
      <c r="C380" s="118" t="s">
        <v>3604</v>
      </c>
      <c r="D380" s="131" t="s">
        <v>3605</v>
      </c>
      <c r="F380" s="9" t="s">
        <v>3570</v>
      </c>
    </row>
    <row r="381">
      <c r="A381" s="117" t="s">
        <v>3606</v>
      </c>
      <c r="B381" s="118"/>
      <c r="C381" s="118" t="s">
        <v>3607</v>
      </c>
      <c r="D381" s="131" t="s">
        <v>3608</v>
      </c>
      <c r="F381" s="9" t="s">
        <v>3570</v>
      </c>
    </row>
    <row r="382">
      <c r="A382" s="123"/>
      <c r="B382" s="118"/>
      <c r="C382" s="118"/>
      <c r="D382" s="118"/>
    </row>
    <row r="383">
      <c r="A383" s="124" t="s">
        <v>3609</v>
      </c>
      <c r="B383" s="118"/>
      <c r="C383" s="118"/>
      <c r="D383" s="118"/>
    </row>
    <row r="384">
      <c r="A384" s="125" t="s">
        <v>3018</v>
      </c>
      <c r="B384" s="118"/>
      <c r="C384" s="118"/>
      <c r="D384" s="126" t="s">
        <v>3019</v>
      </c>
    </row>
    <row r="385">
      <c r="A385" s="121" t="s">
        <v>434</v>
      </c>
      <c r="B385" s="118"/>
      <c r="C385" s="118" t="s">
        <v>3610</v>
      </c>
      <c r="D385" s="122" t="s">
        <v>3611</v>
      </c>
      <c r="F385" s="9" t="s">
        <v>3612</v>
      </c>
    </row>
    <row r="386">
      <c r="A386" s="117" t="s">
        <v>3613</v>
      </c>
      <c r="B386" s="118"/>
      <c r="C386" s="118" t="s">
        <v>3614</v>
      </c>
      <c r="D386" s="119" t="s">
        <v>3615</v>
      </c>
      <c r="F386" s="9" t="s">
        <v>3612</v>
      </c>
    </row>
    <row r="387">
      <c r="A387" s="121" t="s">
        <v>3616</v>
      </c>
      <c r="B387" s="118"/>
      <c r="C387" s="118" t="s">
        <v>3617</v>
      </c>
      <c r="D387" s="122" t="s">
        <v>3618</v>
      </c>
      <c r="F387" s="9" t="s">
        <v>3612</v>
      </c>
    </row>
    <row r="388">
      <c r="A388" s="121" t="s">
        <v>3619</v>
      </c>
      <c r="B388" s="118"/>
      <c r="C388" s="118" t="s">
        <v>3620</v>
      </c>
      <c r="D388" s="119" t="s">
        <v>3621</v>
      </c>
      <c r="F388" s="9" t="s">
        <v>3612</v>
      </c>
    </row>
    <row r="389">
      <c r="A389" s="117" t="s">
        <v>431</v>
      </c>
      <c r="B389" s="118"/>
      <c r="C389" s="118" t="s">
        <v>3622</v>
      </c>
      <c r="D389" s="119" t="s">
        <v>3623</v>
      </c>
      <c r="F389" s="9" t="s">
        <v>3612</v>
      </c>
    </row>
    <row r="390">
      <c r="A390" s="117" t="s">
        <v>431</v>
      </c>
      <c r="B390" s="118"/>
      <c r="C390" s="118" t="s">
        <v>3622</v>
      </c>
      <c r="D390" s="119" t="s">
        <v>3624</v>
      </c>
      <c r="F390" s="9" t="s">
        <v>3612</v>
      </c>
    </row>
    <row r="391">
      <c r="A391" s="117" t="s">
        <v>431</v>
      </c>
      <c r="B391" s="118"/>
      <c r="C391" s="118" t="s">
        <v>3622</v>
      </c>
      <c r="D391" s="119" t="s">
        <v>3625</v>
      </c>
      <c r="F391" s="9" t="s">
        <v>3612</v>
      </c>
    </row>
    <row r="392">
      <c r="A392" s="117" t="s">
        <v>3626</v>
      </c>
      <c r="B392" s="118"/>
      <c r="C392" s="118" t="s">
        <v>3627</v>
      </c>
      <c r="D392" s="119" t="s">
        <v>3628</v>
      </c>
      <c r="F392" s="9" t="s">
        <v>3612</v>
      </c>
    </row>
    <row r="393">
      <c r="A393" s="117" t="s">
        <v>431</v>
      </c>
      <c r="B393" s="118"/>
      <c r="C393" s="118" t="s">
        <v>3622</v>
      </c>
      <c r="D393" s="119" t="s">
        <v>3629</v>
      </c>
      <c r="F393" s="9" t="s">
        <v>3612</v>
      </c>
    </row>
    <row r="394">
      <c r="A394" s="117" t="s">
        <v>431</v>
      </c>
      <c r="B394" s="118"/>
      <c r="C394" s="118" t="s">
        <v>3622</v>
      </c>
      <c r="D394" s="119" t="s">
        <v>3630</v>
      </c>
      <c r="F394" s="9" t="s">
        <v>3612</v>
      </c>
    </row>
    <row r="395">
      <c r="A395" s="117" t="s">
        <v>431</v>
      </c>
      <c r="B395" s="118"/>
      <c r="C395" s="118" t="s">
        <v>3622</v>
      </c>
      <c r="D395" s="119" t="s">
        <v>3631</v>
      </c>
      <c r="F395" s="9" t="s">
        <v>3612</v>
      </c>
    </row>
    <row r="396">
      <c r="A396" s="117" t="s">
        <v>431</v>
      </c>
      <c r="B396" s="118"/>
      <c r="C396" s="118" t="s">
        <v>3622</v>
      </c>
      <c r="D396" s="119" t="s">
        <v>3632</v>
      </c>
      <c r="F396" s="9" t="s">
        <v>3612</v>
      </c>
    </row>
    <row r="397">
      <c r="A397" s="117" t="s">
        <v>431</v>
      </c>
      <c r="B397" s="118"/>
      <c r="C397" s="118" t="s">
        <v>3622</v>
      </c>
      <c r="D397" s="119" t="s">
        <v>3633</v>
      </c>
      <c r="F397" s="9" t="s">
        <v>3612</v>
      </c>
    </row>
    <row r="398">
      <c r="A398" s="117" t="s">
        <v>3634</v>
      </c>
      <c r="B398" s="118"/>
      <c r="C398" s="118" t="s">
        <v>3635</v>
      </c>
      <c r="D398" s="119" t="s">
        <v>3636</v>
      </c>
      <c r="F398" s="9" t="s">
        <v>3612</v>
      </c>
    </row>
    <row r="399">
      <c r="A399" s="117" t="s">
        <v>3637</v>
      </c>
      <c r="B399" s="118"/>
      <c r="C399" s="118" t="s">
        <v>3638</v>
      </c>
      <c r="D399" s="119" t="s">
        <v>3639</v>
      </c>
      <c r="F399" s="9" t="s">
        <v>3612</v>
      </c>
    </row>
    <row r="400">
      <c r="A400" s="117" t="s">
        <v>3640</v>
      </c>
      <c r="B400" s="118"/>
      <c r="C400" s="118" t="s">
        <v>3641</v>
      </c>
      <c r="D400" s="119" t="s">
        <v>3642</v>
      </c>
      <c r="F400" s="9" t="s">
        <v>3612</v>
      </c>
    </row>
    <row r="401">
      <c r="A401" s="117" t="s">
        <v>3643</v>
      </c>
      <c r="B401" s="118"/>
      <c r="C401" s="118" t="s">
        <v>3644</v>
      </c>
      <c r="D401" s="119" t="s">
        <v>3645</v>
      </c>
      <c r="F401" s="9" t="s">
        <v>3612</v>
      </c>
    </row>
    <row r="402">
      <c r="A402" s="117" t="s">
        <v>3646</v>
      </c>
      <c r="B402" s="118"/>
      <c r="C402" s="118" t="s">
        <v>3647</v>
      </c>
      <c r="D402" s="119" t="s">
        <v>3648</v>
      </c>
      <c r="F402" s="9" t="s">
        <v>3612</v>
      </c>
    </row>
    <row r="403">
      <c r="A403" s="117" t="s">
        <v>3649</v>
      </c>
      <c r="B403" s="118"/>
      <c r="C403" s="118" t="s">
        <v>3650</v>
      </c>
      <c r="D403" s="119" t="s">
        <v>1518</v>
      </c>
      <c r="F403" s="9" t="s">
        <v>3612</v>
      </c>
    </row>
    <row r="404">
      <c r="A404" s="117" t="s">
        <v>3649</v>
      </c>
      <c r="B404" s="118"/>
      <c r="C404" s="118" t="s">
        <v>3650</v>
      </c>
      <c r="D404" s="119" t="s">
        <v>1520</v>
      </c>
      <c r="F404" s="9" t="s">
        <v>3612</v>
      </c>
    </row>
    <row r="405">
      <c r="A405" s="117" t="s">
        <v>3649</v>
      </c>
      <c r="B405" s="118"/>
      <c r="C405" s="118" t="s">
        <v>3650</v>
      </c>
      <c r="D405" s="119" t="s">
        <v>1521</v>
      </c>
      <c r="F405" s="9" t="s">
        <v>3612</v>
      </c>
    </row>
    <row r="406">
      <c r="A406" s="117" t="s">
        <v>3649</v>
      </c>
      <c r="B406" s="118"/>
      <c r="C406" s="118" t="s">
        <v>3650</v>
      </c>
      <c r="D406" s="119" t="s">
        <v>1522</v>
      </c>
      <c r="F406" s="9" t="s">
        <v>3612</v>
      </c>
    </row>
    <row r="407">
      <c r="A407" s="117" t="s">
        <v>3651</v>
      </c>
      <c r="B407" s="118"/>
      <c r="C407" s="118" t="s">
        <v>3652</v>
      </c>
      <c r="D407" s="119" t="s">
        <v>3653</v>
      </c>
      <c r="F407" s="9" t="s">
        <v>3612</v>
      </c>
    </row>
    <row r="408">
      <c r="A408" s="117" t="s">
        <v>3654</v>
      </c>
      <c r="B408" s="118"/>
      <c r="C408" s="118" t="s">
        <v>3655</v>
      </c>
      <c r="D408" s="119" t="s">
        <v>3656</v>
      </c>
      <c r="F408" s="9" t="s">
        <v>3612</v>
      </c>
    </row>
    <row r="409">
      <c r="A409" s="117" t="s">
        <v>3657</v>
      </c>
      <c r="B409" s="118"/>
      <c r="C409" s="118" t="s">
        <v>3658</v>
      </c>
      <c r="D409" s="119" t="s">
        <v>3659</v>
      </c>
      <c r="F409" s="9" t="s">
        <v>3612</v>
      </c>
    </row>
    <row r="410">
      <c r="A410" s="117" t="s">
        <v>1476</v>
      </c>
      <c r="B410" s="118"/>
      <c r="C410" s="118" t="s">
        <v>3660</v>
      </c>
      <c r="D410" s="119" t="s">
        <v>3661</v>
      </c>
      <c r="F410" s="9" t="s">
        <v>3612</v>
      </c>
    </row>
    <row r="411">
      <c r="A411" s="117" t="s">
        <v>3015</v>
      </c>
      <c r="B411" s="118"/>
      <c r="C411" s="118" t="s">
        <v>3016</v>
      </c>
      <c r="D411" s="119" t="s">
        <v>3662</v>
      </c>
      <c r="F411" s="9" t="s">
        <v>3612</v>
      </c>
    </row>
    <row r="412">
      <c r="A412" s="117" t="s">
        <v>3015</v>
      </c>
      <c r="B412" s="118"/>
      <c r="C412" s="118" t="s">
        <v>3016</v>
      </c>
      <c r="D412" s="119" t="s">
        <v>3663</v>
      </c>
      <c r="F412" s="9" t="s">
        <v>3612</v>
      </c>
    </row>
    <row r="413">
      <c r="A413" s="117" t="s">
        <v>3664</v>
      </c>
      <c r="B413" s="118"/>
      <c r="C413" s="118" t="s">
        <v>3665</v>
      </c>
      <c r="D413" s="119" t="s">
        <v>3666</v>
      </c>
      <c r="F413" s="9" t="s">
        <v>3612</v>
      </c>
    </row>
    <row r="414">
      <c r="A414" s="117" t="s">
        <v>3667</v>
      </c>
      <c r="B414" s="118"/>
      <c r="C414" s="118" t="s">
        <v>3668</v>
      </c>
      <c r="D414" s="119" t="s">
        <v>35</v>
      </c>
      <c r="F414" s="9" t="s">
        <v>3612</v>
      </c>
    </row>
    <row r="415">
      <c r="A415" s="117" t="s">
        <v>3669</v>
      </c>
      <c r="B415" s="118"/>
      <c r="C415" s="118" t="s">
        <v>3670</v>
      </c>
      <c r="D415" s="119" t="s">
        <v>3671</v>
      </c>
      <c r="F415" s="9" t="s">
        <v>3612</v>
      </c>
    </row>
    <row r="416">
      <c r="A416" s="117" t="s">
        <v>3672</v>
      </c>
      <c r="B416" s="118"/>
      <c r="C416" s="118" t="s">
        <v>3673</v>
      </c>
      <c r="D416" s="119" t="s">
        <v>3674</v>
      </c>
      <c r="F416" s="9" t="s">
        <v>3612</v>
      </c>
    </row>
    <row r="417">
      <c r="A417" s="117" t="s">
        <v>3651</v>
      </c>
      <c r="B417" s="118"/>
      <c r="C417" s="118" t="s">
        <v>3652</v>
      </c>
      <c r="D417" s="119" t="s">
        <v>3675</v>
      </c>
      <c r="F417" s="9" t="s">
        <v>3612</v>
      </c>
    </row>
    <row r="418">
      <c r="A418" s="117" t="s">
        <v>25</v>
      </c>
      <c r="B418" s="118"/>
      <c r="C418" s="118" t="s">
        <v>3676</v>
      </c>
      <c r="D418" s="119" t="s">
        <v>3677</v>
      </c>
      <c r="F418" s="9" t="s">
        <v>3612</v>
      </c>
    </row>
    <row r="419">
      <c r="A419" s="117" t="s">
        <v>3649</v>
      </c>
      <c r="B419" s="118"/>
      <c r="C419" s="118" t="s">
        <v>3650</v>
      </c>
      <c r="D419" s="119" t="s">
        <v>3678</v>
      </c>
      <c r="F419" s="9" t="s">
        <v>3612</v>
      </c>
    </row>
    <row r="420">
      <c r="A420" s="117" t="s">
        <v>3649</v>
      </c>
      <c r="B420" s="118"/>
      <c r="C420" s="118" t="s">
        <v>3650</v>
      </c>
      <c r="D420" s="119" t="s">
        <v>3679</v>
      </c>
      <c r="F420" s="9" t="s">
        <v>3612</v>
      </c>
    </row>
    <row r="421">
      <c r="A421" s="117" t="s">
        <v>3651</v>
      </c>
      <c r="B421" s="118"/>
      <c r="C421" s="118" t="s">
        <v>3652</v>
      </c>
      <c r="D421" s="119" t="s">
        <v>3680</v>
      </c>
      <c r="F421" s="9" t="s">
        <v>3612</v>
      </c>
    </row>
    <row r="422">
      <c r="A422" s="117" t="s">
        <v>1190</v>
      </c>
      <c r="B422" s="118"/>
      <c r="C422" s="118" t="s">
        <v>3681</v>
      </c>
      <c r="D422" s="119" t="s">
        <v>3682</v>
      </c>
      <c r="F422" s="9" t="s">
        <v>3612</v>
      </c>
    </row>
    <row r="423">
      <c r="A423" s="117" t="s">
        <v>3683</v>
      </c>
      <c r="B423" s="118"/>
      <c r="C423" s="118" t="s">
        <v>3684</v>
      </c>
      <c r="D423" s="119" t="s">
        <v>3685</v>
      </c>
      <c r="F423" s="9" t="s">
        <v>3612</v>
      </c>
    </row>
    <row r="424">
      <c r="A424" s="128"/>
      <c r="B424" s="118"/>
      <c r="C424" s="118"/>
      <c r="D424" s="128"/>
    </row>
    <row r="425">
      <c r="A425" s="128"/>
      <c r="B425" s="118"/>
      <c r="C425" s="118"/>
      <c r="D425" s="128"/>
    </row>
    <row r="426">
      <c r="A426" s="123"/>
      <c r="B426" s="118"/>
      <c r="C426" s="118"/>
      <c r="D426" s="123"/>
    </row>
    <row r="427">
      <c r="A427" s="124" t="s">
        <v>3686</v>
      </c>
      <c r="B427" s="118"/>
      <c r="C427" s="118"/>
      <c r="D427" s="118"/>
    </row>
    <row r="428">
      <c r="A428" s="125" t="s">
        <v>3018</v>
      </c>
      <c r="B428" s="118"/>
      <c r="C428" s="118"/>
      <c r="D428" s="126" t="s">
        <v>3019</v>
      </c>
    </row>
    <row r="429">
      <c r="A429" s="121" t="s">
        <v>3687</v>
      </c>
      <c r="B429" s="118"/>
      <c r="C429" s="118" t="s">
        <v>3688</v>
      </c>
      <c r="D429" s="122" t="s">
        <v>3689</v>
      </c>
      <c r="F429" s="9" t="s">
        <v>3690</v>
      </c>
    </row>
    <row r="430">
      <c r="A430" s="117" t="s">
        <v>3691</v>
      </c>
      <c r="B430" s="118"/>
      <c r="C430" s="118" t="s">
        <v>3692</v>
      </c>
      <c r="D430" s="119" t="s">
        <v>3693</v>
      </c>
      <c r="F430" s="9" t="s">
        <v>3690</v>
      </c>
    </row>
    <row r="431">
      <c r="A431" s="121" t="s">
        <v>3694</v>
      </c>
      <c r="B431" s="118"/>
      <c r="C431" s="118" t="s">
        <v>3695</v>
      </c>
      <c r="D431" s="119" t="s">
        <v>2671</v>
      </c>
      <c r="F431" s="9" t="s">
        <v>3690</v>
      </c>
    </row>
    <row r="432">
      <c r="A432" s="117" t="s">
        <v>3696</v>
      </c>
      <c r="B432" s="118"/>
      <c r="C432" s="118" t="s">
        <v>3697</v>
      </c>
      <c r="D432" s="119" t="s">
        <v>3698</v>
      </c>
      <c r="F432" s="9" t="s">
        <v>3690</v>
      </c>
    </row>
    <row r="433">
      <c r="A433" s="121" t="s">
        <v>3699</v>
      </c>
      <c r="B433" s="118"/>
      <c r="C433" s="118" t="s">
        <v>3700</v>
      </c>
      <c r="D433" s="119" t="s">
        <v>3701</v>
      </c>
      <c r="F433" s="9" t="s">
        <v>3690</v>
      </c>
    </row>
    <row r="434">
      <c r="A434" s="117" t="s">
        <v>3702</v>
      </c>
      <c r="B434" s="118"/>
      <c r="C434" s="118" t="s">
        <v>3703</v>
      </c>
      <c r="D434" s="119" t="s">
        <v>3704</v>
      </c>
      <c r="F434" s="9" t="s">
        <v>3690</v>
      </c>
    </row>
    <row r="435">
      <c r="A435" s="121" t="s">
        <v>3687</v>
      </c>
      <c r="B435" s="118"/>
      <c r="C435" s="118" t="s">
        <v>3688</v>
      </c>
      <c r="D435" s="119" t="s">
        <v>3705</v>
      </c>
      <c r="F435" s="9" t="s">
        <v>3690</v>
      </c>
    </row>
    <row r="436">
      <c r="A436" s="117" t="s">
        <v>1651</v>
      </c>
      <c r="B436" s="118"/>
      <c r="C436" s="118" t="s">
        <v>3706</v>
      </c>
      <c r="D436" s="119" t="s">
        <v>3707</v>
      </c>
      <c r="F436" s="9" t="s">
        <v>3690</v>
      </c>
    </row>
    <row r="437">
      <c r="A437" s="117" t="s">
        <v>3708</v>
      </c>
      <c r="B437" s="118"/>
      <c r="C437" s="118" t="s">
        <v>3709</v>
      </c>
      <c r="D437" s="119" t="s">
        <v>3710</v>
      </c>
      <c r="F437" s="9" t="s">
        <v>3690</v>
      </c>
    </row>
    <row r="438">
      <c r="A438" s="128"/>
      <c r="B438" s="118"/>
      <c r="C438" s="118" t="e">
        <v>#VALUE!</v>
      </c>
      <c r="D438" s="128"/>
    </row>
    <row r="439">
      <c r="A439" s="117" t="s">
        <v>3711</v>
      </c>
      <c r="B439" s="118"/>
      <c r="C439" s="118" t="s">
        <v>3712</v>
      </c>
      <c r="D439" s="119" t="s">
        <v>3713</v>
      </c>
      <c r="F439" s="9" t="s">
        <v>3690</v>
      </c>
    </row>
    <row r="440">
      <c r="A440" s="117" t="s">
        <v>3711</v>
      </c>
      <c r="B440" s="118"/>
      <c r="C440" s="118"/>
      <c r="D440" s="119" t="s">
        <v>1656</v>
      </c>
      <c r="F440" s="9" t="s">
        <v>3690</v>
      </c>
    </row>
    <row r="441">
      <c r="A441" s="117" t="s">
        <v>3714</v>
      </c>
      <c r="B441" s="118"/>
      <c r="C441" s="118" t="s">
        <v>3715</v>
      </c>
      <c r="D441" s="119" t="s">
        <v>3716</v>
      </c>
      <c r="F441" s="9" t="s">
        <v>3690</v>
      </c>
    </row>
    <row r="442">
      <c r="A442" s="123"/>
      <c r="B442" s="118"/>
      <c r="C442" s="118"/>
      <c r="D442" s="118"/>
    </row>
    <row r="443">
      <c r="A443" s="123"/>
      <c r="B443" s="118"/>
      <c r="C443" s="118"/>
      <c r="D443" s="118"/>
    </row>
    <row r="444">
      <c r="A444" s="118"/>
      <c r="B444" s="118"/>
      <c r="C444" s="118"/>
      <c r="D444" s="118"/>
    </row>
    <row r="445">
      <c r="A445" s="124" t="s">
        <v>3717</v>
      </c>
      <c r="B445" s="118"/>
      <c r="C445" s="118"/>
      <c r="D445" s="118"/>
    </row>
    <row r="446">
      <c r="A446" s="125" t="s">
        <v>3018</v>
      </c>
      <c r="B446" s="118"/>
      <c r="C446" s="118"/>
      <c r="D446" s="126" t="s">
        <v>3019</v>
      </c>
    </row>
    <row r="447">
      <c r="A447" s="121" t="s">
        <v>3718</v>
      </c>
      <c r="B447" s="118"/>
      <c r="C447" s="118" t="s">
        <v>3719</v>
      </c>
      <c r="D447" s="122" t="s">
        <v>3720</v>
      </c>
      <c r="F447" s="9" t="s">
        <v>3721</v>
      </c>
    </row>
    <row r="448">
      <c r="A448" s="117" t="s">
        <v>3722</v>
      </c>
      <c r="B448" s="118"/>
      <c r="C448" s="118" t="s">
        <v>3723</v>
      </c>
      <c r="D448" s="119" t="s">
        <v>3724</v>
      </c>
      <c r="F448" s="9" t="s">
        <v>3721</v>
      </c>
    </row>
    <row r="449">
      <c r="A449" s="117" t="s">
        <v>167</v>
      </c>
      <c r="B449" s="118"/>
      <c r="C449" s="118" t="s">
        <v>3725</v>
      </c>
      <c r="D449" s="119" t="s">
        <v>3726</v>
      </c>
      <c r="F449" s="9" t="s">
        <v>3721</v>
      </c>
    </row>
    <row r="450">
      <c r="A450" s="117" t="s">
        <v>3727</v>
      </c>
      <c r="B450" s="118"/>
      <c r="C450" s="118" t="s">
        <v>3728</v>
      </c>
      <c r="D450" s="119" t="s">
        <v>3729</v>
      </c>
      <c r="F450" s="9" t="s">
        <v>3721</v>
      </c>
    </row>
    <row r="451">
      <c r="A451" s="117" t="s">
        <v>3730</v>
      </c>
      <c r="B451" s="118"/>
      <c r="C451" s="118" t="s">
        <v>3731</v>
      </c>
      <c r="D451" s="119" t="s">
        <v>3732</v>
      </c>
      <c r="F451" s="9" t="s">
        <v>3721</v>
      </c>
    </row>
    <row r="452">
      <c r="A452" s="117" t="s">
        <v>3733</v>
      </c>
      <c r="B452" s="118"/>
      <c r="C452" s="118" t="s">
        <v>3734</v>
      </c>
      <c r="D452" s="119" t="s">
        <v>3735</v>
      </c>
      <c r="F452" s="9" t="s">
        <v>3721</v>
      </c>
    </row>
    <row r="453">
      <c r="A453" s="117" t="s">
        <v>3736</v>
      </c>
      <c r="B453" s="118"/>
      <c r="C453" s="118"/>
      <c r="D453" s="119" t="s">
        <v>42</v>
      </c>
      <c r="F453" s="9" t="s">
        <v>3721</v>
      </c>
    </row>
    <row r="454">
      <c r="A454" s="117" t="s">
        <v>174</v>
      </c>
      <c r="B454" s="118"/>
      <c r="C454" s="118" t="s">
        <v>3737</v>
      </c>
      <c r="D454" s="119" t="s">
        <v>2424</v>
      </c>
      <c r="F454" s="9" t="s">
        <v>3721</v>
      </c>
    </row>
    <row r="455">
      <c r="A455" s="117" t="s">
        <v>174</v>
      </c>
      <c r="B455" s="118"/>
      <c r="C455" s="118" t="s">
        <v>3737</v>
      </c>
      <c r="D455" s="119" t="s">
        <v>3738</v>
      </c>
      <c r="F455" s="9" t="s">
        <v>3721</v>
      </c>
    </row>
    <row r="456">
      <c r="A456" s="117" t="s">
        <v>174</v>
      </c>
      <c r="B456" s="118"/>
      <c r="C456" s="118" t="s">
        <v>3737</v>
      </c>
      <c r="D456" s="119" t="s">
        <v>2426</v>
      </c>
      <c r="F456" s="9" t="s">
        <v>3721</v>
      </c>
    </row>
    <row r="457">
      <c r="A457" s="117" t="s">
        <v>174</v>
      </c>
      <c r="B457" s="118"/>
      <c r="C457" s="118" t="s">
        <v>3737</v>
      </c>
      <c r="D457" s="119" t="s">
        <v>2427</v>
      </c>
      <c r="F457" s="9" t="s">
        <v>3721</v>
      </c>
    </row>
    <row r="458">
      <c r="A458" s="117" t="s">
        <v>3739</v>
      </c>
      <c r="B458" s="118"/>
      <c r="C458" s="118" t="s">
        <v>3740</v>
      </c>
      <c r="D458" s="119" t="s">
        <v>3741</v>
      </c>
      <c r="F458" s="9" t="s">
        <v>3721</v>
      </c>
    </row>
    <row r="459">
      <c r="A459" s="117" t="s">
        <v>3742</v>
      </c>
      <c r="B459" s="118"/>
      <c r="C459" s="118"/>
      <c r="D459" s="119" t="s">
        <v>3743</v>
      </c>
      <c r="F459" s="9" t="s">
        <v>3721</v>
      </c>
    </row>
    <row r="460">
      <c r="A460" s="117" t="s">
        <v>3744</v>
      </c>
      <c r="B460" s="118"/>
      <c r="C460" s="118" t="s">
        <v>3745</v>
      </c>
      <c r="D460" s="119" t="s">
        <v>385</v>
      </c>
      <c r="F460" s="9" t="s">
        <v>3721</v>
      </c>
    </row>
    <row r="461">
      <c r="A461" s="117" t="s">
        <v>3746</v>
      </c>
      <c r="B461" s="118"/>
      <c r="C461" s="118" t="s">
        <v>3747</v>
      </c>
      <c r="D461" s="119" t="s">
        <v>3748</v>
      </c>
      <c r="F461" s="9" t="s">
        <v>3721</v>
      </c>
    </row>
    <row r="462">
      <c r="A462" s="117" t="s">
        <v>3749</v>
      </c>
      <c r="B462" s="118"/>
      <c r="C462" s="118" t="s">
        <v>3750</v>
      </c>
      <c r="D462" s="119" t="s">
        <v>3751</v>
      </c>
      <c r="F462" s="9" t="s">
        <v>3721</v>
      </c>
    </row>
    <row r="463">
      <c r="A463" s="117" t="s">
        <v>3752</v>
      </c>
      <c r="B463" s="118"/>
      <c r="C463" s="118" t="s">
        <v>3753</v>
      </c>
      <c r="D463" s="119" t="s">
        <v>422</v>
      </c>
      <c r="F463" s="9" t="s">
        <v>3721</v>
      </c>
    </row>
    <row r="464">
      <c r="A464" s="117" t="s">
        <v>3754</v>
      </c>
      <c r="B464" s="118"/>
      <c r="C464" s="118" t="s">
        <v>3755</v>
      </c>
      <c r="D464" s="119" t="s">
        <v>3756</v>
      </c>
      <c r="F464" s="9" t="s">
        <v>3721</v>
      </c>
    </row>
    <row r="465">
      <c r="A465" s="117" t="s">
        <v>3757</v>
      </c>
      <c r="B465" s="118"/>
      <c r="C465" s="118" t="s">
        <v>3758</v>
      </c>
      <c r="D465" s="119" t="s">
        <v>398</v>
      </c>
      <c r="F465" s="9" t="s">
        <v>3721</v>
      </c>
    </row>
    <row r="466">
      <c r="A466" s="117" t="s">
        <v>3759</v>
      </c>
      <c r="B466" s="118"/>
      <c r="C466" s="118" t="s">
        <v>3760</v>
      </c>
      <c r="D466" s="119" t="s">
        <v>3761</v>
      </c>
      <c r="F466" s="9" t="s">
        <v>3721</v>
      </c>
    </row>
    <row r="467">
      <c r="A467" s="117" t="s">
        <v>3762</v>
      </c>
      <c r="B467" s="118"/>
      <c r="C467" s="118" t="s">
        <v>3763</v>
      </c>
      <c r="D467" s="119" t="s">
        <v>407</v>
      </c>
      <c r="F467" s="9" t="s">
        <v>3721</v>
      </c>
    </row>
    <row r="468">
      <c r="A468" s="117" t="s">
        <v>3764</v>
      </c>
      <c r="B468" s="118"/>
      <c r="C468" s="118" t="s">
        <v>3765</v>
      </c>
      <c r="D468" s="119" t="s">
        <v>410</v>
      </c>
      <c r="F468" s="9" t="s">
        <v>3721</v>
      </c>
    </row>
    <row r="469">
      <c r="A469" s="117" t="s">
        <v>3766</v>
      </c>
      <c r="B469" s="118"/>
      <c r="C469" s="118" t="s">
        <v>3767</v>
      </c>
      <c r="D469" s="119" t="s">
        <v>3768</v>
      </c>
      <c r="F469" s="9" t="s">
        <v>3721</v>
      </c>
    </row>
    <row r="470">
      <c r="A470" s="117" t="s">
        <v>3769</v>
      </c>
      <c r="B470" s="118"/>
      <c r="C470" s="118"/>
      <c r="D470" s="119" t="s">
        <v>3770</v>
      </c>
      <c r="F470" s="9" t="s">
        <v>3721</v>
      </c>
    </row>
    <row r="471">
      <c r="A471" s="128"/>
      <c r="B471" s="118"/>
      <c r="C471" s="118"/>
      <c r="D471" s="128"/>
    </row>
    <row r="472">
      <c r="A472" s="128"/>
      <c r="B472" s="118"/>
      <c r="C472" s="118"/>
      <c r="D472" s="128"/>
    </row>
    <row r="473">
      <c r="A473" s="117" t="s">
        <v>342</v>
      </c>
      <c r="B473" s="118"/>
      <c r="C473" s="118"/>
      <c r="D473" s="119" t="s">
        <v>3771</v>
      </c>
      <c r="F473" s="9" t="s">
        <v>3721</v>
      </c>
    </row>
    <row r="474">
      <c r="A474" s="117" t="s">
        <v>333</v>
      </c>
      <c r="B474" s="118"/>
      <c r="C474" s="118"/>
      <c r="D474" s="119" t="s">
        <v>3772</v>
      </c>
      <c r="F474" s="9" t="s">
        <v>3721</v>
      </c>
    </row>
    <row r="475">
      <c r="A475" s="117" t="s">
        <v>3773</v>
      </c>
      <c r="B475" s="118"/>
      <c r="C475" s="118" t="s">
        <v>3774</v>
      </c>
      <c r="D475" s="119" t="s">
        <v>3775</v>
      </c>
      <c r="F475" s="9" t="s">
        <v>3721</v>
      </c>
    </row>
    <row r="476">
      <c r="A476" s="117" t="s">
        <v>3776</v>
      </c>
      <c r="B476" s="118"/>
      <c r="C476" s="118" t="s">
        <v>3777</v>
      </c>
      <c r="D476" s="119" t="s">
        <v>3778</v>
      </c>
      <c r="F476" s="9" t="s">
        <v>3721</v>
      </c>
    </row>
    <row r="477">
      <c r="A477" s="117" t="s">
        <v>3779</v>
      </c>
      <c r="B477" s="118"/>
      <c r="C477" s="118" t="s">
        <v>3780</v>
      </c>
      <c r="D477" s="119" t="s">
        <v>3781</v>
      </c>
      <c r="F477" s="9" t="s">
        <v>3721</v>
      </c>
    </row>
    <row r="478">
      <c r="A478" s="117" t="s">
        <v>3782</v>
      </c>
      <c r="B478" s="118"/>
      <c r="C478" s="118" t="s">
        <v>3783</v>
      </c>
      <c r="D478" s="119" t="s">
        <v>3784</v>
      </c>
      <c r="F478" s="9" t="s">
        <v>3721</v>
      </c>
    </row>
    <row r="479">
      <c r="A479" s="117" t="s">
        <v>3779</v>
      </c>
      <c r="B479" s="118"/>
      <c r="C479" s="118" t="s">
        <v>3780</v>
      </c>
      <c r="D479" s="119" t="s">
        <v>3784</v>
      </c>
      <c r="F479" s="9" t="s">
        <v>3721</v>
      </c>
    </row>
    <row r="480">
      <c r="A480" s="117" t="s">
        <v>3785</v>
      </c>
      <c r="B480" s="118"/>
      <c r="C480" s="118" t="s">
        <v>3786</v>
      </c>
      <c r="D480" s="119" t="s">
        <v>3787</v>
      </c>
      <c r="F480" s="9" t="s">
        <v>3721</v>
      </c>
    </row>
    <row r="481">
      <c r="A481" s="117" t="s">
        <v>3788</v>
      </c>
      <c r="B481" s="118"/>
      <c r="C481" s="118" t="s">
        <v>3789</v>
      </c>
      <c r="D481" s="119" t="s">
        <v>3790</v>
      </c>
      <c r="F481" s="9" t="s">
        <v>3721</v>
      </c>
    </row>
    <row r="482">
      <c r="A482" s="123"/>
      <c r="B482" s="118"/>
      <c r="C482" s="118"/>
      <c r="D482" s="123"/>
    </row>
    <row r="483">
      <c r="A483" s="124" t="s">
        <v>3791</v>
      </c>
      <c r="B483" s="118"/>
      <c r="C483" s="118"/>
      <c r="D483" s="118"/>
    </row>
    <row r="484">
      <c r="A484" s="125" t="s">
        <v>3018</v>
      </c>
      <c r="B484" s="118"/>
      <c r="C484" s="118"/>
      <c r="D484" s="126" t="s">
        <v>3019</v>
      </c>
    </row>
    <row r="485">
      <c r="A485" s="121" t="s">
        <v>3792</v>
      </c>
      <c r="B485" s="118"/>
      <c r="C485" s="118" t="s">
        <v>3793</v>
      </c>
      <c r="D485" s="122" t="s">
        <v>3794</v>
      </c>
      <c r="F485" s="124" t="s">
        <v>3791</v>
      </c>
    </row>
    <row r="486">
      <c r="A486" s="117" t="s">
        <v>3795</v>
      </c>
      <c r="B486" s="118"/>
      <c r="C486" s="118" t="s">
        <v>3796</v>
      </c>
      <c r="D486" s="119" t="s">
        <v>3797</v>
      </c>
      <c r="F486" s="124" t="s">
        <v>3791</v>
      </c>
    </row>
    <row r="487">
      <c r="A487" s="117" t="s">
        <v>3798</v>
      </c>
      <c r="B487" s="118"/>
      <c r="C487" s="118" t="s">
        <v>3799</v>
      </c>
      <c r="D487" s="119" t="s">
        <v>3800</v>
      </c>
      <c r="F487" s="124" t="s">
        <v>3791</v>
      </c>
    </row>
    <row r="488">
      <c r="A488" s="117" t="s">
        <v>3801</v>
      </c>
      <c r="B488" s="118"/>
      <c r="C488" s="118" t="s">
        <v>3802</v>
      </c>
      <c r="D488" s="119" t="s">
        <v>3803</v>
      </c>
      <c r="F488" s="124" t="s">
        <v>3791</v>
      </c>
    </row>
    <row r="489">
      <c r="A489" s="117" t="s">
        <v>3804</v>
      </c>
      <c r="B489" s="118"/>
      <c r="C489" s="118" t="s">
        <v>3805</v>
      </c>
      <c r="D489" s="119" t="s">
        <v>3806</v>
      </c>
      <c r="F489" s="124" t="s">
        <v>3791</v>
      </c>
    </row>
    <row r="490">
      <c r="A490" s="117" t="s">
        <v>3807</v>
      </c>
      <c r="B490" s="118"/>
      <c r="C490" s="118" t="s">
        <v>3808</v>
      </c>
      <c r="D490" s="119" t="s">
        <v>3809</v>
      </c>
      <c r="F490" s="124" t="s">
        <v>3791</v>
      </c>
    </row>
    <row r="491">
      <c r="A491" s="117" t="s">
        <v>3810</v>
      </c>
      <c r="B491" s="118"/>
      <c r="C491" s="118" t="s">
        <v>3811</v>
      </c>
      <c r="D491" s="119" t="s">
        <v>3812</v>
      </c>
      <c r="F491" s="124" t="s">
        <v>3791</v>
      </c>
    </row>
    <row r="492">
      <c r="A492" s="117" t="s">
        <v>3813</v>
      </c>
      <c r="B492" s="118"/>
      <c r="C492" s="118" t="s">
        <v>3814</v>
      </c>
      <c r="D492" s="119" t="s">
        <v>3815</v>
      </c>
      <c r="F492" s="124" t="s">
        <v>3791</v>
      </c>
    </row>
    <row r="493">
      <c r="A493" s="117" t="s">
        <v>3816</v>
      </c>
      <c r="B493" s="118"/>
      <c r="C493" s="118" t="s">
        <v>3817</v>
      </c>
      <c r="D493" s="119" t="s">
        <v>3818</v>
      </c>
      <c r="F493" s="124" t="s">
        <v>3791</v>
      </c>
    </row>
    <row r="494">
      <c r="A494" s="117" t="s">
        <v>3819</v>
      </c>
      <c r="B494" s="118"/>
      <c r="C494" s="118" t="s">
        <v>3820</v>
      </c>
      <c r="D494" s="119" t="s">
        <v>3821</v>
      </c>
      <c r="F494" s="124" t="s">
        <v>3791</v>
      </c>
    </row>
    <row r="495">
      <c r="A495" s="117" t="s">
        <v>3822</v>
      </c>
      <c r="B495" s="118"/>
      <c r="C495" s="118" t="s">
        <v>3823</v>
      </c>
      <c r="D495" s="119" t="s">
        <v>3824</v>
      </c>
      <c r="F495" s="124" t="s">
        <v>3791</v>
      </c>
    </row>
    <row r="496">
      <c r="A496" s="117" t="s">
        <v>3825</v>
      </c>
      <c r="B496" s="118"/>
      <c r="C496" s="118" t="s">
        <v>3826</v>
      </c>
      <c r="D496" s="119" t="s">
        <v>3827</v>
      </c>
      <c r="F496" s="124" t="s">
        <v>3791</v>
      </c>
    </row>
    <row r="497">
      <c r="A497" s="117" t="s">
        <v>3828</v>
      </c>
      <c r="B497" s="118"/>
      <c r="C497" s="118" t="s">
        <v>3829</v>
      </c>
      <c r="D497" s="119" t="s">
        <v>3830</v>
      </c>
      <c r="F497" s="124" t="s">
        <v>3791</v>
      </c>
    </row>
    <row r="498">
      <c r="A498" s="119" t="s">
        <v>3831</v>
      </c>
      <c r="B498" s="118"/>
      <c r="C498" s="118" t="s">
        <v>3832</v>
      </c>
      <c r="D498" s="119" t="s">
        <v>3833</v>
      </c>
      <c r="F498" s="124" t="s">
        <v>3791</v>
      </c>
    </row>
    <row r="499">
      <c r="A499" s="123"/>
      <c r="B499" s="118"/>
      <c r="C499" s="118"/>
      <c r="D499" s="123"/>
    </row>
    <row r="500">
      <c r="A500" s="124" t="s">
        <v>3834</v>
      </c>
      <c r="B500" s="118"/>
      <c r="C500" s="118"/>
      <c r="D500" s="118"/>
    </row>
    <row r="501">
      <c r="A501" s="125" t="s">
        <v>3018</v>
      </c>
      <c r="B501" s="118"/>
      <c r="C501" s="118"/>
      <c r="D501" s="126" t="s">
        <v>3019</v>
      </c>
    </row>
    <row r="502">
      <c r="A502" s="121" t="s">
        <v>204</v>
      </c>
      <c r="B502" s="118"/>
      <c r="C502" s="118" t="s">
        <v>3835</v>
      </c>
      <c r="D502" s="122" t="s">
        <v>205</v>
      </c>
      <c r="F502" s="9" t="s">
        <v>3836</v>
      </c>
    </row>
    <row r="503">
      <c r="A503" s="121" t="s">
        <v>204</v>
      </c>
      <c r="B503" s="118"/>
      <c r="C503" s="118" t="s">
        <v>3835</v>
      </c>
      <c r="D503" s="119" t="s">
        <v>2309</v>
      </c>
      <c r="F503" s="9" t="s">
        <v>3836</v>
      </c>
    </row>
    <row r="504">
      <c r="A504" s="121" t="s">
        <v>3837</v>
      </c>
      <c r="B504" s="118"/>
      <c r="C504" s="118" t="s">
        <v>3838</v>
      </c>
      <c r="D504" s="119" t="s">
        <v>2308</v>
      </c>
      <c r="F504" s="9" t="s">
        <v>3836</v>
      </c>
    </row>
    <row r="505">
      <c r="A505" s="117" t="s">
        <v>3839</v>
      </c>
      <c r="B505" s="118"/>
      <c r="C505" s="118" t="s">
        <v>3840</v>
      </c>
      <c r="D505" s="119" t="s">
        <v>3841</v>
      </c>
      <c r="F505" s="9" t="s">
        <v>3836</v>
      </c>
    </row>
    <row r="506">
      <c r="A506" s="117" t="s">
        <v>3842</v>
      </c>
      <c r="B506" s="118"/>
      <c r="C506" s="118" t="s">
        <v>3843</v>
      </c>
      <c r="D506" s="119" t="s">
        <v>3844</v>
      </c>
      <c r="F506" s="9" t="s">
        <v>3836</v>
      </c>
    </row>
    <row r="507">
      <c r="A507" s="117" t="s">
        <v>201</v>
      </c>
      <c r="B507" s="118"/>
      <c r="C507" s="118" t="s">
        <v>3845</v>
      </c>
      <c r="D507" s="119" t="s">
        <v>202</v>
      </c>
      <c r="F507" s="9" t="s">
        <v>3836</v>
      </c>
    </row>
    <row r="508">
      <c r="A508" s="117" t="s">
        <v>3846</v>
      </c>
      <c r="B508" s="118"/>
      <c r="C508" s="118" t="s">
        <v>3847</v>
      </c>
      <c r="D508" s="119" t="s">
        <v>3848</v>
      </c>
      <c r="F508" s="9" t="s">
        <v>3836</v>
      </c>
    </row>
    <row r="509">
      <c r="A509" s="128"/>
      <c r="B509" s="118"/>
      <c r="C509" s="118" t="e">
        <v>#VALUE!</v>
      </c>
      <c r="D509" s="128"/>
    </row>
    <row r="510">
      <c r="A510" s="117" t="s">
        <v>3849</v>
      </c>
      <c r="B510" s="118"/>
      <c r="C510" s="118" t="s">
        <v>3850</v>
      </c>
      <c r="D510" s="119" t="s">
        <v>284</v>
      </c>
      <c r="F510" s="9" t="s">
        <v>3836</v>
      </c>
    </row>
    <row r="511">
      <c r="A511" s="117" t="s">
        <v>3851</v>
      </c>
      <c r="B511" s="118"/>
      <c r="C511" s="118"/>
      <c r="D511" s="119" t="s">
        <v>3852</v>
      </c>
      <c r="F511" s="9" t="s">
        <v>3836</v>
      </c>
    </row>
    <row r="512">
      <c r="A512" s="117" t="s">
        <v>3853</v>
      </c>
      <c r="B512" s="118"/>
      <c r="C512" s="118" t="s">
        <v>3854</v>
      </c>
      <c r="D512" s="119" t="s">
        <v>2392</v>
      </c>
      <c r="F512" s="9" t="s">
        <v>3836</v>
      </c>
    </row>
    <row r="513">
      <c r="A513" s="117" t="s">
        <v>3855</v>
      </c>
      <c r="B513" s="118"/>
      <c r="C513" s="118" t="s">
        <v>3856</v>
      </c>
      <c r="D513" s="119" t="s">
        <v>2404</v>
      </c>
      <c r="F513" s="9" t="s">
        <v>3836</v>
      </c>
    </row>
    <row r="514">
      <c r="A514" s="117" t="s">
        <v>3857</v>
      </c>
      <c r="B514" s="118"/>
      <c r="C514" s="118" t="s">
        <v>3858</v>
      </c>
      <c r="D514" s="119" t="s">
        <v>3859</v>
      </c>
      <c r="F514" s="9" t="s">
        <v>3836</v>
      </c>
    </row>
    <row r="515">
      <c r="A515" s="117" t="s">
        <v>3860</v>
      </c>
      <c r="B515" s="118"/>
      <c r="C515" s="118" t="s">
        <v>3861</v>
      </c>
      <c r="D515" s="119" t="s">
        <v>2394</v>
      </c>
      <c r="F515" s="9" t="s">
        <v>3836</v>
      </c>
    </row>
    <row r="516">
      <c r="A516" s="117" t="s">
        <v>1119</v>
      </c>
      <c r="B516" s="118"/>
      <c r="C516" s="118" t="s">
        <v>3862</v>
      </c>
      <c r="D516" s="119" t="s">
        <v>3863</v>
      </c>
      <c r="F516" s="9" t="s">
        <v>3836</v>
      </c>
    </row>
    <row r="517">
      <c r="A517" s="117" t="s">
        <v>3864</v>
      </c>
      <c r="B517" s="118"/>
      <c r="C517" s="118" t="s">
        <v>3865</v>
      </c>
      <c r="D517" s="119" t="s">
        <v>3866</v>
      </c>
      <c r="F517" s="9" t="s">
        <v>3836</v>
      </c>
    </row>
    <row r="518">
      <c r="A518" s="117" t="s">
        <v>3867</v>
      </c>
      <c r="B518" s="118"/>
      <c r="C518" s="118" t="s">
        <v>3868</v>
      </c>
      <c r="D518" s="119" t="s">
        <v>3866</v>
      </c>
      <c r="F518" s="9" t="s">
        <v>3836</v>
      </c>
    </row>
    <row r="519">
      <c r="A519" s="117" t="s">
        <v>3869</v>
      </c>
      <c r="B519" s="118"/>
      <c r="C519" s="118" t="s">
        <v>3870</v>
      </c>
      <c r="D519" s="119" t="s">
        <v>3871</v>
      </c>
      <c r="F519" s="9" t="s">
        <v>3836</v>
      </c>
    </row>
    <row r="520">
      <c r="A520" s="117" t="s">
        <v>3872</v>
      </c>
      <c r="B520" s="118"/>
      <c r="C520" s="118" t="s">
        <v>3873</v>
      </c>
      <c r="D520" s="119" t="s">
        <v>1087</v>
      </c>
      <c r="F520" s="9" t="s">
        <v>3836</v>
      </c>
    </row>
    <row r="521">
      <c r="A521" s="117" t="s">
        <v>3874</v>
      </c>
      <c r="B521" s="118"/>
      <c r="C521" s="118" t="s">
        <v>3875</v>
      </c>
      <c r="D521" s="119" t="s">
        <v>2754</v>
      </c>
      <c r="F521" s="9" t="s">
        <v>3836</v>
      </c>
    </row>
    <row r="522">
      <c r="A522" s="117" t="s">
        <v>3876</v>
      </c>
      <c r="B522" s="118"/>
      <c r="C522" s="118" t="s">
        <v>3877</v>
      </c>
      <c r="D522" s="119" t="s">
        <v>1087</v>
      </c>
      <c r="F522" s="9" t="s">
        <v>3836</v>
      </c>
    </row>
    <row r="523">
      <c r="A523" s="117" t="s">
        <v>3878</v>
      </c>
      <c r="B523" s="118"/>
      <c r="C523" s="118" t="s">
        <v>3879</v>
      </c>
      <c r="D523" s="119" t="s">
        <v>1087</v>
      </c>
      <c r="F523" s="9" t="s">
        <v>3836</v>
      </c>
    </row>
    <row r="524">
      <c r="A524" s="117" t="s">
        <v>3880</v>
      </c>
      <c r="B524" s="118"/>
      <c r="C524" s="118" t="s">
        <v>3881</v>
      </c>
      <c r="D524" s="119" t="s">
        <v>2756</v>
      </c>
      <c r="F524" s="9" t="s">
        <v>3836</v>
      </c>
    </row>
    <row r="525">
      <c r="A525" s="117" t="s">
        <v>3882</v>
      </c>
      <c r="B525" s="118"/>
      <c r="C525" s="118" t="s">
        <v>3883</v>
      </c>
      <c r="D525" s="119" t="s">
        <v>3884</v>
      </c>
      <c r="F525" s="9" t="s">
        <v>3836</v>
      </c>
    </row>
    <row r="526">
      <c r="A526" s="117" t="s">
        <v>3885</v>
      </c>
      <c r="B526" s="118"/>
      <c r="C526" s="118" t="s">
        <v>3886</v>
      </c>
      <c r="D526" s="119" t="s">
        <v>3887</v>
      </c>
      <c r="F526" s="9" t="s">
        <v>3836</v>
      </c>
    </row>
    <row r="527">
      <c r="A527" s="117" t="s">
        <v>3888</v>
      </c>
      <c r="B527" s="118"/>
      <c r="C527" s="118" t="s">
        <v>3889</v>
      </c>
      <c r="D527" s="119" t="s">
        <v>3890</v>
      </c>
      <c r="F527" s="9" t="s">
        <v>3836</v>
      </c>
    </row>
    <row r="528">
      <c r="A528" s="117" t="s">
        <v>3891</v>
      </c>
      <c r="B528" s="118"/>
      <c r="C528" s="118" t="s">
        <v>3892</v>
      </c>
      <c r="D528" s="119" t="s">
        <v>3890</v>
      </c>
      <c r="F528" s="9" t="s">
        <v>3836</v>
      </c>
    </row>
    <row r="529">
      <c r="A529" s="117" t="s">
        <v>3893</v>
      </c>
      <c r="B529" s="118"/>
      <c r="C529" s="118" t="s">
        <v>3894</v>
      </c>
      <c r="D529" s="119" t="s">
        <v>3895</v>
      </c>
      <c r="F529" s="9" t="s">
        <v>3836</v>
      </c>
    </row>
    <row r="530">
      <c r="A530" s="117" t="s">
        <v>3896</v>
      </c>
      <c r="B530" s="118"/>
      <c r="C530" s="118" t="s">
        <v>3897</v>
      </c>
      <c r="D530" s="119" t="s">
        <v>3898</v>
      </c>
      <c r="F530" s="9" t="s">
        <v>3836</v>
      </c>
    </row>
    <row r="531">
      <c r="A531" s="117" t="s">
        <v>3899</v>
      </c>
      <c r="B531" s="118"/>
      <c r="C531" s="118" t="s">
        <v>3900</v>
      </c>
      <c r="D531" s="119" t="s">
        <v>3901</v>
      </c>
      <c r="F531" s="9" t="s">
        <v>3836</v>
      </c>
    </row>
    <row r="532">
      <c r="A532" s="117" t="s">
        <v>3902</v>
      </c>
      <c r="B532" s="118"/>
      <c r="C532" s="118" t="s">
        <v>3903</v>
      </c>
      <c r="D532" s="119" t="s">
        <v>3904</v>
      </c>
      <c r="F532" s="9" t="s">
        <v>3836</v>
      </c>
    </row>
    <row r="533">
      <c r="A533" s="119" t="s">
        <v>3905</v>
      </c>
      <c r="B533" s="118"/>
      <c r="C533" s="118" t="s">
        <v>3906</v>
      </c>
      <c r="D533" s="119" t="s">
        <v>3907</v>
      </c>
      <c r="F533" s="9" t="s">
        <v>3836</v>
      </c>
    </row>
    <row r="534">
      <c r="A534" s="117" t="s">
        <v>3908</v>
      </c>
      <c r="B534" s="118"/>
      <c r="C534" s="118" t="s">
        <v>3909</v>
      </c>
      <c r="D534" s="119" t="s">
        <v>3910</v>
      </c>
      <c r="F534" s="9" t="s">
        <v>3836</v>
      </c>
    </row>
    <row r="535">
      <c r="A535" s="117" t="s">
        <v>3911</v>
      </c>
      <c r="B535" s="118"/>
      <c r="C535" s="118" t="s">
        <v>3912</v>
      </c>
      <c r="D535" s="119" t="s">
        <v>3913</v>
      </c>
      <c r="F535" s="9" t="s">
        <v>3836</v>
      </c>
    </row>
    <row r="536">
      <c r="A536" s="117" t="s">
        <v>3914</v>
      </c>
      <c r="B536" s="118"/>
      <c r="C536" s="118" t="s">
        <v>3915</v>
      </c>
      <c r="D536" s="119" t="s">
        <v>3916</v>
      </c>
      <c r="F536" s="9" t="s">
        <v>3836</v>
      </c>
    </row>
    <row r="537">
      <c r="A537" s="123"/>
      <c r="B537" s="118"/>
      <c r="C537" s="118"/>
      <c r="D537" s="123"/>
    </row>
    <row r="538">
      <c r="A538" s="118"/>
      <c r="B538" s="118"/>
      <c r="C538" s="118"/>
      <c r="D538" s="118"/>
    </row>
    <row r="539">
      <c r="A539" s="124" t="s">
        <v>3917</v>
      </c>
      <c r="B539" s="118"/>
      <c r="C539" s="118"/>
      <c r="D539" s="118"/>
    </row>
    <row r="540">
      <c r="A540" s="125" t="s">
        <v>3018</v>
      </c>
      <c r="B540" s="118"/>
      <c r="C540" s="118"/>
      <c r="D540" s="126" t="s">
        <v>3019</v>
      </c>
    </row>
    <row r="541">
      <c r="A541" s="121" t="s">
        <v>3918</v>
      </c>
      <c r="B541" s="118"/>
      <c r="C541" s="118" t="s">
        <v>3919</v>
      </c>
      <c r="D541" s="122" t="s">
        <v>3920</v>
      </c>
      <c r="F541" s="9" t="s">
        <v>3921</v>
      </c>
    </row>
    <row r="542">
      <c r="A542" s="117" t="s">
        <v>3922</v>
      </c>
      <c r="B542" s="118"/>
      <c r="C542" s="118" t="s">
        <v>3923</v>
      </c>
      <c r="D542" s="119" t="s">
        <v>3924</v>
      </c>
      <c r="F542" s="9" t="s">
        <v>3921</v>
      </c>
    </row>
    <row r="543">
      <c r="A543" s="117" t="s">
        <v>3925</v>
      </c>
      <c r="B543" s="118"/>
      <c r="C543" s="118" t="s">
        <v>3926</v>
      </c>
      <c r="D543" s="119" t="s">
        <v>3927</v>
      </c>
      <c r="F543" s="9" t="s">
        <v>3921</v>
      </c>
    </row>
    <row r="544">
      <c r="A544" s="128"/>
      <c r="B544" s="118"/>
      <c r="C544" s="118" t="e">
        <v>#VALUE!</v>
      </c>
      <c r="D544" s="128"/>
    </row>
    <row r="545">
      <c r="A545" s="117" t="s">
        <v>3928</v>
      </c>
      <c r="B545" s="118"/>
      <c r="C545" s="118" t="s">
        <v>3929</v>
      </c>
      <c r="D545" s="119" t="s">
        <v>3930</v>
      </c>
      <c r="F545" s="9" t="s">
        <v>3921</v>
      </c>
    </row>
    <row r="546">
      <c r="A546" s="117" t="s">
        <v>3931</v>
      </c>
      <c r="B546" s="118"/>
      <c r="C546" s="118"/>
      <c r="D546" s="119" t="s">
        <v>3932</v>
      </c>
      <c r="F546" s="9" t="s">
        <v>3921</v>
      </c>
    </row>
    <row r="547">
      <c r="A547" s="117" t="s">
        <v>3933</v>
      </c>
      <c r="B547" s="118"/>
      <c r="C547" s="118" t="s">
        <v>3934</v>
      </c>
      <c r="D547" s="119" t="s">
        <v>3935</v>
      </c>
      <c r="F547" s="9" t="s">
        <v>3921</v>
      </c>
    </row>
    <row r="548">
      <c r="A548" s="117" t="s">
        <v>3936</v>
      </c>
      <c r="B548" s="118"/>
      <c r="C548" s="118" t="s">
        <v>3937</v>
      </c>
      <c r="D548" s="119" t="s">
        <v>3938</v>
      </c>
      <c r="F548" s="9" t="s">
        <v>3921</v>
      </c>
    </row>
    <row r="549">
      <c r="A549" s="117" t="s">
        <v>3939</v>
      </c>
      <c r="B549" s="118"/>
      <c r="C549" s="118" t="s">
        <v>3940</v>
      </c>
      <c r="D549" s="119" t="s">
        <v>3941</v>
      </c>
      <c r="F549" s="9" t="s">
        <v>3921</v>
      </c>
    </row>
    <row r="550">
      <c r="A550" s="117" t="s">
        <v>3942</v>
      </c>
      <c r="B550" s="118"/>
      <c r="C550" s="118" t="s">
        <v>3943</v>
      </c>
      <c r="D550" s="119" t="s">
        <v>3944</v>
      </c>
      <c r="F550" s="9" t="s">
        <v>3921</v>
      </c>
    </row>
    <row r="551">
      <c r="A551" s="117" t="s">
        <v>3945</v>
      </c>
      <c r="B551" s="118"/>
      <c r="C551" s="118" t="s">
        <v>3946</v>
      </c>
      <c r="D551" s="119" t="s">
        <v>3944</v>
      </c>
      <c r="F551" s="9" t="s">
        <v>3921</v>
      </c>
    </row>
    <row r="552">
      <c r="A552" s="123"/>
      <c r="B552" s="118"/>
      <c r="C552" s="118"/>
      <c r="D552" s="123"/>
    </row>
    <row r="553">
      <c r="A553" s="123"/>
      <c r="B553" s="118"/>
      <c r="C553" s="118"/>
      <c r="D553" s="123"/>
    </row>
    <row r="554">
      <c r="A554" s="118"/>
      <c r="B554" s="118"/>
      <c r="C554" s="118"/>
      <c r="D554" s="118"/>
    </row>
    <row r="555">
      <c r="A555" s="124" t="s">
        <v>3947</v>
      </c>
      <c r="B555" s="118"/>
      <c r="C555" s="118"/>
      <c r="D555" s="118"/>
    </row>
    <row r="556">
      <c r="A556" s="125" t="s">
        <v>3018</v>
      </c>
      <c r="B556" s="118"/>
      <c r="C556" s="118"/>
      <c r="D556" s="126" t="s">
        <v>3019</v>
      </c>
    </row>
    <row r="557">
      <c r="A557" s="121" t="s">
        <v>3948</v>
      </c>
      <c r="B557" s="118"/>
      <c r="C557" s="118" t="s">
        <v>3949</v>
      </c>
      <c r="D557" s="122" t="s">
        <v>3950</v>
      </c>
      <c r="F557" s="9" t="s">
        <v>3951</v>
      </c>
    </row>
    <row r="558">
      <c r="A558" s="121" t="s">
        <v>3952</v>
      </c>
      <c r="B558" s="118"/>
      <c r="C558" s="118" t="s">
        <v>3953</v>
      </c>
      <c r="D558" s="119" t="s">
        <v>3954</v>
      </c>
      <c r="F558" s="9" t="s">
        <v>3951</v>
      </c>
    </row>
    <row r="559">
      <c r="A559" s="121" t="s">
        <v>3955</v>
      </c>
      <c r="B559" s="118"/>
      <c r="C559" s="118" t="s">
        <v>3956</v>
      </c>
      <c r="D559" s="119" t="s">
        <v>3957</v>
      </c>
      <c r="F559" s="9" t="s">
        <v>3951</v>
      </c>
    </row>
    <row r="560">
      <c r="A560" s="121" t="s">
        <v>3958</v>
      </c>
      <c r="B560" s="118"/>
      <c r="C560" s="118" t="s">
        <v>3959</v>
      </c>
      <c r="D560" s="119" t="s">
        <v>3960</v>
      </c>
      <c r="F560" s="9" t="s">
        <v>3951</v>
      </c>
    </row>
    <row r="561">
      <c r="A561" s="117" t="s">
        <v>3961</v>
      </c>
      <c r="B561" s="118"/>
      <c r="C561" s="118" t="s">
        <v>3962</v>
      </c>
      <c r="D561" s="130" t="s">
        <v>3963</v>
      </c>
      <c r="F561" s="9" t="s">
        <v>3951</v>
      </c>
    </row>
    <row r="562">
      <c r="A562" s="121" t="s">
        <v>3964</v>
      </c>
      <c r="B562" s="118"/>
      <c r="C562" s="118" t="s">
        <v>3965</v>
      </c>
      <c r="D562" s="119" t="s">
        <v>3966</v>
      </c>
      <c r="F562" s="9" t="s">
        <v>3951</v>
      </c>
    </row>
    <row r="563">
      <c r="A563" s="121" t="s">
        <v>3964</v>
      </c>
      <c r="B563" s="118"/>
      <c r="C563" s="118" t="s">
        <v>3965</v>
      </c>
      <c r="D563" s="119" t="s">
        <v>3967</v>
      </c>
      <c r="F563" s="9" t="s">
        <v>3951</v>
      </c>
    </row>
    <row r="564">
      <c r="A564" s="128"/>
      <c r="B564" s="118"/>
      <c r="C564" s="118"/>
      <c r="D564" s="128"/>
    </row>
    <row r="565">
      <c r="A565" s="128"/>
      <c r="B565" s="118"/>
      <c r="C565" s="118"/>
      <c r="D565" s="128"/>
    </row>
    <row r="566">
      <c r="A566" s="128"/>
      <c r="B566" s="118"/>
      <c r="C566" s="118"/>
      <c r="D566" s="128"/>
    </row>
    <row r="567">
      <c r="A567" s="117" t="s">
        <v>3968</v>
      </c>
      <c r="B567" s="118"/>
      <c r="C567" s="118"/>
      <c r="D567" s="119" t="s">
        <v>3969</v>
      </c>
      <c r="F567" s="9" t="s">
        <v>3951</v>
      </c>
    </row>
    <row r="568">
      <c r="A568" s="117" t="s">
        <v>3968</v>
      </c>
      <c r="B568" s="118"/>
      <c r="C568" s="118"/>
      <c r="D568" s="119" t="s">
        <v>3970</v>
      </c>
      <c r="F568" s="9" t="s">
        <v>3951</v>
      </c>
    </row>
    <row r="569">
      <c r="A569" s="128"/>
      <c r="B569" s="118"/>
      <c r="C569" s="118"/>
      <c r="D569" s="128"/>
    </row>
    <row r="570">
      <c r="A570" s="117" t="s">
        <v>3971</v>
      </c>
      <c r="B570" s="118"/>
      <c r="C570" s="118" t="s">
        <v>3972</v>
      </c>
      <c r="D570" s="119" t="s">
        <v>3973</v>
      </c>
      <c r="F570" s="9" t="s">
        <v>3951</v>
      </c>
    </row>
    <row r="571">
      <c r="A571" s="117" t="s">
        <v>2301</v>
      </c>
      <c r="B571" s="118"/>
      <c r="C571" s="118"/>
      <c r="D571" s="119" t="s">
        <v>3974</v>
      </c>
      <c r="F571" s="9" t="s">
        <v>3951</v>
      </c>
    </row>
    <row r="572">
      <c r="A572" s="117" t="s">
        <v>3975</v>
      </c>
      <c r="B572" s="118"/>
      <c r="C572" s="118" t="s">
        <v>3976</v>
      </c>
      <c r="D572" s="119" t="s">
        <v>3977</v>
      </c>
      <c r="F572" s="9" t="s">
        <v>3951</v>
      </c>
    </row>
    <row r="573">
      <c r="A573" s="117" t="s">
        <v>3978</v>
      </c>
      <c r="B573" s="118"/>
      <c r="C573" s="118" t="s">
        <v>3979</v>
      </c>
      <c r="D573" s="119" t="s">
        <v>3980</v>
      </c>
      <c r="F573" s="9" t="s">
        <v>3951</v>
      </c>
    </row>
    <row r="574">
      <c r="A574" s="128"/>
      <c r="B574" s="118"/>
      <c r="C574" s="118"/>
      <c r="D574" s="128"/>
    </row>
    <row r="575">
      <c r="A575" s="117" t="s">
        <v>3981</v>
      </c>
      <c r="B575" s="118"/>
      <c r="C575" s="118" t="s">
        <v>3982</v>
      </c>
      <c r="D575" s="119" t="s">
        <v>3983</v>
      </c>
      <c r="F575" s="9" t="s">
        <v>3951</v>
      </c>
    </row>
    <row r="576">
      <c r="A576" s="117" t="s">
        <v>3984</v>
      </c>
      <c r="B576" s="118"/>
      <c r="C576" s="118"/>
      <c r="D576" s="119" t="s">
        <v>3985</v>
      </c>
      <c r="F576" s="9" t="s">
        <v>3951</v>
      </c>
    </row>
    <row r="577">
      <c r="A577" s="128"/>
      <c r="B577" s="118"/>
      <c r="C577" s="118"/>
      <c r="D577" s="128"/>
    </row>
    <row r="578">
      <c r="A578" s="117" t="s">
        <v>3986</v>
      </c>
      <c r="B578" s="118"/>
      <c r="C578" s="118" t="s">
        <v>3987</v>
      </c>
      <c r="D578" s="119" t="s">
        <v>3988</v>
      </c>
      <c r="F578" s="9" t="s">
        <v>3951</v>
      </c>
    </row>
    <row r="579">
      <c r="A579" s="117" t="s">
        <v>3989</v>
      </c>
      <c r="B579" s="118"/>
      <c r="C579" s="118"/>
      <c r="D579" s="119" t="s">
        <v>3990</v>
      </c>
      <c r="F579" s="9" t="s">
        <v>3951</v>
      </c>
    </row>
    <row r="580">
      <c r="A580" s="117" t="s">
        <v>3991</v>
      </c>
      <c r="B580" s="118"/>
      <c r="C580" s="118" t="s">
        <v>3992</v>
      </c>
      <c r="D580" s="128"/>
      <c r="F580" s="9" t="s">
        <v>3951</v>
      </c>
    </row>
    <row r="581">
      <c r="A581" s="117" t="s">
        <v>3993</v>
      </c>
      <c r="B581" s="118"/>
      <c r="C581" s="118" t="s">
        <v>3994</v>
      </c>
      <c r="D581" s="128"/>
      <c r="F581" s="9" t="s">
        <v>3951</v>
      </c>
    </row>
    <row r="582">
      <c r="A582" s="128"/>
      <c r="B582" s="118"/>
      <c r="C582" s="118"/>
      <c r="D582" s="128"/>
    </row>
    <row r="583">
      <c r="A583" s="123"/>
      <c r="B583" s="118"/>
      <c r="C583" s="118"/>
      <c r="D583" s="123"/>
    </row>
    <row r="584">
      <c r="A584" s="123"/>
      <c r="B584" s="118"/>
      <c r="C584" s="118"/>
      <c r="D584" s="123"/>
    </row>
    <row r="585">
      <c r="A585" s="118"/>
      <c r="B585" s="118"/>
      <c r="C585" s="118"/>
      <c r="D585" s="118"/>
    </row>
    <row r="586">
      <c r="A586" s="124" t="s">
        <v>3995</v>
      </c>
      <c r="B586" s="118"/>
      <c r="C586" s="118"/>
      <c r="D586" s="118"/>
    </row>
    <row r="587">
      <c r="A587" s="125" t="s">
        <v>3018</v>
      </c>
      <c r="B587" s="118"/>
      <c r="C587" s="118"/>
      <c r="D587" s="126" t="s">
        <v>3019</v>
      </c>
    </row>
    <row r="588">
      <c r="A588" s="117" t="s">
        <v>3996</v>
      </c>
      <c r="B588" s="118"/>
      <c r="C588" s="118" t="s">
        <v>3997</v>
      </c>
      <c r="D588" s="119" t="s">
        <v>3998</v>
      </c>
      <c r="F588" s="9" t="s">
        <v>3999</v>
      </c>
    </row>
    <row r="589">
      <c r="A589" s="117" t="s">
        <v>4000</v>
      </c>
      <c r="B589" s="118"/>
      <c r="C589" s="118" t="s">
        <v>4001</v>
      </c>
      <c r="D589" s="119" t="s">
        <v>4002</v>
      </c>
      <c r="F589" s="9" t="s">
        <v>3999</v>
      </c>
    </row>
    <row r="590">
      <c r="A590" s="117" t="s">
        <v>1735</v>
      </c>
      <c r="B590" s="118"/>
      <c r="C590" s="118" t="s">
        <v>4003</v>
      </c>
      <c r="D590" s="119" t="s">
        <v>4004</v>
      </c>
      <c r="F590" s="9" t="s">
        <v>3999</v>
      </c>
    </row>
    <row r="591">
      <c r="A591" s="117" t="s">
        <v>1735</v>
      </c>
      <c r="B591" s="118"/>
      <c r="C591" s="118" t="s">
        <v>4003</v>
      </c>
      <c r="D591" s="119" t="s">
        <v>4005</v>
      </c>
      <c r="F591" s="9" t="s">
        <v>3999</v>
      </c>
    </row>
    <row r="592">
      <c r="A592" s="117" t="s">
        <v>4006</v>
      </c>
      <c r="B592" s="118"/>
      <c r="C592" s="118" t="s">
        <v>4007</v>
      </c>
      <c r="D592" s="119" t="s">
        <v>4008</v>
      </c>
      <c r="F592" s="9" t="s">
        <v>3999</v>
      </c>
    </row>
    <row r="593">
      <c r="A593" s="117" t="s">
        <v>4009</v>
      </c>
      <c r="B593" s="118"/>
      <c r="C593" s="118" t="s">
        <v>4010</v>
      </c>
      <c r="D593" s="119" t="s">
        <v>4011</v>
      </c>
      <c r="F593" s="9" t="s">
        <v>3999</v>
      </c>
    </row>
    <row r="594">
      <c r="A594" s="117" t="s">
        <v>4012</v>
      </c>
      <c r="B594" s="118"/>
      <c r="C594" s="118" t="s">
        <v>4013</v>
      </c>
      <c r="D594" s="119" t="s">
        <v>4014</v>
      </c>
      <c r="F594" s="9" t="s">
        <v>3999</v>
      </c>
    </row>
    <row r="595">
      <c r="A595" s="117" t="s">
        <v>4012</v>
      </c>
      <c r="B595" s="118"/>
      <c r="C595" s="118" t="s">
        <v>4013</v>
      </c>
      <c r="D595" s="119" t="s">
        <v>4015</v>
      </c>
      <c r="F595" s="9" t="s">
        <v>3999</v>
      </c>
    </row>
    <row r="596">
      <c r="A596" s="117" t="s">
        <v>4016</v>
      </c>
      <c r="B596" s="118"/>
      <c r="C596" s="118" t="s">
        <v>4017</v>
      </c>
      <c r="D596" s="119" t="s">
        <v>4018</v>
      </c>
      <c r="F596" s="9" t="s">
        <v>3999</v>
      </c>
    </row>
    <row r="597">
      <c r="A597" s="117" t="s">
        <v>1735</v>
      </c>
      <c r="B597" s="118"/>
      <c r="C597" s="118" t="s">
        <v>4003</v>
      </c>
      <c r="D597" s="119" t="s">
        <v>1736</v>
      </c>
      <c r="F597" s="9" t="s">
        <v>3999</v>
      </c>
    </row>
    <row r="598">
      <c r="A598" s="128"/>
      <c r="B598" s="118"/>
      <c r="C598" s="118"/>
      <c r="D598" s="128"/>
    </row>
    <row r="599">
      <c r="A599" s="118"/>
      <c r="B599" s="118"/>
      <c r="C599" s="118"/>
      <c r="D599" s="118"/>
    </row>
    <row r="600">
      <c r="A600" s="118"/>
      <c r="B600" s="118"/>
      <c r="C600" s="118"/>
      <c r="D600" s="118"/>
    </row>
    <row r="601">
      <c r="A601" s="118"/>
      <c r="B601" s="118"/>
      <c r="C601" s="118"/>
      <c r="D601" s="118"/>
    </row>
    <row r="602">
      <c r="A602" s="124" t="s">
        <v>4019</v>
      </c>
      <c r="B602" s="118"/>
      <c r="C602" s="118"/>
      <c r="D602" s="118"/>
    </row>
    <row r="603">
      <c r="A603" s="125" t="s">
        <v>3018</v>
      </c>
      <c r="B603" s="118"/>
      <c r="C603" s="118"/>
      <c r="D603" s="126" t="s">
        <v>3019</v>
      </c>
    </row>
    <row r="604">
      <c r="A604" s="121" t="s">
        <v>4020</v>
      </c>
      <c r="B604" s="118"/>
      <c r="C604" s="118" t="s">
        <v>4021</v>
      </c>
      <c r="D604" s="122" t="s">
        <v>4022</v>
      </c>
      <c r="F604" s="9" t="s">
        <v>4023</v>
      </c>
    </row>
    <row r="605">
      <c r="A605" s="117" t="s">
        <v>4024</v>
      </c>
      <c r="B605" s="118"/>
      <c r="C605" s="118" t="s">
        <v>4025</v>
      </c>
      <c r="D605" s="119" t="s">
        <v>4026</v>
      </c>
      <c r="F605" s="9" t="s">
        <v>4023</v>
      </c>
    </row>
    <row r="606">
      <c r="A606" s="117" t="s">
        <v>4027</v>
      </c>
      <c r="B606" s="118"/>
      <c r="C606" s="118" t="s">
        <v>4028</v>
      </c>
      <c r="D606" s="119" t="s">
        <v>4029</v>
      </c>
      <c r="F606" s="9" t="s">
        <v>4023</v>
      </c>
    </row>
    <row r="607">
      <c r="A607" s="117" t="s">
        <v>4030</v>
      </c>
      <c r="B607" s="118"/>
      <c r="C607" s="118" t="s">
        <v>4031</v>
      </c>
      <c r="D607" s="119" t="s">
        <v>4032</v>
      </c>
      <c r="F607" s="9" t="s">
        <v>4023</v>
      </c>
    </row>
    <row r="608">
      <c r="A608" s="117" t="s">
        <v>4033</v>
      </c>
      <c r="B608" s="118"/>
      <c r="C608" s="118" t="s">
        <v>4034</v>
      </c>
      <c r="D608" s="119" t="s">
        <v>4035</v>
      </c>
      <c r="F608" s="9" t="s">
        <v>4023</v>
      </c>
    </row>
    <row r="609">
      <c r="A609" s="117" t="s">
        <v>4030</v>
      </c>
      <c r="B609" s="118"/>
      <c r="C609" s="118" t="s">
        <v>4031</v>
      </c>
      <c r="D609" s="119" t="s">
        <v>4036</v>
      </c>
      <c r="F609" s="9" t="s">
        <v>4023</v>
      </c>
    </row>
    <row r="610">
      <c r="A610" s="117" t="s">
        <v>4037</v>
      </c>
      <c r="B610" s="118"/>
      <c r="C610" s="118" t="s">
        <v>4038</v>
      </c>
      <c r="D610" s="119" t="s">
        <v>4039</v>
      </c>
      <c r="F610" s="9" t="s">
        <v>4023</v>
      </c>
    </row>
    <row r="611">
      <c r="A611" s="121" t="s">
        <v>4040</v>
      </c>
      <c r="B611" s="118"/>
      <c r="C611" s="118" t="s">
        <v>4041</v>
      </c>
      <c r="D611" s="119" t="s">
        <v>4042</v>
      </c>
      <c r="F611" s="9" t="s">
        <v>4023</v>
      </c>
    </row>
    <row r="612">
      <c r="A612" s="117" t="s">
        <v>4043</v>
      </c>
      <c r="B612" s="118"/>
      <c r="C612" s="118" t="s">
        <v>4044</v>
      </c>
      <c r="D612" s="119" t="s">
        <v>4045</v>
      </c>
      <c r="F612" s="9" t="s">
        <v>4023</v>
      </c>
    </row>
    <row r="613">
      <c r="A613" s="117" t="s">
        <v>4030</v>
      </c>
      <c r="B613" s="118"/>
      <c r="C613" s="118" t="s">
        <v>4031</v>
      </c>
      <c r="D613" s="119" t="s">
        <v>4045</v>
      </c>
      <c r="F613" s="9" t="s">
        <v>4023</v>
      </c>
    </row>
    <row r="614">
      <c r="A614" s="117" t="s">
        <v>4046</v>
      </c>
      <c r="B614" s="118"/>
      <c r="C614" s="118" t="s">
        <v>4047</v>
      </c>
      <c r="D614" s="119" t="s">
        <v>4048</v>
      </c>
      <c r="F614" s="9" t="s">
        <v>4023</v>
      </c>
    </row>
    <row r="615">
      <c r="A615" s="117" t="s">
        <v>4043</v>
      </c>
      <c r="B615" s="118"/>
      <c r="C615" s="118" t="s">
        <v>4044</v>
      </c>
      <c r="D615" s="119" t="s">
        <v>4049</v>
      </c>
      <c r="F615" s="9" t="s">
        <v>4023</v>
      </c>
    </row>
    <row r="616">
      <c r="A616" s="117" t="s">
        <v>4046</v>
      </c>
      <c r="B616" s="118"/>
      <c r="C616" s="118" t="s">
        <v>4047</v>
      </c>
      <c r="D616" s="119" t="s">
        <v>4050</v>
      </c>
      <c r="F616" s="9" t="s">
        <v>4023</v>
      </c>
    </row>
    <row r="617">
      <c r="A617" s="117" t="s">
        <v>4030</v>
      </c>
      <c r="B617" s="118"/>
      <c r="C617" s="118" t="s">
        <v>4031</v>
      </c>
      <c r="D617" s="119" t="s">
        <v>4051</v>
      </c>
      <c r="F617" s="9" t="s">
        <v>4023</v>
      </c>
    </row>
    <row r="618">
      <c r="A618" s="117" t="s">
        <v>4046</v>
      </c>
      <c r="B618" s="118"/>
      <c r="C618" s="118" t="s">
        <v>4047</v>
      </c>
      <c r="D618" s="119" t="s">
        <v>4052</v>
      </c>
      <c r="F618" s="9" t="s">
        <v>4023</v>
      </c>
    </row>
    <row r="619">
      <c r="A619" s="121" t="s">
        <v>4020</v>
      </c>
      <c r="B619" s="118"/>
      <c r="C619" s="118" t="s">
        <v>4021</v>
      </c>
      <c r="D619" s="119" t="s">
        <v>4053</v>
      </c>
      <c r="F619" s="9" t="s">
        <v>4023</v>
      </c>
    </row>
    <row r="620">
      <c r="A620" s="117" t="s">
        <v>4046</v>
      </c>
      <c r="B620" s="118"/>
      <c r="C620" s="118" t="s">
        <v>4047</v>
      </c>
      <c r="D620" s="119" t="s">
        <v>4035</v>
      </c>
      <c r="F620" s="9" t="s">
        <v>4023</v>
      </c>
    </row>
    <row r="621">
      <c r="A621" s="117" t="s">
        <v>4054</v>
      </c>
      <c r="B621" s="118"/>
      <c r="C621" s="118" t="s">
        <v>4055</v>
      </c>
      <c r="D621" s="119" t="s">
        <v>4056</v>
      </c>
      <c r="F621" s="9" t="s">
        <v>4023</v>
      </c>
    </row>
    <row r="622">
      <c r="A622" s="128"/>
      <c r="B622" s="118"/>
      <c r="C622" s="118" t="e">
        <v>#VALUE!</v>
      </c>
      <c r="D622" s="128"/>
    </row>
    <row r="623">
      <c r="A623" s="117" t="s">
        <v>2453</v>
      </c>
      <c r="B623" s="118"/>
      <c r="C623" s="118" t="s">
        <v>4057</v>
      </c>
      <c r="D623" s="119" t="s">
        <v>4058</v>
      </c>
      <c r="F623" s="9" t="s">
        <v>4023</v>
      </c>
    </row>
    <row r="624">
      <c r="A624" s="128"/>
      <c r="B624" s="118"/>
      <c r="C624" s="118"/>
      <c r="D624" s="128"/>
    </row>
    <row r="625">
      <c r="A625" s="117" t="s">
        <v>4059</v>
      </c>
      <c r="B625" s="118"/>
      <c r="C625" s="118" t="s">
        <v>4060</v>
      </c>
      <c r="D625" s="119" t="s">
        <v>4061</v>
      </c>
      <c r="F625" s="9" t="s">
        <v>4023</v>
      </c>
    </row>
    <row r="626">
      <c r="A626" s="117" t="s">
        <v>4059</v>
      </c>
      <c r="B626" s="118"/>
      <c r="C626" s="118"/>
      <c r="D626" s="119" t="s">
        <v>4062</v>
      </c>
      <c r="F626" s="9" t="s">
        <v>4023</v>
      </c>
    </row>
    <row r="627">
      <c r="A627" s="117" t="s">
        <v>4059</v>
      </c>
      <c r="B627" s="118"/>
      <c r="C627" s="118" t="s">
        <v>4060</v>
      </c>
      <c r="D627" s="119" t="s">
        <v>4063</v>
      </c>
      <c r="F627" s="9" t="s">
        <v>4023</v>
      </c>
    </row>
    <row r="628">
      <c r="A628" s="117" t="s">
        <v>4064</v>
      </c>
      <c r="B628" s="118"/>
      <c r="C628" s="118" t="s">
        <v>4065</v>
      </c>
      <c r="D628" s="119" t="s">
        <v>4066</v>
      </c>
      <c r="F628" s="9" t="s">
        <v>4023</v>
      </c>
    </row>
    <row r="629">
      <c r="A629" s="117" t="s">
        <v>4059</v>
      </c>
      <c r="B629" s="118"/>
      <c r="C629" s="118" t="s">
        <v>4060</v>
      </c>
      <c r="D629" s="119" t="s">
        <v>4067</v>
      </c>
      <c r="F629" s="9" t="s">
        <v>4023</v>
      </c>
    </row>
    <row r="630">
      <c r="A630" s="117" t="s">
        <v>4059</v>
      </c>
      <c r="B630" s="118"/>
      <c r="C630" s="118" t="s">
        <v>4060</v>
      </c>
      <c r="D630" s="119" t="s">
        <v>4068</v>
      </c>
      <c r="F630" s="9" t="s">
        <v>4023</v>
      </c>
    </row>
    <row r="631">
      <c r="A631" s="117" t="s">
        <v>2766</v>
      </c>
      <c r="B631" s="118"/>
      <c r="C631" s="118" t="s">
        <v>4069</v>
      </c>
      <c r="D631" s="119" t="s">
        <v>4070</v>
      </c>
      <c r="F631" s="9" t="s">
        <v>4023</v>
      </c>
    </row>
    <row r="632">
      <c r="A632" s="117" t="s">
        <v>2766</v>
      </c>
      <c r="B632" s="118"/>
      <c r="C632" s="118" t="s">
        <v>4069</v>
      </c>
      <c r="D632" s="119" t="s">
        <v>4071</v>
      </c>
      <c r="F632" s="9" t="s">
        <v>4023</v>
      </c>
    </row>
    <row r="633">
      <c r="A633" s="117" t="s">
        <v>1724</v>
      </c>
      <c r="B633" s="118"/>
      <c r="C633" s="118" t="s">
        <v>4072</v>
      </c>
      <c r="D633" s="119" t="s">
        <v>4073</v>
      </c>
      <c r="F633" s="9" t="s">
        <v>4023</v>
      </c>
    </row>
    <row r="634">
      <c r="A634" s="117" t="s">
        <v>527</v>
      </c>
      <c r="B634" s="118"/>
      <c r="C634" s="118" t="s">
        <v>4074</v>
      </c>
      <c r="D634" s="119" t="s">
        <v>4075</v>
      </c>
      <c r="F634" s="9" t="s">
        <v>4023</v>
      </c>
    </row>
    <row r="635">
      <c r="A635" s="128"/>
      <c r="B635" s="118"/>
      <c r="C635" s="118"/>
      <c r="D635" s="128"/>
    </row>
    <row r="636">
      <c r="A636" s="117" t="s">
        <v>1724</v>
      </c>
      <c r="B636" s="118"/>
      <c r="C636" s="118" t="s">
        <v>4072</v>
      </c>
      <c r="D636" s="119" t="s">
        <v>4076</v>
      </c>
      <c r="F636" s="9" t="s">
        <v>4023</v>
      </c>
    </row>
    <row r="637">
      <c r="A637" s="117" t="s">
        <v>1728</v>
      </c>
      <c r="B637" s="118"/>
      <c r="C637" s="118"/>
      <c r="D637" s="119" t="s">
        <v>4077</v>
      </c>
      <c r="F637" s="9" t="s">
        <v>4023</v>
      </c>
    </row>
    <row r="638">
      <c r="A638" s="117" t="s">
        <v>1724</v>
      </c>
      <c r="B638" s="118"/>
      <c r="C638" s="118" t="s">
        <v>4072</v>
      </c>
      <c r="D638" s="119" t="s">
        <v>4078</v>
      </c>
      <c r="F638" s="9" t="s">
        <v>4023</v>
      </c>
    </row>
    <row r="639">
      <c r="A639" s="128"/>
      <c r="B639" s="118"/>
      <c r="C639" s="118"/>
      <c r="D639" s="128"/>
    </row>
    <row r="640">
      <c r="A640" s="128"/>
      <c r="B640" s="118"/>
      <c r="C640" s="118"/>
      <c r="D640" s="128"/>
    </row>
    <row r="641">
      <c r="A641" s="128"/>
      <c r="B641" s="118"/>
      <c r="C641" s="118"/>
      <c r="D641" s="128"/>
    </row>
    <row r="642">
      <c r="A642" s="123"/>
      <c r="B642" s="118"/>
      <c r="C642" s="118"/>
      <c r="D642" s="123"/>
    </row>
    <row r="643">
      <c r="A643" s="123"/>
      <c r="B643" s="118"/>
      <c r="C643" s="118"/>
      <c r="D643" s="123"/>
    </row>
    <row r="644">
      <c r="A644" s="118"/>
      <c r="B644" s="118"/>
      <c r="C644" s="118"/>
      <c r="D644" s="118"/>
    </row>
    <row r="645">
      <c r="A645" s="124" t="s">
        <v>4079</v>
      </c>
      <c r="B645" s="118"/>
      <c r="C645" s="118"/>
      <c r="D645" s="118"/>
    </row>
    <row r="646">
      <c r="A646" s="125" t="s">
        <v>3018</v>
      </c>
      <c r="B646" s="118"/>
      <c r="C646" s="118"/>
      <c r="D646" s="126" t="s">
        <v>3019</v>
      </c>
    </row>
    <row r="647">
      <c r="A647" s="121" t="s">
        <v>4080</v>
      </c>
      <c r="B647" s="118"/>
      <c r="C647" s="118" t="s">
        <v>4081</v>
      </c>
      <c r="D647" s="122" t="s">
        <v>4082</v>
      </c>
      <c r="F647" s="9" t="s">
        <v>4083</v>
      </c>
    </row>
    <row r="648">
      <c r="A648" s="117" t="s">
        <v>4084</v>
      </c>
      <c r="B648" s="118"/>
      <c r="C648" s="118" t="s">
        <v>4085</v>
      </c>
      <c r="D648" s="119" t="s">
        <v>4086</v>
      </c>
      <c r="F648" s="9" t="s">
        <v>4083</v>
      </c>
    </row>
    <row r="649">
      <c r="A649" s="117" t="s">
        <v>562</v>
      </c>
      <c r="B649" s="118"/>
      <c r="C649" s="118" t="s">
        <v>4087</v>
      </c>
      <c r="D649" s="119" t="s">
        <v>4088</v>
      </c>
      <c r="F649" s="9" t="s">
        <v>4083</v>
      </c>
    </row>
    <row r="650">
      <c r="A650" s="117" t="s">
        <v>562</v>
      </c>
      <c r="B650" s="118"/>
      <c r="C650" s="118" t="s">
        <v>4087</v>
      </c>
      <c r="D650" s="119" t="s">
        <v>4089</v>
      </c>
      <c r="F650" s="9" t="s">
        <v>4083</v>
      </c>
    </row>
    <row r="651">
      <c r="A651" s="117" t="s">
        <v>4090</v>
      </c>
      <c r="B651" s="118"/>
      <c r="C651" s="118" t="s">
        <v>4091</v>
      </c>
      <c r="D651" s="119" t="s">
        <v>4092</v>
      </c>
      <c r="F651" s="9" t="s">
        <v>4083</v>
      </c>
    </row>
    <row r="652">
      <c r="A652" s="117" t="s">
        <v>4090</v>
      </c>
      <c r="B652" s="118"/>
      <c r="C652" s="118" t="s">
        <v>4091</v>
      </c>
      <c r="D652" s="119" t="s">
        <v>4093</v>
      </c>
      <c r="F652" s="9" t="s">
        <v>4083</v>
      </c>
    </row>
    <row r="653">
      <c r="A653" s="128"/>
      <c r="B653" s="118"/>
      <c r="C653" s="118"/>
      <c r="D653" s="128"/>
    </row>
    <row r="654">
      <c r="A654" s="117" t="s">
        <v>1738</v>
      </c>
      <c r="B654" s="118"/>
      <c r="C654" s="118" t="s">
        <v>4094</v>
      </c>
      <c r="D654" s="119" t="s">
        <v>4095</v>
      </c>
      <c r="F654" s="9" t="s">
        <v>4023</v>
      </c>
    </row>
    <row r="655">
      <c r="A655" s="117" t="s">
        <v>4096</v>
      </c>
      <c r="B655" s="118"/>
      <c r="C655" s="118"/>
      <c r="D655" s="119" t="s">
        <v>4097</v>
      </c>
      <c r="F655" s="9" t="s">
        <v>4023</v>
      </c>
    </row>
    <row r="656">
      <c r="A656" s="117" t="s">
        <v>4098</v>
      </c>
      <c r="B656" s="118"/>
      <c r="C656" s="118" t="s">
        <v>4099</v>
      </c>
      <c r="D656" s="119" t="s">
        <v>4100</v>
      </c>
      <c r="F656" s="9" t="s">
        <v>4023</v>
      </c>
    </row>
    <row r="657">
      <c r="A657" s="117" t="s">
        <v>1738</v>
      </c>
      <c r="B657" s="118"/>
      <c r="C657" s="118" t="s">
        <v>4094</v>
      </c>
      <c r="D657" s="119" t="s">
        <v>4101</v>
      </c>
      <c r="F657" s="9" t="s">
        <v>4023</v>
      </c>
    </row>
    <row r="658">
      <c r="A658" s="117" t="s">
        <v>4102</v>
      </c>
      <c r="B658" s="118"/>
      <c r="C658" s="118" t="s">
        <v>4103</v>
      </c>
      <c r="D658" s="119" t="s">
        <v>4104</v>
      </c>
      <c r="F658" s="9" t="s">
        <v>4023</v>
      </c>
    </row>
    <row r="659">
      <c r="A659" s="117" t="s">
        <v>1738</v>
      </c>
      <c r="B659" s="118"/>
      <c r="C659" s="118" t="s">
        <v>4094</v>
      </c>
      <c r="D659" s="119" t="s">
        <v>4105</v>
      </c>
      <c r="F659" s="9" t="s">
        <v>4023</v>
      </c>
    </row>
    <row r="660">
      <c r="A660" s="117" t="s">
        <v>4106</v>
      </c>
      <c r="B660" s="118"/>
      <c r="C660" s="118" t="s">
        <v>4107</v>
      </c>
      <c r="D660" s="119" t="s">
        <v>4108</v>
      </c>
      <c r="F660" s="9" t="s">
        <v>4023</v>
      </c>
    </row>
    <row r="661">
      <c r="A661" s="117" t="s">
        <v>4109</v>
      </c>
      <c r="B661" s="118"/>
      <c r="C661" s="118" t="s">
        <v>4110</v>
      </c>
      <c r="D661" s="119" t="s">
        <v>4111</v>
      </c>
      <c r="F661" s="9" t="s">
        <v>4023</v>
      </c>
    </row>
    <row r="662">
      <c r="A662" s="117" t="s">
        <v>4112</v>
      </c>
      <c r="B662" s="118"/>
      <c r="C662" s="118" t="s">
        <v>4113</v>
      </c>
      <c r="D662" s="119" t="s">
        <v>4114</v>
      </c>
      <c r="F662" s="9" t="s">
        <v>4023</v>
      </c>
    </row>
    <row r="663">
      <c r="A663" s="117" t="s">
        <v>1732</v>
      </c>
      <c r="B663" s="118"/>
      <c r="C663" s="118" t="s">
        <v>4115</v>
      </c>
      <c r="D663" s="119" t="s">
        <v>4116</v>
      </c>
      <c r="F663" s="9" t="s">
        <v>4023</v>
      </c>
    </row>
    <row r="664">
      <c r="A664" s="117" t="s">
        <v>4117</v>
      </c>
      <c r="B664" s="118"/>
      <c r="C664" s="118" t="s">
        <v>4118</v>
      </c>
      <c r="D664" s="119" t="s">
        <v>4119</v>
      </c>
      <c r="F664" s="9" t="s">
        <v>4023</v>
      </c>
    </row>
    <row r="665">
      <c r="A665" s="117" t="s">
        <v>1728</v>
      </c>
      <c r="B665" s="118"/>
      <c r="C665" s="118" t="s">
        <v>4120</v>
      </c>
      <c r="D665" s="119" t="s">
        <v>4121</v>
      </c>
      <c r="F665" s="9" t="s">
        <v>4023</v>
      </c>
    </row>
    <row r="666">
      <c r="A666" s="117" t="s">
        <v>4122</v>
      </c>
      <c r="B666" s="118"/>
      <c r="C666" s="118" t="s">
        <v>4123</v>
      </c>
      <c r="D666" s="119" t="s">
        <v>4124</v>
      </c>
      <c r="F666" s="9" t="s">
        <v>4023</v>
      </c>
    </row>
    <row r="667">
      <c r="A667" s="117" t="s">
        <v>1738</v>
      </c>
      <c r="B667" s="118"/>
      <c r="C667" s="118" t="s">
        <v>4094</v>
      </c>
      <c r="D667" s="119" t="s">
        <v>1739</v>
      </c>
      <c r="F667" s="9" t="s">
        <v>4023</v>
      </c>
    </row>
    <row r="668">
      <c r="A668" s="128"/>
      <c r="B668" s="118"/>
      <c r="C668" s="118"/>
      <c r="D668" s="128"/>
    </row>
    <row r="669">
      <c r="A669" s="123"/>
      <c r="B669" s="118"/>
      <c r="C669" s="118"/>
      <c r="D669" s="123"/>
    </row>
    <row r="670">
      <c r="A670" s="123"/>
      <c r="B670" s="118"/>
      <c r="C670" s="118"/>
      <c r="D670" s="123"/>
    </row>
    <row r="671">
      <c r="A671" s="123"/>
      <c r="B671" s="118"/>
      <c r="C671" s="118"/>
      <c r="D671" s="118"/>
    </row>
    <row r="672">
      <c r="A672" s="124" t="s">
        <v>4125</v>
      </c>
      <c r="B672" s="118"/>
      <c r="C672" s="118"/>
      <c r="D672" s="118"/>
    </row>
    <row r="673">
      <c r="A673" s="125" t="s">
        <v>3018</v>
      </c>
      <c r="B673" s="118"/>
      <c r="C673" s="118"/>
      <c r="D673" s="126" t="s">
        <v>3019</v>
      </c>
    </row>
    <row r="674">
      <c r="A674" s="121" t="s">
        <v>521</v>
      </c>
      <c r="B674" s="118"/>
      <c r="C674" s="118" t="s">
        <v>4126</v>
      </c>
      <c r="D674" s="122" t="s">
        <v>4127</v>
      </c>
      <c r="F674" s="9" t="s">
        <v>4128</v>
      </c>
    </row>
    <row r="675">
      <c r="A675" s="121" t="s">
        <v>4129</v>
      </c>
      <c r="B675" s="118"/>
      <c r="C675" s="118" t="s">
        <v>4130</v>
      </c>
      <c r="D675" s="119" t="s">
        <v>4131</v>
      </c>
      <c r="F675" s="9" t="s">
        <v>4128</v>
      </c>
    </row>
    <row r="676">
      <c r="A676" s="117" t="s">
        <v>4132</v>
      </c>
      <c r="B676" s="118"/>
      <c r="C676" s="118" t="s">
        <v>4133</v>
      </c>
      <c r="D676" s="119" t="s">
        <v>4134</v>
      </c>
      <c r="F676" s="9" t="s">
        <v>4128</v>
      </c>
    </row>
    <row r="677">
      <c r="A677" s="117" t="s">
        <v>543</v>
      </c>
      <c r="B677" s="118"/>
      <c r="C677" s="118" t="s">
        <v>4135</v>
      </c>
      <c r="D677" s="119" t="s">
        <v>4136</v>
      </c>
      <c r="F677" s="9" t="s">
        <v>4128</v>
      </c>
    </row>
    <row r="678">
      <c r="A678" s="117" t="s">
        <v>546</v>
      </c>
      <c r="B678" s="118"/>
      <c r="C678" s="118" t="s">
        <v>4137</v>
      </c>
      <c r="D678" s="119" t="s">
        <v>4138</v>
      </c>
      <c r="F678" s="9" t="s">
        <v>4128</v>
      </c>
    </row>
    <row r="679">
      <c r="A679" s="117" t="s">
        <v>4139</v>
      </c>
      <c r="B679" s="118"/>
      <c r="C679" s="118" t="s">
        <v>4140</v>
      </c>
      <c r="D679" s="119" t="s">
        <v>4141</v>
      </c>
      <c r="F679" s="9" t="s">
        <v>4128</v>
      </c>
    </row>
    <row r="680">
      <c r="A680" s="121" t="s">
        <v>521</v>
      </c>
      <c r="B680" s="118"/>
      <c r="C680" s="118" t="s">
        <v>4126</v>
      </c>
      <c r="D680" s="119" t="s">
        <v>4142</v>
      </c>
      <c r="F680" s="9" t="s">
        <v>4128</v>
      </c>
    </row>
    <row r="681">
      <c r="A681" s="117" t="s">
        <v>777</v>
      </c>
      <c r="B681" s="118"/>
      <c r="C681" s="118" t="s">
        <v>4143</v>
      </c>
      <c r="D681" s="119" t="s">
        <v>4144</v>
      </c>
      <c r="F681" s="9" t="s">
        <v>4128</v>
      </c>
    </row>
    <row r="682">
      <c r="A682" s="117" t="s">
        <v>4129</v>
      </c>
      <c r="B682" s="118"/>
      <c r="C682" s="118" t="s">
        <v>4130</v>
      </c>
      <c r="D682" s="119" t="s">
        <v>4145</v>
      </c>
      <c r="F682" s="9" t="s">
        <v>4128</v>
      </c>
    </row>
    <row r="683">
      <c r="A683" s="121" t="s">
        <v>521</v>
      </c>
      <c r="B683" s="118"/>
      <c r="C683" s="118" t="s">
        <v>4126</v>
      </c>
      <c r="D683" s="119" t="s">
        <v>4146</v>
      </c>
      <c r="F683" s="9" t="s">
        <v>4128</v>
      </c>
    </row>
    <row r="684">
      <c r="A684" s="117" t="s">
        <v>4129</v>
      </c>
      <c r="B684" s="118"/>
      <c r="C684" s="118" t="s">
        <v>4130</v>
      </c>
      <c r="D684" s="119" t="s">
        <v>4147</v>
      </c>
      <c r="F684" s="9" t="s">
        <v>4128</v>
      </c>
    </row>
    <row r="685">
      <c r="A685" s="117" t="s">
        <v>4148</v>
      </c>
      <c r="B685" s="118"/>
      <c r="C685" s="118" t="s">
        <v>4149</v>
      </c>
      <c r="D685" s="119" t="s">
        <v>4070</v>
      </c>
      <c r="F685" s="9" t="s">
        <v>4128</v>
      </c>
    </row>
    <row r="686">
      <c r="A686" s="117" t="s">
        <v>4129</v>
      </c>
      <c r="B686" s="118"/>
      <c r="C686" s="118" t="s">
        <v>4130</v>
      </c>
      <c r="D686" s="119" t="s">
        <v>4150</v>
      </c>
      <c r="F686" s="9" t="s">
        <v>4128</v>
      </c>
    </row>
    <row r="687">
      <c r="A687" s="121" t="s">
        <v>521</v>
      </c>
      <c r="B687" s="118"/>
      <c r="C687" s="118" t="s">
        <v>4126</v>
      </c>
      <c r="D687" s="119" t="s">
        <v>4151</v>
      </c>
      <c r="F687" s="9" t="s">
        <v>4128</v>
      </c>
    </row>
    <row r="688">
      <c r="A688" s="121" t="s">
        <v>521</v>
      </c>
      <c r="B688" s="118"/>
      <c r="C688" s="118" t="s">
        <v>4126</v>
      </c>
      <c r="D688" s="119" t="s">
        <v>4152</v>
      </c>
      <c r="F688" s="9" t="s">
        <v>4128</v>
      </c>
    </row>
    <row r="689">
      <c r="A689" s="128"/>
      <c r="B689" s="118"/>
      <c r="C689" s="118"/>
      <c r="D689" s="128"/>
    </row>
    <row r="690">
      <c r="A690" s="117" t="s">
        <v>4153</v>
      </c>
      <c r="B690" s="118"/>
      <c r="C690" s="118" t="s">
        <v>4154</v>
      </c>
      <c r="D690" s="119" t="s">
        <v>4155</v>
      </c>
      <c r="F690" s="9" t="s">
        <v>4128</v>
      </c>
    </row>
    <row r="691">
      <c r="A691" s="117" t="s">
        <v>4156</v>
      </c>
      <c r="B691" s="118"/>
      <c r="C691" s="118"/>
      <c r="D691" s="119" t="s">
        <v>4157</v>
      </c>
      <c r="F691" s="9" t="s">
        <v>4128</v>
      </c>
    </row>
    <row r="692">
      <c r="A692" s="117" t="s">
        <v>4158</v>
      </c>
      <c r="B692" s="118"/>
      <c r="C692" s="118" t="s">
        <v>4159</v>
      </c>
      <c r="D692" s="119" t="s">
        <v>4160</v>
      </c>
      <c r="F692" s="9" t="s">
        <v>4128</v>
      </c>
    </row>
    <row r="693">
      <c r="A693" s="117" t="s">
        <v>4161</v>
      </c>
      <c r="B693" s="118"/>
      <c r="C693" s="118" t="s">
        <v>4162</v>
      </c>
      <c r="D693" s="119" t="s">
        <v>4163</v>
      </c>
      <c r="F693" s="9" t="s">
        <v>4128</v>
      </c>
    </row>
    <row r="694">
      <c r="A694" s="117" t="s">
        <v>4164</v>
      </c>
      <c r="B694" s="118"/>
      <c r="C694" s="118" t="s">
        <v>4165</v>
      </c>
      <c r="D694" s="119" t="s">
        <v>4166</v>
      </c>
      <c r="F694" s="9" t="s">
        <v>4128</v>
      </c>
    </row>
    <row r="695">
      <c r="A695" s="117" t="s">
        <v>4153</v>
      </c>
      <c r="B695" s="118"/>
      <c r="C695" s="118" t="s">
        <v>4154</v>
      </c>
      <c r="D695" s="119" t="s">
        <v>4167</v>
      </c>
      <c r="F695" s="9" t="s">
        <v>4128</v>
      </c>
    </row>
    <row r="696">
      <c r="A696" s="117" t="s">
        <v>4156</v>
      </c>
      <c r="B696" s="118"/>
      <c r="C696" s="118" t="s">
        <v>4168</v>
      </c>
      <c r="D696" s="119" t="s">
        <v>4169</v>
      </c>
      <c r="F696" s="9" t="s">
        <v>4128</v>
      </c>
    </row>
    <row r="697">
      <c r="A697" s="117" t="s">
        <v>4158</v>
      </c>
      <c r="B697" s="118"/>
      <c r="C697" s="118" t="s">
        <v>4159</v>
      </c>
      <c r="D697" s="119" t="s">
        <v>4170</v>
      </c>
      <c r="F697" s="9" t="s">
        <v>4128</v>
      </c>
    </row>
    <row r="698">
      <c r="A698" s="117" t="s">
        <v>4171</v>
      </c>
      <c r="B698" s="118"/>
      <c r="C698" s="118" t="s">
        <v>4172</v>
      </c>
      <c r="D698" s="119" t="s">
        <v>4173</v>
      </c>
      <c r="F698" s="9" t="s">
        <v>4128</v>
      </c>
    </row>
    <row r="699">
      <c r="A699" s="117" t="s">
        <v>4174</v>
      </c>
      <c r="B699" s="118"/>
      <c r="C699" s="118" t="s">
        <v>4175</v>
      </c>
      <c r="D699" s="119" t="s">
        <v>4176</v>
      </c>
      <c r="F699" s="9" t="s">
        <v>4128</v>
      </c>
    </row>
    <row r="700">
      <c r="A700" s="128"/>
      <c r="B700" s="118"/>
      <c r="C700" s="118"/>
      <c r="D700" s="128"/>
    </row>
    <row r="701">
      <c r="A701" s="128"/>
      <c r="B701" s="118"/>
      <c r="C701" s="118"/>
      <c r="D701" s="128"/>
    </row>
    <row r="702">
      <c r="A702" s="128"/>
      <c r="B702" s="118"/>
      <c r="C702" s="118"/>
      <c r="D702" s="128"/>
    </row>
    <row r="703">
      <c r="A703" s="128"/>
      <c r="B703" s="118"/>
      <c r="C703" s="118"/>
      <c r="D703" s="128"/>
    </row>
    <row r="704">
      <c r="A704" s="128"/>
      <c r="B704" s="118"/>
      <c r="C704" s="118"/>
      <c r="D704" s="128"/>
    </row>
    <row r="705">
      <c r="A705" s="128"/>
      <c r="B705" s="118"/>
      <c r="C705" s="118"/>
      <c r="D705" s="128"/>
    </row>
    <row r="706">
      <c r="A706" s="128"/>
      <c r="B706" s="118"/>
      <c r="C706" s="118"/>
      <c r="D706" s="128"/>
    </row>
    <row r="707">
      <c r="A707" s="128"/>
      <c r="B707" s="118"/>
      <c r="C707" s="118"/>
      <c r="D707" s="128"/>
    </row>
    <row r="708">
      <c r="A708" s="128"/>
      <c r="B708" s="118"/>
      <c r="C708" s="118"/>
      <c r="D708" s="128"/>
    </row>
    <row r="709">
      <c r="A709" s="128"/>
      <c r="B709" s="118"/>
      <c r="C709" s="118"/>
      <c r="D709" s="128"/>
    </row>
    <row r="710">
      <c r="A710" s="128"/>
      <c r="B710" s="118"/>
      <c r="C710" s="118"/>
      <c r="D710" s="128"/>
    </row>
    <row r="711">
      <c r="A711" s="128"/>
      <c r="B711" s="118"/>
      <c r="C711" s="118"/>
      <c r="D711" s="128"/>
    </row>
    <row r="712">
      <c r="A712" s="123"/>
      <c r="B712" s="118"/>
      <c r="C712" s="118"/>
      <c r="D712" s="123"/>
    </row>
    <row r="713">
      <c r="A713" s="123"/>
      <c r="B713" s="118"/>
      <c r="C713" s="118"/>
      <c r="D713" s="123"/>
    </row>
    <row r="714">
      <c r="A714" s="123"/>
      <c r="B714" s="118"/>
      <c r="C714" s="118"/>
      <c r="D714" s="123"/>
    </row>
    <row r="715">
      <c r="A715" s="124" t="s">
        <v>4177</v>
      </c>
      <c r="B715" s="118"/>
      <c r="C715" s="118"/>
      <c r="D715" s="118"/>
    </row>
    <row r="716">
      <c r="A716" s="125" t="s">
        <v>3018</v>
      </c>
      <c r="B716" s="118"/>
      <c r="C716" s="118"/>
      <c r="D716" s="126" t="s">
        <v>3019</v>
      </c>
    </row>
    <row r="717">
      <c r="A717" s="121" t="s">
        <v>4178</v>
      </c>
      <c r="B717" s="118"/>
      <c r="C717" s="118" t="s">
        <v>4179</v>
      </c>
      <c r="D717" s="122" t="s">
        <v>1719</v>
      </c>
      <c r="F717" s="9" t="s">
        <v>4180</v>
      </c>
    </row>
    <row r="718">
      <c r="A718" s="121" t="s">
        <v>3646</v>
      </c>
      <c r="B718" s="118"/>
      <c r="C718" s="118" t="s">
        <v>3647</v>
      </c>
      <c r="D718" s="119" t="s">
        <v>447</v>
      </c>
      <c r="F718" s="9" t="s">
        <v>4180</v>
      </c>
    </row>
    <row r="719">
      <c r="A719" s="121" t="s">
        <v>4181</v>
      </c>
      <c r="B719" s="118"/>
      <c r="C719" s="118" t="s">
        <v>4182</v>
      </c>
      <c r="D719" s="119" t="s">
        <v>4183</v>
      </c>
      <c r="F719" s="9" t="s">
        <v>4180</v>
      </c>
    </row>
    <row r="720">
      <c r="A720" s="121" t="s">
        <v>4184</v>
      </c>
      <c r="B720" s="118"/>
      <c r="C720" s="118" t="s">
        <v>4185</v>
      </c>
      <c r="D720" s="119">
        <v>81008.0</v>
      </c>
      <c r="F720" s="9" t="s">
        <v>4180</v>
      </c>
    </row>
    <row r="721">
      <c r="A721" s="121" t="s">
        <v>4181</v>
      </c>
      <c r="B721" s="118"/>
      <c r="C721" s="118" t="s">
        <v>4182</v>
      </c>
      <c r="D721" s="119" t="s">
        <v>4186</v>
      </c>
      <c r="F721" s="9" t="s">
        <v>4180</v>
      </c>
    </row>
    <row r="722">
      <c r="A722" s="128"/>
      <c r="B722" s="118"/>
      <c r="C722" s="118" t="e">
        <v>#VALUE!</v>
      </c>
      <c r="D722" s="128"/>
    </row>
    <row r="723">
      <c r="A723" s="117" t="s">
        <v>4187</v>
      </c>
      <c r="B723" s="118"/>
      <c r="C723" s="118" t="s">
        <v>4188</v>
      </c>
      <c r="D723" s="119" t="s">
        <v>4189</v>
      </c>
      <c r="F723" s="9" t="s">
        <v>4180</v>
      </c>
    </row>
    <row r="724">
      <c r="A724" s="117" t="s">
        <v>4190</v>
      </c>
      <c r="B724" s="118"/>
      <c r="C724" s="118"/>
      <c r="D724" s="119" t="s">
        <v>4191</v>
      </c>
      <c r="F724" s="9" t="s">
        <v>4180</v>
      </c>
    </row>
    <row r="725">
      <c r="A725" s="117" t="s">
        <v>4192</v>
      </c>
      <c r="B725" s="118"/>
      <c r="C725" s="118" t="s">
        <v>4193</v>
      </c>
      <c r="D725" s="119" t="s">
        <v>4194</v>
      </c>
      <c r="F725" s="9" t="s">
        <v>4180</v>
      </c>
    </row>
    <row r="726">
      <c r="A726" s="117" t="s">
        <v>4195</v>
      </c>
      <c r="B726" s="118"/>
      <c r="C726" s="118" t="s">
        <v>4196</v>
      </c>
      <c r="D726" s="119" t="s">
        <v>4197</v>
      </c>
      <c r="F726" s="9" t="s">
        <v>4180</v>
      </c>
    </row>
    <row r="727">
      <c r="A727" s="128"/>
      <c r="B727" s="118"/>
      <c r="C727" s="118" t="e">
        <v>#VALUE!</v>
      </c>
      <c r="D727" s="128"/>
    </row>
    <row r="728">
      <c r="A728" s="117" t="s">
        <v>4198</v>
      </c>
      <c r="B728" s="118"/>
      <c r="C728" s="118" t="s">
        <v>4199</v>
      </c>
      <c r="D728" s="119" t="s">
        <v>4200</v>
      </c>
      <c r="F728" s="9" t="s">
        <v>4180</v>
      </c>
    </row>
    <row r="729">
      <c r="A729" s="117" t="s">
        <v>4201</v>
      </c>
      <c r="B729" s="118"/>
      <c r="C729" s="118"/>
      <c r="D729" s="119" t="s">
        <v>4202</v>
      </c>
      <c r="F729" s="9" t="s">
        <v>4180</v>
      </c>
    </row>
    <row r="730">
      <c r="A730" s="117" t="s">
        <v>4203</v>
      </c>
      <c r="B730" s="118"/>
      <c r="C730" s="118" t="s">
        <v>4204</v>
      </c>
      <c r="D730" s="119" t="s">
        <v>4205</v>
      </c>
      <c r="F730" s="9" t="s">
        <v>4180</v>
      </c>
    </row>
    <row r="731">
      <c r="A731" s="117" t="s">
        <v>4206</v>
      </c>
      <c r="B731" s="118"/>
      <c r="C731" s="118" t="s">
        <v>4207</v>
      </c>
      <c r="D731" s="119" t="s">
        <v>4208</v>
      </c>
      <c r="F731" s="9" t="s">
        <v>4180</v>
      </c>
    </row>
    <row r="732">
      <c r="A732" s="128"/>
      <c r="B732" s="118"/>
      <c r="C732" s="118"/>
      <c r="D732" s="128"/>
    </row>
    <row r="733">
      <c r="A733" s="128"/>
      <c r="B733" s="118"/>
      <c r="C733" s="118"/>
      <c r="D733" s="128"/>
    </row>
    <row r="734">
      <c r="A734" s="124" t="s">
        <v>4209</v>
      </c>
      <c r="B734" s="118"/>
      <c r="C734" s="118"/>
      <c r="D734" s="123"/>
    </row>
    <row r="735">
      <c r="A735" s="125" t="s">
        <v>3018</v>
      </c>
      <c r="B735" s="118"/>
      <c r="C735" s="118"/>
      <c r="D735" s="126" t="s">
        <v>3019</v>
      </c>
    </row>
    <row r="736">
      <c r="A736" s="133" t="s">
        <v>4210</v>
      </c>
      <c r="B736" s="118"/>
      <c r="C736" s="118" t="s">
        <v>4211</v>
      </c>
      <c r="D736" s="119" t="s">
        <v>4212</v>
      </c>
      <c r="F736" s="9" t="s">
        <v>4213</v>
      </c>
    </row>
    <row r="737">
      <c r="A737" s="117" t="s">
        <v>4214</v>
      </c>
      <c r="B737" s="118"/>
      <c r="C737" s="118" t="s">
        <v>4215</v>
      </c>
      <c r="D737" s="119" t="s">
        <v>4216</v>
      </c>
      <c r="F737" s="9" t="s">
        <v>4213</v>
      </c>
    </row>
    <row r="738">
      <c r="A738" s="117" t="s">
        <v>4217</v>
      </c>
      <c r="B738" s="118"/>
      <c r="C738" s="118" t="s">
        <v>4218</v>
      </c>
      <c r="D738" s="119" t="s">
        <v>4219</v>
      </c>
      <c r="F738" s="9" t="s">
        <v>4213</v>
      </c>
    </row>
    <row r="739">
      <c r="A739" s="128"/>
      <c r="B739" s="118"/>
      <c r="C739" s="118"/>
      <c r="D739" s="128"/>
    </row>
    <row r="740">
      <c r="A740" s="117" t="s">
        <v>4220</v>
      </c>
      <c r="B740" s="118"/>
      <c r="C740" s="118" t="s">
        <v>4221</v>
      </c>
      <c r="D740" s="119" t="s">
        <v>4222</v>
      </c>
      <c r="F740" s="9" t="s">
        <v>4213</v>
      </c>
    </row>
    <row r="741">
      <c r="A741" s="117" t="s">
        <v>4223</v>
      </c>
      <c r="B741" s="118"/>
      <c r="C741" s="118"/>
      <c r="D741" s="119" t="s">
        <v>4224</v>
      </c>
      <c r="F741" s="9" t="s">
        <v>4213</v>
      </c>
    </row>
    <row r="742">
      <c r="A742" s="123"/>
      <c r="B742" s="118"/>
      <c r="C742" s="118"/>
      <c r="D742" s="123"/>
    </row>
    <row r="743">
      <c r="A743" s="123"/>
      <c r="B743" s="118"/>
      <c r="C743" s="118"/>
      <c r="D743" s="118"/>
    </row>
    <row r="744">
      <c r="A744" s="124" t="s">
        <v>4225</v>
      </c>
      <c r="B744" s="118"/>
      <c r="C744" s="118"/>
      <c r="D744" s="118"/>
    </row>
    <row r="745">
      <c r="A745" s="125" t="s">
        <v>3018</v>
      </c>
      <c r="B745" s="118"/>
      <c r="C745" s="118"/>
      <c r="D745" s="126" t="s">
        <v>3019</v>
      </c>
    </row>
    <row r="746">
      <c r="A746" s="121" t="s">
        <v>4226</v>
      </c>
      <c r="B746" s="118"/>
      <c r="C746" s="118" t="s">
        <v>4227</v>
      </c>
      <c r="D746" s="122" t="s">
        <v>4228</v>
      </c>
      <c r="F746" s="9" t="s">
        <v>4229</v>
      </c>
    </row>
    <row r="747">
      <c r="A747" s="121" t="s">
        <v>4230</v>
      </c>
      <c r="B747" s="118"/>
      <c r="C747" s="118" t="s">
        <v>4231</v>
      </c>
      <c r="D747" s="122" t="s">
        <v>4232</v>
      </c>
      <c r="F747" s="9" t="s">
        <v>4229</v>
      </c>
    </row>
    <row r="748">
      <c r="A748" s="121" t="s">
        <v>4233</v>
      </c>
      <c r="B748" s="118"/>
      <c r="C748" s="118" t="s">
        <v>4234</v>
      </c>
      <c r="D748" s="122" t="s">
        <v>4235</v>
      </c>
      <c r="F748" s="9" t="s">
        <v>4229</v>
      </c>
    </row>
    <row r="749">
      <c r="A749" s="121" t="s">
        <v>4236</v>
      </c>
      <c r="B749" s="118"/>
      <c r="C749" s="118" t="s">
        <v>4237</v>
      </c>
      <c r="D749" s="122" t="s">
        <v>4238</v>
      </c>
      <c r="F749" s="9" t="s">
        <v>4229</v>
      </c>
    </row>
    <row r="750">
      <c r="A750" s="121" t="s">
        <v>4239</v>
      </c>
      <c r="B750" s="118"/>
      <c r="C750" s="118" t="s">
        <v>4240</v>
      </c>
      <c r="D750" s="122" t="s">
        <v>4241</v>
      </c>
      <c r="F750" s="9" t="s">
        <v>4229</v>
      </c>
    </row>
    <row r="751">
      <c r="A751" s="121" t="s">
        <v>4242</v>
      </c>
      <c r="B751" s="118"/>
      <c r="C751" s="118" t="s">
        <v>4243</v>
      </c>
      <c r="D751" s="122" t="s">
        <v>4244</v>
      </c>
      <c r="F751" s="9" t="s">
        <v>4229</v>
      </c>
    </row>
    <row r="752">
      <c r="A752" s="134"/>
      <c r="B752" s="118"/>
      <c r="C752" s="118"/>
      <c r="D752" s="128"/>
    </row>
    <row r="753">
      <c r="A753" s="124" t="s">
        <v>4245</v>
      </c>
      <c r="B753" s="118"/>
      <c r="C753" s="118"/>
      <c r="D753" s="123"/>
    </row>
    <row r="754">
      <c r="A754" s="125" t="s">
        <v>3018</v>
      </c>
      <c r="B754" s="118"/>
      <c r="C754" s="118"/>
      <c r="D754" s="135" t="s">
        <v>3019</v>
      </c>
    </row>
    <row r="755">
      <c r="A755" s="121" t="s">
        <v>4246</v>
      </c>
      <c r="B755" s="136">
        <v>100.0</v>
      </c>
      <c r="C755" s="136" t="s">
        <v>4247</v>
      </c>
      <c r="D755" s="137" t="s">
        <v>4248</v>
      </c>
      <c r="E755" s="138">
        <v>10000.0</v>
      </c>
      <c r="F755" s="108" t="s">
        <v>4249</v>
      </c>
      <c r="G755" s="108" t="s">
        <v>4250</v>
      </c>
      <c r="H755" s="108">
        <v>1.0</v>
      </c>
      <c r="I755" s="9" t="s">
        <v>4251</v>
      </c>
      <c r="J755" s="9" t="s">
        <v>4252</v>
      </c>
      <c r="K755" s="108">
        <v>250.0</v>
      </c>
      <c r="L755" s="108">
        <v>160.0</v>
      </c>
    </row>
    <row r="756">
      <c r="A756" s="121"/>
      <c r="B756" s="136">
        <v>100.0</v>
      </c>
      <c r="C756" s="136" t="s">
        <v>4247</v>
      </c>
      <c r="D756" s="137" t="s">
        <v>4253</v>
      </c>
      <c r="E756" s="138">
        <v>10001.0</v>
      </c>
      <c r="F756" s="108" t="s">
        <v>4249</v>
      </c>
      <c r="G756" s="108" t="s">
        <v>4254</v>
      </c>
      <c r="H756" s="108">
        <v>2.0</v>
      </c>
      <c r="I756" s="9" t="s">
        <v>4251</v>
      </c>
      <c r="J756" s="9" t="s">
        <v>4252</v>
      </c>
      <c r="K756" s="108">
        <v>300.0</v>
      </c>
      <c r="L756" s="108">
        <v>200.0</v>
      </c>
    </row>
    <row r="757">
      <c r="A757" s="121"/>
      <c r="B757" s="136">
        <v>100.0</v>
      </c>
      <c r="C757" s="136" t="s">
        <v>4247</v>
      </c>
      <c r="D757" s="137" t="s">
        <v>4255</v>
      </c>
      <c r="E757" s="138">
        <v>10002.0</v>
      </c>
      <c r="F757" s="108" t="s">
        <v>4249</v>
      </c>
      <c r="G757" s="108" t="s">
        <v>4256</v>
      </c>
      <c r="H757" s="108">
        <v>4.0</v>
      </c>
      <c r="I757" s="9" t="s">
        <v>4251</v>
      </c>
      <c r="J757" s="9" t="s">
        <v>4252</v>
      </c>
      <c r="K757" s="108">
        <v>250.0</v>
      </c>
      <c r="L757" s="108">
        <v>160.0</v>
      </c>
    </row>
    <row r="758">
      <c r="A758" s="121"/>
      <c r="B758" s="136">
        <v>100.0</v>
      </c>
      <c r="C758" s="136" t="s">
        <v>4247</v>
      </c>
      <c r="D758" s="137" t="s">
        <v>4257</v>
      </c>
      <c r="E758" s="138">
        <v>10003.0</v>
      </c>
      <c r="F758" s="108" t="s">
        <v>4249</v>
      </c>
      <c r="G758" s="108" t="s">
        <v>4258</v>
      </c>
      <c r="H758" s="108">
        <v>6.0</v>
      </c>
      <c r="I758" s="9" t="s">
        <v>4251</v>
      </c>
      <c r="J758" s="9" t="s">
        <v>4252</v>
      </c>
      <c r="K758" s="108">
        <v>450.0</v>
      </c>
      <c r="L758" s="108">
        <v>350.0</v>
      </c>
    </row>
    <row r="759">
      <c r="A759" s="121" t="s">
        <v>4259</v>
      </c>
      <c r="B759" s="136">
        <v>100.0</v>
      </c>
      <c r="C759" s="136" t="s">
        <v>4247</v>
      </c>
      <c r="D759" s="137" t="s">
        <v>4260</v>
      </c>
      <c r="E759" s="138">
        <v>10004.0</v>
      </c>
      <c r="F759" s="108" t="s">
        <v>4249</v>
      </c>
      <c r="G759" s="108" t="s">
        <v>4261</v>
      </c>
      <c r="H759" s="108">
        <v>2.0</v>
      </c>
      <c r="I759" s="9" t="s">
        <v>4251</v>
      </c>
      <c r="J759" s="9" t="s">
        <v>4252</v>
      </c>
      <c r="K759" s="108">
        <v>380.0</v>
      </c>
      <c r="L759" s="108">
        <v>220.0</v>
      </c>
    </row>
    <row r="760">
      <c r="A760" s="121"/>
      <c r="B760" s="136">
        <v>100.0</v>
      </c>
      <c r="C760" s="136" t="s">
        <v>4247</v>
      </c>
      <c r="D760" s="137" t="s">
        <v>4262</v>
      </c>
      <c r="E760" s="138">
        <v>10005.0</v>
      </c>
      <c r="F760" s="108" t="s">
        <v>4249</v>
      </c>
      <c r="G760" s="108" t="s">
        <v>4263</v>
      </c>
      <c r="H760" s="108">
        <v>6.0</v>
      </c>
      <c r="I760" s="9" t="s">
        <v>4251</v>
      </c>
      <c r="J760" s="9" t="s">
        <v>4252</v>
      </c>
      <c r="K760" s="108">
        <v>250.0</v>
      </c>
      <c r="L760" s="108">
        <v>160.0</v>
      </c>
    </row>
    <row r="761">
      <c r="A761" s="121"/>
      <c r="B761" s="136">
        <v>100.0</v>
      </c>
      <c r="C761" s="136" t="s">
        <v>4247</v>
      </c>
      <c r="D761" s="137" t="s">
        <v>4264</v>
      </c>
      <c r="E761" s="138">
        <v>10006.0</v>
      </c>
      <c r="F761" s="108" t="s">
        <v>4249</v>
      </c>
      <c r="G761" s="108" t="s">
        <v>4265</v>
      </c>
      <c r="H761" s="108">
        <v>1.0</v>
      </c>
      <c r="I761" s="9" t="s">
        <v>4251</v>
      </c>
      <c r="J761" s="9" t="s">
        <v>4252</v>
      </c>
      <c r="K761" s="108">
        <v>250.0</v>
      </c>
      <c r="L761" s="108">
        <v>160.0</v>
      </c>
    </row>
    <row r="762">
      <c r="A762" s="121"/>
      <c r="B762" s="136">
        <v>100.0</v>
      </c>
      <c r="C762" s="136" t="s">
        <v>4247</v>
      </c>
      <c r="D762" s="137" t="s">
        <v>4266</v>
      </c>
      <c r="E762" s="138">
        <v>10007.0</v>
      </c>
      <c r="F762" s="108" t="s">
        <v>4249</v>
      </c>
      <c r="G762" s="108" t="s">
        <v>4267</v>
      </c>
      <c r="H762" s="108">
        <v>3.0</v>
      </c>
      <c r="I762" s="9" t="s">
        <v>4251</v>
      </c>
      <c r="J762" s="9" t="s">
        <v>4252</v>
      </c>
      <c r="K762" s="108">
        <v>560.0</v>
      </c>
      <c r="L762" s="108">
        <v>350.0</v>
      </c>
    </row>
    <row r="763">
      <c r="A763" s="121" t="s">
        <v>4268</v>
      </c>
      <c r="B763" s="136">
        <v>100.0</v>
      </c>
      <c r="C763" s="136" t="s">
        <v>4247</v>
      </c>
      <c r="D763" s="137" t="s">
        <v>4269</v>
      </c>
      <c r="E763" s="138">
        <v>10008.0</v>
      </c>
      <c r="F763" s="108" t="s">
        <v>4249</v>
      </c>
      <c r="G763" s="108" t="s">
        <v>4270</v>
      </c>
      <c r="H763" s="108">
        <v>4.0</v>
      </c>
      <c r="I763" s="9" t="s">
        <v>4251</v>
      </c>
      <c r="J763" s="9" t="s">
        <v>4252</v>
      </c>
      <c r="K763" s="108">
        <v>800.0</v>
      </c>
      <c r="L763" s="108">
        <v>160.0</v>
      </c>
    </row>
    <row r="764">
      <c r="A764" s="121"/>
      <c r="B764" s="136">
        <v>100.0</v>
      </c>
      <c r="C764" s="136" t="s">
        <v>4247</v>
      </c>
      <c r="D764" s="137" t="s">
        <v>4271</v>
      </c>
      <c r="E764" s="138">
        <v>10009.0</v>
      </c>
      <c r="F764" s="108" t="s">
        <v>4249</v>
      </c>
      <c r="G764" s="108" t="s">
        <v>4272</v>
      </c>
      <c r="H764" s="108">
        <v>23.0</v>
      </c>
      <c r="I764" s="9" t="s">
        <v>4251</v>
      </c>
      <c r="J764" s="9" t="s">
        <v>4252</v>
      </c>
      <c r="K764" s="108">
        <v>250.0</v>
      </c>
      <c r="L764" s="108">
        <v>160.0</v>
      </c>
    </row>
    <row r="765">
      <c r="A765" s="121"/>
      <c r="B765" s="136">
        <v>100.0</v>
      </c>
      <c r="C765" s="136" t="s">
        <v>4247</v>
      </c>
      <c r="D765" s="137" t="s">
        <v>4273</v>
      </c>
      <c r="E765" s="138">
        <v>10010.0</v>
      </c>
      <c r="F765" s="108" t="s">
        <v>4249</v>
      </c>
      <c r="G765" s="108" t="s">
        <v>4274</v>
      </c>
      <c r="H765" s="108">
        <v>12.0</v>
      </c>
      <c r="I765" s="9" t="s">
        <v>4251</v>
      </c>
      <c r="J765" s="9" t="s">
        <v>4252</v>
      </c>
      <c r="K765" s="108">
        <v>200.0</v>
      </c>
      <c r="L765" s="108">
        <v>160.0</v>
      </c>
    </row>
    <row r="766">
      <c r="A766" s="121"/>
      <c r="B766" s="136">
        <v>100.0</v>
      </c>
      <c r="C766" s="136" t="s">
        <v>4247</v>
      </c>
      <c r="D766" s="137" t="s">
        <v>4275</v>
      </c>
      <c r="E766" s="138">
        <v>10011.0</v>
      </c>
      <c r="F766" s="108" t="s">
        <v>4249</v>
      </c>
      <c r="G766" s="108" t="s">
        <v>4276</v>
      </c>
      <c r="H766" s="108">
        <v>123.0</v>
      </c>
      <c r="I766" s="9" t="s">
        <v>4251</v>
      </c>
      <c r="J766" s="9" t="s">
        <v>4252</v>
      </c>
      <c r="K766" s="108">
        <v>250.0</v>
      </c>
      <c r="L766" s="108">
        <v>160.0</v>
      </c>
    </row>
    <row r="767">
      <c r="A767" s="121" t="s">
        <v>4277</v>
      </c>
      <c r="B767" s="136">
        <v>100.0</v>
      </c>
      <c r="C767" s="136" t="s">
        <v>4247</v>
      </c>
      <c r="D767" s="137" t="s">
        <v>4278</v>
      </c>
      <c r="E767" s="138">
        <v>10012.0</v>
      </c>
      <c r="F767" s="108" t="s">
        <v>4249</v>
      </c>
      <c r="G767" s="108" t="s">
        <v>4279</v>
      </c>
      <c r="H767" s="108">
        <v>12.0</v>
      </c>
      <c r="I767" s="9" t="s">
        <v>4251</v>
      </c>
      <c r="J767" s="9" t="s">
        <v>4252</v>
      </c>
      <c r="K767" s="108">
        <v>250.0</v>
      </c>
      <c r="L767" s="108">
        <v>160.0</v>
      </c>
    </row>
    <row r="768">
      <c r="A768" s="121"/>
      <c r="B768" s="136">
        <v>100.0</v>
      </c>
      <c r="C768" s="136" t="s">
        <v>4247</v>
      </c>
      <c r="D768" s="137" t="s">
        <v>4280</v>
      </c>
      <c r="E768" s="138">
        <v>10013.0</v>
      </c>
      <c r="F768" s="108" t="s">
        <v>4249</v>
      </c>
      <c r="G768" s="108" t="s">
        <v>4281</v>
      </c>
      <c r="H768" s="108">
        <v>12.0</v>
      </c>
      <c r="I768" s="9" t="s">
        <v>4251</v>
      </c>
      <c r="J768" s="9" t="s">
        <v>4252</v>
      </c>
      <c r="K768" s="108">
        <v>250.0</v>
      </c>
      <c r="L768" s="108">
        <v>160.0</v>
      </c>
    </row>
    <row r="769">
      <c r="A769" s="121"/>
      <c r="B769" s="136">
        <v>100.0</v>
      </c>
      <c r="C769" s="136" t="s">
        <v>4247</v>
      </c>
      <c r="D769" s="137" t="s">
        <v>4282</v>
      </c>
      <c r="E769" s="138">
        <v>10014.0</v>
      </c>
      <c r="F769" s="108" t="s">
        <v>4249</v>
      </c>
      <c r="G769" s="108" t="s">
        <v>4283</v>
      </c>
      <c r="H769" s="108">
        <v>5.0</v>
      </c>
      <c r="I769" s="9" t="s">
        <v>4251</v>
      </c>
      <c r="J769" s="9" t="s">
        <v>4252</v>
      </c>
      <c r="K769" s="108">
        <v>250.0</v>
      </c>
      <c r="L769" s="108">
        <v>160.0</v>
      </c>
    </row>
    <row r="770">
      <c r="A770" s="121"/>
      <c r="B770" s="136">
        <v>100.0</v>
      </c>
      <c r="C770" s="136" t="s">
        <v>4247</v>
      </c>
      <c r="D770" s="137" t="s">
        <v>4284</v>
      </c>
      <c r="E770" s="138">
        <v>10015.0</v>
      </c>
      <c r="F770" s="108" t="s">
        <v>4249</v>
      </c>
      <c r="G770" s="108" t="s">
        <v>4285</v>
      </c>
      <c r="H770" s="108">
        <v>6.0</v>
      </c>
      <c r="I770" s="9" t="s">
        <v>4251</v>
      </c>
      <c r="J770" s="9" t="s">
        <v>4252</v>
      </c>
      <c r="K770" s="108">
        <v>300.0</v>
      </c>
      <c r="L770" s="108">
        <v>200.0</v>
      </c>
    </row>
    <row r="771">
      <c r="A771" s="121" t="s">
        <v>4286</v>
      </c>
      <c r="B771" s="136">
        <v>100.0</v>
      </c>
      <c r="C771" s="136" t="s">
        <v>4247</v>
      </c>
      <c r="D771" s="137" t="s">
        <v>4287</v>
      </c>
      <c r="E771" s="138">
        <v>10016.0</v>
      </c>
      <c r="F771" s="108" t="s">
        <v>4249</v>
      </c>
      <c r="G771" s="108" t="s">
        <v>4288</v>
      </c>
      <c r="H771" s="108">
        <v>6.0</v>
      </c>
      <c r="I771" s="9" t="s">
        <v>4251</v>
      </c>
      <c r="J771" s="9" t="s">
        <v>4252</v>
      </c>
      <c r="K771" s="108">
        <v>250.0</v>
      </c>
      <c r="L771" s="108">
        <v>180.0</v>
      </c>
    </row>
    <row r="772">
      <c r="A772" s="121"/>
      <c r="B772" s="136">
        <v>100.0</v>
      </c>
      <c r="C772" s="136" t="s">
        <v>4247</v>
      </c>
      <c r="D772" s="137" t="s">
        <v>4289</v>
      </c>
      <c r="E772" s="138">
        <v>10017.0</v>
      </c>
      <c r="F772" s="108" t="s">
        <v>4249</v>
      </c>
      <c r="G772" s="108" t="s">
        <v>4290</v>
      </c>
      <c r="H772" s="108">
        <v>7.0</v>
      </c>
      <c r="I772" s="9" t="s">
        <v>4251</v>
      </c>
      <c r="J772" s="62"/>
      <c r="K772" s="108">
        <v>455.0</v>
      </c>
      <c r="L772" s="108">
        <v>320.0</v>
      </c>
    </row>
    <row r="773">
      <c r="A773" s="121"/>
      <c r="B773" s="136">
        <v>100.0</v>
      </c>
      <c r="C773" s="136" t="s">
        <v>4247</v>
      </c>
      <c r="D773" s="137" t="s">
        <v>4291</v>
      </c>
      <c r="E773" s="138">
        <v>10018.0</v>
      </c>
      <c r="F773" s="108" t="s">
        <v>4249</v>
      </c>
      <c r="G773" s="108" t="s">
        <v>4292</v>
      </c>
      <c r="H773" s="108">
        <v>3.0</v>
      </c>
      <c r="I773" s="9" t="s">
        <v>4251</v>
      </c>
      <c r="J773" s="9" t="s">
        <v>4252</v>
      </c>
      <c r="K773" s="108">
        <v>250.0</v>
      </c>
      <c r="L773" s="108">
        <v>160.0</v>
      </c>
    </row>
    <row r="774">
      <c r="A774" s="121"/>
      <c r="B774" s="136">
        <v>100.0</v>
      </c>
      <c r="C774" s="136" t="s">
        <v>4247</v>
      </c>
      <c r="D774" s="137" t="s">
        <v>4293</v>
      </c>
      <c r="E774" s="138">
        <v>10019.0</v>
      </c>
      <c r="F774" s="108" t="s">
        <v>4249</v>
      </c>
      <c r="G774" s="108" t="s">
        <v>4294</v>
      </c>
      <c r="H774" s="108">
        <v>2.0</v>
      </c>
      <c r="I774" s="9" t="s">
        <v>4251</v>
      </c>
      <c r="J774" s="9" t="s">
        <v>4252</v>
      </c>
      <c r="K774" s="108">
        <v>455.0</v>
      </c>
      <c r="L774" s="108">
        <v>380.0</v>
      </c>
    </row>
    <row r="775">
      <c r="A775" s="121" t="s">
        <v>4295</v>
      </c>
      <c r="B775" s="136">
        <v>100.0</v>
      </c>
      <c r="C775" s="136" t="s">
        <v>4247</v>
      </c>
      <c r="D775" s="137" t="s">
        <v>4296</v>
      </c>
      <c r="E775" s="138">
        <v>10020.0</v>
      </c>
      <c r="F775" s="108" t="s">
        <v>4249</v>
      </c>
      <c r="G775" s="108" t="s">
        <v>4297</v>
      </c>
      <c r="H775" s="108">
        <v>2.0</v>
      </c>
      <c r="I775" s="9" t="s">
        <v>4251</v>
      </c>
      <c r="J775" s="9" t="s">
        <v>4252</v>
      </c>
      <c r="K775" s="108">
        <v>232.0</v>
      </c>
      <c r="L775" s="108">
        <v>160.0</v>
      </c>
    </row>
    <row r="776">
      <c r="A776" s="121"/>
      <c r="B776" s="136">
        <v>100.0</v>
      </c>
      <c r="C776" s="136" t="s">
        <v>4247</v>
      </c>
      <c r="D776" s="137" t="s">
        <v>4298</v>
      </c>
      <c r="E776" s="138">
        <v>10021.0</v>
      </c>
      <c r="F776" s="108" t="s">
        <v>4249</v>
      </c>
      <c r="G776" s="108" t="s">
        <v>4299</v>
      </c>
      <c r="H776" s="108">
        <v>4.0</v>
      </c>
      <c r="I776" s="9" t="s">
        <v>4251</v>
      </c>
      <c r="J776" s="9" t="s">
        <v>4252</v>
      </c>
      <c r="K776" s="108">
        <v>333.0</v>
      </c>
      <c r="L776" s="108">
        <v>160.0</v>
      </c>
    </row>
    <row r="777">
      <c r="A777" s="121"/>
      <c r="B777" s="136">
        <v>100.0</v>
      </c>
      <c r="C777" s="136" t="s">
        <v>4247</v>
      </c>
      <c r="D777" s="137" t="s">
        <v>4300</v>
      </c>
      <c r="E777" s="138">
        <v>10022.0</v>
      </c>
      <c r="F777" s="108" t="s">
        <v>4249</v>
      </c>
      <c r="G777" s="108" t="s">
        <v>4301</v>
      </c>
      <c r="H777" s="108">
        <v>65.0</v>
      </c>
      <c r="I777" s="9" t="s">
        <v>4251</v>
      </c>
      <c r="J777" s="9" t="s">
        <v>4252</v>
      </c>
      <c r="K777" s="108">
        <v>222.0</v>
      </c>
      <c r="L777" s="108">
        <v>160.0</v>
      </c>
    </row>
    <row r="778">
      <c r="A778" s="121"/>
      <c r="B778" s="136">
        <v>100.0</v>
      </c>
      <c r="C778" s="136" t="s">
        <v>4247</v>
      </c>
      <c r="D778" s="137" t="s">
        <v>4302</v>
      </c>
      <c r="E778" s="138">
        <v>10023.0</v>
      </c>
      <c r="F778" s="108" t="s">
        <v>4249</v>
      </c>
      <c r="G778" s="108" t="s">
        <v>4303</v>
      </c>
      <c r="H778" s="108">
        <v>7.0</v>
      </c>
      <c r="I778" s="9" t="s">
        <v>4251</v>
      </c>
      <c r="J778" s="9" t="s">
        <v>4252</v>
      </c>
      <c r="K778" s="108">
        <v>250.0</v>
      </c>
      <c r="L778" s="108">
        <v>160.0</v>
      </c>
    </row>
    <row r="779">
      <c r="A779" s="121" t="s">
        <v>4304</v>
      </c>
      <c r="B779" s="136">
        <v>101.0</v>
      </c>
      <c r="C779" s="136" t="s">
        <v>4305</v>
      </c>
      <c r="D779" s="137" t="s">
        <v>4306</v>
      </c>
      <c r="E779" s="138">
        <v>10024.0</v>
      </c>
      <c r="F779" s="108" t="s">
        <v>4249</v>
      </c>
      <c r="G779" s="108" t="s">
        <v>4307</v>
      </c>
      <c r="H779" s="108">
        <v>75.0</v>
      </c>
      <c r="I779" s="9" t="s">
        <v>4308</v>
      </c>
      <c r="J779" s="9" t="s">
        <v>4309</v>
      </c>
      <c r="K779" s="108">
        <v>123.0</v>
      </c>
      <c r="L779" s="108">
        <v>160.0</v>
      </c>
    </row>
    <row r="780">
      <c r="A780" s="121"/>
      <c r="B780" s="136">
        <v>101.0</v>
      </c>
      <c r="C780" s="136" t="s">
        <v>4305</v>
      </c>
      <c r="D780" s="137" t="s">
        <v>4310</v>
      </c>
      <c r="E780" s="138">
        <v>10025.0</v>
      </c>
      <c r="F780" s="108" t="s">
        <v>4249</v>
      </c>
      <c r="G780" s="108" t="s">
        <v>4311</v>
      </c>
      <c r="H780" s="108">
        <v>4.0</v>
      </c>
      <c r="I780" s="9" t="s">
        <v>4308</v>
      </c>
      <c r="J780" s="9" t="s">
        <v>4309</v>
      </c>
      <c r="K780" s="108">
        <v>322.0</v>
      </c>
      <c r="L780" s="108">
        <v>160.0</v>
      </c>
    </row>
    <row r="781">
      <c r="A781" s="121"/>
      <c r="B781" s="136">
        <v>101.0</v>
      </c>
      <c r="C781" s="136" t="s">
        <v>4305</v>
      </c>
      <c r="D781" s="137" t="s">
        <v>4312</v>
      </c>
      <c r="E781" s="138">
        <v>10026.0</v>
      </c>
      <c r="F781" s="108" t="s">
        <v>4249</v>
      </c>
      <c r="G781" s="108" t="s">
        <v>4313</v>
      </c>
      <c r="H781" s="108">
        <v>3.0</v>
      </c>
      <c r="I781" s="9" t="s">
        <v>4308</v>
      </c>
      <c r="J781" s="9" t="s">
        <v>4309</v>
      </c>
      <c r="K781" s="108">
        <v>323.0</v>
      </c>
      <c r="L781" s="108">
        <v>160.0</v>
      </c>
    </row>
    <row r="782">
      <c r="A782" s="121"/>
      <c r="B782" s="136">
        <v>101.0</v>
      </c>
      <c r="C782" s="136" t="s">
        <v>4305</v>
      </c>
      <c r="D782" s="137" t="s">
        <v>4314</v>
      </c>
      <c r="E782" s="138">
        <v>10027.0</v>
      </c>
      <c r="F782" s="108" t="s">
        <v>4249</v>
      </c>
      <c r="G782" s="108" t="s">
        <v>4315</v>
      </c>
      <c r="H782" s="108">
        <v>2.0</v>
      </c>
      <c r="I782" s="9" t="s">
        <v>4308</v>
      </c>
      <c r="J782" s="9" t="s">
        <v>4309</v>
      </c>
      <c r="K782" s="108">
        <v>250.0</v>
      </c>
      <c r="L782" s="108">
        <v>160.0</v>
      </c>
    </row>
    <row r="783">
      <c r="A783" s="121" t="s">
        <v>4316</v>
      </c>
      <c r="B783" s="136">
        <v>101.0</v>
      </c>
      <c r="C783" s="136" t="s">
        <v>4305</v>
      </c>
      <c r="D783" s="137" t="s">
        <v>4317</v>
      </c>
      <c r="E783" s="138">
        <v>10028.0</v>
      </c>
      <c r="F783" s="108" t="s">
        <v>4249</v>
      </c>
      <c r="G783" s="108" t="s">
        <v>4318</v>
      </c>
      <c r="H783" s="108">
        <v>3.0</v>
      </c>
      <c r="I783" s="9" t="s">
        <v>4308</v>
      </c>
      <c r="J783" s="9" t="s">
        <v>4309</v>
      </c>
      <c r="K783" s="108">
        <v>222.0</v>
      </c>
      <c r="L783" s="108">
        <v>160.0</v>
      </c>
    </row>
    <row r="784">
      <c r="A784" s="121"/>
      <c r="B784" s="136">
        <v>101.0</v>
      </c>
      <c r="C784" s="136" t="s">
        <v>4305</v>
      </c>
      <c r="D784" s="137" t="s">
        <v>4319</v>
      </c>
      <c r="E784" s="138">
        <v>10029.0</v>
      </c>
      <c r="F784" s="108" t="s">
        <v>4249</v>
      </c>
      <c r="G784" s="108" t="s">
        <v>4320</v>
      </c>
      <c r="H784" s="108">
        <v>1.0</v>
      </c>
      <c r="I784" s="9" t="s">
        <v>4308</v>
      </c>
      <c r="J784" s="9" t="s">
        <v>4309</v>
      </c>
      <c r="K784" s="108">
        <v>555.0</v>
      </c>
      <c r="L784" s="108">
        <v>160.0</v>
      </c>
    </row>
    <row r="785">
      <c r="A785" s="121"/>
      <c r="B785" s="136">
        <v>101.0</v>
      </c>
      <c r="C785" s="136" t="s">
        <v>4305</v>
      </c>
      <c r="D785" s="137" t="s">
        <v>4321</v>
      </c>
      <c r="E785" s="138">
        <v>10030.0</v>
      </c>
      <c r="F785" s="108" t="s">
        <v>4249</v>
      </c>
      <c r="G785" s="108" t="s">
        <v>4322</v>
      </c>
      <c r="H785" s="108">
        <v>5.0</v>
      </c>
      <c r="I785" s="9" t="s">
        <v>4308</v>
      </c>
      <c r="J785" s="9" t="s">
        <v>4309</v>
      </c>
      <c r="K785" s="108">
        <v>666.0</v>
      </c>
      <c r="L785" s="108">
        <v>160.0</v>
      </c>
    </row>
    <row r="786">
      <c r="A786" s="121" t="s">
        <v>4323</v>
      </c>
      <c r="B786" s="136">
        <v>101.0</v>
      </c>
      <c r="C786" s="136" t="s">
        <v>4305</v>
      </c>
      <c r="D786" s="137" t="s">
        <v>4324</v>
      </c>
      <c r="E786" s="138">
        <v>10031.0</v>
      </c>
      <c r="F786" s="108" t="s">
        <v>4249</v>
      </c>
      <c r="G786" s="108" t="s">
        <v>4325</v>
      </c>
      <c r="H786" s="108">
        <v>7.0</v>
      </c>
      <c r="I786" s="9" t="s">
        <v>4308</v>
      </c>
      <c r="J786" s="9" t="s">
        <v>4309</v>
      </c>
      <c r="K786" s="108">
        <v>666.0</v>
      </c>
      <c r="L786" s="108">
        <v>160.0</v>
      </c>
    </row>
    <row r="787">
      <c r="A787" s="134"/>
      <c r="B787" s="136">
        <v>101.0</v>
      </c>
      <c r="C787" s="136" t="s">
        <v>4305</v>
      </c>
      <c r="D787" s="137" t="s">
        <v>4326</v>
      </c>
      <c r="E787" s="138">
        <v>10032.0</v>
      </c>
      <c r="F787" s="108" t="s">
        <v>4249</v>
      </c>
      <c r="G787" s="108" t="s">
        <v>4327</v>
      </c>
      <c r="H787" s="108">
        <v>8.0</v>
      </c>
      <c r="I787" s="9" t="s">
        <v>4308</v>
      </c>
      <c r="J787" s="9" t="s">
        <v>4309</v>
      </c>
      <c r="K787" s="108">
        <v>897.0</v>
      </c>
      <c r="L787" s="108">
        <v>160.0</v>
      </c>
    </row>
    <row r="788">
      <c r="A788" s="123"/>
      <c r="B788" s="118"/>
      <c r="C788" s="118"/>
      <c r="D788" s="123"/>
    </row>
    <row r="789">
      <c r="A789" s="123"/>
      <c r="B789" s="118"/>
      <c r="C789" s="118"/>
      <c r="D789" s="118"/>
    </row>
    <row r="790">
      <c r="A790" s="124" t="s">
        <v>4328</v>
      </c>
      <c r="B790" s="118"/>
      <c r="C790" s="118"/>
      <c r="D790" s="118"/>
    </row>
    <row r="791">
      <c r="A791" s="125" t="s">
        <v>3018</v>
      </c>
      <c r="B791" s="118"/>
      <c r="C791" s="118"/>
      <c r="D791" s="126" t="s">
        <v>3019</v>
      </c>
    </row>
    <row r="792">
      <c r="A792" s="121" t="s">
        <v>4329</v>
      </c>
      <c r="B792" s="118"/>
      <c r="C792" s="118" t="s">
        <v>4330</v>
      </c>
      <c r="D792" s="122" t="s">
        <v>4331</v>
      </c>
      <c r="F792" s="9" t="s">
        <v>4332</v>
      </c>
    </row>
    <row r="793">
      <c r="A793" s="121" t="s">
        <v>4333</v>
      </c>
      <c r="B793" s="118"/>
      <c r="C793" s="118" t="s">
        <v>4334</v>
      </c>
      <c r="D793" s="122" t="s">
        <v>4335</v>
      </c>
      <c r="F793" s="9" t="s">
        <v>4332</v>
      </c>
    </row>
    <row r="794">
      <c r="A794" s="121" t="s">
        <v>4336</v>
      </c>
      <c r="B794" s="118"/>
      <c r="C794" s="118" t="s">
        <v>4337</v>
      </c>
      <c r="D794" s="122" t="s">
        <v>4338</v>
      </c>
      <c r="F794" s="9" t="s">
        <v>4332</v>
      </c>
    </row>
    <row r="795">
      <c r="A795" s="121" t="s">
        <v>4339</v>
      </c>
      <c r="B795" s="118"/>
      <c r="C795" s="118" t="s">
        <v>4340</v>
      </c>
      <c r="D795" s="122" t="s">
        <v>4341</v>
      </c>
      <c r="F795" s="9" t="s">
        <v>4332</v>
      </c>
    </row>
    <row r="796">
      <c r="A796" s="121" t="s">
        <v>4342</v>
      </c>
      <c r="B796" s="118"/>
      <c r="C796" s="118" t="s">
        <v>4343</v>
      </c>
      <c r="D796" s="122" t="s">
        <v>4344</v>
      </c>
      <c r="F796" s="9" t="s">
        <v>4332</v>
      </c>
    </row>
    <row r="797">
      <c r="A797" s="121" t="s">
        <v>4345</v>
      </c>
      <c r="B797" s="118"/>
      <c r="C797" s="118" t="s">
        <v>4346</v>
      </c>
      <c r="D797" s="122" t="s">
        <v>4347</v>
      </c>
      <c r="F797" s="9" t="s">
        <v>4332</v>
      </c>
    </row>
    <row r="798">
      <c r="A798" s="134"/>
      <c r="B798" s="118"/>
      <c r="C798" s="118"/>
      <c r="D798" s="119" t="s">
        <v>4348</v>
      </c>
    </row>
    <row r="799">
      <c r="A799" s="128"/>
      <c r="B799" s="118"/>
      <c r="C799" s="118"/>
      <c r="D799" s="128"/>
    </row>
    <row r="800">
      <c r="A800" s="124" t="s">
        <v>4349</v>
      </c>
      <c r="B800" s="118"/>
      <c r="C800" s="118"/>
      <c r="D800" s="123"/>
    </row>
    <row r="801">
      <c r="A801" s="125" t="s">
        <v>3018</v>
      </c>
      <c r="B801" s="118"/>
      <c r="C801" s="118"/>
      <c r="D801" s="126" t="s">
        <v>3019</v>
      </c>
    </row>
    <row r="802">
      <c r="A802" s="121" t="s">
        <v>4350</v>
      </c>
      <c r="B802" s="118"/>
      <c r="C802" s="118" t="s">
        <v>4351</v>
      </c>
      <c r="D802" s="119" t="s">
        <v>1323</v>
      </c>
      <c r="F802" s="9" t="s">
        <v>4352</v>
      </c>
    </row>
    <row r="803">
      <c r="A803" s="117" t="s">
        <v>213</v>
      </c>
      <c r="B803" s="118"/>
      <c r="C803" s="118" t="s">
        <v>4353</v>
      </c>
      <c r="D803" s="119" t="s">
        <v>4354</v>
      </c>
      <c r="F803" s="9" t="s">
        <v>4352</v>
      </c>
    </row>
    <row r="804">
      <c r="A804" s="117" t="s">
        <v>216</v>
      </c>
      <c r="B804" s="118"/>
      <c r="C804" s="118" t="s">
        <v>4355</v>
      </c>
      <c r="D804" s="119" t="s">
        <v>4356</v>
      </c>
      <c r="F804" s="9" t="s">
        <v>4352</v>
      </c>
    </row>
    <row r="805">
      <c r="A805" s="117" t="s">
        <v>4357</v>
      </c>
      <c r="B805" s="118"/>
      <c r="C805" s="118" t="s">
        <v>4358</v>
      </c>
      <c r="D805" s="119" t="s">
        <v>4359</v>
      </c>
      <c r="F805" s="9" t="s">
        <v>4352</v>
      </c>
    </row>
    <row r="806">
      <c r="A806" s="117" t="s">
        <v>4360</v>
      </c>
      <c r="B806" s="118"/>
      <c r="C806" s="118" t="s">
        <v>4361</v>
      </c>
      <c r="D806" s="119" t="s">
        <v>4362</v>
      </c>
      <c r="F806" s="9" t="s">
        <v>4352</v>
      </c>
    </row>
    <row r="807">
      <c r="A807" s="117" t="s">
        <v>4363</v>
      </c>
      <c r="B807" s="118"/>
      <c r="C807" s="118" t="s">
        <v>4364</v>
      </c>
      <c r="D807" s="119" t="s">
        <v>4365</v>
      </c>
      <c r="F807" s="9" t="s">
        <v>4352</v>
      </c>
    </row>
    <row r="808">
      <c r="A808" s="124" t="s">
        <v>4366</v>
      </c>
      <c r="B808" s="118"/>
      <c r="C808" s="118"/>
      <c r="D808" s="123"/>
    </row>
    <row r="809">
      <c r="A809" s="125" t="s">
        <v>3018</v>
      </c>
      <c r="B809" s="118"/>
      <c r="C809" s="118"/>
      <c r="D809" s="126" t="s">
        <v>3019</v>
      </c>
    </row>
    <row r="810">
      <c r="A810" s="139" t="s">
        <v>4367</v>
      </c>
      <c r="B810" s="118"/>
      <c r="C810" s="118" t="s">
        <v>4368</v>
      </c>
      <c r="D810" s="122" t="s">
        <v>4369</v>
      </c>
      <c r="F810" s="9" t="s">
        <v>4370</v>
      </c>
    </row>
    <row r="811">
      <c r="A811" s="139" t="s">
        <v>4371</v>
      </c>
      <c r="B811" s="118"/>
      <c r="C811" s="118" t="s">
        <v>4372</v>
      </c>
      <c r="D811" s="119" t="s">
        <v>4373</v>
      </c>
      <c r="F811" s="9" t="s">
        <v>4370</v>
      </c>
    </row>
    <row r="812">
      <c r="A812" s="139" t="s">
        <v>4374</v>
      </c>
      <c r="B812" s="118"/>
      <c r="C812" s="118" t="s">
        <v>4375</v>
      </c>
      <c r="D812" s="119" t="s">
        <v>4376</v>
      </c>
      <c r="F812" s="9" t="s">
        <v>4370</v>
      </c>
    </row>
    <row r="813">
      <c r="A813" s="139" t="s">
        <v>4377</v>
      </c>
      <c r="B813" s="118"/>
      <c r="C813" s="118" t="s">
        <v>4378</v>
      </c>
      <c r="D813" s="119" t="s">
        <v>4379</v>
      </c>
      <c r="F813" s="9" t="s">
        <v>4370</v>
      </c>
    </row>
    <row r="814">
      <c r="A814" s="134"/>
      <c r="B814" s="118"/>
      <c r="C814" s="118"/>
      <c r="D814" s="128"/>
    </row>
    <row r="815">
      <c r="A815" s="139" t="s">
        <v>4380</v>
      </c>
      <c r="B815" s="118"/>
      <c r="C815" s="118"/>
      <c r="D815" s="119" t="s">
        <v>4381</v>
      </c>
      <c r="F815" s="9" t="s">
        <v>4370</v>
      </c>
    </row>
    <row r="816">
      <c r="A816" s="139" t="s">
        <v>4374</v>
      </c>
      <c r="B816" s="118"/>
      <c r="C816" s="118"/>
      <c r="D816" s="119" t="s">
        <v>4381</v>
      </c>
      <c r="F816" s="9" t="s">
        <v>4370</v>
      </c>
    </row>
    <row r="817">
      <c r="A817" s="139" t="s">
        <v>4382</v>
      </c>
      <c r="B817" s="118"/>
      <c r="C817" s="118" t="s">
        <v>4383</v>
      </c>
      <c r="D817" s="119" t="s">
        <v>4381</v>
      </c>
      <c r="F817" s="9" t="s">
        <v>4370</v>
      </c>
    </row>
    <row r="818">
      <c r="A818" s="139" t="s">
        <v>4377</v>
      </c>
      <c r="B818" s="118"/>
      <c r="C818" s="118" t="s">
        <v>4378</v>
      </c>
      <c r="D818" s="119" t="s">
        <v>4381</v>
      </c>
      <c r="F818" s="9" t="s">
        <v>4370</v>
      </c>
    </row>
    <row r="819">
      <c r="A819" s="128"/>
      <c r="B819" s="118"/>
      <c r="C819" s="118"/>
      <c r="D819" s="128"/>
    </row>
    <row r="820">
      <c r="A820" s="128"/>
      <c r="B820" s="118"/>
      <c r="C820" s="118"/>
      <c r="D820" s="128"/>
    </row>
    <row r="821">
      <c r="A821" s="128"/>
      <c r="B821" s="118"/>
      <c r="C821" s="118"/>
      <c r="D821" s="128"/>
    </row>
    <row r="822">
      <c r="A822" s="128"/>
      <c r="B822" s="118"/>
      <c r="C822" s="118"/>
      <c r="D822" s="128"/>
    </row>
    <row r="823">
      <c r="A823" s="128"/>
      <c r="B823" s="118"/>
      <c r="C823" s="118"/>
      <c r="D823" s="128"/>
    </row>
    <row r="824">
      <c r="A824" s="123"/>
      <c r="B824" s="118"/>
      <c r="C824" s="118"/>
      <c r="D824" s="123"/>
    </row>
    <row r="825">
      <c r="A825" s="123"/>
      <c r="B825" s="118"/>
      <c r="C825" s="118"/>
      <c r="D825" s="123"/>
    </row>
    <row r="826">
      <c r="A826" s="123"/>
      <c r="B826" s="118"/>
      <c r="C826" s="118"/>
      <c r="D826" s="118"/>
    </row>
    <row r="827">
      <c r="A827" s="124" t="s">
        <v>4384</v>
      </c>
      <c r="B827" s="118"/>
      <c r="C827" s="118"/>
      <c r="D827" s="118"/>
    </row>
    <row r="828">
      <c r="A828" s="125" t="s">
        <v>3018</v>
      </c>
      <c r="B828" s="118"/>
      <c r="C828" s="118"/>
      <c r="D828" s="126" t="s">
        <v>3019</v>
      </c>
    </row>
    <row r="829">
      <c r="A829" s="121" t="s">
        <v>4385</v>
      </c>
      <c r="B829" s="118"/>
      <c r="C829" s="118" t="s">
        <v>4386</v>
      </c>
      <c r="D829" s="122" t="s">
        <v>4387</v>
      </c>
      <c r="F829" s="9" t="s">
        <v>4388</v>
      </c>
    </row>
    <row r="830">
      <c r="A830" s="121" t="s">
        <v>4389</v>
      </c>
      <c r="B830" s="118"/>
      <c r="C830" s="118" t="s">
        <v>4390</v>
      </c>
      <c r="D830" s="122" t="s">
        <v>4391</v>
      </c>
      <c r="F830" s="9" t="s">
        <v>4388</v>
      </c>
    </row>
    <row r="831">
      <c r="A831" s="121" t="s">
        <v>4392</v>
      </c>
      <c r="B831" s="118"/>
      <c r="C831" s="118" t="s">
        <v>4393</v>
      </c>
      <c r="D831" s="122" t="s">
        <v>4394</v>
      </c>
      <c r="F831" s="9" t="s">
        <v>4388</v>
      </c>
    </row>
    <row r="832">
      <c r="A832" s="121" t="s">
        <v>4395</v>
      </c>
      <c r="B832" s="118"/>
      <c r="C832" s="118" t="s">
        <v>4396</v>
      </c>
      <c r="D832" s="122" t="s">
        <v>4391</v>
      </c>
      <c r="F832" s="9" t="s">
        <v>4388</v>
      </c>
    </row>
    <row r="833">
      <c r="A833" s="121" t="s">
        <v>4397</v>
      </c>
      <c r="B833" s="118"/>
      <c r="C833" s="118" t="s">
        <v>4398</v>
      </c>
      <c r="D833" s="122" t="s">
        <v>4399</v>
      </c>
      <c r="F833" s="9" t="s">
        <v>4388</v>
      </c>
    </row>
    <row r="834">
      <c r="A834" s="134"/>
      <c r="B834" s="118"/>
      <c r="C834" s="118"/>
      <c r="D834" s="134"/>
    </row>
    <row r="835">
      <c r="A835" s="128"/>
      <c r="B835" s="118"/>
      <c r="C835" s="118"/>
      <c r="D835" s="128"/>
    </row>
    <row r="836">
      <c r="A836" s="117" t="s">
        <v>4400</v>
      </c>
      <c r="B836" s="118"/>
      <c r="C836" s="118"/>
      <c r="D836" s="119" t="s">
        <v>745</v>
      </c>
      <c r="F836" s="9" t="s">
        <v>4388</v>
      </c>
    </row>
    <row r="837">
      <c r="A837" s="117" t="s">
        <v>4401</v>
      </c>
      <c r="B837" s="118"/>
      <c r="C837" s="118"/>
      <c r="D837" s="119" t="s">
        <v>748</v>
      </c>
      <c r="F837" s="9" t="s">
        <v>4388</v>
      </c>
    </row>
    <row r="838">
      <c r="A838" s="128"/>
      <c r="B838" s="118"/>
      <c r="C838" s="118"/>
      <c r="D838" s="128"/>
    </row>
    <row r="839">
      <c r="A839" s="128"/>
      <c r="B839" s="118"/>
      <c r="C839" s="118"/>
      <c r="D839" s="128"/>
    </row>
    <row r="840">
      <c r="A840" s="128"/>
      <c r="B840" s="118"/>
      <c r="C840" s="118"/>
      <c r="D840" s="128"/>
    </row>
    <row r="841">
      <c r="A841" s="128"/>
      <c r="B841" s="118"/>
      <c r="C841" s="118"/>
      <c r="D841" s="128"/>
    </row>
    <row r="842">
      <c r="A842" s="128"/>
      <c r="B842" s="118"/>
      <c r="C842" s="118"/>
      <c r="D842" s="128"/>
    </row>
    <row r="843">
      <c r="A843" s="128"/>
      <c r="B843" s="118"/>
      <c r="C843" s="118"/>
      <c r="D843" s="128"/>
    </row>
    <row r="844">
      <c r="A844" s="128"/>
      <c r="B844" s="118"/>
      <c r="C844" s="118"/>
      <c r="D844" s="128"/>
    </row>
    <row r="845">
      <c r="A845" s="128"/>
      <c r="B845" s="118"/>
      <c r="C845" s="118"/>
      <c r="D845" s="128"/>
    </row>
    <row r="846">
      <c r="A846" s="123"/>
      <c r="B846" s="118"/>
      <c r="C846" s="118"/>
      <c r="D846" s="123"/>
    </row>
    <row r="847">
      <c r="A847" s="123"/>
      <c r="B847" s="118"/>
      <c r="C847" s="118"/>
      <c r="D847" s="123"/>
    </row>
    <row r="848">
      <c r="A848" s="125" t="s">
        <v>3018</v>
      </c>
      <c r="B848" s="118"/>
      <c r="C848" s="118"/>
      <c r="D848" s="126" t="s">
        <v>3019</v>
      </c>
    </row>
    <row r="849">
      <c r="A849" s="134"/>
      <c r="B849" s="118"/>
      <c r="C849" s="118"/>
      <c r="D849" s="134"/>
    </row>
    <row r="850">
      <c r="A850" s="134"/>
      <c r="B850" s="118"/>
      <c r="C850" s="118"/>
      <c r="D850" s="128"/>
    </row>
    <row r="851">
      <c r="A851" s="134"/>
      <c r="B851" s="118"/>
      <c r="C851" s="118"/>
      <c r="D851" s="128"/>
    </row>
    <row r="852">
      <c r="A852" s="134"/>
      <c r="B852" s="118"/>
      <c r="C852" s="118"/>
      <c r="D852" s="128"/>
    </row>
    <row r="853">
      <c r="A853" s="134"/>
      <c r="B853" s="118"/>
      <c r="C853" s="118"/>
      <c r="D853" s="128"/>
    </row>
    <row r="854">
      <c r="A854" s="134"/>
      <c r="B854" s="118"/>
      <c r="C854" s="118"/>
      <c r="D854" s="128"/>
    </row>
    <row r="855">
      <c r="A855" s="134"/>
      <c r="B855" s="118"/>
      <c r="C855" s="118"/>
      <c r="D855" s="128"/>
    </row>
    <row r="856">
      <c r="A856" s="134"/>
      <c r="B856" s="118"/>
      <c r="C856" s="118"/>
      <c r="D856" s="128"/>
    </row>
    <row r="857">
      <c r="A857" s="134"/>
      <c r="B857" s="118"/>
      <c r="C857" s="118"/>
      <c r="D857" s="128"/>
    </row>
    <row r="858">
      <c r="A858" s="134"/>
      <c r="B858" s="118"/>
      <c r="C858" s="118"/>
      <c r="D858" s="128"/>
    </row>
    <row r="859">
      <c r="A859" s="128"/>
      <c r="B859" s="118"/>
      <c r="C859" s="118"/>
      <c r="D859" s="128"/>
    </row>
    <row r="860">
      <c r="A860" s="128"/>
      <c r="B860" s="118"/>
      <c r="C860" s="118"/>
      <c r="D860" s="128"/>
    </row>
    <row r="861">
      <c r="A861" s="128"/>
      <c r="B861" s="118"/>
      <c r="C861" s="118"/>
      <c r="D861" s="128"/>
    </row>
    <row r="862">
      <c r="A862" s="128"/>
      <c r="B862" s="118"/>
      <c r="C862" s="118"/>
      <c r="D862" s="128"/>
    </row>
    <row r="863">
      <c r="A863" s="128"/>
      <c r="B863" s="118"/>
      <c r="C863" s="118"/>
      <c r="D863" s="128"/>
    </row>
    <row r="864">
      <c r="A864" s="128"/>
      <c r="B864" s="118"/>
      <c r="C864" s="118"/>
      <c r="D864" s="128"/>
    </row>
    <row r="865">
      <c r="A865" s="140"/>
      <c r="B865" s="118"/>
      <c r="C865" s="118"/>
      <c r="D865" s="140"/>
    </row>
    <row r="866">
      <c r="A866" s="128"/>
      <c r="B866" s="118"/>
      <c r="C866" s="118"/>
      <c r="D866" s="128"/>
    </row>
    <row r="867">
      <c r="A867" s="123"/>
      <c r="B867" s="118"/>
      <c r="C867" s="118"/>
      <c r="D867" s="118"/>
    </row>
    <row r="868">
      <c r="A868" s="123"/>
      <c r="B868" s="118"/>
      <c r="C868" s="118"/>
      <c r="D868" s="118"/>
    </row>
    <row r="869">
      <c r="A869" s="123"/>
      <c r="B869" s="118"/>
      <c r="C869" s="118"/>
      <c r="D869" s="118"/>
    </row>
    <row r="870">
      <c r="B870" s="118"/>
      <c r="C870" s="118"/>
      <c r="D870" s="118"/>
    </row>
    <row r="871">
      <c r="A871" s="125" t="s">
        <v>3018</v>
      </c>
      <c r="B871" s="118"/>
      <c r="C871" s="118"/>
      <c r="D871" s="126" t="s">
        <v>3019</v>
      </c>
      <c r="F871" s="124" t="s">
        <v>4402</v>
      </c>
    </row>
    <row r="872">
      <c r="A872" s="121" t="s">
        <v>577</v>
      </c>
      <c r="B872" s="118"/>
      <c r="C872" s="118" t="s">
        <v>4403</v>
      </c>
      <c r="D872" s="122" t="s">
        <v>4404</v>
      </c>
      <c r="F872" s="124" t="s">
        <v>4402</v>
      </c>
    </row>
    <row r="873">
      <c r="A873" s="117" t="s">
        <v>4405</v>
      </c>
      <c r="B873" s="118"/>
      <c r="C873" s="118" t="s">
        <v>4406</v>
      </c>
      <c r="D873" s="119" t="s">
        <v>4407</v>
      </c>
      <c r="F873" s="124" t="s">
        <v>4402</v>
      </c>
    </row>
    <row r="874">
      <c r="A874" s="117" t="s">
        <v>4408</v>
      </c>
      <c r="B874" s="118"/>
      <c r="C874" s="118" t="s">
        <v>4409</v>
      </c>
      <c r="D874" s="119" t="s">
        <v>4410</v>
      </c>
      <c r="F874" s="124" t="s">
        <v>4402</v>
      </c>
    </row>
    <row r="875">
      <c r="A875" s="117" t="s">
        <v>4411</v>
      </c>
      <c r="B875" s="118"/>
      <c r="C875" s="118" t="s">
        <v>4412</v>
      </c>
      <c r="D875" s="119" t="s">
        <v>4413</v>
      </c>
      <c r="F875" s="124" t="s">
        <v>4402</v>
      </c>
    </row>
    <row r="876">
      <c r="A876" s="117" t="s">
        <v>4414</v>
      </c>
      <c r="B876" s="118"/>
      <c r="C876" s="118" t="s">
        <v>4415</v>
      </c>
      <c r="D876" s="119" t="s">
        <v>4416</v>
      </c>
      <c r="F876" s="124" t="s">
        <v>4402</v>
      </c>
    </row>
    <row r="877">
      <c r="A877" s="117" t="s">
        <v>4417</v>
      </c>
      <c r="B877" s="118"/>
      <c r="C877" s="118" t="s">
        <v>4418</v>
      </c>
      <c r="D877" s="119" t="s">
        <v>4419</v>
      </c>
      <c r="F877" s="124" t="s">
        <v>4402</v>
      </c>
    </row>
    <row r="878">
      <c r="A878" s="117" t="s">
        <v>4420</v>
      </c>
      <c r="B878" s="118"/>
      <c r="C878" s="118" t="s">
        <v>4421</v>
      </c>
      <c r="D878" s="119" t="s">
        <v>4422</v>
      </c>
      <c r="F878" s="124" t="s">
        <v>4402</v>
      </c>
    </row>
    <row r="879">
      <c r="A879" s="121" t="s">
        <v>847</v>
      </c>
      <c r="B879" s="118"/>
      <c r="C879" s="118" t="s">
        <v>4423</v>
      </c>
      <c r="D879" s="119" t="s">
        <v>4424</v>
      </c>
      <c r="F879" s="124" t="s">
        <v>4402</v>
      </c>
    </row>
    <row r="880">
      <c r="A880" s="121" t="s">
        <v>4425</v>
      </c>
      <c r="B880" s="118"/>
      <c r="C880" s="118" t="s">
        <v>4426</v>
      </c>
      <c r="D880" s="119" t="s">
        <v>4427</v>
      </c>
      <c r="F880" s="124" t="s">
        <v>4402</v>
      </c>
    </row>
    <row r="881">
      <c r="A881" s="121" t="s">
        <v>4425</v>
      </c>
      <c r="B881" s="118"/>
      <c r="C881" s="118" t="s">
        <v>4426</v>
      </c>
      <c r="D881" s="119" t="s">
        <v>4428</v>
      </c>
      <c r="F881" s="124" t="s">
        <v>4402</v>
      </c>
    </row>
    <row r="882">
      <c r="A882" s="121" t="s">
        <v>4429</v>
      </c>
      <c r="B882" s="118"/>
      <c r="C882" s="118" t="s">
        <v>4430</v>
      </c>
      <c r="D882" s="119" t="s">
        <v>4431</v>
      </c>
      <c r="F882" s="124" t="s">
        <v>4402</v>
      </c>
    </row>
    <row r="883">
      <c r="A883" s="117" t="s">
        <v>4432</v>
      </c>
      <c r="B883" s="118"/>
      <c r="C883" s="118" t="s">
        <v>4433</v>
      </c>
      <c r="D883" s="119" t="s">
        <v>4434</v>
      </c>
      <c r="F883" s="124" t="s">
        <v>4402</v>
      </c>
    </row>
    <row r="884">
      <c r="A884" s="117" t="s">
        <v>4435</v>
      </c>
      <c r="B884" s="118"/>
      <c r="C884" s="118" t="s">
        <v>4436</v>
      </c>
      <c r="D884" s="119" t="s">
        <v>4437</v>
      </c>
      <c r="F884" s="124" t="s">
        <v>4402</v>
      </c>
    </row>
    <row r="885">
      <c r="A885" s="121" t="s">
        <v>4429</v>
      </c>
      <c r="B885" s="118"/>
      <c r="C885" s="118" t="s">
        <v>4430</v>
      </c>
      <c r="D885" s="119" t="s">
        <v>2111</v>
      </c>
      <c r="F885" s="124" t="s">
        <v>4402</v>
      </c>
    </row>
    <row r="886">
      <c r="A886" s="121" t="s">
        <v>4438</v>
      </c>
      <c r="B886" s="118"/>
      <c r="C886" s="118" t="s">
        <v>4439</v>
      </c>
      <c r="D886" s="119" t="s">
        <v>4440</v>
      </c>
      <c r="F886" s="124" t="s">
        <v>4402</v>
      </c>
    </row>
    <row r="887">
      <c r="A887" s="121" t="s">
        <v>4441</v>
      </c>
      <c r="B887" s="118"/>
      <c r="C887" s="118" t="s">
        <v>4442</v>
      </c>
      <c r="D887" s="119" t="s">
        <v>4443</v>
      </c>
      <c r="F887" s="124" t="s">
        <v>4402</v>
      </c>
    </row>
    <row r="888">
      <c r="A888" s="117" t="s">
        <v>4444</v>
      </c>
      <c r="B888" s="118"/>
      <c r="C888" s="118" t="s">
        <v>4445</v>
      </c>
      <c r="D888" s="119" t="s">
        <v>4446</v>
      </c>
      <c r="F888" s="124" t="s">
        <v>4402</v>
      </c>
    </row>
    <row r="889">
      <c r="A889" s="117" t="s">
        <v>4447</v>
      </c>
      <c r="B889" s="118"/>
      <c r="C889" s="118" t="s">
        <v>4448</v>
      </c>
      <c r="D889" s="119" t="s">
        <v>4449</v>
      </c>
      <c r="F889" s="124" t="s">
        <v>4402</v>
      </c>
    </row>
    <row r="890">
      <c r="A890" s="121" t="s">
        <v>4450</v>
      </c>
      <c r="B890" s="118"/>
      <c r="C890" s="118" t="s">
        <v>4451</v>
      </c>
      <c r="D890" s="119" t="s">
        <v>4452</v>
      </c>
      <c r="F890" s="124" t="s">
        <v>4402</v>
      </c>
    </row>
    <row r="891">
      <c r="A891" s="117" t="s">
        <v>4411</v>
      </c>
      <c r="B891" s="118"/>
      <c r="C891" s="118" t="s">
        <v>4412</v>
      </c>
      <c r="D891" s="119" t="s">
        <v>4453</v>
      </c>
      <c r="F891" s="124" t="s">
        <v>4402</v>
      </c>
    </row>
    <row r="892">
      <c r="A892" s="117" t="s">
        <v>4454</v>
      </c>
      <c r="B892" s="118"/>
      <c r="C892" s="118" t="s">
        <v>4455</v>
      </c>
      <c r="D892" s="119" t="s">
        <v>4456</v>
      </c>
      <c r="F892" s="124" t="s">
        <v>4402</v>
      </c>
    </row>
    <row r="893">
      <c r="A893" s="121" t="s">
        <v>4450</v>
      </c>
      <c r="B893" s="118"/>
      <c r="C893" s="118" t="s">
        <v>4451</v>
      </c>
      <c r="D893" s="119" t="s">
        <v>4457</v>
      </c>
      <c r="F893" s="124" t="s">
        <v>4402</v>
      </c>
    </row>
    <row r="894">
      <c r="A894" s="121" t="s">
        <v>4458</v>
      </c>
      <c r="B894" s="118"/>
      <c r="C894" s="118" t="s">
        <v>4459</v>
      </c>
      <c r="D894" s="119" t="s">
        <v>4460</v>
      </c>
      <c r="F894" s="124" t="s">
        <v>4402</v>
      </c>
    </row>
    <row r="895">
      <c r="A895" s="121" t="s">
        <v>4461</v>
      </c>
      <c r="B895" s="118"/>
      <c r="C895" s="118" t="s">
        <v>4462</v>
      </c>
      <c r="D895" s="119" t="s">
        <v>4463</v>
      </c>
      <c r="F895" s="124" t="s">
        <v>4402</v>
      </c>
    </row>
    <row r="896">
      <c r="A896" s="121" t="s">
        <v>4464</v>
      </c>
      <c r="B896" s="118"/>
      <c r="C896" s="118" t="s">
        <v>4465</v>
      </c>
      <c r="D896" s="119" t="s">
        <v>4466</v>
      </c>
      <c r="F896" s="124" t="s">
        <v>4402</v>
      </c>
    </row>
    <row r="897">
      <c r="A897" s="121" t="s">
        <v>577</v>
      </c>
      <c r="B897" s="118"/>
      <c r="C897" s="118" t="s">
        <v>4403</v>
      </c>
      <c r="D897" s="119">
        <v>1029.0</v>
      </c>
      <c r="F897" s="124" t="s">
        <v>4402</v>
      </c>
    </row>
    <row r="898">
      <c r="A898" s="121" t="s">
        <v>577</v>
      </c>
      <c r="B898" s="118"/>
      <c r="C898" s="118" t="s">
        <v>4403</v>
      </c>
      <c r="D898" s="119">
        <v>1031.0</v>
      </c>
      <c r="F898" s="124" t="s">
        <v>4402</v>
      </c>
    </row>
    <row r="899">
      <c r="A899" s="117" t="s">
        <v>4411</v>
      </c>
      <c r="B899" s="118"/>
      <c r="C899" s="118" t="s">
        <v>4412</v>
      </c>
      <c r="D899" s="119">
        <v>1034.0</v>
      </c>
      <c r="F899" s="124" t="s">
        <v>4402</v>
      </c>
    </row>
    <row r="900">
      <c r="A900" s="121" t="s">
        <v>4467</v>
      </c>
      <c r="B900" s="118"/>
      <c r="C900" s="118" t="s">
        <v>4468</v>
      </c>
      <c r="D900" s="119" t="s">
        <v>4469</v>
      </c>
      <c r="F900" s="124" t="s">
        <v>4402</v>
      </c>
    </row>
    <row r="901">
      <c r="A901" s="121" t="s">
        <v>4470</v>
      </c>
      <c r="B901" s="118"/>
      <c r="C901" s="118" t="s">
        <v>4471</v>
      </c>
      <c r="D901" s="119" t="s">
        <v>4472</v>
      </c>
      <c r="F901" s="124" t="s">
        <v>4402</v>
      </c>
    </row>
    <row r="902">
      <c r="A902" s="122" t="s">
        <v>4473</v>
      </c>
      <c r="B902" s="118"/>
      <c r="C902" s="118" t="s">
        <v>4474</v>
      </c>
      <c r="D902" s="119" t="s">
        <v>4475</v>
      </c>
      <c r="F902" s="124" t="s">
        <v>4402</v>
      </c>
    </row>
    <row r="903">
      <c r="A903" s="121" t="s">
        <v>4476</v>
      </c>
      <c r="B903" s="118"/>
      <c r="C903" s="118" t="s">
        <v>4477</v>
      </c>
      <c r="D903" s="119" t="s">
        <v>4478</v>
      </c>
      <c r="F903" s="124" t="s">
        <v>4402</v>
      </c>
    </row>
    <row r="904">
      <c r="A904" s="121" t="s">
        <v>4467</v>
      </c>
      <c r="B904" s="118"/>
      <c r="C904" s="118" t="s">
        <v>4468</v>
      </c>
      <c r="D904" s="119" t="s">
        <v>4479</v>
      </c>
      <c r="F904" s="124" t="s">
        <v>4402</v>
      </c>
    </row>
    <row r="905">
      <c r="A905" s="121" t="s">
        <v>4470</v>
      </c>
      <c r="B905" s="118"/>
      <c r="C905" s="118" t="s">
        <v>4471</v>
      </c>
      <c r="D905" s="119" t="s">
        <v>4480</v>
      </c>
      <c r="F905" s="124" t="s">
        <v>4402</v>
      </c>
    </row>
    <row r="906">
      <c r="A906" s="121" t="s">
        <v>4481</v>
      </c>
      <c r="B906" s="118"/>
      <c r="C906" s="118" t="s">
        <v>4482</v>
      </c>
      <c r="D906" s="119" t="s">
        <v>4483</v>
      </c>
      <c r="F906" s="124" t="s">
        <v>4402</v>
      </c>
    </row>
    <row r="907">
      <c r="A907" s="121" t="s">
        <v>4484</v>
      </c>
      <c r="B907" s="118"/>
      <c r="C907" s="118" t="s">
        <v>4485</v>
      </c>
      <c r="D907" s="119" t="s">
        <v>4486</v>
      </c>
      <c r="F907" s="124" t="s">
        <v>4402</v>
      </c>
    </row>
    <row r="908">
      <c r="A908" s="121" t="s">
        <v>4487</v>
      </c>
      <c r="B908" s="118"/>
      <c r="C908" s="118" t="s">
        <v>4488</v>
      </c>
      <c r="D908" s="119" t="s">
        <v>4489</v>
      </c>
      <c r="F908" s="124" t="s">
        <v>4402</v>
      </c>
    </row>
    <row r="909">
      <c r="A909" s="121" t="s">
        <v>4490</v>
      </c>
      <c r="B909" s="118"/>
      <c r="C909" s="118" t="s">
        <v>4491</v>
      </c>
      <c r="D909" s="119" t="s">
        <v>4492</v>
      </c>
      <c r="F909" s="124" t="s">
        <v>4402</v>
      </c>
    </row>
    <row r="910">
      <c r="A910" s="121" t="s">
        <v>4493</v>
      </c>
      <c r="B910" s="118"/>
      <c r="C910" s="118" t="s">
        <v>4494</v>
      </c>
      <c r="D910" s="119" t="s">
        <v>4495</v>
      </c>
      <c r="F910" s="124" t="s">
        <v>4402</v>
      </c>
    </row>
    <row r="911">
      <c r="A911" s="128"/>
      <c r="B911" s="118"/>
      <c r="C911" s="118"/>
      <c r="D911" s="128"/>
    </row>
    <row r="912">
      <c r="A912" s="123"/>
      <c r="B912" s="118"/>
      <c r="C912" s="118"/>
      <c r="D912" s="123"/>
    </row>
    <row r="913">
      <c r="A913" s="124" t="s">
        <v>4496</v>
      </c>
      <c r="B913" s="118"/>
      <c r="C913" s="118"/>
      <c r="D913" s="118"/>
    </row>
    <row r="914">
      <c r="A914" s="125" t="s">
        <v>3018</v>
      </c>
      <c r="B914" s="118"/>
      <c r="C914" s="118"/>
      <c r="D914" s="126" t="s">
        <v>3019</v>
      </c>
    </row>
    <row r="915">
      <c r="A915" s="121" t="s">
        <v>816</v>
      </c>
      <c r="B915" s="118"/>
      <c r="C915" s="118" t="s">
        <v>4497</v>
      </c>
      <c r="D915" s="122" t="s">
        <v>4498</v>
      </c>
      <c r="F915" s="9" t="s">
        <v>4499</v>
      </c>
    </row>
    <row r="916">
      <c r="A916" s="121" t="s">
        <v>4500</v>
      </c>
      <c r="B916" s="118"/>
      <c r="C916" s="118" t="s">
        <v>4501</v>
      </c>
      <c r="D916" s="119" t="s">
        <v>4502</v>
      </c>
      <c r="F916" s="9" t="s">
        <v>4499</v>
      </c>
    </row>
    <row r="917">
      <c r="A917" s="121" t="s">
        <v>4503</v>
      </c>
      <c r="B917" s="118"/>
      <c r="C917" s="118" t="s">
        <v>4504</v>
      </c>
      <c r="D917" s="119" t="s">
        <v>4505</v>
      </c>
      <c r="F917" s="9" t="s">
        <v>4499</v>
      </c>
    </row>
    <row r="918">
      <c r="A918" s="121" t="s">
        <v>4506</v>
      </c>
      <c r="B918" s="118"/>
      <c r="C918" s="118" t="s">
        <v>4507</v>
      </c>
      <c r="D918" s="119" t="s">
        <v>4508</v>
      </c>
      <c r="F918" s="9" t="s">
        <v>4499</v>
      </c>
    </row>
    <row r="919">
      <c r="A919" s="121" t="s">
        <v>820</v>
      </c>
      <c r="B919" s="118"/>
      <c r="C919" s="118" t="s">
        <v>4509</v>
      </c>
      <c r="D919" s="119" t="s">
        <v>4510</v>
      </c>
      <c r="F919" s="9" t="s">
        <v>4499</v>
      </c>
    </row>
    <row r="920">
      <c r="A920" s="121" t="s">
        <v>4511</v>
      </c>
      <c r="B920" s="118"/>
      <c r="C920" s="118" t="s">
        <v>4512</v>
      </c>
      <c r="D920" s="119" t="s">
        <v>4513</v>
      </c>
      <c r="F920" s="9" t="s">
        <v>4499</v>
      </c>
    </row>
    <row r="921">
      <c r="A921" s="121" t="s">
        <v>4514</v>
      </c>
      <c r="B921" s="118"/>
      <c r="C921" s="118" t="s">
        <v>4515</v>
      </c>
      <c r="D921" s="119" t="s">
        <v>4516</v>
      </c>
      <c r="F921" s="9" t="s">
        <v>4499</v>
      </c>
    </row>
    <row r="922">
      <c r="A922" s="121" t="s">
        <v>2112</v>
      </c>
      <c r="B922" s="118"/>
      <c r="C922" s="118" t="s">
        <v>4517</v>
      </c>
      <c r="D922" s="119" t="s">
        <v>349</v>
      </c>
      <c r="F922" s="9" t="s">
        <v>4499</v>
      </c>
    </row>
    <row r="923">
      <c r="A923" s="121" t="s">
        <v>4518</v>
      </c>
      <c r="B923" s="118"/>
      <c r="C923" s="118" t="s">
        <v>4519</v>
      </c>
      <c r="D923" s="119" t="s">
        <v>4520</v>
      </c>
      <c r="F923" s="9" t="s">
        <v>4499</v>
      </c>
    </row>
    <row r="924">
      <c r="A924" s="121" t="s">
        <v>4521</v>
      </c>
      <c r="B924" s="118"/>
      <c r="C924" s="118" t="s">
        <v>4522</v>
      </c>
      <c r="D924" s="119" t="s">
        <v>4523</v>
      </c>
      <c r="F924" s="9" t="s">
        <v>4499</v>
      </c>
    </row>
    <row r="925">
      <c r="A925" s="121" t="s">
        <v>4524</v>
      </c>
      <c r="B925" s="118"/>
      <c r="C925" s="118" t="s">
        <v>4525</v>
      </c>
      <c r="D925" s="119">
        <v>9038.0</v>
      </c>
      <c r="F925" s="9" t="s">
        <v>4499</v>
      </c>
    </row>
    <row r="926">
      <c r="A926" s="121" t="s">
        <v>4526</v>
      </c>
      <c r="B926" s="118"/>
      <c r="C926" s="118" t="s">
        <v>4527</v>
      </c>
      <c r="D926" s="119">
        <v>9041.0</v>
      </c>
      <c r="F926" s="9" t="s">
        <v>4499</v>
      </c>
    </row>
    <row r="927">
      <c r="A927" s="121" t="s">
        <v>2115</v>
      </c>
      <c r="B927" s="118"/>
      <c r="C927" s="118" t="s">
        <v>4528</v>
      </c>
      <c r="D927" s="119">
        <v>9023.0</v>
      </c>
      <c r="F927" s="9" t="s">
        <v>4499</v>
      </c>
    </row>
    <row r="928">
      <c r="A928" s="121" t="s">
        <v>4521</v>
      </c>
      <c r="B928" s="118"/>
      <c r="C928" s="118" t="s">
        <v>4522</v>
      </c>
      <c r="D928" s="119" t="s">
        <v>4529</v>
      </c>
      <c r="F928" s="9" t="s">
        <v>4499</v>
      </c>
    </row>
    <row r="929">
      <c r="A929" s="121" t="s">
        <v>4530</v>
      </c>
      <c r="B929" s="118"/>
      <c r="C929" s="118" t="s">
        <v>4531</v>
      </c>
      <c r="D929" s="119" t="s">
        <v>2113</v>
      </c>
      <c r="F929" s="9" t="s">
        <v>4499</v>
      </c>
    </row>
    <row r="930">
      <c r="A930" s="117" t="s">
        <v>4532</v>
      </c>
      <c r="B930" s="118"/>
      <c r="C930" s="118" t="s">
        <v>4533</v>
      </c>
      <c r="D930" s="119" t="s">
        <v>2881</v>
      </c>
      <c r="F930" s="9" t="s">
        <v>4499</v>
      </c>
    </row>
    <row r="931">
      <c r="A931" s="121" t="s">
        <v>4530</v>
      </c>
      <c r="B931" s="118"/>
      <c r="C931" s="118" t="s">
        <v>4531</v>
      </c>
      <c r="D931" s="119" t="s">
        <v>4534</v>
      </c>
      <c r="F931" s="9" t="s">
        <v>4499</v>
      </c>
    </row>
    <row r="932">
      <c r="A932" s="121" t="s">
        <v>4535</v>
      </c>
      <c r="B932" s="118"/>
      <c r="C932" s="118" t="s">
        <v>4536</v>
      </c>
      <c r="D932" s="119" t="s">
        <v>4537</v>
      </c>
      <c r="F932" s="9" t="s">
        <v>4499</v>
      </c>
    </row>
    <row r="933">
      <c r="A933" s="121" t="s">
        <v>4538</v>
      </c>
      <c r="B933" s="118"/>
      <c r="C933" s="118" t="s">
        <v>4539</v>
      </c>
      <c r="D933" s="119" t="s">
        <v>4540</v>
      </c>
      <c r="F933" s="9" t="s">
        <v>4499</v>
      </c>
    </row>
    <row r="934">
      <c r="A934" s="134"/>
      <c r="B934" s="118"/>
      <c r="C934" s="118"/>
      <c r="D934" s="128"/>
    </row>
    <row r="935">
      <c r="A935" s="128"/>
      <c r="B935" s="118"/>
      <c r="C935" s="118"/>
      <c r="D935" s="128"/>
    </row>
    <row r="936">
      <c r="A936" s="128"/>
      <c r="B936" s="118"/>
      <c r="C936" s="118"/>
      <c r="D936" s="128"/>
    </row>
    <row r="937">
      <c r="A937" s="128"/>
      <c r="B937" s="118"/>
      <c r="C937" s="118"/>
      <c r="D937" s="128"/>
    </row>
    <row r="938">
      <c r="A938" s="128"/>
      <c r="B938" s="118"/>
      <c r="C938" s="118"/>
      <c r="D938" s="128"/>
    </row>
    <row r="939">
      <c r="A939" s="128"/>
      <c r="B939" s="118"/>
      <c r="C939" s="118"/>
      <c r="D939" s="128"/>
    </row>
    <row r="940">
      <c r="A940" s="128"/>
      <c r="B940" s="118"/>
      <c r="C940" s="118"/>
      <c r="D940" s="128"/>
    </row>
    <row r="941">
      <c r="A941" s="128"/>
      <c r="B941" s="118"/>
      <c r="C941" s="118"/>
      <c r="D941" s="128"/>
    </row>
    <row r="942">
      <c r="A942" s="128"/>
      <c r="B942" s="118"/>
      <c r="C942" s="118"/>
      <c r="D942" s="128"/>
    </row>
    <row r="943">
      <c r="A943" s="128"/>
      <c r="B943" s="118"/>
      <c r="C943" s="118"/>
      <c r="D943" s="128"/>
    </row>
    <row r="944">
      <c r="A944" s="128"/>
      <c r="B944" s="118"/>
      <c r="C944" s="118"/>
      <c r="D944" s="128"/>
    </row>
    <row r="945">
      <c r="A945" s="128"/>
      <c r="B945" s="118"/>
      <c r="C945" s="118"/>
      <c r="D945" s="128"/>
    </row>
    <row r="946">
      <c r="A946" s="128"/>
      <c r="B946" s="118"/>
      <c r="C946" s="118"/>
      <c r="D946" s="128"/>
    </row>
    <row r="947">
      <c r="A947" s="128"/>
      <c r="B947" s="118"/>
      <c r="C947" s="118"/>
      <c r="D947" s="128"/>
    </row>
    <row r="948">
      <c r="A948" s="128"/>
      <c r="B948" s="118"/>
      <c r="C948" s="118"/>
      <c r="D948" s="128"/>
    </row>
    <row r="949">
      <c r="A949" s="128"/>
      <c r="B949" s="118"/>
      <c r="C949" s="118"/>
      <c r="D949" s="128"/>
    </row>
    <row r="950">
      <c r="A950" s="128"/>
      <c r="B950" s="118"/>
      <c r="C950" s="118"/>
      <c r="D950" s="128"/>
    </row>
    <row r="951">
      <c r="A951" s="128"/>
      <c r="B951" s="118"/>
      <c r="C951" s="118"/>
      <c r="D951" s="128"/>
    </row>
    <row r="952">
      <c r="A952" s="128"/>
      <c r="B952" s="118"/>
      <c r="C952" s="118"/>
      <c r="D952" s="128"/>
    </row>
    <row r="953">
      <c r="A953" s="123"/>
      <c r="B953" s="118"/>
      <c r="C953" s="118"/>
      <c r="D953" s="123"/>
    </row>
    <row r="954">
      <c r="A954" s="123"/>
      <c r="B954" s="118"/>
      <c r="C954" s="118"/>
      <c r="D954" s="123"/>
    </row>
    <row r="955">
      <c r="A955" s="123"/>
      <c r="B955" s="118"/>
      <c r="C955" s="118"/>
      <c r="D955" s="123"/>
    </row>
    <row r="956">
      <c r="A956" s="124" t="s">
        <v>4541</v>
      </c>
      <c r="B956" s="118"/>
      <c r="C956" s="118"/>
      <c r="D956" s="118"/>
    </row>
    <row r="957">
      <c r="A957" s="125" t="s">
        <v>3018</v>
      </c>
      <c r="B957" s="118"/>
      <c r="C957" s="118"/>
      <c r="D957" s="126" t="s">
        <v>3019</v>
      </c>
    </row>
    <row r="958">
      <c r="A958" s="121" t="s">
        <v>4542</v>
      </c>
      <c r="B958" s="118"/>
      <c r="C958" s="118" t="s">
        <v>4543</v>
      </c>
      <c r="D958" s="122" t="s">
        <v>4544</v>
      </c>
      <c r="F958" s="9" t="s">
        <v>4545</v>
      </c>
    </row>
    <row r="959">
      <c r="A959" s="117" t="s">
        <v>4546</v>
      </c>
      <c r="B959" s="118"/>
      <c r="C959" s="118" t="s">
        <v>4547</v>
      </c>
      <c r="D959" s="119" t="s">
        <v>4548</v>
      </c>
      <c r="F959" s="9" t="s">
        <v>4545</v>
      </c>
    </row>
    <row r="960">
      <c r="A960" s="117" t="s">
        <v>1747</v>
      </c>
      <c r="B960" s="118"/>
      <c r="C960" s="118" t="s">
        <v>4549</v>
      </c>
      <c r="D960" s="119" t="s">
        <v>4550</v>
      </c>
      <c r="F960" s="9" t="s">
        <v>4545</v>
      </c>
    </row>
    <row r="961">
      <c r="A961" s="117" t="s">
        <v>4551</v>
      </c>
      <c r="B961" s="118"/>
      <c r="C961" s="118" t="s">
        <v>4552</v>
      </c>
      <c r="D961" s="119" t="s">
        <v>4553</v>
      </c>
      <c r="F961" s="9" t="s">
        <v>4545</v>
      </c>
    </row>
    <row r="962">
      <c r="A962" s="117" t="s">
        <v>4554</v>
      </c>
      <c r="B962" s="118"/>
      <c r="C962" s="118" t="s">
        <v>4555</v>
      </c>
      <c r="D962" s="119" t="s">
        <v>4556</v>
      </c>
      <c r="F962" s="9" t="s">
        <v>4545</v>
      </c>
    </row>
    <row r="963">
      <c r="A963" s="117" t="s">
        <v>4542</v>
      </c>
      <c r="B963" s="118"/>
      <c r="C963" s="118" t="s">
        <v>4543</v>
      </c>
      <c r="D963" s="119" t="s">
        <v>4557</v>
      </c>
      <c r="F963" s="9" t="s">
        <v>4545</v>
      </c>
    </row>
    <row r="964">
      <c r="A964" s="117" t="s">
        <v>4558</v>
      </c>
      <c r="B964" s="118"/>
      <c r="C964" s="118" t="s">
        <v>4559</v>
      </c>
      <c r="D964" s="119" t="s">
        <v>4560</v>
      </c>
      <c r="F964" s="9" t="s">
        <v>4545</v>
      </c>
    </row>
    <row r="965">
      <c r="A965" s="117" t="s">
        <v>4561</v>
      </c>
      <c r="B965" s="118"/>
      <c r="C965" s="118" t="s">
        <v>4562</v>
      </c>
      <c r="D965" s="119" t="s">
        <v>4563</v>
      </c>
      <c r="F965" s="9" t="s">
        <v>4545</v>
      </c>
    </row>
    <row r="966">
      <c r="A966" s="117" t="s">
        <v>4564</v>
      </c>
      <c r="B966" s="118"/>
      <c r="C966" s="118" t="s">
        <v>4565</v>
      </c>
      <c r="D966" s="119" t="s">
        <v>4566</v>
      </c>
      <c r="F966" s="9" t="s">
        <v>4545</v>
      </c>
    </row>
    <row r="967">
      <c r="A967" s="117" t="s">
        <v>4567</v>
      </c>
      <c r="B967" s="118"/>
      <c r="C967" s="118" t="s">
        <v>4568</v>
      </c>
      <c r="D967" s="119" t="s">
        <v>4569</v>
      </c>
      <c r="F967" s="9" t="s">
        <v>4545</v>
      </c>
    </row>
    <row r="968">
      <c r="A968" s="117" t="s">
        <v>4570</v>
      </c>
      <c r="B968" s="118"/>
      <c r="C968" s="118" t="s">
        <v>4571</v>
      </c>
      <c r="D968" s="119" t="s">
        <v>4572</v>
      </c>
      <c r="F968" s="9" t="s">
        <v>4545</v>
      </c>
    </row>
    <row r="969">
      <c r="A969" s="117" t="s">
        <v>4573</v>
      </c>
      <c r="B969" s="118"/>
      <c r="C969" s="118" t="s">
        <v>4574</v>
      </c>
      <c r="D969" s="119" t="s">
        <v>4575</v>
      </c>
      <c r="F969" s="9" t="s">
        <v>4545</v>
      </c>
    </row>
    <row r="970">
      <c r="A970" s="117" t="s">
        <v>4576</v>
      </c>
      <c r="B970" s="118"/>
      <c r="C970" s="118" t="s">
        <v>4577</v>
      </c>
      <c r="D970" s="119" t="s">
        <v>2875</v>
      </c>
      <c r="F970" s="9" t="s">
        <v>4545</v>
      </c>
    </row>
    <row r="971">
      <c r="A971" s="117" t="s">
        <v>4541</v>
      </c>
      <c r="B971" s="118"/>
      <c r="C971" s="118" t="s">
        <v>4578</v>
      </c>
      <c r="D971" s="119" t="s">
        <v>1678</v>
      </c>
      <c r="F971" s="9" t="s">
        <v>4545</v>
      </c>
    </row>
    <row r="972">
      <c r="A972" s="117" t="s">
        <v>252</v>
      </c>
      <c r="B972" s="118"/>
      <c r="C972" s="118" t="s">
        <v>4579</v>
      </c>
      <c r="D972" s="119" t="s">
        <v>253</v>
      </c>
      <c r="F972" s="9" t="s">
        <v>4545</v>
      </c>
    </row>
    <row r="973">
      <c r="A973" s="117" t="s">
        <v>4580</v>
      </c>
      <c r="B973" s="118"/>
      <c r="C973" s="118" t="s">
        <v>4581</v>
      </c>
      <c r="D973" s="119" t="s">
        <v>4582</v>
      </c>
      <c r="F973" s="9" t="s">
        <v>4545</v>
      </c>
    </row>
    <row r="974">
      <c r="A974" s="117" t="s">
        <v>4583</v>
      </c>
      <c r="B974" s="118"/>
      <c r="C974" s="118" t="s">
        <v>4584</v>
      </c>
      <c r="D974" s="119" t="s">
        <v>4585</v>
      </c>
      <c r="F974" s="9" t="s">
        <v>4545</v>
      </c>
    </row>
    <row r="975">
      <c r="A975" s="117" t="s">
        <v>4586</v>
      </c>
      <c r="B975" s="118"/>
      <c r="C975" s="118" t="s">
        <v>4587</v>
      </c>
      <c r="D975" s="119" t="s">
        <v>4463</v>
      </c>
      <c r="F975" s="9" t="s">
        <v>4545</v>
      </c>
    </row>
    <row r="976">
      <c r="A976" s="117" t="s">
        <v>4588</v>
      </c>
      <c r="B976" s="118"/>
      <c r="C976" s="118" t="s">
        <v>4589</v>
      </c>
      <c r="D976" s="119" t="s">
        <v>4590</v>
      </c>
      <c r="F976" s="9" t="s">
        <v>4545</v>
      </c>
    </row>
    <row r="977">
      <c r="A977" s="117" t="s">
        <v>4591</v>
      </c>
      <c r="B977" s="118"/>
      <c r="C977" s="118" t="s">
        <v>4592</v>
      </c>
      <c r="D977" s="119" t="s">
        <v>4593</v>
      </c>
      <c r="F977" s="9" t="s">
        <v>4545</v>
      </c>
    </row>
    <row r="978">
      <c r="A978" s="117" t="s">
        <v>4594</v>
      </c>
      <c r="B978" s="118"/>
      <c r="C978" s="118" t="s">
        <v>4595</v>
      </c>
      <c r="D978" s="119" t="s">
        <v>4596</v>
      </c>
      <c r="F978" s="9" t="s">
        <v>4545</v>
      </c>
    </row>
    <row r="979">
      <c r="A979" s="117" t="s">
        <v>4597</v>
      </c>
      <c r="B979" s="118"/>
      <c r="C979" s="118" t="s">
        <v>4598</v>
      </c>
      <c r="D979" s="119" t="s">
        <v>4599</v>
      </c>
      <c r="F979" s="9" t="s">
        <v>4545</v>
      </c>
    </row>
    <row r="980">
      <c r="A980" s="117" t="s">
        <v>4542</v>
      </c>
      <c r="B980" s="118"/>
      <c r="C980" s="118" t="s">
        <v>4543</v>
      </c>
      <c r="D980" s="119" t="s">
        <v>4600</v>
      </c>
      <c r="F980" s="9" t="s">
        <v>4545</v>
      </c>
    </row>
    <row r="981">
      <c r="A981" s="117" t="s">
        <v>4564</v>
      </c>
      <c r="B981" s="118"/>
      <c r="C981" s="118" t="s">
        <v>4565</v>
      </c>
      <c r="D981" s="119" t="s">
        <v>4601</v>
      </c>
      <c r="F981" s="9" t="s">
        <v>4545</v>
      </c>
    </row>
    <row r="982">
      <c r="A982" s="117" t="s">
        <v>4594</v>
      </c>
      <c r="B982" s="118"/>
      <c r="C982" s="118" t="s">
        <v>4595</v>
      </c>
      <c r="D982" s="119" t="s">
        <v>4602</v>
      </c>
      <c r="F982" s="9" t="s">
        <v>4545</v>
      </c>
    </row>
    <row r="983">
      <c r="A983" s="117" t="s">
        <v>4603</v>
      </c>
      <c r="B983" s="118"/>
      <c r="C983" s="118" t="s">
        <v>4604</v>
      </c>
      <c r="D983" s="119" t="s">
        <v>4605</v>
      </c>
      <c r="F983" s="9" t="s">
        <v>4545</v>
      </c>
    </row>
    <row r="984">
      <c r="A984" s="117" t="s">
        <v>4541</v>
      </c>
      <c r="B984" s="118"/>
      <c r="C984" s="118" t="s">
        <v>4578</v>
      </c>
      <c r="D984" s="119" t="s">
        <v>1669</v>
      </c>
      <c r="F984" s="9" t="s">
        <v>4545</v>
      </c>
    </row>
    <row r="985">
      <c r="A985" s="117" t="s">
        <v>4606</v>
      </c>
      <c r="B985" s="118"/>
      <c r="C985" s="118" t="s">
        <v>4607</v>
      </c>
      <c r="D985" s="119" t="s">
        <v>4608</v>
      </c>
      <c r="F985" s="9" t="s">
        <v>4545</v>
      </c>
    </row>
    <row r="986">
      <c r="A986" s="117" t="s">
        <v>4609</v>
      </c>
      <c r="B986" s="118"/>
      <c r="C986" s="118" t="s">
        <v>4610</v>
      </c>
      <c r="D986" s="119" t="s">
        <v>4611</v>
      </c>
      <c r="F986" s="9" t="s">
        <v>4545</v>
      </c>
    </row>
    <row r="987">
      <c r="A987" s="117" t="s">
        <v>835</v>
      </c>
      <c r="B987" s="118"/>
      <c r="C987" s="118" t="s">
        <v>4612</v>
      </c>
      <c r="D987" s="119" t="s">
        <v>4613</v>
      </c>
      <c r="F987" s="9" t="s">
        <v>4545</v>
      </c>
    </row>
    <row r="988">
      <c r="A988" s="117" t="s">
        <v>4614</v>
      </c>
      <c r="B988" s="118"/>
      <c r="C988" s="118" t="s">
        <v>4615</v>
      </c>
      <c r="D988" s="119" t="s">
        <v>4616</v>
      </c>
      <c r="F988" s="9" t="s">
        <v>4545</v>
      </c>
    </row>
    <row r="989">
      <c r="A989" s="117" t="s">
        <v>4617</v>
      </c>
      <c r="B989" s="118"/>
      <c r="C989" s="118" t="s">
        <v>4618</v>
      </c>
      <c r="D989" s="119" t="s">
        <v>4619</v>
      </c>
      <c r="F989" s="9" t="s">
        <v>4545</v>
      </c>
    </row>
    <row r="990">
      <c r="A990" s="117" t="s">
        <v>4620</v>
      </c>
      <c r="B990" s="118"/>
      <c r="C990" s="118" t="s">
        <v>4621</v>
      </c>
      <c r="D990" s="119" t="s">
        <v>4622</v>
      </c>
      <c r="F990" s="9" t="s">
        <v>4545</v>
      </c>
    </row>
    <row r="991">
      <c r="A991" s="117" t="s">
        <v>4623</v>
      </c>
      <c r="B991" s="118"/>
      <c r="C991" s="118" t="s">
        <v>4624</v>
      </c>
      <c r="D991" s="119" t="s">
        <v>4625</v>
      </c>
      <c r="F991" s="9" t="s">
        <v>4545</v>
      </c>
    </row>
    <row r="992">
      <c r="A992" s="117" t="s">
        <v>4626</v>
      </c>
      <c r="B992" s="118"/>
      <c r="C992" s="118" t="s">
        <v>4627</v>
      </c>
      <c r="D992" s="119" t="s">
        <v>4628</v>
      </c>
      <c r="F992" s="9" t="s">
        <v>4545</v>
      </c>
    </row>
    <row r="993">
      <c r="A993" s="117" t="s">
        <v>4629</v>
      </c>
      <c r="B993" s="118"/>
      <c r="C993" s="118" t="s">
        <v>4630</v>
      </c>
      <c r="D993" s="119" t="s">
        <v>4631</v>
      </c>
      <c r="F993" s="9" t="s">
        <v>4545</v>
      </c>
    </row>
    <row r="994">
      <c r="A994" s="117" t="s">
        <v>4632</v>
      </c>
      <c r="B994" s="118"/>
      <c r="C994" s="118" t="s">
        <v>4633</v>
      </c>
      <c r="D994" s="119" t="s">
        <v>4634</v>
      </c>
      <c r="F994" s="9" t="s">
        <v>4545</v>
      </c>
    </row>
    <row r="995">
      <c r="A995" s="117" t="s">
        <v>4620</v>
      </c>
      <c r="B995" s="118"/>
      <c r="C995" s="118" t="s">
        <v>4621</v>
      </c>
      <c r="D995" s="119" t="s">
        <v>4635</v>
      </c>
      <c r="F995" s="9" t="s">
        <v>4545</v>
      </c>
    </row>
    <row r="996">
      <c r="A996" s="117" t="s">
        <v>4629</v>
      </c>
      <c r="B996" s="118"/>
      <c r="C996" s="118" t="s">
        <v>4630</v>
      </c>
      <c r="D996" s="119" t="s">
        <v>4636</v>
      </c>
      <c r="F996" s="9" t="s">
        <v>4545</v>
      </c>
    </row>
    <row r="997">
      <c r="A997" s="117" t="s">
        <v>4632</v>
      </c>
      <c r="B997" s="118"/>
      <c r="C997" s="118" t="s">
        <v>4633</v>
      </c>
      <c r="D997" s="119" t="s">
        <v>4637</v>
      </c>
      <c r="F997" s="9" t="s">
        <v>4545</v>
      </c>
    </row>
    <row r="998">
      <c r="A998" s="117" t="s">
        <v>4620</v>
      </c>
      <c r="B998" s="118"/>
      <c r="C998" s="118" t="s">
        <v>4621</v>
      </c>
      <c r="D998" s="119" t="s">
        <v>4638</v>
      </c>
      <c r="F998" s="9" t="s">
        <v>4545</v>
      </c>
    </row>
    <row r="999">
      <c r="A999" s="118"/>
      <c r="B999" s="118"/>
      <c r="C999" s="118" t="e">
        <v>#VALUE!</v>
      </c>
      <c r="D999" s="118"/>
    </row>
    <row r="1000">
      <c r="A1000" s="124" t="s">
        <v>4639</v>
      </c>
      <c r="B1000" s="118"/>
      <c r="C1000" s="118" t="s">
        <v>4640</v>
      </c>
      <c r="D1000" s="118"/>
    </row>
    <row r="1001">
      <c r="A1001" s="125" t="s">
        <v>3018</v>
      </c>
      <c r="B1001" s="118"/>
      <c r="C1001" s="118"/>
      <c r="D1001" s="126" t="s">
        <v>3019</v>
      </c>
    </row>
    <row r="1002">
      <c r="A1002" s="121" t="s">
        <v>4641</v>
      </c>
      <c r="B1002" s="118"/>
      <c r="C1002" s="118" t="s">
        <v>4642</v>
      </c>
      <c r="D1002" s="122" t="s">
        <v>4643</v>
      </c>
      <c r="F1002" s="9" t="s">
        <v>4644</v>
      </c>
    </row>
    <row r="1003">
      <c r="A1003" s="117" t="s">
        <v>844</v>
      </c>
      <c r="B1003" s="118"/>
      <c r="C1003" s="118" t="s">
        <v>4645</v>
      </c>
      <c r="D1003" s="119" t="s">
        <v>4646</v>
      </c>
      <c r="F1003" s="9" t="s">
        <v>4644</v>
      </c>
    </row>
    <row r="1004">
      <c r="A1004" s="117" t="s">
        <v>4647</v>
      </c>
      <c r="B1004" s="118"/>
      <c r="C1004" s="118" t="s">
        <v>4648</v>
      </c>
      <c r="D1004" s="119" t="s">
        <v>1665</v>
      </c>
      <c r="F1004" s="9" t="s">
        <v>4644</v>
      </c>
    </row>
    <row r="1005">
      <c r="A1005" s="117" t="s">
        <v>4649</v>
      </c>
      <c r="B1005" s="118"/>
      <c r="C1005" s="118" t="s">
        <v>4650</v>
      </c>
      <c r="D1005" s="119" t="s">
        <v>1684</v>
      </c>
      <c r="F1005" s="9" t="s">
        <v>4644</v>
      </c>
    </row>
    <row r="1006">
      <c r="A1006" s="117" t="s">
        <v>1686</v>
      </c>
      <c r="B1006" s="118"/>
      <c r="C1006" s="118" t="s">
        <v>4651</v>
      </c>
      <c r="D1006" s="119" t="s">
        <v>1687</v>
      </c>
      <c r="F1006" s="9" t="s">
        <v>4644</v>
      </c>
    </row>
    <row r="1007">
      <c r="A1007" s="117" t="s">
        <v>4652</v>
      </c>
      <c r="B1007" s="118"/>
      <c r="C1007" s="118" t="s">
        <v>4653</v>
      </c>
      <c r="D1007" s="119" t="s">
        <v>4654</v>
      </c>
      <c r="F1007" s="9" t="s">
        <v>4644</v>
      </c>
    </row>
    <row r="1008">
      <c r="A1008" s="121" t="s">
        <v>838</v>
      </c>
      <c r="B1008" s="118"/>
      <c r="C1008" s="118" t="s">
        <v>4655</v>
      </c>
      <c r="D1008" s="119" t="s">
        <v>4656</v>
      </c>
      <c r="F1008" s="9" t="s">
        <v>4644</v>
      </c>
    </row>
    <row r="1009">
      <c r="A1009" s="117" t="s">
        <v>4657</v>
      </c>
      <c r="B1009" s="118"/>
      <c r="C1009" s="118" t="s">
        <v>4658</v>
      </c>
      <c r="D1009" s="119" t="s">
        <v>4659</v>
      </c>
      <c r="F1009" s="9" t="s">
        <v>4644</v>
      </c>
    </row>
    <row r="1010">
      <c r="A1010" s="117" t="s">
        <v>844</v>
      </c>
      <c r="B1010" s="118"/>
      <c r="C1010" s="118" t="s">
        <v>4645</v>
      </c>
      <c r="D1010" s="119" t="s">
        <v>4660</v>
      </c>
      <c r="F1010" s="9" t="s">
        <v>4644</v>
      </c>
    </row>
    <row r="1011">
      <c r="A1011" s="117" t="s">
        <v>1990</v>
      </c>
      <c r="B1011" s="118"/>
      <c r="C1011" s="118" t="s">
        <v>4661</v>
      </c>
      <c r="D1011" s="119" t="s">
        <v>2357</v>
      </c>
      <c r="F1011" s="9" t="s">
        <v>4644</v>
      </c>
    </row>
    <row r="1012">
      <c r="A1012" s="117" t="s">
        <v>4662</v>
      </c>
      <c r="B1012" s="118"/>
      <c r="C1012" s="118" t="s">
        <v>4663</v>
      </c>
      <c r="D1012" s="119" t="s">
        <v>1659</v>
      </c>
      <c r="F1012" s="9" t="s">
        <v>4644</v>
      </c>
    </row>
    <row r="1013">
      <c r="A1013" s="121" t="s">
        <v>4664</v>
      </c>
      <c r="B1013" s="118"/>
      <c r="C1013" s="118" t="s">
        <v>4665</v>
      </c>
      <c r="D1013" s="119" t="s">
        <v>4666</v>
      </c>
      <c r="F1013" s="9" t="s">
        <v>4644</v>
      </c>
    </row>
    <row r="1014">
      <c r="A1014" s="121" t="s">
        <v>4667</v>
      </c>
      <c r="B1014" s="118"/>
      <c r="C1014" s="118" t="s">
        <v>4668</v>
      </c>
      <c r="D1014" s="119" t="s">
        <v>4669</v>
      </c>
      <c r="F1014" s="9" t="s">
        <v>4644</v>
      </c>
    </row>
    <row r="1015">
      <c r="A1015" s="121" t="s">
        <v>4670</v>
      </c>
      <c r="B1015" s="118"/>
      <c r="C1015" s="118" t="s">
        <v>4671</v>
      </c>
      <c r="D1015" s="119" t="s">
        <v>2359</v>
      </c>
      <c r="F1015" s="9" t="s">
        <v>4644</v>
      </c>
    </row>
    <row r="1016">
      <c r="A1016" s="121" t="s">
        <v>4672</v>
      </c>
      <c r="B1016" s="118"/>
      <c r="C1016" s="118" t="s">
        <v>4673</v>
      </c>
      <c r="D1016" s="119" t="s">
        <v>4674</v>
      </c>
      <c r="F1016" s="9" t="s">
        <v>4644</v>
      </c>
    </row>
    <row r="1017">
      <c r="A1017" s="117" t="s">
        <v>4675</v>
      </c>
      <c r="B1017" s="118"/>
      <c r="C1017" s="118" t="s">
        <v>4676</v>
      </c>
      <c r="D1017" s="119" t="s">
        <v>4677</v>
      </c>
      <c r="F1017" s="9" t="s">
        <v>4644</v>
      </c>
    </row>
    <row r="1018">
      <c r="A1018" s="117" t="s">
        <v>4678</v>
      </c>
      <c r="B1018" s="118"/>
      <c r="C1018" s="118" t="s">
        <v>4679</v>
      </c>
      <c r="D1018" s="119" t="s">
        <v>2364</v>
      </c>
      <c r="F1018" s="9" t="s">
        <v>4644</v>
      </c>
    </row>
    <row r="1019">
      <c r="A1019" s="121" t="s">
        <v>4680</v>
      </c>
      <c r="B1019" s="118"/>
      <c r="C1019" s="118" t="s">
        <v>4681</v>
      </c>
      <c r="D1019" s="119" t="s">
        <v>4682</v>
      </c>
      <c r="F1019" s="9" t="s">
        <v>4644</v>
      </c>
    </row>
    <row r="1020">
      <c r="A1020" s="121" t="s">
        <v>4683</v>
      </c>
      <c r="B1020" s="118"/>
      <c r="C1020" s="118" t="s">
        <v>4684</v>
      </c>
      <c r="D1020" s="119" t="s">
        <v>4685</v>
      </c>
      <c r="F1020" s="9" t="s">
        <v>4644</v>
      </c>
    </row>
    <row r="1021">
      <c r="A1021" s="121" t="s">
        <v>4686</v>
      </c>
      <c r="B1021" s="118"/>
      <c r="C1021" s="118" t="s">
        <v>4687</v>
      </c>
      <c r="D1021" s="119" t="s">
        <v>4688</v>
      </c>
      <c r="F1021" s="9" t="s">
        <v>4644</v>
      </c>
    </row>
    <row r="1022">
      <c r="A1022" s="117" t="s">
        <v>4689</v>
      </c>
      <c r="B1022" s="118"/>
      <c r="C1022" s="118" t="s">
        <v>4690</v>
      </c>
      <c r="D1022" s="119" t="s">
        <v>4691</v>
      </c>
      <c r="F1022" s="9" t="s">
        <v>4644</v>
      </c>
    </row>
    <row r="1023">
      <c r="A1023" s="117" t="s">
        <v>4647</v>
      </c>
      <c r="B1023" s="118"/>
      <c r="C1023" s="118" t="s">
        <v>4648</v>
      </c>
      <c r="D1023" s="119" t="s">
        <v>1665</v>
      </c>
      <c r="F1023" s="9" t="s">
        <v>4644</v>
      </c>
    </row>
    <row r="1024">
      <c r="A1024" s="117" t="s">
        <v>4675</v>
      </c>
      <c r="B1024" s="118"/>
      <c r="C1024" s="118" t="s">
        <v>4676</v>
      </c>
      <c r="D1024" s="119" t="s">
        <v>4692</v>
      </c>
      <c r="F1024" s="9" t="s">
        <v>4644</v>
      </c>
    </row>
    <row r="1025">
      <c r="A1025" s="121" t="s">
        <v>4693</v>
      </c>
      <c r="B1025" s="118"/>
      <c r="C1025" s="118" t="s">
        <v>4694</v>
      </c>
      <c r="D1025" s="119" t="s">
        <v>4695</v>
      </c>
      <c r="F1025" s="9" t="s">
        <v>4644</v>
      </c>
    </row>
    <row r="1026">
      <c r="A1026" s="117" t="s">
        <v>4696</v>
      </c>
      <c r="B1026" s="118"/>
      <c r="C1026" s="118" t="s">
        <v>4697</v>
      </c>
      <c r="D1026" s="119" t="s">
        <v>4698</v>
      </c>
      <c r="F1026" s="9" t="s">
        <v>4644</v>
      </c>
    </row>
    <row r="1027">
      <c r="A1027" s="121" t="s">
        <v>4699</v>
      </c>
      <c r="B1027" s="118"/>
      <c r="C1027" s="118" t="s">
        <v>4700</v>
      </c>
      <c r="D1027" s="119" t="s">
        <v>2355</v>
      </c>
      <c r="F1027" s="9" t="s">
        <v>4644</v>
      </c>
    </row>
    <row r="1028">
      <c r="A1028" s="121" t="s">
        <v>4693</v>
      </c>
      <c r="B1028" s="118"/>
      <c r="C1028" s="118" t="s">
        <v>4694</v>
      </c>
      <c r="D1028" s="119" t="s">
        <v>2369</v>
      </c>
      <c r="F1028" s="9" t="s">
        <v>4644</v>
      </c>
    </row>
    <row r="1029">
      <c r="A1029" s="117" t="s">
        <v>4701</v>
      </c>
      <c r="B1029" s="118"/>
      <c r="C1029" s="118" t="s">
        <v>4702</v>
      </c>
      <c r="D1029" s="119" t="s">
        <v>4703</v>
      </c>
      <c r="F1029" s="9" t="s">
        <v>4644</v>
      </c>
    </row>
    <row r="1030">
      <c r="A1030" s="121" t="s">
        <v>838</v>
      </c>
      <c r="B1030" s="118"/>
      <c r="C1030" s="118" t="s">
        <v>4655</v>
      </c>
      <c r="D1030" s="119" t="s">
        <v>4704</v>
      </c>
      <c r="F1030" s="9" t="s">
        <v>4644</v>
      </c>
    </row>
    <row r="1031">
      <c r="A1031" s="117" t="s">
        <v>1990</v>
      </c>
      <c r="B1031" s="118"/>
      <c r="C1031" s="118" t="s">
        <v>4661</v>
      </c>
      <c r="D1031" s="119" t="s">
        <v>4705</v>
      </c>
      <c r="F1031" s="9" t="s">
        <v>4644</v>
      </c>
    </row>
    <row r="1032">
      <c r="A1032" s="121" t="s">
        <v>4706</v>
      </c>
      <c r="B1032" s="118"/>
      <c r="C1032" s="118" t="s">
        <v>4707</v>
      </c>
      <c r="D1032" s="119" t="s">
        <v>4708</v>
      </c>
      <c r="F1032" s="9" t="s">
        <v>4644</v>
      </c>
    </row>
    <row r="1033">
      <c r="A1033" s="121" t="s">
        <v>4709</v>
      </c>
      <c r="B1033" s="118"/>
      <c r="C1033" s="118" t="s">
        <v>4710</v>
      </c>
      <c r="D1033" s="119" t="s">
        <v>4711</v>
      </c>
      <c r="F1033" s="9" t="s">
        <v>4644</v>
      </c>
    </row>
    <row r="1034">
      <c r="A1034" s="121" t="s">
        <v>4712</v>
      </c>
      <c r="B1034" s="118"/>
      <c r="C1034" s="118" t="s">
        <v>4713</v>
      </c>
      <c r="D1034" s="119" t="s">
        <v>4714</v>
      </c>
      <c r="F1034" s="9" t="s">
        <v>4644</v>
      </c>
    </row>
    <row r="1035">
      <c r="A1035" s="121" t="s">
        <v>4715</v>
      </c>
      <c r="B1035" s="118"/>
      <c r="C1035" s="118" t="s">
        <v>4716</v>
      </c>
      <c r="D1035" s="119" t="s">
        <v>4717</v>
      </c>
      <c r="F1035" s="9" t="s">
        <v>4644</v>
      </c>
    </row>
    <row r="1036">
      <c r="A1036" s="117" t="s">
        <v>4718</v>
      </c>
      <c r="B1036" s="118"/>
      <c r="C1036" s="118" t="s">
        <v>4719</v>
      </c>
      <c r="D1036" s="119" t="s">
        <v>4720</v>
      </c>
      <c r="F1036" s="9" t="s">
        <v>4644</v>
      </c>
    </row>
    <row r="1037">
      <c r="A1037" s="117" t="s">
        <v>4721</v>
      </c>
      <c r="B1037" s="118"/>
      <c r="C1037" s="118" t="s">
        <v>4722</v>
      </c>
      <c r="D1037" s="119" t="s">
        <v>4723</v>
      </c>
      <c r="F1037" s="9" t="s">
        <v>4644</v>
      </c>
    </row>
    <row r="1038">
      <c r="A1038" s="141" t="s">
        <v>4724</v>
      </c>
      <c r="B1038" s="118"/>
      <c r="C1038" s="118" t="s">
        <v>4725</v>
      </c>
      <c r="D1038" s="119" t="s">
        <v>4726</v>
      </c>
      <c r="F1038" s="9" t="s">
        <v>4644</v>
      </c>
    </row>
    <row r="1039">
      <c r="A1039" s="117" t="s">
        <v>4727</v>
      </c>
      <c r="B1039" s="118"/>
      <c r="C1039" s="118" t="s">
        <v>4728</v>
      </c>
      <c r="D1039" s="142" t="s">
        <v>4729</v>
      </c>
      <c r="F1039" s="9" t="s">
        <v>4644</v>
      </c>
    </row>
    <row r="1040">
      <c r="A1040" s="123"/>
      <c r="B1040" s="118"/>
      <c r="C1040" s="118"/>
      <c r="D1040" s="118"/>
    </row>
    <row r="1041">
      <c r="A1041" s="123"/>
      <c r="B1041" s="118"/>
      <c r="C1041" s="118"/>
      <c r="D1041" s="118"/>
    </row>
    <row r="1042">
      <c r="A1042" s="123"/>
      <c r="B1042" s="118"/>
      <c r="C1042" s="118"/>
      <c r="D1042" s="118"/>
    </row>
    <row r="1043">
      <c r="A1043" s="124" t="s">
        <v>4639</v>
      </c>
      <c r="B1043" s="118"/>
      <c r="C1043" s="118"/>
      <c r="D1043" s="118"/>
    </row>
    <row r="1044">
      <c r="A1044" s="125" t="s">
        <v>3018</v>
      </c>
      <c r="B1044" s="118"/>
      <c r="C1044" s="118"/>
      <c r="D1044" s="126" t="s">
        <v>3019</v>
      </c>
    </row>
    <row r="1045">
      <c r="A1045" s="121" t="s">
        <v>4730</v>
      </c>
      <c r="B1045" s="118"/>
      <c r="C1045" s="118" t="s">
        <v>4731</v>
      </c>
      <c r="D1045" s="119" t="s">
        <v>4732</v>
      </c>
      <c r="F1045" s="9" t="s">
        <v>4644</v>
      </c>
    </row>
    <row r="1046">
      <c r="A1046" s="121" t="s">
        <v>4733</v>
      </c>
      <c r="B1046" s="118"/>
      <c r="C1046" s="118" t="s">
        <v>4734</v>
      </c>
      <c r="D1046" s="119" t="s">
        <v>4735</v>
      </c>
      <c r="F1046" s="9" t="s">
        <v>4644</v>
      </c>
    </row>
    <row r="1047">
      <c r="A1047" s="121" t="s">
        <v>4736</v>
      </c>
      <c r="B1047" s="118"/>
      <c r="C1047" s="118" t="s">
        <v>4737</v>
      </c>
      <c r="D1047" s="119" t="s">
        <v>4738</v>
      </c>
      <c r="F1047" s="9" t="s">
        <v>4644</v>
      </c>
    </row>
    <row r="1048">
      <c r="A1048" s="121" t="s">
        <v>4739</v>
      </c>
      <c r="B1048" s="118"/>
      <c r="C1048" s="118" t="s">
        <v>4740</v>
      </c>
      <c r="D1048" s="119" t="s">
        <v>4741</v>
      </c>
      <c r="F1048" s="9" t="s">
        <v>4644</v>
      </c>
    </row>
    <row r="1049">
      <c r="A1049" s="121" t="s">
        <v>4742</v>
      </c>
      <c r="B1049" s="118"/>
      <c r="C1049" s="118" t="s">
        <v>4743</v>
      </c>
      <c r="D1049" s="119" t="s">
        <v>4744</v>
      </c>
      <c r="F1049" s="9" t="s">
        <v>4644</v>
      </c>
    </row>
    <row r="1050">
      <c r="A1050" s="121" t="s">
        <v>4745</v>
      </c>
      <c r="B1050" s="118"/>
      <c r="C1050" s="118" t="s">
        <v>4746</v>
      </c>
      <c r="D1050" s="119" t="s">
        <v>4747</v>
      </c>
      <c r="F1050" s="9" t="s">
        <v>4644</v>
      </c>
    </row>
    <row r="1051">
      <c r="A1051" s="121" t="s">
        <v>4748</v>
      </c>
      <c r="B1051" s="118"/>
      <c r="C1051" s="118" t="s">
        <v>4749</v>
      </c>
      <c r="D1051" s="119" t="s">
        <v>4750</v>
      </c>
      <c r="F1051" s="9" t="s">
        <v>4644</v>
      </c>
    </row>
    <row r="1052">
      <c r="A1052" s="121" t="s">
        <v>4751</v>
      </c>
      <c r="B1052" s="118"/>
      <c r="C1052" s="118" t="s">
        <v>4752</v>
      </c>
      <c r="D1052" s="119" t="s">
        <v>4753</v>
      </c>
      <c r="F1052" s="9" t="s">
        <v>4644</v>
      </c>
    </row>
    <row r="1053">
      <c r="A1053" s="121" t="s">
        <v>4754</v>
      </c>
      <c r="B1053" s="118"/>
      <c r="C1053" s="118" t="s">
        <v>4755</v>
      </c>
      <c r="D1053" s="119" t="s">
        <v>4756</v>
      </c>
      <c r="F1053" s="9" t="s">
        <v>4644</v>
      </c>
    </row>
    <row r="1054">
      <c r="A1054" s="121" t="s">
        <v>1984</v>
      </c>
      <c r="B1054" s="118"/>
      <c r="C1054" s="118" t="s">
        <v>4757</v>
      </c>
      <c r="D1054" s="119" t="s">
        <v>4758</v>
      </c>
      <c r="F1054" s="9" t="s">
        <v>4644</v>
      </c>
    </row>
    <row r="1055">
      <c r="A1055" s="121" t="s">
        <v>1987</v>
      </c>
      <c r="B1055" s="118"/>
      <c r="C1055" s="118" t="s">
        <v>4759</v>
      </c>
      <c r="D1055" s="119" t="s">
        <v>4760</v>
      </c>
      <c r="F1055" s="9" t="s">
        <v>4644</v>
      </c>
    </row>
    <row r="1056">
      <c r="A1056" s="121" t="s">
        <v>4761</v>
      </c>
      <c r="B1056" s="118"/>
      <c r="C1056" s="118" t="s">
        <v>4762</v>
      </c>
      <c r="D1056" s="119" t="s">
        <v>4763</v>
      </c>
      <c r="F1056" s="9" t="s">
        <v>4644</v>
      </c>
    </row>
    <row r="1057">
      <c r="A1057" s="121" t="s">
        <v>4764</v>
      </c>
      <c r="B1057" s="118"/>
      <c r="C1057" s="118" t="s">
        <v>4765</v>
      </c>
      <c r="D1057" s="119" t="s">
        <v>4766</v>
      </c>
      <c r="F1057" s="9" t="s">
        <v>4644</v>
      </c>
    </row>
    <row r="1058">
      <c r="A1058" s="134"/>
      <c r="B1058" s="118"/>
      <c r="C1058" s="118"/>
      <c r="D1058" s="128"/>
    </row>
    <row r="1059">
      <c r="A1059" s="134"/>
      <c r="B1059" s="118"/>
      <c r="C1059" s="118"/>
      <c r="D1059" s="128"/>
    </row>
    <row r="1060">
      <c r="A1060" s="134"/>
      <c r="B1060" s="118"/>
      <c r="C1060" s="118"/>
      <c r="D1060" s="128"/>
    </row>
    <row r="1061">
      <c r="A1061" s="128"/>
      <c r="B1061" s="118"/>
      <c r="C1061" s="118"/>
      <c r="D1061" s="128"/>
    </row>
    <row r="1062">
      <c r="A1062" s="128"/>
      <c r="B1062" s="118"/>
      <c r="C1062" s="118"/>
      <c r="D1062" s="128"/>
    </row>
    <row r="1063">
      <c r="A1063" s="128"/>
      <c r="B1063" s="118"/>
      <c r="C1063" s="118"/>
      <c r="D1063" s="128"/>
    </row>
    <row r="1064">
      <c r="A1064" s="128"/>
      <c r="B1064" s="118"/>
      <c r="C1064" s="118"/>
      <c r="D1064" s="128"/>
    </row>
    <row r="1065">
      <c r="A1065" s="128"/>
      <c r="B1065" s="118"/>
      <c r="C1065" s="118"/>
      <c r="D1065" s="128"/>
    </row>
    <row r="1066">
      <c r="A1066" s="128"/>
      <c r="B1066" s="118"/>
      <c r="C1066" s="118"/>
      <c r="D1066" s="128"/>
    </row>
    <row r="1067">
      <c r="A1067" s="128"/>
      <c r="B1067" s="118"/>
      <c r="C1067" s="118"/>
      <c r="D1067" s="128"/>
    </row>
    <row r="1068">
      <c r="A1068" s="128"/>
      <c r="B1068" s="118"/>
      <c r="C1068" s="118"/>
      <c r="D1068" s="128"/>
    </row>
    <row r="1069">
      <c r="A1069" s="128"/>
      <c r="B1069" s="118"/>
      <c r="C1069" s="118"/>
      <c r="D1069" s="128"/>
    </row>
    <row r="1070">
      <c r="A1070" s="128"/>
      <c r="B1070" s="118"/>
      <c r="C1070" s="118"/>
      <c r="D1070" s="128"/>
    </row>
    <row r="1071">
      <c r="A1071" s="128"/>
      <c r="B1071" s="118"/>
      <c r="C1071" s="118"/>
      <c r="D1071" s="128"/>
    </row>
    <row r="1072">
      <c r="A1072" s="128"/>
      <c r="B1072" s="118"/>
      <c r="C1072" s="118"/>
      <c r="D1072" s="128"/>
    </row>
    <row r="1073">
      <c r="A1073" s="128"/>
      <c r="B1073" s="118"/>
      <c r="C1073" s="118"/>
      <c r="D1073" s="128"/>
    </row>
    <row r="1074">
      <c r="A1074" s="128"/>
      <c r="B1074" s="118"/>
      <c r="C1074" s="118"/>
      <c r="D1074" s="128"/>
    </row>
    <row r="1075">
      <c r="A1075" s="128"/>
      <c r="B1075" s="118"/>
      <c r="C1075" s="118"/>
      <c r="D1075" s="128"/>
    </row>
    <row r="1076">
      <c r="A1076" s="128"/>
      <c r="B1076" s="118"/>
      <c r="C1076" s="118"/>
      <c r="D1076" s="128"/>
    </row>
    <row r="1077">
      <c r="A1077" s="128"/>
      <c r="B1077" s="118"/>
      <c r="C1077" s="118"/>
      <c r="D1077" s="128"/>
    </row>
    <row r="1078">
      <c r="A1078" s="128"/>
      <c r="B1078" s="118"/>
      <c r="C1078" s="118"/>
      <c r="D1078" s="128"/>
    </row>
    <row r="1079">
      <c r="A1079" s="128"/>
      <c r="B1079" s="118"/>
      <c r="C1079" s="118"/>
      <c r="D1079" s="128"/>
    </row>
    <row r="1080">
      <c r="A1080" s="128"/>
      <c r="B1080" s="118"/>
      <c r="C1080" s="118"/>
      <c r="D1080" s="128"/>
    </row>
    <row r="1081">
      <c r="A1081" s="123"/>
      <c r="B1081" s="118"/>
      <c r="C1081" s="118"/>
      <c r="D1081" s="123"/>
    </row>
    <row r="1082">
      <c r="A1082" s="123"/>
      <c r="B1082" s="118"/>
      <c r="C1082" s="118"/>
      <c r="D1082" s="123"/>
    </row>
    <row r="1083">
      <c r="A1083" s="123"/>
      <c r="B1083" s="118"/>
      <c r="C1083" s="118"/>
      <c r="D1083" s="123"/>
    </row>
    <row r="1084">
      <c r="A1084" s="123"/>
      <c r="B1084" s="118"/>
      <c r="C1084" s="118"/>
      <c r="D1084" s="123"/>
    </row>
    <row r="1085">
      <c r="A1085" s="124" t="s">
        <v>4767</v>
      </c>
      <c r="B1085" s="118"/>
      <c r="C1085" s="118"/>
      <c r="D1085" s="123"/>
    </row>
    <row r="1086">
      <c r="A1086" s="125" t="s">
        <v>3018</v>
      </c>
      <c r="B1086" s="118"/>
      <c r="C1086" s="118"/>
      <c r="D1086" s="126" t="s">
        <v>3019</v>
      </c>
    </row>
    <row r="1087">
      <c r="A1087" s="121" t="s">
        <v>4768</v>
      </c>
      <c r="B1087" s="118"/>
      <c r="C1087" s="118" t="s">
        <v>4769</v>
      </c>
      <c r="D1087" s="122" t="s">
        <v>4770</v>
      </c>
      <c r="F1087" s="9" t="s">
        <v>4771</v>
      </c>
    </row>
    <row r="1088">
      <c r="A1088" s="121" t="s">
        <v>4768</v>
      </c>
      <c r="B1088" s="118"/>
      <c r="C1088" s="118" t="s">
        <v>4769</v>
      </c>
      <c r="D1088" s="119" t="s">
        <v>4772</v>
      </c>
      <c r="F1088" s="9" t="s">
        <v>4771</v>
      </c>
    </row>
    <row r="1089">
      <c r="A1089" s="121" t="s">
        <v>4768</v>
      </c>
      <c r="B1089" s="118"/>
      <c r="C1089" s="118" t="s">
        <v>4769</v>
      </c>
      <c r="D1089" s="119" t="s">
        <v>4773</v>
      </c>
      <c r="F1089" s="9" t="s">
        <v>4771</v>
      </c>
    </row>
    <row r="1090">
      <c r="A1090" s="121" t="s">
        <v>4768</v>
      </c>
      <c r="B1090" s="118"/>
      <c r="C1090" s="118" t="s">
        <v>4769</v>
      </c>
      <c r="D1090" s="119" t="s">
        <v>4774</v>
      </c>
      <c r="F1090" s="9" t="s">
        <v>4771</v>
      </c>
    </row>
    <row r="1091">
      <c r="A1091" s="121" t="s">
        <v>4768</v>
      </c>
      <c r="B1091" s="118"/>
      <c r="C1091" s="118" t="s">
        <v>4769</v>
      </c>
      <c r="D1091" s="119" t="s">
        <v>4775</v>
      </c>
      <c r="F1091" s="9" t="s">
        <v>4771</v>
      </c>
    </row>
    <row r="1092">
      <c r="A1092" s="121" t="s">
        <v>4776</v>
      </c>
      <c r="B1092" s="118"/>
      <c r="C1092" s="118" t="s">
        <v>4777</v>
      </c>
      <c r="D1092" s="119" t="s">
        <v>4778</v>
      </c>
      <c r="F1092" s="9" t="s">
        <v>4771</v>
      </c>
    </row>
    <row r="1093">
      <c r="A1093" s="121" t="s">
        <v>1197</v>
      </c>
      <c r="B1093" s="118"/>
      <c r="C1093" s="118" t="s">
        <v>4779</v>
      </c>
      <c r="D1093" s="119" t="s">
        <v>4780</v>
      </c>
      <c r="F1093" s="9" t="s">
        <v>4771</v>
      </c>
    </row>
    <row r="1094">
      <c r="A1094" s="121" t="s">
        <v>4768</v>
      </c>
      <c r="B1094" s="118"/>
      <c r="C1094" s="118" t="s">
        <v>4769</v>
      </c>
      <c r="D1094" s="119" t="s">
        <v>4781</v>
      </c>
      <c r="F1094" s="9" t="s">
        <v>4771</v>
      </c>
    </row>
    <row r="1095">
      <c r="A1095" s="121" t="s">
        <v>1197</v>
      </c>
      <c r="B1095" s="118"/>
      <c r="C1095" s="118" t="s">
        <v>4779</v>
      </c>
      <c r="D1095" s="119" t="s">
        <v>4782</v>
      </c>
      <c r="F1095" s="9" t="s">
        <v>4771</v>
      </c>
    </row>
    <row r="1096">
      <c r="A1096" s="121" t="s">
        <v>2810</v>
      </c>
      <c r="B1096" s="118"/>
      <c r="C1096" s="118" t="s">
        <v>4783</v>
      </c>
      <c r="D1096" s="119" t="s">
        <v>4784</v>
      </c>
      <c r="F1096" s="9" t="s">
        <v>4771</v>
      </c>
    </row>
    <row r="1097">
      <c r="A1097" s="121" t="s">
        <v>4785</v>
      </c>
      <c r="B1097" s="118"/>
      <c r="C1097" s="118" t="s">
        <v>4786</v>
      </c>
      <c r="D1097" s="119" t="s">
        <v>4787</v>
      </c>
      <c r="F1097" s="9" t="s">
        <v>4771</v>
      </c>
    </row>
    <row r="1098">
      <c r="A1098" s="121" t="s">
        <v>4768</v>
      </c>
      <c r="B1098" s="118"/>
      <c r="C1098" s="118" t="s">
        <v>4769</v>
      </c>
      <c r="D1098" s="119" t="s">
        <v>4788</v>
      </c>
      <c r="F1098" s="9" t="s">
        <v>4771</v>
      </c>
    </row>
    <row r="1099">
      <c r="A1099" s="121" t="s">
        <v>4768</v>
      </c>
      <c r="B1099" s="118"/>
      <c r="C1099" s="118" t="s">
        <v>4769</v>
      </c>
      <c r="D1099" s="119" t="s">
        <v>4789</v>
      </c>
      <c r="F1099" s="9" t="s">
        <v>4771</v>
      </c>
    </row>
    <row r="1100">
      <c r="A1100" s="121" t="s">
        <v>1197</v>
      </c>
      <c r="B1100" s="118"/>
      <c r="C1100" s="118" t="s">
        <v>4779</v>
      </c>
      <c r="D1100" s="119" t="s">
        <v>4790</v>
      </c>
      <c r="F1100" s="9" t="s">
        <v>4771</v>
      </c>
    </row>
    <row r="1101">
      <c r="A1101" s="121" t="s">
        <v>4791</v>
      </c>
      <c r="B1101" s="118"/>
      <c r="C1101" s="118" t="s">
        <v>4792</v>
      </c>
      <c r="D1101" s="119" t="s">
        <v>4793</v>
      </c>
      <c r="F1101" s="9" t="s">
        <v>4771</v>
      </c>
    </row>
    <row r="1102">
      <c r="A1102" s="121" t="s">
        <v>4768</v>
      </c>
      <c r="B1102" s="118"/>
      <c r="C1102" s="118" t="s">
        <v>4769</v>
      </c>
      <c r="D1102" s="119" t="s">
        <v>4794</v>
      </c>
      <c r="F1102" s="9" t="s">
        <v>4771</v>
      </c>
    </row>
    <row r="1103">
      <c r="A1103" s="121" t="s">
        <v>2810</v>
      </c>
      <c r="B1103" s="118"/>
      <c r="C1103" s="118" t="s">
        <v>4783</v>
      </c>
      <c r="D1103" s="119" t="s">
        <v>4795</v>
      </c>
      <c r="F1103" s="9" t="s">
        <v>4771</v>
      </c>
    </row>
    <row r="1104">
      <c r="A1104" s="121" t="s">
        <v>4785</v>
      </c>
      <c r="B1104" s="118"/>
      <c r="C1104" s="118" t="s">
        <v>4786</v>
      </c>
      <c r="D1104" s="119" t="s">
        <v>4796</v>
      </c>
      <c r="F1104" s="9" t="s">
        <v>4771</v>
      </c>
    </row>
    <row r="1105">
      <c r="A1105" s="121" t="s">
        <v>4768</v>
      </c>
      <c r="B1105" s="118"/>
      <c r="C1105" s="118" t="s">
        <v>4769</v>
      </c>
      <c r="D1105" s="119" t="s">
        <v>4797</v>
      </c>
      <c r="F1105" s="9" t="s">
        <v>4771</v>
      </c>
    </row>
    <row r="1106">
      <c r="A1106" s="117" t="s">
        <v>4798</v>
      </c>
      <c r="B1106" s="118"/>
      <c r="C1106" s="118" t="s">
        <v>4799</v>
      </c>
      <c r="D1106" s="119" t="s">
        <v>2550</v>
      </c>
      <c r="F1106" s="9" t="s">
        <v>4771</v>
      </c>
    </row>
    <row r="1107">
      <c r="A1107" s="117" t="s">
        <v>4798</v>
      </c>
      <c r="B1107" s="118"/>
      <c r="C1107" s="118" t="s">
        <v>4799</v>
      </c>
      <c r="D1107" s="119" t="s">
        <v>4800</v>
      </c>
      <c r="F1107" s="9" t="s">
        <v>4771</v>
      </c>
    </row>
    <row r="1108">
      <c r="A1108" s="117" t="s">
        <v>4798</v>
      </c>
      <c r="B1108" s="118"/>
      <c r="C1108" s="118" t="s">
        <v>4799</v>
      </c>
      <c r="D1108" s="119" t="s">
        <v>4801</v>
      </c>
      <c r="F1108" s="9" t="s">
        <v>4771</v>
      </c>
    </row>
    <row r="1109">
      <c r="A1109" s="117" t="s">
        <v>4802</v>
      </c>
      <c r="B1109" s="118"/>
      <c r="C1109" s="118" t="s">
        <v>4803</v>
      </c>
      <c r="D1109" s="119" t="s">
        <v>4804</v>
      </c>
      <c r="F1109" s="9" t="s">
        <v>4771</v>
      </c>
    </row>
    <row r="1110">
      <c r="A1110" s="117" t="s">
        <v>4805</v>
      </c>
      <c r="B1110" s="118"/>
      <c r="C1110" s="118" t="s">
        <v>4806</v>
      </c>
      <c r="D1110" s="119" t="s">
        <v>4807</v>
      </c>
      <c r="F1110" s="9" t="s">
        <v>4771</v>
      </c>
    </row>
    <row r="1111">
      <c r="A1111" s="117" t="s">
        <v>4768</v>
      </c>
      <c r="B1111" s="118"/>
      <c r="C1111" s="118" t="s">
        <v>4769</v>
      </c>
      <c r="D1111" s="119" t="s">
        <v>4808</v>
      </c>
      <c r="F1111" s="9" t="s">
        <v>4771</v>
      </c>
    </row>
    <row r="1112">
      <c r="A1112" s="117" t="s">
        <v>4805</v>
      </c>
      <c r="B1112" s="118"/>
      <c r="C1112" s="118" t="s">
        <v>4806</v>
      </c>
      <c r="D1112" s="119" t="s">
        <v>4809</v>
      </c>
      <c r="F1112" s="9" t="s">
        <v>4771</v>
      </c>
    </row>
    <row r="1113">
      <c r="A1113" s="117" t="s">
        <v>4810</v>
      </c>
      <c r="B1113" s="118"/>
      <c r="C1113" s="118" t="s">
        <v>4811</v>
      </c>
      <c r="D1113" s="119" t="s">
        <v>4812</v>
      </c>
      <c r="F1113" s="9" t="s">
        <v>4771</v>
      </c>
    </row>
    <row r="1114">
      <c r="A1114" s="117" t="s">
        <v>4768</v>
      </c>
      <c r="B1114" s="118"/>
      <c r="C1114" s="118" t="s">
        <v>4769</v>
      </c>
      <c r="D1114" s="119" t="s">
        <v>4813</v>
      </c>
      <c r="F1114" s="9" t="s">
        <v>4771</v>
      </c>
    </row>
    <row r="1115">
      <c r="A1115" s="117" t="s">
        <v>4768</v>
      </c>
      <c r="B1115" s="118"/>
      <c r="C1115" s="118" t="s">
        <v>4769</v>
      </c>
      <c r="D1115" s="119" t="s">
        <v>4814</v>
      </c>
      <c r="F1115" s="9" t="s">
        <v>4771</v>
      </c>
    </row>
    <row r="1116">
      <c r="A1116" s="128"/>
      <c r="B1116" s="118"/>
      <c r="C1116" s="118"/>
      <c r="D1116" s="128"/>
    </row>
    <row r="1117">
      <c r="A1117" s="128"/>
      <c r="B1117" s="118"/>
      <c r="C1117" s="118"/>
      <c r="D1117" s="128"/>
    </row>
    <row r="1118">
      <c r="A1118" s="128"/>
      <c r="B1118" s="118"/>
      <c r="C1118" s="118"/>
      <c r="D1118" s="128"/>
    </row>
    <row r="1119">
      <c r="A1119" s="128"/>
      <c r="B1119" s="118"/>
      <c r="C1119" s="118"/>
      <c r="D1119" s="128"/>
    </row>
    <row r="1120">
      <c r="A1120" s="128"/>
      <c r="B1120" s="118"/>
      <c r="C1120" s="118"/>
      <c r="D1120" s="128"/>
    </row>
    <row r="1121">
      <c r="A1121" s="128"/>
      <c r="B1121" s="118"/>
      <c r="C1121" s="118"/>
      <c r="D1121" s="128"/>
    </row>
    <row r="1122">
      <c r="A1122" s="128"/>
      <c r="B1122" s="118"/>
      <c r="C1122" s="118"/>
      <c r="D1122" s="128"/>
    </row>
    <row r="1123">
      <c r="A1123" s="128"/>
      <c r="B1123" s="118"/>
      <c r="C1123" s="118"/>
      <c r="D1123" s="94"/>
    </row>
    <row r="1124">
      <c r="A1124" s="123"/>
      <c r="B1124" s="118"/>
      <c r="C1124" s="118"/>
      <c r="D1124" s="118"/>
    </row>
    <row r="1125">
      <c r="A1125" s="123"/>
      <c r="B1125" s="118"/>
      <c r="C1125" s="118"/>
      <c r="D1125" s="118"/>
    </row>
    <row r="1126">
      <c r="A1126" s="123"/>
      <c r="B1126" s="118"/>
      <c r="C1126" s="118"/>
      <c r="D1126" s="118"/>
    </row>
    <row r="1127">
      <c r="A1127" s="124" t="s">
        <v>4815</v>
      </c>
      <c r="B1127" s="118"/>
      <c r="C1127" s="118"/>
      <c r="D1127" s="118"/>
    </row>
    <row r="1128">
      <c r="A1128" s="125" t="s">
        <v>3018</v>
      </c>
      <c r="B1128" s="118"/>
      <c r="C1128" s="118"/>
      <c r="D1128" s="126" t="s">
        <v>3019</v>
      </c>
    </row>
    <row r="1129">
      <c r="A1129" s="117" t="s">
        <v>4816</v>
      </c>
      <c r="B1129" s="118"/>
      <c r="C1129" s="118" t="s">
        <v>4817</v>
      </c>
      <c r="D1129" s="119" t="s">
        <v>4818</v>
      </c>
      <c r="F1129" s="9" t="s">
        <v>4819</v>
      </c>
    </row>
    <row r="1130">
      <c r="A1130" s="117" t="s">
        <v>4820</v>
      </c>
      <c r="B1130" s="118"/>
      <c r="C1130" s="118" t="s">
        <v>4821</v>
      </c>
      <c r="D1130" s="119" t="s">
        <v>4822</v>
      </c>
      <c r="F1130" s="9" t="s">
        <v>4819</v>
      </c>
    </row>
    <row r="1131">
      <c r="A1131" s="117" t="s">
        <v>2244</v>
      </c>
      <c r="B1131" s="118"/>
      <c r="C1131" s="118" t="s">
        <v>4823</v>
      </c>
      <c r="D1131" s="119" t="s">
        <v>4824</v>
      </c>
      <c r="F1131" s="9" t="s">
        <v>4819</v>
      </c>
    </row>
    <row r="1132">
      <c r="A1132" s="117" t="s">
        <v>2246</v>
      </c>
      <c r="B1132" s="118"/>
      <c r="C1132" s="118" t="s">
        <v>4825</v>
      </c>
      <c r="D1132" s="119" t="s">
        <v>4826</v>
      </c>
      <c r="F1132" s="9" t="s">
        <v>4819</v>
      </c>
    </row>
    <row r="1133">
      <c r="A1133" s="117" t="s">
        <v>4827</v>
      </c>
      <c r="B1133" s="118"/>
      <c r="C1133" s="118" t="s">
        <v>4828</v>
      </c>
      <c r="D1133" s="119" t="s">
        <v>4829</v>
      </c>
      <c r="F1133" s="9" t="s">
        <v>4819</v>
      </c>
    </row>
    <row r="1134">
      <c r="A1134" s="117" t="s">
        <v>4830</v>
      </c>
      <c r="B1134" s="118"/>
      <c r="C1134" s="118" t="s">
        <v>4831</v>
      </c>
      <c r="D1134" s="119" t="s">
        <v>4832</v>
      </c>
      <c r="F1134" s="9" t="s">
        <v>4819</v>
      </c>
    </row>
    <row r="1135">
      <c r="A1135" s="117" t="s">
        <v>4833</v>
      </c>
      <c r="B1135" s="118"/>
      <c r="C1135" s="118" t="s">
        <v>4834</v>
      </c>
      <c r="D1135" s="119" t="s">
        <v>4835</v>
      </c>
      <c r="F1135" s="9" t="s">
        <v>4819</v>
      </c>
    </row>
    <row r="1136">
      <c r="A1136" s="117" t="s">
        <v>4836</v>
      </c>
      <c r="B1136" s="118"/>
      <c r="C1136" s="118" t="s">
        <v>4837</v>
      </c>
      <c r="D1136" s="119" t="s">
        <v>4832</v>
      </c>
      <c r="F1136" s="9" t="s">
        <v>4819</v>
      </c>
    </row>
    <row r="1137">
      <c r="A1137" s="117" t="s">
        <v>2248</v>
      </c>
      <c r="B1137" s="118"/>
      <c r="C1137" s="118" t="s">
        <v>2248</v>
      </c>
      <c r="D1137" s="119" t="s">
        <v>4838</v>
      </c>
      <c r="F1137" s="9" t="s">
        <v>4819</v>
      </c>
    </row>
    <row r="1138">
      <c r="A1138" s="117" t="s">
        <v>4839</v>
      </c>
      <c r="B1138" s="118"/>
      <c r="C1138" s="118" t="s">
        <v>4840</v>
      </c>
      <c r="D1138" s="119" t="s">
        <v>4841</v>
      </c>
      <c r="F1138" s="9" t="s">
        <v>4819</v>
      </c>
    </row>
    <row r="1139">
      <c r="A1139" s="117" t="s">
        <v>4842</v>
      </c>
      <c r="B1139" s="118"/>
      <c r="C1139" s="118" t="s">
        <v>4843</v>
      </c>
      <c r="D1139" s="119" t="s">
        <v>4844</v>
      </c>
      <c r="F1139" s="9" t="s">
        <v>4819</v>
      </c>
    </row>
    <row r="1140">
      <c r="A1140" s="117" t="s">
        <v>4842</v>
      </c>
      <c r="B1140" s="118"/>
      <c r="C1140" s="118" t="s">
        <v>4843</v>
      </c>
      <c r="D1140" s="119" t="s">
        <v>4845</v>
      </c>
      <c r="F1140" s="9" t="s">
        <v>4819</v>
      </c>
    </row>
    <row r="1141">
      <c r="A1141" s="117" t="s">
        <v>4846</v>
      </c>
      <c r="B1141" s="118"/>
      <c r="C1141" s="118" t="s">
        <v>4847</v>
      </c>
      <c r="D1141" s="119" t="s">
        <v>4848</v>
      </c>
      <c r="F1141" s="9" t="s">
        <v>4819</v>
      </c>
    </row>
    <row r="1142">
      <c r="A1142" s="128"/>
      <c r="B1142" s="118"/>
      <c r="C1142" s="118"/>
      <c r="D1142" s="128"/>
    </row>
    <row r="1143">
      <c r="A1143" s="134"/>
      <c r="B1143" s="118"/>
      <c r="C1143" s="118"/>
      <c r="D1143" s="128"/>
    </row>
    <row r="1144">
      <c r="A1144" s="134"/>
      <c r="B1144" s="118"/>
      <c r="C1144" s="118"/>
      <c r="D1144" s="128"/>
    </row>
    <row r="1145">
      <c r="A1145" s="134"/>
      <c r="B1145" s="118"/>
      <c r="C1145" s="118"/>
      <c r="D1145" s="128"/>
    </row>
    <row r="1146">
      <c r="A1146" s="134"/>
      <c r="B1146" s="118"/>
      <c r="C1146" s="118"/>
      <c r="D1146" s="128"/>
    </row>
    <row r="1147">
      <c r="A1147" s="134"/>
      <c r="B1147" s="118"/>
      <c r="C1147" s="118"/>
      <c r="D1147" s="128"/>
    </row>
    <row r="1148">
      <c r="A1148" s="128"/>
      <c r="B1148" s="118"/>
      <c r="C1148" s="118"/>
      <c r="D1148" s="128"/>
    </row>
    <row r="1149">
      <c r="A1149" s="128"/>
      <c r="B1149" s="118"/>
      <c r="C1149" s="118"/>
      <c r="D1149" s="128"/>
    </row>
    <row r="1150">
      <c r="A1150" s="128"/>
      <c r="B1150" s="118"/>
      <c r="C1150" s="118"/>
      <c r="D1150" s="128"/>
    </row>
    <row r="1151">
      <c r="A1151" s="128"/>
      <c r="B1151" s="118"/>
      <c r="C1151" s="118"/>
      <c r="D1151" s="128"/>
    </row>
    <row r="1152">
      <c r="A1152" s="128"/>
      <c r="B1152" s="118"/>
      <c r="C1152" s="118"/>
      <c r="D1152" s="128"/>
    </row>
    <row r="1153">
      <c r="A1153" s="128"/>
      <c r="B1153" s="118"/>
      <c r="C1153" s="118"/>
      <c r="D1153" s="128"/>
    </row>
    <row r="1154">
      <c r="A1154" s="128"/>
      <c r="B1154" s="118"/>
      <c r="C1154" s="118"/>
      <c r="D1154" s="128"/>
    </row>
    <row r="1155">
      <c r="A1155" s="128"/>
      <c r="B1155" s="118"/>
      <c r="C1155" s="118"/>
      <c r="D1155" s="128"/>
    </row>
    <row r="1156">
      <c r="A1156" s="128"/>
      <c r="B1156" s="118"/>
      <c r="C1156" s="118"/>
      <c r="D1156" s="128"/>
    </row>
    <row r="1157">
      <c r="A1157" s="128"/>
      <c r="B1157" s="118"/>
      <c r="C1157" s="118"/>
      <c r="D1157" s="128"/>
    </row>
    <row r="1158">
      <c r="A1158" s="128"/>
      <c r="B1158" s="118"/>
      <c r="C1158" s="118"/>
      <c r="D1158" s="128"/>
    </row>
    <row r="1159">
      <c r="A1159" s="128"/>
      <c r="B1159" s="118"/>
      <c r="C1159" s="118"/>
      <c r="D1159" s="128"/>
    </row>
    <row r="1160">
      <c r="A1160" s="128"/>
      <c r="B1160" s="118"/>
      <c r="C1160" s="118"/>
      <c r="D1160" s="128"/>
    </row>
    <row r="1161">
      <c r="A1161" s="128"/>
      <c r="B1161" s="118"/>
      <c r="C1161" s="118"/>
      <c r="D1161" s="128"/>
    </row>
    <row r="1162">
      <c r="A1162" s="128"/>
      <c r="B1162" s="118"/>
      <c r="C1162" s="118"/>
      <c r="D1162" s="128"/>
    </row>
    <row r="1163">
      <c r="A1163" s="128"/>
      <c r="B1163" s="118"/>
      <c r="C1163" s="118"/>
      <c r="D1163" s="128"/>
    </row>
    <row r="1164">
      <c r="A1164" s="128"/>
      <c r="B1164" s="118"/>
      <c r="C1164" s="118"/>
      <c r="D1164" s="128"/>
    </row>
    <row r="1165">
      <c r="A1165" s="128"/>
      <c r="B1165" s="118"/>
      <c r="C1165" s="118"/>
      <c r="D1165" s="128"/>
    </row>
    <row r="1166">
      <c r="A1166" s="128"/>
      <c r="B1166" s="118"/>
      <c r="C1166" s="118"/>
      <c r="D1166" s="94"/>
    </row>
    <row r="1167">
      <c r="A1167" s="123"/>
      <c r="B1167" s="118"/>
      <c r="C1167" s="118"/>
      <c r="D1167" s="118"/>
    </row>
    <row r="1168">
      <c r="A1168" s="123"/>
      <c r="B1168" s="118"/>
      <c r="C1168" s="118"/>
      <c r="D1168" s="118"/>
    </row>
    <row r="1169">
      <c r="A1169" s="123"/>
      <c r="B1169" s="118"/>
      <c r="C1169" s="118"/>
      <c r="D1169" s="118"/>
    </row>
    <row r="1170">
      <c r="A1170" s="123"/>
      <c r="B1170" s="118"/>
      <c r="C1170" s="118"/>
      <c r="D1170" s="118"/>
    </row>
    <row r="1171">
      <c r="A1171" s="124" t="s">
        <v>4849</v>
      </c>
      <c r="B1171" s="118"/>
      <c r="C1171" s="118"/>
      <c r="D1171" s="118"/>
    </row>
    <row r="1172">
      <c r="A1172" s="125" t="s">
        <v>3018</v>
      </c>
      <c r="B1172" s="118"/>
      <c r="C1172" s="118"/>
      <c r="D1172" s="126" t="s">
        <v>3019</v>
      </c>
    </row>
    <row r="1173">
      <c r="A1173" s="117" t="s">
        <v>4850</v>
      </c>
      <c r="B1173" s="118"/>
      <c r="C1173" s="118" t="s">
        <v>4851</v>
      </c>
      <c r="D1173" s="119" t="s">
        <v>4852</v>
      </c>
      <c r="F1173" s="9" t="s">
        <v>4853</v>
      </c>
    </row>
    <row r="1174">
      <c r="A1174" s="121" t="s">
        <v>4854</v>
      </c>
      <c r="B1174" s="118"/>
      <c r="C1174" s="118" t="s">
        <v>3676</v>
      </c>
      <c r="D1174" s="119" t="s">
        <v>4855</v>
      </c>
      <c r="F1174" s="9" t="s">
        <v>4853</v>
      </c>
    </row>
    <row r="1175">
      <c r="A1175" s="117" t="s">
        <v>4856</v>
      </c>
      <c r="B1175" s="118"/>
      <c r="C1175" s="118" t="s">
        <v>4857</v>
      </c>
      <c r="D1175" s="119" t="s">
        <v>4858</v>
      </c>
      <c r="F1175" s="9" t="s">
        <v>4853</v>
      </c>
    </row>
    <row r="1176">
      <c r="A1176" s="117" t="s">
        <v>4859</v>
      </c>
      <c r="B1176" s="118"/>
      <c r="C1176" s="118" t="s">
        <v>4860</v>
      </c>
      <c r="D1176" s="119" t="s">
        <v>4861</v>
      </c>
      <c r="F1176" s="9" t="s">
        <v>4853</v>
      </c>
    </row>
    <row r="1177">
      <c r="A1177" s="121" t="s">
        <v>4862</v>
      </c>
      <c r="B1177" s="118"/>
      <c r="C1177" s="118" t="s">
        <v>4863</v>
      </c>
      <c r="D1177" s="119" t="s">
        <v>4864</v>
      </c>
      <c r="F1177" s="9" t="s">
        <v>4853</v>
      </c>
    </row>
    <row r="1178">
      <c r="A1178" s="134"/>
      <c r="B1178" s="118"/>
      <c r="C1178" s="118"/>
      <c r="D1178" s="128"/>
    </row>
    <row r="1179">
      <c r="A1179" s="134"/>
      <c r="B1179" s="118"/>
      <c r="C1179" s="118"/>
      <c r="D1179" s="128"/>
    </row>
    <row r="1180">
      <c r="A1180" s="134"/>
      <c r="B1180" s="118"/>
      <c r="C1180" s="118"/>
      <c r="D1180" s="128"/>
    </row>
    <row r="1181">
      <c r="A1181" s="134"/>
      <c r="B1181" s="118"/>
      <c r="C1181" s="118"/>
      <c r="D1181" s="128"/>
    </row>
    <row r="1182">
      <c r="A1182" s="128"/>
      <c r="B1182" s="118"/>
      <c r="C1182" s="118"/>
      <c r="D1182" s="128"/>
    </row>
    <row r="1183">
      <c r="A1183" s="128"/>
      <c r="B1183" s="118"/>
      <c r="C1183" s="118"/>
      <c r="D1183" s="128"/>
    </row>
    <row r="1184">
      <c r="A1184" s="128"/>
      <c r="B1184" s="118"/>
      <c r="C1184" s="118"/>
      <c r="D1184" s="128"/>
    </row>
    <row r="1185">
      <c r="A1185" s="134"/>
      <c r="B1185" s="118"/>
      <c r="C1185" s="118"/>
      <c r="D1185" s="128"/>
    </row>
    <row r="1186">
      <c r="A1186" s="134"/>
      <c r="B1186" s="118"/>
      <c r="C1186" s="118"/>
      <c r="D1186" s="128"/>
    </row>
    <row r="1187">
      <c r="A1187" s="134"/>
      <c r="B1187" s="118"/>
      <c r="C1187" s="118"/>
      <c r="D1187" s="128"/>
    </row>
    <row r="1188">
      <c r="A1188" s="134"/>
      <c r="B1188" s="118"/>
      <c r="C1188" s="118"/>
      <c r="D1188" s="128"/>
    </row>
    <row r="1189">
      <c r="A1189" s="134"/>
      <c r="B1189" s="118"/>
      <c r="C1189" s="118"/>
      <c r="D1189" s="128"/>
    </row>
    <row r="1190">
      <c r="A1190" s="134"/>
      <c r="B1190" s="118"/>
      <c r="C1190" s="118"/>
      <c r="D1190" s="128"/>
    </row>
    <row r="1191">
      <c r="A1191" s="134"/>
      <c r="B1191" s="118"/>
      <c r="C1191" s="118"/>
      <c r="D1191" s="128"/>
    </row>
    <row r="1192">
      <c r="A1192" s="128"/>
      <c r="B1192" s="118"/>
      <c r="C1192" s="118"/>
      <c r="D1192" s="128"/>
    </row>
    <row r="1193">
      <c r="A1193" s="128"/>
      <c r="B1193" s="118"/>
      <c r="C1193" s="118"/>
      <c r="D1193" s="128"/>
    </row>
    <row r="1194">
      <c r="A1194" s="128"/>
      <c r="B1194" s="118"/>
      <c r="C1194" s="118"/>
      <c r="D1194" s="128"/>
    </row>
    <row r="1195">
      <c r="A1195" s="128"/>
      <c r="B1195" s="118"/>
      <c r="C1195" s="118"/>
      <c r="D1195" s="128"/>
    </row>
    <row r="1196">
      <c r="A1196" s="128"/>
      <c r="B1196" s="118"/>
      <c r="C1196" s="118"/>
      <c r="D1196" s="128"/>
    </row>
    <row r="1197">
      <c r="A1197" s="128"/>
      <c r="B1197" s="118"/>
      <c r="C1197" s="118"/>
      <c r="D1197" s="128"/>
    </row>
    <row r="1198">
      <c r="A1198" s="128"/>
      <c r="B1198" s="118"/>
      <c r="C1198" s="118"/>
      <c r="D1198" s="128"/>
    </row>
    <row r="1199">
      <c r="A1199" s="128"/>
      <c r="B1199" s="118"/>
      <c r="C1199" s="118"/>
      <c r="D1199" s="128"/>
    </row>
    <row r="1200">
      <c r="A1200" s="128"/>
      <c r="B1200" s="118"/>
      <c r="C1200" s="118"/>
      <c r="D1200" s="128"/>
    </row>
    <row r="1201">
      <c r="A1201" s="128"/>
      <c r="B1201" s="118"/>
      <c r="C1201" s="118"/>
      <c r="D1201" s="128"/>
    </row>
    <row r="1202">
      <c r="A1202" s="128"/>
      <c r="B1202" s="118"/>
      <c r="C1202" s="118"/>
      <c r="D1202" s="128"/>
    </row>
    <row r="1203">
      <c r="A1203" s="128"/>
      <c r="B1203" s="118"/>
      <c r="C1203" s="118"/>
      <c r="D1203" s="128"/>
    </row>
    <row r="1204">
      <c r="A1204" s="128"/>
      <c r="B1204" s="118"/>
      <c r="C1204" s="118"/>
      <c r="D1204" s="128"/>
    </row>
    <row r="1205">
      <c r="A1205" s="128"/>
      <c r="B1205" s="118"/>
      <c r="C1205" s="118"/>
      <c r="D1205" s="128"/>
    </row>
    <row r="1206">
      <c r="A1206" s="128"/>
      <c r="B1206" s="118"/>
      <c r="C1206" s="118"/>
      <c r="D1206" s="128"/>
    </row>
    <row r="1207">
      <c r="A1207" s="128"/>
      <c r="B1207" s="118"/>
      <c r="C1207" s="118"/>
      <c r="D1207" s="128"/>
    </row>
    <row r="1208">
      <c r="A1208" s="128"/>
      <c r="B1208" s="118"/>
      <c r="C1208" s="118"/>
      <c r="D1208" s="128"/>
    </row>
    <row r="1209">
      <c r="A1209" s="128"/>
      <c r="B1209" s="118"/>
      <c r="C1209" s="118"/>
      <c r="D1209" s="128"/>
    </row>
    <row r="1210">
      <c r="A1210" s="123"/>
      <c r="B1210" s="118"/>
      <c r="C1210" s="118"/>
      <c r="D1210" s="118"/>
    </row>
    <row r="1211">
      <c r="A1211" s="118"/>
      <c r="B1211" s="118"/>
      <c r="C1211" s="118"/>
      <c r="D1211" s="118"/>
    </row>
    <row r="1212">
      <c r="A1212" s="118"/>
      <c r="B1212" s="118"/>
      <c r="C1212" s="118"/>
      <c r="D1212" s="118"/>
    </row>
    <row r="1213">
      <c r="A1213" s="118"/>
      <c r="B1213" s="118"/>
      <c r="C1213" s="118"/>
      <c r="D1213" s="118"/>
    </row>
    <row r="1214">
      <c r="A1214" s="118"/>
      <c r="B1214" s="118"/>
      <c r="C1214" s="118"/>
      <c r="D1214" s="118"/>
    </row>
    <row r="1215">
      <c r="A1215" s="124" t="s">
        <v>4865</v>
      </c>
      <c r="B1215" s="118"/>
      <c r="C1215" s="118"/>
      <c r="D1215" s="118"/>
    </row>
    <row r="1216">
      <c r="A1216" s="125" t="s">
        <v>3018</v>
      </c>
      <c r="B1216" s="118"/>
      <c r="C1216" s="118"/>
      <c r="D1216" s="126" t="s">
        <v>3019</v>
      </c>
    </row>
    <row r="1217">
      <c r="A1217" s="121" t="s">
        <v>1696</v>
      </c>
      <c r="B1217" s="118"/>
      <c r="C1217" s="118" t="s">
        <v>4866</v>
      </c>
      <c r="D1217" s="122" t="s">
        <v>1697</v>
      </c>
      <c r="F1217" s="9" t="s">
        <v>4867</v>
      </c>
    </row>
    <row r="1218">
      <c r="A1218" s="117" t="s">
        <v>4868</v>
      </c>
      <c r="B1218" s="118"/>
      <c r="C1218" s="118" t="s">
        <v>4869</v>
      </c>
      <c r="D1218" s="119" t="s">
        <v>4870</v>
      </c>
      <c r="F1218" s="9" t="s">
        <v>4867</v>
      </c>
    </row>
    <row r="1219">
      <c r="A1219" s="117" t="s">
        <v>4871</v>
      </c>
      <c r="B1219" s="118"/>
      <c r="C1219" s="118" t="s">
        <v>4872</v>
      </c>
      <c r="D1219" s="119" t="s">
        <v>4873</v>
      </c>
      <c r="F1219" s="9" t="s">
        <v>4867</v>
      </c>
    </row>
    <row r="1220">
      <c r="A1220" s="117" t="s">
        <v>2264</v>
      </c>
      <c r="B1220" s="118"/>
      <c r="C1220" s="118" t="s">
        <v>4874</v>
      </c>
      <c r="D1220" s="119" t="s">
        <v>4875</v>
      </c>
      <c r="F1220" s="9" t="s">
        <v>4867</v>
      </c>
    </row>
    <row r="1221">
      <c r="A1221" s="117" t="s">
        <v>1568</v>
      </c>
      <c r="B1221" s="118"/>
      <c r="C1221" s="118" t="s">
        <v>4876</v>
      </c>
      <c r="D1221" s="119" t="s">
        <v>1569</v>
      </c>
      <c r="F1221" s="9" t="s">
        <v>4867</v>
      </c>
    </row>
    <row r="1222">
      <c r="A1222" s="117" t="s">
        <v>4877</v>
      </c>
      <c r="B1222" s="118"/>
      <c r="C1222" s="118" t="s">
        <v>4878</v>
      </c>
      <c r="D1222" s="119" t="s">
        <v>4879</v>
      </c>
      <c r="F1222" s="9" t="s">
        <v>4867</v>
      </c>
    </row>
    <row r="1223">
      <c r="A1223" s="117" t="s">
        <v>581</v>
      </c>
      <c r="B1223" s="118"/>
      <c r="C1223" s="118" t="s">
        <v>4880</v>
      </c>
      <c r="D1223" s="119" t="s">
        <v>4881</v>
      </c>
      <c r="F1223" s="9" t="s">
        <v>4867</v>
      </c>
    </row>
    <row r="1224">
      <c r="A1224" s="143" t="s">
        <v>4882</v>
      </c>
      <c r="B1224" s="118"/>
      <c r="C1224" s="118" t="s">
        <v>4883</v>
      </c>
      <c r="D1224" s="131" t="s">
        <v>4884</v>
      </c>
      <c r="F1224" s="9" t="s">
        <v>4867</v>
      </c>
    </row>
    <row r="1225">
      <c r="A1225" s="117" t="s">
        <v>4885</v>
      </c>
      <c r="B1225" s="118"/>
      <c r="C1225" s="118" t="s">
        <v>4886</v>
      </c>
      <c r="D1225" s="119" t="s">
        <v>4887</v>
      </c>
      <c r="F1225" s="9" t="s">
        <v>4867</v>
      </c>
    </row>
    <row r="1226">
      <c r="A1226" s="117" t="s">
        <v>4888</v>
      </c>
      <c r="B1226" s="118"/>
      <c r="C1226" s="118" t="s">
        <v>4889</v>
      </c>
      <c r="D1226" s="119" t="s">
        <v>4890</v>
      </c>
      <c r="F1226" s="9" t="s">
        <v>4867</v>
      </c>
    </row>
    <row r="1227">
      <c r="A1227" s="117" t="s">
        <v>4891</v>
      </c>
      <c r="B1227" s="118"/>
      <c r="C1227" s="118" t="s">
        <v>4892</v>
      </c>
      <c r="D1227" s="119" t="s">
        <v>4890</v>
      </c>
      <c r="F1227" s="9" t="s">
        <v>4867</v>
      </c>
    </row>
    <row r="1228">
      <c r="A1228" s="117" t="s">
        <v>4893</v>
      </c>
      <c r="B1228" s="118"/>
      <c r="C1228" s="118" t="s">
        <v>4894</v>
      </c>
      <c r="D1228" s="119" t="s">
        <v>4895</v>
      </c>
      <c r="F1228" s="9" t="s">
        <v>4867</v>
      </c>
    </row>
    <row r="1229">
      <c r="A1229" s="117" t="s">
        <v>4896</v>
      </c>
      <c r="B1229" s="118"/>
      <c r="C1229" s="118" t="s">
        <v>4897</v>
      </c>
      <c r="D1229" s="119" t="s">
        <v>1566</v>
      </c>
      <c r="F1229" s="9" t="s">
        <v>4867</v>
      </c>
    </row>
    <row r="1230">
      <c r="A1230" s="117" t="s">
        <v>4898</v>
      </c>
      <c r="B1230" s="118"/>
      <c r="C1230" s="118" t="s">
        <v>4899</v>
      </c>
      <c r="D1230" s="119" t="s">
        <v>4900</v>
      </c>
      <c r="F1230" s="9" t="s">
        <v>4867</v>
      </c>
    </row>
    <row r="1231">
      <c r="A1231" s="117" t="s">
        <v>4901</v>
      </c>
      <c r="B1231" s="118"/>
      <c r="C1231" s="118" t="s">
        <v>4902</v>
      </c>
      <c r="D1231" s="119" t="s">
        <v>4903</v>
      </c>
      <c r="F1231" s="9" t="s">
        <v>4867</v>
      </c>
    </row>
    <row r="1232">
      <c r="A1232" s="117" t="s">
        <v>4904</v>
      </c>
      <c r="B1232" s="118"/>
      <c r="C1232" s="118" t="s">
        <v>4905</v>
      </c>
      <c r="D1232" s="119" t="s">
        <v>4906</v>
      </c>
      <c r="F1232" s="9" t="s">
        <v>4867</v>
      </c>
    </row>
    <row r="1233">
      <c r="A1233" s="117" t="s">
        <v>4904</v>
      </c>
      <c r="B1233" s="118"/>
      <c r="C1233" s="118" t="s">
        <v>4905</v>
      </c>
      <c r="D1233" s="119" t="s">
        <v>4907</v>
      </c>
      <c r="F1233" s="9" t="s">
        <v>4867</v>
      </c>
    </row>
    <row r="1234">
      <c r="A1234" s="117" t="s">
        <v>4908</v>
      </c>
      <c r="B1234" s="118"/>
      <c r="C1234" s="118" t="s">
        <v>4909</v>
      </c>
      <c r="D1234" s="119" t="s">
        <v>4910</v>
      </c>
      <c r="F1234" s="9" t="s">
        <v>4867</v>
      </c>
    </row>
    <row r="1235">
      <c r="A1235" s="117" t="s">
        <v>4911</v>
      </c>
      <c r="B1235" s="118"/>
      <c r="C1235" s="118" t="s">
        <v>4912</v>
      </c>
      <c r="D1235" s="119" t="s">
        <v>4913</v>
      </c>
      <c r="F1235" s="9" t="s">
        <v>4867</v>
      </c>
    </row>
    <row r="1236">
      <c r="A1236" s="117" t="s">
        <v>4914</v>
      </c>
      <c r="B1236" s="118"/>
      <c r="C1236" s="118" t="s">
        <v>4915</v>
      </c>
      <c r="D1236" s="119" t="s">
        <v>4916</v>
      </c>
      <c r="F1236" s="9" t="s">
        <v>4867</v>
      </c>
    </row>
    <row r="1237">
      <c r="A1237" s="117" t="s">
        <v>4917</v>
      </c>
      <c r="B1237" s="118"/>
      <c r="C1237" s="118" t="s">
        <v>4918</v>
      </c>
      <c r="D1237" s="119" t="s">
        <v>4919</v>
      </c>
      <c r="F1237" s="9" t="s">
        <v>4867</v>
      </c>
    </row>
    <row r="1238">
      <c r="A1238" s="117" t="s">
        <v>4920</v>
      </c>
      <c r="B1238" s="118"/>
      <c r="C1238" s="118" t="s">
        <v>4921</v>
      </c>
      <c r="D1238" s="119" t="s">
        <v>4919</v>
      </c>
      <c r="F1238" s="9" t="s">
        <v>4867</v>
      </c>
    </row>
    <row r="1239">
      <c r="A1239" s="119" t="s">
        <v>4922</v>
      </c>
      <c r="B1239" s="118"/>
      <c r="C1239" s="118" t="s">
        <v>4923</v>
      </c>
      <c r="D1239" s="119" t="s">
        <v>4919</v>
      </c>
      <c r="F1239" s="9" t="s">
        <v>4867</v>
      </c>
    </row>
    <row r="1240">
      <c r="A1240" s="128"/>
      <c r="B1240" s="118"/>
      <c r="C1240" s="118"/>
      <c r="D1240" s="128"/>
    </row>
    <row r="1241">
      <c r="A1241" s="117" t="s">
        <v>4924</v>
      </c>
      <c r="B1241" s="118"/>
      <c r="C1241" s="118" t="s">
        <v>4925</v>
      </c>
      <c r="D1241" s="119" t="s">
        <v>4926</v>
      </c>
      <c r="F1241" s="9" t="s">
        <v>4867</v>
      </c>
    </row>
    <row r="1242">
      <c r="A1242" s="117" t="s">
        <v>4927</v>
      </c>
      <c r="B1242" s="118"/>
      <c r="C1242" s="118"/>
      <c r="D1242" s="119" t="s">
        <v>4928</v>
      </c>
      <c r="F1242" s="9" t="s">
        <v>4867</v>
      </c>
    </row>
    <row r="1243">
      <c r="A1243" s="117" t="s">
        <v>4929</v>
      </c>
      <c r="B1243" s="118"/>
      <c r="C1243" s="118" t="s">
        <v>4930</v>
      </c>
      <c r="D1243" s="119" t="s">
        <v>4931</v>
      </c>
      <c r="F1243" s="9" t="s">
        <v>4867</v>
      </c>
    </row>
    <row r="1244">
      <c r="A1244" s="128"/>
      <c r="B1244" s="118"/>
      <c r="C1244" s="118"/>
      <c r="D1244" s="128"/>
    </row>
    <row r="1245">
      <c r="A1245" s="117" t="s">
        <v>4932</v>
      </c>
      <c r="B1245" s="118"/>
      <c r="C1245" s="118" t="s">
        <v>4933</v>
      </c>
      <c r="D1245" s="119" t="s">
        <v>4934</v>
      </c>
      <c r="F1245" s="9" t="s">
        <v>4867</v>
      </c>
    </row>
    <row r="1246">
      <c r="A1246" s="117" t="s">
        <v>4932</v>
      </c>
      <c r="B1246" s="118"/>
      <c r="C1246" s="118"/>
      <c r="D1246" s="119" t="s">
        <v>4935</v>
      </c>
      <c r="F1246" s="9" t="s">
        <v>4867</v>
      </c>
    </row>
    <row r="1247">
      <c r="A1247" s="128"/>
      <c r="B1247" s="118"/>
      <c r="C1247" s="118"/>
      <c r="D1247" s="128"/>
    </row>
    <row r="1248">
      <c r="A1248" s="94"/>
      <c r="B1248" s="118"/>
      <c r="C1248" s="118"/>
      <c r="D1248" s="94"/>
    </row>
    <row r="1249">
      <c r="A1249" s="94"/>
      <c r="B1249" s="118"/>
      <c r="C1249" s="118"/>
      <c r="D1249" s="94"/>
    </row>
    <row r="1250">
      <c r="A1250" s="94"/>
      <c r="B1250" s="118"/>
      <c r="C1250" s="118"/>
      <c r="D1250" s="94"/>
    </row>
    <row r="1251">
      <c r="A1251" s="94"/>
      <c r="B1251" s="118"/>
      <c r="C1251" s="118"/>
      <c r="D1251" s="94"/>
    </row>
    <row r="1252">
      <c r="A1252" s="94"/>
      <c r="B1252" s="118"/>
      <c r="C1252" s="118"/>
      <c r="D1252" s="94"/>
    </row>
    <row r="1253">
      <c r="A1253" s="94"/>
      <c r="B1253" s="118"/>
      <c r="C1253" s="118"/>
      <c r="D1253" s="94"/>
    </row>
    <row r="1254">
      <c r="A1254" s="94"/>
      <c r="B1254" s="118"/>
      <c r="C1254" s="118"/>
      <c r="D1254" s="94"/>
    </row>
    <row r="1255">
      <c r="A1255" s="94"/>
      <c r="B1255" s="118"/>
      <c r="C1255" s="118"/>
      <c r="D1255" s="94"/>
    </row>
    <row r="1256">
      <c r="A1256" s="94"/>
      <c r="B1256" s="118"/>
      <c r="C1256" s="118"/>
      <c r="D1256" s="94"/>
    </row>
    <row r="1257">
      <c r="A1257" s="94"/>
      <c r="B1257" s="118"/>
      <c r="C1257" s="118"/>
      <c r="D1257" s="94"/>
    </row>
    <row r="1258">
      <c r="A1258" s="118"/>
      <c r="B1258" s="118"/>
      <c r="C1258" s="118"/>
      <c r="D1258" s="118"/>
    </row>
    <row r="1259">
      <c r="A1259" s="118"/>
      <c r="B1259" s="118"/>
      <c r="C1259" s="118"/>
      <c r="D1259" s="118"/>
    </row>
    <row r="1260">
      <c r="A1260" s="132" t="s">
        <v>4936</v>
      </c>
      <c r="B1260" s="118"/>
      <c r="C1260" s="118"/>
      <c r="D1260" s="118"/>
    </row>
    <row r="1261">
      <c r="A1261" s="125" t="s">
        <v>3018</v>
      </c>
      <c r="B1261" s="118"/>
      <c r="C1261" s="118"/>
      <c r="D1261" s="126" t="s">
        <v>3019</v>
      </c>
    </row>
    <row r="1262">
      <c r="A1262" s="117" t="s">
        <v>4937</v>
      </c>
      <c r="B1262" s="118"/>
      <c r="C1262" s="118" t="s">
        <v>4938</v>
      </c>
      <c r="D1262" s="119" t="s">
        <v>4939</v>
      </c>
      <c r="F1262" s="9" t="s">
        <v>4940</v>
      </c>
    </row>
    <row r="1263">
      <c r="A1263" s="117" t="s">
        <v>4941</v>
      </c>
      <c r="B1263" s="118"/>
      <c r="C1263" s="118" t="s">
        <v>4942</v>
      </c>
      <c r="D1263" s="119" t="s">
        <v>4943</v>
      </c>
      <c r="F1263" s="9" t="s">
        <v>4940</v>
      </c>
    </row>
    <row r="1264">
      <c r="A1264" s="117" t="s">
        <v>4941</v>
      </c>
      <c r="B1264" s="118"/>
      <c r="C1264" s="118" t="s">
        <v>4942</v>
      </c>
      <c r="D1264" s="119" t="s">
        <v>4944</v>
      </c>
      <c r="F1264" s="9" t="s">
        <v>4940</v>
      </c>
    </row>
    <row r="1265">
      <c r="A1265" s="128"/>
      <c r="B1265" s="118"/>
      <c r="C1265" s="118" t="e">
        <v>#VALUE!</v>
      </c>
      <c r="D1265" s="128"/>
    </row>
    <row r="1266">
      <c r="A1266" s="117" t="s">
        <v>4945</v>
      </c>
      <c r="B1266" s="118"/>
      <c r="C1266" s="118" t="s">
        <v>4946</v>
      </c>
      <c r="D1266" s="119" t="s">
        <v>4947</v>
      </c>
      <c r="F1266" s="9" t="s">
        <v>4940</v>
      </c>
    </row>
    <row r="1267">
      <c r="A1267" s="117" t="s">
        <v>4948</v>
      </c>
      <c r="B1267" s="118"/>
      <c r="C1267" s="118"/>
      <c r="D1267" s="119" t="s">
        <v>4949</v>
      </c>
      <c r="F1267" s="9" t="s">
        <v>4940</v>
      </c>
    </row>
    <row r="1268">
      <c r="A1268" s="117" t="s">
        <v>4950</v>
      </c>
      <c r="B1268" s="118"/>
      <c r="C1268" s="118" t="s">
        <v>4951</v>
      </c>
      <c r="D1268" s="119" t="s">
        <v>4952</v>
      </c>
      <c r="F1268" s="9" t="s">
        <v>4940</v>
      </c>
    </row>
    <row r="1269">
      <c r="A1269" s="117" t="s">
        <v>1795</v>
      </c>
      <c r="B1269" s="118"/>
      <c r="C1269" s="118" t="s">
        <v>4953</v>
      </c>
      <c r="D1269" s="119" t="s">
        <v>4954</v>
      </c>
      <c r="F1269" s="9" t="s">
        <v>4940</v>
      </c>
    </row>
    <row r="1270">
      <c r="A1270" s="117" t="s">
        <v>4955</v>
      </c>
      <c r="B1270" s="118"/>
      <c r="C1270" s="118" t="s">
        <v>4956</v>
      </c>
      <c r="D1270" s="119" t="s">
        <v>4957</v>
      </c>
      <c r="F1270" s="9" t="s">
        <v>4940</v>
      </c>
    </row>
    <row r="1271">
      <c r="A1271" s="117" t="s">
        <v>4958</v>
      </c>
      <c r="B1271" s="118"/>
      <c r="C1271" s="118" t="s">
        <v>4959</v>
      </c>
      <c r="D1271" s="119" t="s">
        <v>4960</v>
      </c>
      <c r="F1271" s="9" t="s">
        <v>4940</v>
      </c>
    </row>
    <row r="1272">
      <c r="A1272" s="117" t="s">
        <v>2500</v>
      </c>
      <c r="B1272" s="118"/>
      <c r="C1272" s="118" t="s">
        <v>4961</v>
      </c>
      <c r="D1272" s="119" t="s">
        <v>4962</v>
      </c>
      <c r="F1272" s="9" t="s">
        <v>4940</v>
      </c>
    </row>
    <row r="1273">
      <c r="A1273" s="117" t="s">
        <v>4963</v>
      </c>
      <c r="B1273" s="118"/>
      <c r="C1273" s="118" t="s">
        <v>4964</v>
      </c>
      <c r="D1273" s="119" t="s">
        <v>4965</v>
      </c>
      <c r="F1273" s="9" t="s">
        <v>4940</v>
      </c>
    </row>
    <row r="1274">
      <c r="A1274" s="117" t="s">
        <v>4966</v>
      </c>
      <c r="B1274" s="118"/>
      <c r="C1274" s="118" t="s">
        <v>4967</v>
      </c>
      <c r="D1274" s="119" t="s">
        <v>4968</v>
      </c>
      <c r="F1274" s="9" t="s">
        <v>4940</v>
      </c>
    </row>
    <row r="1275">
      <c r="A1275" s="117" t="s">
        <v>4969</v>
      </c>
      <c r="B1275" s="118"/>
      <c r="C1275" s="118" t="s">
        <v>4970</v>
      </c>
      <c r="D1275" s="119" t="s">
        <v>4971</v>
      </c>
      <c r="F1275" s="9" t="s">
        <v>4940</v>
      </c>
    </row>
    <row r="1276">
      <c r="A1276" s="117" t="s">
        <v>4972</v>
      </c>
      <c r="B1276" s="118"/>
      <c r="C1276" s="118" t="s">
        <v>4973</v>
      </c>
      <c r="D1276" s="119" t="s">
        <v>4974</v>
      </c>
      <c r="F1276" s="9" t="s">
        <v>4940</v>
      </c>
    </row>
    <row r="1277">
      <c r="A1277" s="117" t="s">
        <v>1640</v>
      </c>
      <c r="B1277" s="118"/>
      <c r="C1277" s="118" t="s">
        <v>4975</v>
      </c>
      <c r="D1277" s="119" t="s">
        <v>4976</v>
      </c>
      <c r="F1277" s="9" t="s">
        <v>4940</v>
      </c>
    </row>
    <row r="1278">
      <c r="A1278" s="117" t="s">
        <v>1640</v>
      </c>
      <c r="B1278" s="118"/>
      <c r="C1278" s="118" t="s">
        <v>4975</v>
      </c>
      <c r="D1278" s="119" t="s">
        <v>4977</v>
      </c>
      <c r="F1278" s="9" t="s">
        <v>4940</v>
      </c>
    </row>
    <row r="1279">
      <c r="A1279" s="117" t="s">
        <v>1640</v>
      </c>
      <c r="B1279" s="118"/>
      <c r="C1279" s="118" t="s">
        <v>4975</v>
      </c>
      <c r="D1279" s="119" t="s">
        <v>4978</v>
      </c>
      <c r="F1279" s="9" t="s">
        <v>4940</v>
      </c>
    </row>
    <row r="1280">
      <c r="A1280" s="117" t="s">
        <v>1640</v>
      </c>
      <c r="B1280" s="118"/>
      <c r="C1280" s="118" t="s">
        <v>4975</v>
      </c>
      <c r="D1280" s="119" t="s">
        <v>4979</v>
      </c>
      <c r="F1280" s="9" t="s">
        <v>4940</v>
      </c>
    </row>
    <row r="1281">
      <c r="A1281" s="117" t="s">
        <v>4980</v>
      </c>
      <c r="B1281" s="118"/>
      <c r="C1281" s="118" t="s">
        <v>4981</v>
      </c>
      <c r="D1281" s="119" t="s">
        <v>4982</v>
      </c>
      <c r="F1281" s="9" t="s">
        <v>4940</v>
      </c>
    </row>
    <row r="1282">
      <c r="A1282" s="128"/>
      <c r="B1282" s="118"/>
      <c r="C1282" s="118" t="e">
        <v>#VALUE!</v>
      </c>
      <c r="D1282" s="128"/>
    </row>
    <row r="1283">
      <c r="A1283" s="128"/>
      <c r="B1283" s="118"/>
      <c r="C1283" s="118" t="e">
        <v>#VALUE!</v>
      </c>
      <c r="D1283" s="128"/>
    </row>
    <row r="1284">
      <c r="A1284" s="128"/>
      <c r="B1284" s="118"/>
      <c r="C1284" s="118"/>
      <c r="D1284" s="128"/>
    </row>
    <row r="1285">
      <c r="A1285" s="128"/>
      <c r="B1285" s="118"/>
      <c r="C1285" s="118"/>
      <c r="D1285" s="128"/>
    </row>
    <row r="1286">
      <c r="A1286" s="128"/>
      <c r="B1286" s="118"/>
      <c r="C1286" s="118"/>
      <c r="D1286" s="128"/>
    </row>
    <row r="1287">
      <c r="A1287" s="128"/>
      <c r="B1287" s="118"/>
      <c r="C1287" s="118"/>
      <c r="D1287" s="128"/>
    </row>
    <row r="1288">
      <c r="A1288" s="128"/>
      <c r="B1288" s="118"/>
      <c r="C1288" s="118"/>
      <c r="D1288" s="128"/>
    </row>
    <row r="1289">
      <c r="A1289" s="128"/>
      <c r="B1289" s="118"/>
      <c r="C1289" s="118"/>
      <c r="D1289" s="128"/>
    </row>
    <row r="1290">
      <c r="A1290" s="128"/>
      <c r="B1290" s="118"/>
      <c r="C1290" s="118"/>
      <c r="D1290" s="128"/>
    </row>
    <row r="1291">
      <c r="A1291" s="128"/>
      <c r="B1291" s="118"/>
      <c r="C1291" s="118"/>
      <c r="D1291" s="128"/>
    </row>
    <row r="1292">
      <c r="A1292" s="128"/>
      <c r="B1292" s="118"/>
      <c r="C1292" s="118"/>
      <c r="D1292" s="128"/>
    </row>
    <row r="1293">
      <c r="A1293" s="128"/>
      <c r="B1293" s="118"/>
      <c r="C1293" s="118"/>
      <c r="D1293" s="128"/>
    </row>
    <row r="1294">
      <c r="A1294" s="128"/>
      <c r="B1294" s="118"/>
      <c r="C1294" s="118"/>
      <c r="D1294" s="128"/>
    </row>
    <row r="1295">
      <c r="A1295" s="128"/>
      <c r="B1295" s="118"/>
      <c r="C1295" s="118"/>
      <c r="D1295" s="128"/>
    </row>
    <row r="1296">
      <c r="A1296" s="128"/>
      <c r="B1296" s="118"/>
      <c r="C1296" s="118"/>
      <c r="D1296" s="128"/>
    </row>
    <row r="1297">
      <c r="A1297" s="128"/>
      <c r="B1297" s="118"/>
      <c r="C1297" s="118"/>
      <c r="D1297" s="128"/>
    </row>
    <row r="1298">
      <c r="A1298" s="128"/>
      <c r="B1298" s="118"/>
      <c r="C1298" s="118"/>
      <c r="D1298" s="128"/>
    </row>
    <row r="1299">
      <c r="A1299" s="128"/>
      <c r="B1299" s="118"/>
      <c r="C1299" s="118"/>
      <c r="D1299" s="128"/>
    </row>
    <row r="1300">
      <c r="A1300" s="128"/>
      <c r="B1300" s="118"/>
      <c r="C1300" s="118"/>
      <c r="D1300" s="128"/>
    </row>
    <row r="1301">
      <c r="A1301" s="128"/>
      <c r="B1301" s="118"/>
      <c r="C1301" s="118"/>
      <c r="D1301" s="128"/>
    </row>
    <row r="1302">
      <c r="A1302" s="123"/>
      <c r="B1302" s="118"/>
      <c r="C1302" s="118"/>
      <c r="D1302" s="123"/>
    </row>
    <row r="1303">
      <c r="A1303" s="124" t="s">
        <v>174</v>
      </c>
      <c r="B1303" s="118"/>
      <c r="C1303" s="118"/>
      <c r="D1303" s="118"/>
    </row>
    <row r="1304">
      <c r="A1304" s="125" t="s">
        <v>3018</v>
      </c>
      <c r="B1304" s="118"/>
      <c r="C1304" s="118"/>
      <c r="D1304" s="126" t="s">
        <v>3019</v>
      </c>
    </row>
    <row r="1305">
      <c r="A1305" s="117" t="s">
        <v>4983</v>
      </c>
      <c r="B1305" s="118"/>
      <c r="C1305" s="118" t="s">
        <v>4984</v>
      </c>
      <c r="D1305" s="119" t="s">
        <v>4985</v>
      </c>
      <c r="F1305" s="9" t="s">
        <v>4986</v>
      </c>
    </row>
    <row r="1306">
      <c r="A1306" s="117" t="s">
        <v>1577</v>
      </c>
      <c r="B1306" s="118"/>
      <c r="C1306" s="118" t="s">
        <v>4987</v>
      </c>
      <c r="D1306" s="119" t="s">
        <v>1578</v>
      </c>
      <c r="F1306" s="9" t="s">
        <v>4986</v>
      </c>
    </row>
    <row r="1307">
      <c r="A1307" s="117" t="s">
        <v>4988</v>
      </c>
      <c r="B1307" s="118"/>
      <c r="C1307" s="118" t="s">
        <v>4989</v>
      </c>
      <c r="D1307" s="119" t="s">
        <v>1581</v>
      </c>
      <c r="F1307" s="9" t="s">
        <v>4986</v>
      </c>
    </row>
    <row r="1308">
      <c r="A1308" s="117" t="s">
        <v>174</v>
      </c>
      <c r="B1308" s="118"/>
      <c r="C1308" s="118" t="s">
        <v>3737</v>
      </c>
      <c r="D1308" s="119" t="s">
        <v>4990</v>
      </c>
      <c r="F1308" s="9" t="s">
        <v>4986</v>
      </c>
    </row>
    <row r="1309">
      <c r="A1309" s="117" t="s">
        <v>174</v>
      </c>
      <c r="B1309" s="118"/>
      <c r="C1309" s="118" t="s">
        <v>3737</v>
      </c>
      <c r="D1309" s="119" t="s">
        <v>4991</v>
      </c>
      <c r="F1309" s="9" t="s">
        <v>4986</v>
      </c>
    </row>
    <row r="1310">
      <c r="A1310" s="117" t="s">
        <v>174</v>
      </c>
      <c r="B1310" s="118"/>
      <c r="C1310" s="118" t="s">
        <v>3737</v>
      </c>
      <c r="D1310" s="119" t="s">
        <v>4992</v>
      </c>
      <c r="F1310" s="9" t="s">
        <v>4986</v>
      </c>
    </row>
    <row r="1311">
      <c r="A1311" s="117" t="s">
        <v>174</v>
      </c>
      <c r="B1311" s="118"/>
      <c r="C1311" s="118" t="s">
        <v>3737</v>
      </c>
      <c r="D1311" s="119" t="s">
        <v>4993</v>
      </c>
      <c r="F1311" s="9" t="s">
        <v>4986</v>
      </c>
    </row>
    <row r="1312">
      <c r="A1312" s="117" t="s">
        <v>174</v>
      </c>
      <c r="B1312" s="118"/>
      <c r="C1312" s="118" t="s">
        <v>3737</v>
      </c>
      <c r="D1312" s="119" t="s">
        <v>4994</v>
      </c>
      <c r="F1312" s="9" t="s">
        <v>4986</v>
      </c>
    </row>
    <row r="1313">
      <c r="A1313" s="117" t="s">
        <v>170</v>
      </c>
      <c r="B1313" s="118"/>
      <c r="C1313" s="118" t="s">
        <v>4995</v>
      </c>
      <c r="D1313" s="119" t="s">
        <v>4996</v>
      </c>
      <c r="F1313" s="9" t="s">
        <v>4986</v>
      </c>
    </row>
    <row r="1314">
      <c r="A1314" s="117" t="s">
        <v>4997</v>
      </c>
      <c r="B1314" s="118"/>
      <c r="C1314" s="118" t="s">
        <v>4998</v>
      </c>
      <c r="D1314" s="119" t="s">
        <v>4999</v>
      </c>
      <c r="F1314" s="9" t="s">
        <v>4986</v>
      </c>
    </row>
    <row r="1315">
      <c r="A1315" s="117" t="s">
        <v>5000</v>
      </c>
      <c r="B1315" s="118"/>
      <c r="C1315" s="118" t="s">
        <v>5001</v>
      </c>
      <c r="D1315" s="119" t="s">
        <v>5002</v>
      </c>
      <c r="F1315" s="9" t="s">
        <v>4986</v>
      </c>
    </row>
    <row r="1316">
      <c r="A1316" s="117" t="s">
        <v>5003</v>
      </c>
      <c r="B1316" s="118"/>
      <c r="C1316" s="118" t="s">
        <v>5004</v>
      </c>
      <c r="D1316" s="119" t="s">
        <v>5005</v>
      </c>
      <c r="F1316" s="9" t="s">
        <v>4986</v>
      </c>
    </row>
    <row r="1317">
      <c r="A1317" s="117" t="s">
        <v>5006</v>
      </c>
      <c r="B1317" s="118"/>
      <c r="C1317" s="118" t="s">
        <v>5007</v>
      </c>
      <c r="D1317" s="119" t="s">
        <v>5008</v>
      </c>
      <c r="F1317" s="9" t="s">
        <v>4986</v>
      </c>
    </row>
    <row r="1318">
      <c r="A1318" s="117" t="s">
        <v>5009</v>
      </c>
      <c r="B1318" s="118"/>
      <c r="C1318" s="118" t="s">
        <v>5010</v>
      </c>
      <c r="D1318" s="119" t="s">
        <v>5011</v>
      </c>
      <c r="F1318" s="9" t="s">
        <v>4986</v>
      </c>
    </row>
    <row r="1319">
      <c r="A1319" s="117" t="s">
        <v>5012</v>
      </c>
      <c r="B1319" s="118"/>
      <c r="C1319" s="118" t="s">
        <v>5013</v>
      </c>
      <c r="D1319" s="119" t="s">
        <v>5014</v>
      </c>
      <c r="F1319" s="9" t="s">
        <v>4986</v>
      </c>
    </row>
    <row r="1320">
      <c r="A1320" s="117" t="s">
        <v>170</v>
      </c>
      <c r="B1320" s="118"/>
      <c r="C1320" s="118" t="s">
        <v>4995</v>
      </c>
      <c r="D1320" s="119" t="s">
        <v>5015</v>
      </c>
      <c r="F1320" s="9" t="s">
        <v>4986</v>
      </c>
    </row>
    <row r="1321">
      <c r="A1321" s="117" t="s">
        <v>5016</v>
      </c>
      <c r="B1321" s="118"/>
      <c r="C1321" s="118" t="s">
        <v>5017</v>
      </c>
      <c r="D1321" s="119" t="s">
        <v>5018</v>
      </c>
      <c r="F1321" s="9" t="s">
        <v>4986</v>
      </c>
    </row>
    <row r="1322">
      <c r="A1322" s="117" t="s">
        <v>174</v>
      </c>
      <c r="B1322" s="118"/>
      <c r="C1322" s="118" t="s">
        <v>3737</v>
      </c>
      <c r="D1322" s="119" t="s">
        <v>5019</v>
      </c>
      <c r="F1322" s="9" t="s">
        <v>4986</v>
      </c>
    </row>
    <row r="1323">
      <c r="A1323" s="117" t="s">
        <v>5020</v>
      </c>
      <c r="B1323" s="118"/>
      <c r="C1323" s="118" t="s">
        <v>5021</v>
      </c>
      <c r="D1323" s="119" t="s">
        <v>5022</v>
      </c>
      <c r="F1323" s="9" t="s">
        <v>4986</v>
      </c>
    </row>
    <row r="1324">
      <c r="A1324" s="117" t="s">
        <v>5023</v>
      </c>
      <c r="B1324" s="118"/>
      <c r="C1324" s="118" t="s">
        <v>5024</v>
      </c>
      <c r="D1324" s="119" t="s">
        <v>5025</v>
      </c>
      <c r="F1324" s="9" t="s">
        <v>4986</v>
      </c>
    </row>
    <row r="1325">
      <c r="A1325" s="117" t="s">
        <v>5020</v>
      </c>
      <c r="B1325" s="118"/>
      <c r="C1325" s="118" t="s">
        <v>5021</v>
      </c>
      <c r="D1325" s="119" t="s">
        <v>5026</v>
      </c>
      <c r="F1325" s="9" t="s">
        <v>4986</v>
      </c>
    </row>
    <row r="1326">
      <c r="A1326" s="117" t="s">
        <v>5027</v>
      </c>
      <c r="B1326" s="118"/>
      <c r="C1326" s="118" t="s">
        <v>5028</v>
      </c>
      <c r="D1326" s="119" t="s">
        <v>5029</v>
      </c>
      <c r="F1326" s="9" t="s">
        <v>4986</v>
      </c>
    </row>
    <row r="1327">
      <c r="A1327" s="117" t="s">
        <v>5027</v>
      </c>
      <c r="B1327" s="118"/>
      <c r="C1327" s="118" t="s">
        <v>5028</v>
      </c>
      <c r="D1327" s="119" t="s">
        <v>5030</v>
      </c>
      <c r="F1327" s="9" t="s">
        <v>4986</v>
      </c>
    </row>
    <row r="1328">
      <c r="A1328" s="117" t="s">
        <v>5031</v>
      </c>
      <c r="B1328" s="118"/>
      <c r="C1328" s="118" t="s">
        <v>3737</v>
      </c>
      <c r="D1328" s="119" t="s">
        <v>5032</v>
      </c>
      <c r="F1328" s="9" t="s">
        <v>4986</v>
      </c>
    </row>
    <row r="1329">
      <c r="A1329" s="117" t="s">
        <v>5027</v>
      </c>
      <c r="B1329" s="118"/>
      <c r="C1329" s="118" t="s">
        <v>5028</v>
      </c>
      <c r="D1329" s="119" t="s">
        <v>5033</v>
      </c>
      <c r="F1329" s="9" t="s">
        <v>4986</v>
      </c>
    </row>
    <row r="1330">
      <c r="A1330" s="117" t="s">
        <v>5034</v>
      </c>
      <c r="B1330" s="118"/>
      <c r="C1330" s="118" t="s">
        <v>5035</v>
      </c>
      <c r="D1330" s="119" t="s">
        <v>87</v>
      </c>
      <c r="F1330" s="9" t="s">
        <v>4986</v>
      </c>
    </row>
    <row r="1331">
      <c r="A1331" s="117" t="s">
        <v>174</v>
      </c>
      <c r="B1331" s="118"/>
      <c r="C1331" s="118" t="s">
        <v>3737</v>
      </c>
      <c r="D1331" s="119" t="s">
        <v>53</v>
      </c>
      <c r="F1331" s="9" t="s">
        <v>4986</v>
      </c>
    </row>
    <row r="1332">
      <c r="A1332" s="117" t="s">
        <v>5036</v>
      </c>
      <c r="B1332" s="118"/>
      <c r="C1332" s="118" t="s">
        <v>5037</v>
      </c>
      <c r="D1332" s="119" t="s">
        <v>5038</v>
      </c>
      <c r="F1332" s="9" t="s">
        <v>4986</v>
      </c>
    </row>
    <row r="1333">
      <c r="A1333" s="117" t="s">
        <v>5036</v>
      </c>
      <c r="B1333" s="118"/>
      <c r="C1333" s="118" t="s">
        <v>5037</v>
      </c>
      <c r="D1333" s="131" t="s">
        <v>5039</v>
      </c>
      <c r="F1333" s="9" t="s">
        <v>4986</v>
      </c>
    </row>
    <row r="1334">
      <c r="A1334" s="117" t="s">
        <v>5040</v>
      </c>
      <c r="B1334" s="118"/>
      <c r="C1334" s="118" t="s">
        <v>5041</v>
      </c>
      <c r="D1334" s="119" t="s">
        <v>5042</v>
      </c>
      <c r="F1334" s="9" t="s">
        <v>4986</v>
      </c>
    </row>
    <row r="1335">
      <c r="A1335" s="117" t="s">
        <v>5043</v>
      </c>
      <c r="B1335" s="118"/>
      <c r="C1335" s="118" t="s">
        <v>3737</v>
      </c>
      <c r="D1335" s="119" t="s">
        <v>5044</v>
      </c>
      <c r="F1335" s="9" t="s">
        <v>4986</v>
      </c>
    </row>
    <row r="1336">
      <c r="A1336" s="117" t="s">
        <v>2054</v>
      </c>
      <c r="B1336" s="118"/>
      <c r="C1336" s="118" t="s">
        <v>5045</v>
      </c>
      <c r="D1336" s="119" t="s">
        <v>5046</v>
      </c>
      <c r="F1336" s="9" t="s">
        <v>4986</v>
      </c>
    </row>
    <row r="1337">
      <c r="A1337" s="117" t="s">
        <v>5047</v>
      </c>
      <c r="B1337" s="118"/>
      <c r="C1337" s="118" t="s">
        <v>5048</v>
      </c>
      <c r="D1337" s="119" t="s">
        <v>5049</v>
      </c>
      <c r="F1337" s="9" t="s">
        <v>4986</v>
      </c>
    </row>
    <row r="1338">
      <c r="A1338" s="117" t="s">
        <v>5050</v>
      </c>
      <c r="B1338" s="118"/>
      <c r="C1338" s="118" t="s">
        <v>5051</v>
      </c>
      <c r="D1338" s="119" t="s">
        <v>5052</v>
      </c>
      <c r="F1338" s="9" t="s">
        <v>4986</v>
      </c>
    </row>
    <row r="1339">
      <c r="A1339" s="117" t="s">
        <v>2032</v>
      </c>
      <c r="B1339" s="118"/>
      <c r="C1339" s="118" t="s">
        <v>5053</v>
      </c>
      <c r="D1339" s="119" t="s">
        <v>5054</v>
      </c>
      <c r="F1339" s="9" t="s">
        <v>4986</v>
      </c>
    </row>
    <row r="1340">
      <c r="A1340" s="117" t="s">
        <v>5055</v>
      </c>
      <c r="B1340" s="118"/>
      <c r="C1340" s="118" t="s">
        <v>5056</v>
      </c>
      <c r="D1340" s="119" t="s">
        <v>5057</v>
      </c>
      <c r="F1340" s="9" t="s">
        <v>4986</v>
      </c>
    </row>
    <row r="1341">
      <c r="A1341" s="117" t="s">
        <v>5058</v>
      </c>
      <c r="B1341" s="118"/>
      <c r="C1341" s="118" t="s">
        <v>5059</v>
      </c>
      <c r="D1341" s="119" t="s">
        <v>5060</v>
      </c>
      <c r="F1341" s="9" t="s">
        <v>4986</v>
      </c>
    </row>
    <row r="1342">
      <c r="A1342" s="117" t="s">
        <v>5061</v>
      </c>
      <c r="B1342" s="118"/>
      <c r="C1342" s="118" t="s">
        <v>5062</v>
      </c>
      <c r="D1342" s="131" t="s">
        <v>5063</v>
      </c>
      <c r="F1342" s="9" t="s">
        <v>4986</v>
      </c>
    </row>
    <row r="1343">
      <c r="A1343" s="117" t="s">
        <v>2032</v>
      </c>
      <c r="B1343" s="118"/>
      <c r="C1343" s="118" t="s">
        <v>5053</v>
      </c>
      <c r="D1343" s="131" t="s">
        <v>5064</v>
      </c>
      <c r="F1343" s="9" t="s">
        <v>4986</v>
      </c>
    </row>
    <row r="1344">
      <c r="A1344" s="118"/>
      <c r="B1344" s="118"/>
      <c r="C1344" s="118"/>
      <c r="D1344" s="118"/>
    </row>
    <row r="1345">
      <c r="A1345" s="124" t="s">
        <v>174</v>
      </c>
      <c r="B1345" s="118"/>
      <c r="C1345" s="118" t="s">
        <v>3737</v>
      </c>
      <c r="D1345" s="118"/>
    </row>
    <row r="1346">
      <c r="A1346" s="125" t="s">
        <v>3018</v>
      </c>
      <c r="B1346" s="118"/>
      <c r="C1346" s="118"/>
      <c r="D1346" s="126" t="s">
        <v>3019</v>
      </c>
    </row>
    <row r="1347">
      <c r="A1347" s="117" t="s">
        <v>5047</v>
      </c>
      <c r="B1347" s="118"/>
      <c r="C1347" s="118" t="s">
        <v>5048</v>
      </c>
      <c r="D1347" s="119" t="s">
        <v>5065</v>
      </c>
      <c r="F1347" s="9" t="s">
        <v>4986</v>
      </c>
    </row>
    <row r="1348">
      <c r="A1348" s="117" t="s">
        <v>5066</v>
      </c>
      <c r="B1348" s="118"/>
      <c r="C1348" s="118" t="s">
        <v>5067</v>
      </c>
      <c r="D1348" s="119" t="s">
        <v>5068</v>
      </c>
      <c r="F1348" s="9" t="s">
        <v>4986</v>
      </c>
    </row>
    <row r="1349">
      <c r="A1349" s="117" t="s">
        <v>1453</v>
      </c>
      <c r="B1349" s="118"/>
      <c r="C1349" s="118" t="s">
        <v>5069</v>
      </c>
      <c r="D1349" s="119" t="s">
        <v>5070</v>
      </c>
      <c r="F1349" s="9" t="s">
        <v>4986</v>
      </c>
    </row>
    <row r="1350">
      <c r="A1350" s="128"/>
      <c r="B1350" s="118"/>
      <c r="C1350" s="118"/>
      <c r="D1350" s="128"/>
    </row>
    <row r="1351">
      <c r="A1351" s="128"/>
      <c r="B1351" s="118"/>
      <c r="C1351" s="118"/>
      <c r="D1351" s="128"/>
    </row>
    <row r="1352">
      <c r="A1352" s="128"/>
      <c r="B1352" s="118"/>
      <c r="C1352" s="118"/>
      <c r="D1352" s="128"/>
    </row>
    <row r="1353">
      <c r="A1353" s="128"/>
      <c r="B1353" s="118"/>
      <c r="C1353" s="118"/>
      <c r="D1353" s="128"/>
    </row>
    <row r="1354">
      <c r="A1354" s="128"/>
      <c r="B1354" s="118"/>
      <c r="C1354" s="118"/>
      <c r="D1354" s="128"/>
    </row>
    <row r="1355">
      <c r="A1355" s="128"/>
      <c r="B1355" s="118"/>
      <c r="C1355" s="118"/>
      <c r="D1355" s="128"/>
    </row>
    <row r="1356">
      <c r="A1356" s="128"/>
      <c r="B1356" s="118"/>
      <c r="C1356" s="118"/>
      <c r="D1356" s="128"/>
    </row>
    <row r="1357">
      <c r="A1357" s="128"/>
      <c r="B1357" s="118"/>
      <c r="C1357" s="118"/>
      <c r="D1357" s="128"/>
    </row>
    <row r="1358">
      <c r="A1358" s="128"/>
      <c r="B1358" s="118"/>
      <c r="C1358" s="118"/>
      <c r="D1358" s="128"/>
    </row>
    <row r="1359">
      <c r="A1359" s="128"/>
      <c r="B1359" s="118"/>
      <c r="C1359" s="118"/>
      <c r="D1359" s="128"/>
    </row>
    <row r="1360">
      <c r="A1360" s="128"/>
      <c r="B1360" s="118"/>
      <c r="C1360" s="118"/>
      <c r="D1360" s="128"/>
    </row>
    <row r="1361">
      <c r="A1361" s="128"/>
      <c r="B1361" s="118"/>
      <c r="C1361" s="118"/>
      <c r="D1361" s="128"/>
    </row>
    <row r="1362">
      <c r="A1362" s="128"/>
      <c r="B1362" s="118"/>
      <c r="C1362" s="118"/>
      <c r="D1362" s="128"/>
    </row>
    <row r="1363">
      <c r="A1363" s="128"/>
      <c r="B1363" s="118"/>
      <c r="C1363" s="118"/>
      <c r="D1363" s="128"/>
    </row>
    <row r="1364">
      <c r="A1364" s="128"/>
      <c r="B1364" s="118"/>
      <c r="C1364" s="118"/>
      <c r="D1364" s="128"/>
    </row>
    <row r="1365">
      <c r="A1365" s="128"/>
      <c r="B1365" s="118"/>
      <c r="C1365" s="118"/>
      <c r="D1365" s="128"/>
    </row>
    <row r="1366">
      <c r="A1366" s="128"/>
      <c r="B1366" s="118"/>
      <c r="C1366" s="118"/>
      <c r="D1366" s="128"/>
    </row>
    <row r="1367">
      <c r="A1367" s="128"/>
      <c r="B1367" s="118"/>
      <c r="C1367" s="118"/>
      <c r="D1367" s="128"/>
    </row>
    <row r="1368">
      <c r="A1368" s="128"/>
      <c r="B1368" s="118"/>
      <c r="C1368" s="118"/>
      <c r="D1368" s="128"/>
    </row>
    <row r="1369">
      <c r="A1369" s="128"/>
      <c r="B1369" s="118"/>
      <c r="C1369" s="118"/>
      <c r="D1369" s="128"/>
    </row>
    <row r="1370">
      <c r="A1370" s="128"/>
      <c r="B1370" s="118"/>
      <c r="C1370" s="118"/>
      <c r="D1370" s="128"/>
    </row>
    <row r="1371">
      <c r="A1371" s="128"/>
      <c r="B1371" s="118"/>
      <c r="C1371" s="118"/>
      <c r="D1371" s="128"/>
    </row>
    <row r="1372">
      <c r="A1372" s="128"/>
      <c r="B1372" s="118"/>
      <c r="C1372" s="118"/>
      <c r="D1372" s="128"/>
    </row>
    <row r="1373">
      <c r="A1373" s="128"/>
      <c r="B1373" s="118"/>
      <c r="C1373" s="118"/>
      <c r="D1373" s="128"/>
    </row>
    <row r="1374">
      <c r="A1374" s="128"/>
      <c r="B1374" s="118"/>
      <c r="C1374" s="118"/>
      <c r="D1374" s="128"/>
    </row>
    <row r="1375">
      <c r="A1375" s="128"/>
      <c r="B1375" s="118"/>
      <c r="C1375" s="118"/>
      <c r="D1375" s="128"/>
    </row>
    <row r="1376">
      <c r="A1376" s="128"/>
      <c r="B1376" s="118"/>
      <c r="C1376" s="118"/>
      <c r="D1376" s="128"/>
    </row>
    <row r="1377">
      <c r="A1377" s="128"/>
      <c r="B1377" s="118"/>
      <c r="C1377" s="118"/>
      <c r="D1377" s="128"/>
    </row>
    <row r="1378">
      <c r="A1378" s="128"/>
      <c r="B1378" s="118"/>
      <c r="C1378" s="118"/>
      <c r="D1378" s="128"/>
    </row>
    <row r="1379">
      <c r="A1379" s="128"/>
      <c r="B1379" s="118"/>
      <c r="C1379" s="118"/>
      <c r="D1379" s="128"/>
    </row>
    <row r="1380">
      <c r="A1380" s="128"/>
      <c r="B1380" s="118"/>
      <c r="C1380" s="118"/>
      <c r="D1380" s="128"/>
    </row>
    <row r="1381">
      <c r="A1381" s="128"/>
      <c r="B1381" s="118"/>
      <c r="C1381" s="118"/>
      <c r="D1381" s="128"/>
    </row>
    <row r="1382">
      <c r="A1382" s="128"/>
      <c r="B1382" s="118"/>
      <c r="C1382" s="118"/>
      <c r="D1382" s="128"/>
    </row>
    <row r="1383">
      <c r="A1383" s="128"/>
      <c r="B1383" s="118"/>
      <c r="C1383" s="118"/>
      <c r="D1383" s="128"/>
    </row>
    <row r="1384">
      <c r="A1384" s="128"/>
      <c r="B1384" s="118"/>
      <c r="C1384" s="118"/>
      <c r="D1384" s="128"/>
    </row>
    <row r="1385">
      <c r="A1385" s="128"/>
      <c r="B1385" s="118"/>
      <c r="C1385" s="118"/>
      <c r="D1385" s="128"/>
    </row>
    <row r="1386">
      <c r="A1386" s="118"/>
      <c r="B1386" s="118"/>
      <c r="C1386" s="118"/>
      <c r="D1386" s="118"/>
    </row>
    <row r="1387">
      <c r="A1387" s="124" t="s">
        <v>4541</v>
      </c>
      <c r="B1387" s="118"/>
      <c r="C1387" s="118"/>
      <c r="D1387" s="118"/>
    </row>
    <row r="1388">
      <c r="A1388" s="125" t="s">
        <v>3018</v>
      </c>
      <c r="B1388" s="118"/>
      <c r="C1388" s="118"/>
      <c r="D1388" s="126" t="s">
        <v>3019</v>
      </c>
    </row>
    <row r="1389">
      <c r="A1389" s="144" t="s">
        <v>5071</v>
      </c>
      <c r="B1389" s="118"/>
      <c r="C1389" s="118" t="s">
        <v>5071</v>
      </c>
      <c r="D1389" s="119" t="s">
        <v>5072</v>
      </c>
      <c r="F1389" s="9" t="s">
        <v>4578</v>
      </c>
    </row>
    <row r="1390">
      <c r="A1390" s="145"/>
      <c r="B1390" s="118"/>
      <c r="C1390" s="118"/>
    </row>
    <row r="1391">
      <c r="A1391" s="145"/>
      <c r="B1391" s="118"/>
      <c r="C1391" s="118"/>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7" t="s">
        <v>0</v>
      </c>
      <c r="B1" s="146" t="s">
        <v>1</v>
      </c>
      <c r="C1" s="146" t="s">
        <v>3</v>
      </c>
      <c r="D1" s="147" t="s">
        <v>5073</v>
      </c>
      <c r="E1" s="148" t="s">
        <v>4</v>
      </c>
      <c r="F1" s="149" t="s">
        <v>12</v>
      </c>
      <c r="G1" s="150" t="s">
        <v>15</v>
      </c>
      <c r="H1" s="150" t="s">
        <v>9</v>
      </c>
      <c r="I1" s="151" t="s">
        <v>11</v>
      </c>
      <c r="J1" s="152" t="s">
        <v>7</v>
      </c>
      <c r="K1" s="151" t="s">
        <v>8</v>
      </c>
      <c r="L1" s="151" t="s">
        <v>13</v>
      </c>
      <c r="M1" s="151" t="s">
        <v>10</v>
      </c>
      <c r="N1" s="146" t="s">
        <v>14</v>
      </c>
    </row>
    <row r="2">
      <c r="A2" s="153" t="s">
        <v>5074</v>
      </c>
      <c r="B2" s="154">
        <v>1000.0</v>
      </c>
      <c r="C2" s="155" t="str">
        <f>IFERROR(__xludf.DUMMYFUNCTION("GOOGLETRANSLATE(A2,""ar"", ""en"")"),"Table Top 120*80")</f>
        <v>Table Top 120*80</v>
      </c>
      <c r="D2" s="156"/>
      <c r="E2" s="157" t="s">
        <v>5075</v>
      </c>
      <c r="F2" s="158">
        <v>4.0</v>
      </c>
      <c r="G2" s="159">
        <v>22.43</v>
      </c>
      <c r="H2" s="160">
        <v>89.71</v>
      </c>
      <c r="I2" s="154" t="s">
        <v>123</v>
      </c>
      <c r="J2" s="161" t="s">
        <v>98</v>
      </c>
      <c r="K2" s="154" t="s">
        <v>5076</v>
      </c>
      <c r="L2" s="162"/>
      <c r="M2" s="162"/>
      <c r="N2" s="162"/>
    </row>
    <row r="3">
      <c r="A3" s="153" t="s">
        <v>5077</v>
      </c>
      <c r="B3" s="154">
        <f t="shared" ref="B3:B392" si="1">B2+1</f>
        <v>1001</v>
      </c>
      <c r="C3" s="155" t="str">
        <f>IFERROR(__xludf.DUMMYFUNCTION("GOOGLETRANSLATE(A3,""ar"", ""en"")"),"ALUMINUM BASE")</f>
        <v>ALUMINUM BASE</v>
      </c>
      <c r="D3" s="156"/>
      <c r="E3" s="157" t="s">
        <v>5078</v>
      </c>
      <c r="F3" s="158">
        <v>1.0</v>
      </c>
      <c r="G3" s="159">
        <v>14.59</v>
      </c>
      <c r="H3" s="160">
        <v>14.59</v>
      </c>
      <c r="I3" s="154" t="s">
        <v>123</v>
      </c>
      <c r="J3" s="162"/>
      <c r="K3" s="162"/>
      <c r="L3" s="162"/>
      <c r="M3" s="162"/>
      <c r="N3" s="162"/>
    </row>
    <row r="4">
      <c r="A4" s="163" t="s">
        <v>5079</v>
      </c>
      <c r="B4" s="154">
        <f t="shared" si="1"/>
        <v>1002</v>
      </c>
      <c r="C4" s="155" t="str">
        <f>IFERROR(__xludf.DUMMYFUNCTION("GOOGLETRANSLATE(A4,""ar"", ""en"")"),"ACACIA DRESSING TABLE")</f>
        <v>ACACIA DRESSING TABLE</v>
      </c>
      <c r="D4" s="164"/>
      <c r="E4" s="165" t="s">
        <v>3800</v>
      </c>
      <c r="F4" s="166">
        <v>2.0</v>
      </c>
      <c r="G4" s="167">
        <v>96.17</v>
      </c>
      <c r="H4" s="168">
        <v>192.34</v>
      </c>
      <c r="I4" s="154" t="s">
        <v>123</v>
      </c>
      <c r="J4" s="162"/>
      <c r="K4" s="162"/>
      <c r="L4" s="162"/>
      <c r="M4" s="162"/>
      <c r="N4" s="162"/>
    </row>
    <row r="5">
      <c r="A5" s="153" t="s">
        <v>5080</v>
      </c>
      <c r="B5" s="154">
        <f t="shared" si="1"/>
        <v>1003</v>
      </c>
      <c r="C5" s="155" t="str">
        <f>IFERROR(__xludf.DUMMYFUNCTION("GOOGLETRANSLATE(A5,""ar"", ""en"")"),"ACACIA MIRROR")</f>
        <v>ACACIA MIRROR</v>
      </c>
      <c r="D5" s="156"/>
      <c r="E5" s="157" t="s">
        <v>3803</v>
      </c>
      <c r="F5" s="158">
        <v>4.0</v>
      </c>
      <c r="G5" s="159">
        <v>34.97</v>
      </c>
      <c r="H5" s="160">
        <v>139.88</v>
      </c>
      <c r="I5" s="154" t="s">
        <v>123</v>
      </c>
      <c r="J5" s="162"/>
      <c r="K5" s="162"/>
      <c r="L5" s="162"/>
      <c r="M5" s="162"/>
      <c r="N5" s="162"/>
    </row>
    <row r="6">
      <c r="A6" s="163" t="s">
        <v>5081</v>
      </c>
      <c r="B6" s="154">
        <f t="shared" si="1"/>
        <v>1004</v>
      </c>
      <c r="C6" s="155" t="str">
        <f>IFERROR(__xludf.DUMMYFUNCTION("GOOGLETRANSLATE(A6,""ar"", ""en"")"),"Aluminum chair in a set")</f>
        <v>Aluminum chair in a set</v>
      </c>
      <c r="D6" s="169"/>
      <c r="E6" s="170" t="s">
        <v>5082</v>
      </c>
      <c r="F6" s="171">
        <v>1.0</v>
      </c>
      <c r="G6" s="172"/>
      <c r="H6" s="173"/>
      <c r="I6" s="154" t="s">
        <v>123</v>
      </c>
      <c r="J6" s="162"/>
      <c r="K6" s="162"/>
      <c r="L6" s="162"/>
      <c r="M6" s="162"/>
      <c r="N6" s="162"/>
    </row>
    <row r="7">
      <c r="A7" s="153" t="s">
        <v>5083</v>
      </c>
      <c r="B7" s="154">
        <f t="shared" si="1"/>
        <v>1005</v>
      </c>
      <c r="C7" s="155" t="str">
        <f>IFERROR(__xludf.DUMMYFUNCTION("GOOGLETRANSLATE(A7,""ar"", ""en"")"),"Aluminum table in the house")</f>
        <v>Aluminum table in the house</v>
      </c>
      <c r="D7" s="156"/>
      <c r="E7" s="157" t="s">
        <v>5084</v>
      </c>
      <c r="F7" s="158">
        <v>1.0</v>
      </c>
      <c r="G7" s="174"/>
      <c r="H7" s="175"/>
      <c r="I7" s="154" t="s">
        <v>123</v>
      </c>
      <c r="J7" s="162"/>
      <c r="K7" s="162"/>
      <c r="L7" s="162"/>
      <c r="M7" s="162"/>
      <c r="N7" s="162"/>
    </row>
    <row r="8">
      <c r="A8" s="163" t="s">
        <v>5083</v>
      </c>
      <c r="B8" s="154">
        <f t="shared" si="1"/>
        <v>1006</v>
      </c>
      <c r="C8" s="155" t="str">
        <f>IFERROR(__xludf.DUMMYFUNCTION("GOOGLETRANSLATE(A8,""ar"", ""en"")"),"Aluminum table in the house")</f>
        <v>Aluminum table in the house</v>
      </c>
      <c r="D8" s="169"/>
      <c r="E8" s="170" t="s">
        <v>5085</v>
      </c>
      <c r="F8" s="171">
        <v>1.0</v>
      </c>
      <c r="G8" s="172"/>
      <c r="H8" s="173"/>
      <c r="I8" s="154" t="s">
        <v>123</v>
      </c>
      <c r="J8" s="162"/>
      <c r="K8" s="162"/>
      <c r="L8" s="162"/>
      <c r="M8" s="162"/>
      <c r="N8" s="162"/>
    </row>
    <row r="9">
      <c r="A9" s="163" t="s">
        <v>5086</v>
      </c>
      <c r="B9" s="154">
        <f t="shared" si="1"/>
        <v>1007</v>
      </c>
      <c r="C9" s="155" t="str">
        <f>IFERROR(__xludf.DUMMYFUNCTION("GOOGLETRANSLATE(A9,""ar"", ""en"")"),"2 SEATER BANQUET")</f>
        <v>2 SEATER BANQUET</v>
      </c>
      <c r="D9" s="169"/>
      <c r="E9" s="170" t="s">
        <v>5087</v>
      </c>
      <c r="F9" s="171">
        <v>2.0</v>
      </c>
      <c r="G9" s="176">
        <v>79.78</v>
      </c>
      <c r="H9" s="177">
        <v>159.57</v>
      </c>
      <c r="I9" s="154" t="s">
        <v>123</v>
      </c>
      <c r="J9" s="162"/>
      <c r="K9" s="162"/>
      <c r="L9" s="162"/>
      <c r="M9" s="162"/>
      <c r="N9" s="162"/>
    </row>
    <row r="10">
      <c r="A10" s="153" t="s">
        <v>5088</v>
      </c>
      <c r="B10" s="154">
        <f t="shared" si="1"/>
        <v>1008</v>
      </c>
      <c r="C10" s="155" t="str">
        <f>IFERROR(__xludf.DUMMYFUNCTION("GOOGLETRANSLATE(A10,""ar"", ""en"")"),"bunk bed")</f>
        <v>bunk bed</v>
      </c>
      <c r="D10" s="156"/>
      <c r="E10" s="157" t="s">
        <v>5089</v>
      </c>
      <c r="F10" s="158">
        <v>2.0</v>
      </c>
      <c r="G10" s="159">
        <v>64.39</v>
      </c>
      <c r="H10" s="160">
        <v>128.78</v>
      </c>
      <c r="I10" s="154" t="s">
        <v>123</v>
      </c>
      <c r="J10" s="162"/>
      <c r="K10" s="162"/>
      <c r="L10" s="162"/>
      <c r="M10" s="162"/>
      <c r="N10" s="162"/>
    </row>
    <row r="11">
      <c r="A11" s="163" t="s">
        <v>5090</v>
      </c>
      <c r="B11" s="154">
        <f t="shared" si="1"/>
        <v>1009</v>
      </c>
      <c r="C11" s="155" t="str">
        <f>IFERROR(__xludf.DUMMYFUNCTION("GOOGLETRANSLATE(A11,""ar"", ""en"")"),"3-door dining table")</f>
        <v>3-door dining table</v>
      </c>
      <c r="D11" s="169"/>
      <c r="E11" s="170" t="s">
        <v>3187</v>
      </c>
      <c r="F11" s="171">
        <v>2.0</v>
      </c>
      <c r="G11" s="176">
        <v>210.78</v>
      </c>
      <c r="H11" s="177">
        <v>421.57</v>
      </c>
      <c r="I11" s="154" t="s">
        <v>123</v>
      </c>
      <c r="J11" s="162"/>
      <c r="K11" s="162"/>
      <c r="L11" s="162"/>
      <c r="M11" s="162"/>
      <c r="N11" s="162"/>
    </row>
    <row r="12">
      <c r="A12" s="153" t="s">
        <v>5091</v>
      </c>
      <c r="B12" s="154">
        <f t="shared" si="1"/>
        <v>1010</v>
      </c>
      <c r="C12" s="155" t="str">
        <f>IFERROR(__xludf.DUMMYFUNCTION("GOOGLETRANSLATE(A12,""ar"", ""en"")"),"4 drawers")</f>
        <v>4 drawers</v>
      </c>
      <c r="D12" s="156"/>
      <c r="E12" s="157" t="s">
        <v>5092</v>
      </c>
      <c r="F12" s="158">
        <v>1.0</v>
      </c>
      <c r="G12" s="159">
        <v>251.32</v>
      </c>
      <c r="H12" s="160">
        <v>251.32</v>
      </c>
      <c r="I12" s="154" t="s">
        <v>123</v>
      </c>
      <c r="J12" s="162"/>
      <c r="K12" s="162"/>
      <c r="L12" s="162"/>
      <c r="M12" s="162"/>
      <c r="N12" s="162"/>
    </row>
    <row r="13">
      <c r="A13" s="163" t="s">
        <v>1493</v>
      </c>
      <c r="B13" s="154">
        <f t="shared" si="1"/>
        <v>1011</v>
      </c>
      <c r="C13" s="155" t="str">
        <f>IFERROR(__xludf.DUMMYFUNCTION("GOOGLETRANSLATE(A13,""ar"", ""en"")"),"leather bar stool")</f>
        <v>leather bar stool</v>
      </c>
      <c r="D13" s="169"/>
      <c r="E13" s="170" t="s">
        <v>5093</v>
      </c>
      <c r="F13" s="171">
        <v>2.0</v>
      </c>
      <c r="G13" s="176">
        <v>33.55</v>
      </c>
      <c r="H13" s="177">
        <v>67.11</v>
      </c>
      <c r="I13" s="154" t="s">
        <v>123</v>
      </c>
      <c r="J13" s="162"/>
      <c r="K13" s="162"/>
      <c r="L13" s="162"/>
      <c r="M13" s="162"/>
      <c r="N13" s="162"/>
    </row>
    <row r="14">
      <c r="A14" s="163" t="s">
        <v>1190</v>
      </c>
      <c r="B14" s="154">
        <f t="shared" si="1"/>
        <v>1012</v>
      </c>
      <c r="C14" s="155" t="str">
        <f>IFERROR(__xludf.DUMMYFUNCTION("GOOGLETRANSLATE(A14,""ar"", ""en"")"),"aluminum chair")</f>
        <v>aluminum chair</v>
      </c>
      <c r="D14" s="169"/>
      <c r="E14" s="170" t="s">
        <v>5094</v>
      </c>
      <c r="F14" s="171">
        <v>1.0</v>
      </c>
      <c r="G14" s="176">
        <v>0.0</v>
      </c>
      <c r="H14" s="177">
        <v>0.0</v>
      </c>
      <c r="I14" s="154" t="s">
        <v>123</v>
      </c>
      <c r="J14" s="162"/>
      <c r="K14" s="162"/>
      <c r="L14" s="162"/>
      <c r="M14" s="162"/>
      <c r="N14" s="162"/>
    </row>
    <row r="15">
      <c r="A15" s="163" t="s">
        <v>1190</v>
      </c>
      <c r="B15" s="154">
        <f t="shared" si="1"/>
        <v>1013</v>
      </c>
      <c r="C15" s="155" t="str">
        <f>IFERROR(__xludf.DUMMYFUNCTION("GOOGLETRANSLATE(A15,""ar"", ""en"")"),"aluminum chair")</f>
        <v>aluminum chair</v>
      </c>
      <c r="D15" s="169"/>
      <c r="E15" s="170" t="s">
        <v>5095</v>
      </c>
      <c r="F15" s="171">
        <v>1.0</v>
      </c>
      <c r="G15" s="176">
        <v>0.0</v>
      </c>
      <c r="H15" s="177">
        <v>0.0</v>
      </c>
      <c r="I15" s="154" t="s">
        <v>123</v>
      </c>
      <c r="J15" s="162"/>
      <c r="K15" s="162"/>
      <c r="L15" s="162"/>
      <c r="M15" s="162"/>
      <c r="N15" s="162"/>
    </row>
    <row r="16">
      <c r="A16" s="153" t="s">
        <v>3651</v>
      </c>
      <c r="B16" s="154">
        <f t="shared" si="1"/>
        <v>1014</v>
      </c>
      <c r="C16" s="155" t="str">
        <f>IFERROR(__xludf.DUMMYFUNCTION("GOOGLETRANSLATE(A16,""ar"", ""en"")"),"Aluminum chair with resin")</f>
        <v>Aluminum chair with resin</v>
      </c>
      <c r="D16" s="156"/>
      <c r="E16" s="157" t="s">
        <v>5096</v>
      </c>
      <c r="F16" s="158">
        <v>1.0</v>
      </c>
      <c r="G16" s="159">
        <v>0.0</v>
      </c>
      <c r="H16" s="160">
        <v>0.0</v>
      </c>
      <c r="I16" s="154" t="s">
        <v>123</v>
      </c>
      <c r="J16" s="162"/>
      <c r="K16" s="162"/>
      <c r="L16" s="162"/>
      <c r="M16" s="162"/>
      <c r="N16" s="162"/>
    </row>
    <row r="17">
      <c r="A17" s="163" t="s">
        <v>37</v>
      </c>
      <c r="B17" s="154">
        <f t="shared" si="1"/>
        <v>1015</v>
      </c>
      <c r="C17" s="155" t="str">
        <f>IFERROR(__xludf.DUMMYFUNCTION("GOOGLETRANSLATE(A17,""ar"", ""en"")"),"dining chair")</f>
        <v>dining chair</v>
      </c>
      <c r="D17" s="169"/>
      <c r="E17" s="170" t="s">
        <v>5011</v>
      </c>
      <c r="F17" s="171">
        <v>5.0</v>
      </c>
      <c r="G17" s="176">
        <v>13.78</v>
      </c>
      <c r="H17" s="177">
        <v>68.91</v>
      </c>
      <c r="I17" s="154" t="s">
        <v>123</v>
      </c>
      <c r="J17" s="162"/>
      <c r="K17" s="162"/>
      <c r="L17" s="162"/>
      <c r="M17" s="162"/>
      <c r="N17" s="162"/>
    </row>
    <row r="18">
      <c r="A18" s="178" t="s">
        <v>5097</v>
      </c>
      <c r="B18" s="154">
        <f t="shared" si="1"/>
        <v>1016</v>
      </c>
      <c r="C18" s="155" t="str">
        <f>IFERROR(__xludf.DUMMYFUNCTION("GOOGLETRANSLATE(A18,""ar"", ""en"")"),"Rose dining chair")</f>
        <v>Rose dining chair</v>
      </c>
      <c r="D18" s="169"/>
      <c r="E18" s="170" t="s">
        <v>5098</v>
      </c>
      <c r="F18" s="171">
        <v>3.0</v>
      </c>
      <c r="G18" s="176">
        <v>16.42</v>
      </c>
      <c r="H18" s="177">
        <v>49.25</v>
      </c>
      <c r="I18" s="154" t="s">
        <v>123</v>
      </c>
      <c r="J18" s="162"/>
      <c r="K18" s="162"/>
      <c r="L18" s="162"/>
      <c r="M18" s="162"/>
      <c r="N18" s="162"/>
    </row>
    <row r="19">
      <c r="A19" s="179" t="s">
        <v>3470</v>
      </c>
      <c r="B19" s="154">
        <f t="shared" si="1"/>
        <v>1017</v>
      </c>
      <c r="C19" s="155" t="str">
        <f>IFERROR(__xludf.DUMMYFUNCTION("GOOGLETRANSLATE(A19,""ar"", ""en"")"),"Iron bar chair with back")</f>
        <v>Iron bar chair with back</v>
      </c>
      <c r="D19" s="156"/>
      <c r="E19" s="157" t="s">
        <v>5099</v>
      </c>
      <c r="F19" s="158">
        <v>1.0</v>
      </c>
      <c r="G19" s="159">
        <v>16.7</v>
      </c>
      <c r="H19" s="160">
        <v>16.7</v>
      </c>
      <c r="I19" s="154" t="s">
        <v>123</v>
      </c>
      <c r="J19" s="162"/>
      <c r="K19" s="162"/>
      <c r="L19" s="162"/>
      <c r="M19" s="162"/>
      <c r="N19" s="162"/>
    </row>
    <row r="20">
      <c r="A20" s="179" t="s">
        <v>2186</v>
      </c>
      <c r="B20" s="154">
        <f t="shared" si="1"/>
        <v>1018</v>
      </c>
      <c r="C20" s="155" t="str">
        <f>IFERROR(__xludf.DUMMYFUNCTION("GOOGLETRANSLATE(A20,""ar"", ""en"")"),"Ghost dining chair")</f>
        <v>Ghost dining chair</v>
      </c>
      <c r="D20" s="156"/>
      <c r="E20" s="157" t="s">
        <v>5100</v>
      </c>
      <c r="F20" s="158">
        <v>4.0</v>
      </c>
      <c r="G20" s="159">
        <v>13.09</v>
      </c>
      <c r="H20" s="160">
        <v>52.36</v>
      </c>
      <c r="I20" s="154" t="s">
        <v>123</v>
      </c>
      <c r="J20" s="162"/>
      <c r="K20" s="162"/>
      <c r="L20" s="162"/>
      <c r="M20" s="162"/>
      <c r="N20" s="162"/>
    </row>
    <row r="21">
      <c r="A21" s="179" t="s">
        <v>5101</v>
      </c>
      <c r="B21" s="154">
        <f t="shared" si="1"/>
        <v>1019</v>
      </c>
      <c r="C21" s="155" t="str">
        <f>IFERROR(__xludf.DUMMYFUNCTION("GOOGLETRANSLATE(A21,""ar"", ""en"")"),"screw bar stool")</f>
        <v>screw bar stool</v>
      </c>
      <c r="D21" s="156"/>
      <c r="E21" s="157" t="s">
        <v>3439</v>
      </c>
      <c r="F21" s="158">
        <v>3.0</v>
      </c>
      <c r="G21" s="159">
        <v>12.12</v>
      </c>
      <c r="H21" s="160">
        <v>36.36</v>
      </c>
      <c r="I21" s="154" t="s">
        <v>123</v>
      </c>
      <c r="J21" s="162"/>
      <c r="K21" s="162"/>
      <c r="L21" s="162"/>
      <c r="M21" s="162"/>
      <c r="N21" s="162"/>
    </row>
    <row r="22">
      <c r="A22" s="179" t="s">
        <v>5102</v>
      </c>
      <c r="B22" s="154">
        <f t="shared" si="1"/>
        <v>1020</v>
      </c>
      <c r="C22" s="155" t="str">
        <f>IFERROR(__xludf.DUMMYFUNCTION("GOOGLETRANSLATE(A22,""ar"", ""en"")"),"finger chair")</f>
        <v>finger chair</v>
      </c>
      <c r="D22" s="156"/>
      <c r="E22" s="157" t="s">
        <v>5103</v>
      </c>
      <c r="F22" s="158">
        <v>3.0</v>
      </c>
      <c r="G22" s="159">
        <v>9.94</v>
      </c>
      <c r="H22" s="160">
        <v>29.82</v>
      </c>
      <c r="I22" s="154" t="s">
        <v>123</v>
      </c>
      <c r="J22" s="162"/>
      <c r="K22" s="162"/>
      <c r="L22" s="162"/>
      <c r="M22" s="162"/>
      <c r="N22" s="162"/>
    </row>
    <row r="23">
      <c r="A23" s="178" t="s">
        <v>5104</v>
      </c>
      <c r="B23" s="154">
        <f t="shared" si="1"/>
        <v>1021</v>
      </c>
      <c r="C23" s="155" t="str">
        <f>IFERROR(__xludf.DUMMYFUNCTION("GOOGLETRANSLATE(A23,""ar"", ""en"")"),"fingerboard dining chair")</f>
        <v>fingerboard dining chair</v>
      </c>
      <c r="D23" s="169"/>
      <c r="E23" s="170" t="s">
        <v>5105</v>
      </c>
      <c r="F23" s="171">
        <v>1.0</v>
      </c>
      <c r="G23" s="176">
        <v>11.64</v>
      </c>
      <c r="H23" s="177">
        <v>11.64</v>
      </c>
      <c r="I23" s="154" t="s">
        <v>123</v>
      </c>
      <c r="J23" s="162"/>
      <c r="K23" s="162"/>
      <c r="L23" s="162"/>
      <c r="M23" s="162"/>
      <c r="N23" s="162"/>
    </row>
    <row r="24">
      <c r="A24" s="179" t="s">
        <v>5106</v>
      </c>
      <c r="B24" s="154">
        <f t="shared" si="1"/>
        <v>1022</v>
      </c>
      <c r="C24" s="155" t="str">
        <f>IFERROR(__xludf.DUMMYFUNCTION("GOOGLETRANSLATE(A24,""ar"", ""en"")"),"STL HOTEL CHAIR")</f>
        <v>STL HOTEL CHAIR</v>
      </c>
      <c r="D24" s="156"/>
      <c r="E24" s="157" t="s">
        <v>5107</v>
      </c>
      <c r="F24" s="158">
        <v>4.0</v>
      </c>
      <c r="G24" s="159">
        <v>15.97</v>
      </c>
      <c r="H24" s="160">
        <v>63.88</v>
      </c>
      <c r="I24" s="154" t="s">
        <v>123</v>
      </c>
      <c r="J24" s="162"/>
      <c r="K24" s="162"/>
      <c r="L24" s="162"/>
      <c r="M24" s="162"/>
      <c r="N24" s="162"/>
    </row>
    <row r="25">
      <c r="A25" s="178" t="s">
        <v>5108</v>
      </c>
      <c r="B25" s="154">
        <f t="shared" si="1"/>
        <v>1023</v>
      </c>
      <c r="C25" s="155" t="str">
        <f>IFERROR(__xludf.DUMMYFUNCTION("GOOGLETRANSLATE(A25,""ar"", ""en"")"),"iron bar chair")</f>
        <v>iron bar chair</v>
      </c>
      <c r="D25" s="169"/>
      <c r="E25" s="170" t="s">
        <v>5109</v>
      </c>
      <c r="F25" s="171">
        <v>-1.0</v>
      </c>
      <c r="G25" s="176">
        <v>9.73</v>
      </c>
      <c r="H25" s="177">
        <v>-9.73</v>
      </c>
      <c r="I25" s="154" t="s">
        <v>123</v>
      </c>
      <c r="J25" s="162"/>
      <c r="K25" s="162"/>
      <c r="L25" s="162"/>
      <c r="M25" s="162"/>
      <c r="N25" s="162"/>
    </row>
    <row r="26">
      <c r="A26" s="178" t="s">
        <v>5110</v>
      </c>
      <c r="B26" s="154">
        <f t="shared" si="1"/>
        <v>1024</v>
      </c>
      <c r="C26" s="155" t="str">
        <f>IFERROR(__xludf.DUMMYFUNCTION("GOOGLETRANSLATE(A26,""ar"", ""en"")"),"SILVER iron chair with handle")</f>
        <v>SILVER iron chair with handle</v>
      </c>
      <c r="D26" s="169"/>
      <c r="E26" s="170" t="s">
        <v>5111</v>
      </c>
      <c r="F26" s="171">
        <v>1.0</v>
      </c>
      <c r="G26" s="176">
        <v>13.27</v>
      </c>
      <c r="H26" s="177">
        <v>13.27</v>
      </c>
      <c r="I26" s="154" t="s">
        <v>123</v>
      </c>
      <c r="J26" s="162"/>
      <c r="K26" s="162"/>
      <c r="L26" s="162"/>
      <c r="M26" s="162"/>
      <c r="N26" s="162"/>
    </row>
    <row r="27">
      <c r="A27" s="178" t="s">
        <v>37</v>
      </c>
      <c r="B27" s="154">
        <f t="shared" si="1"/>
        <v>1025</v>
      </c>
      <c r="C27" s="155" t="str">
        <f>IFERROR(__xludf.DUMMYFUNCTION("GOOGLETRANSLATE(A27,""ar"", ""en"")"),"dining chair")</f>
        <v>dining chair</v>
      </c>
      <c r="D27" s="169"/>
      <c r="E27" s="170" t="s">
        <v>5112</v>
      </c>
      <c r="F27" s="171">
        <v>2.0</v>
      </c>
      <c r="G27" s="176">
        <v>14.41</v>
      </c>
      <c r="H27" s="177">
        <v>28.83</v>
      </c>
      <c r="I27" s="154" t="s">
        <v>123</v>
      </c>
      <c r="J27" s="162"/>
      <c r="K27" s="162"/>
      <c r="L27" s="162"/>
      <c r="M27" s="162"/>
      <c r="N27" s="162"/>
    </row>
    <row r="28">
      <c r="A28" s="178" t="s">
        <v>5113</v>
      </c>
      <c r="B28" s="154">
        <f t="shared" si="1"/>
        <v>1026</v>
      </c>
      <c r="C28" s="155" t="str">
        <f>IFERROR(__xludf.DUMMYFUNCTION("GOOGLETRANSLATE(A28,""ar"", ""en"")"),"Hotel chair with handle")</f>
        <v>Hotel chair with handle</v>
      </c>
      <c r="D28" s="169"/>
      <c r="E28" s="170" t="s">
        <v>5114</v>
      </c>
      <c r="F28" s="171">
        <v>3.0</v>
      </c>
      <c r="G28" s="176">
        <v>46.62</v>
      </c>
      <c r="H28" s="177">
        <v>139.86</v>
      </c>
      <c r="I28" s="154" t="s">
        <v>123</v>
      </c>
      <c r="J28" s="162"/>
      <c r="K28" s="162"/>
      <c r="L28" s="162"/>
      <c r="M28" s="162"/>
      <c r="N28" s="162"/>
    </row>
    <row r="29">
      <c r="A29" s="179" t="s">
        <v>5115</v>
      </c>
      <c r="B29" s="154">
        <f t="shared" si="1"/>
        <v>1027</v>
      </c>
      <c r="C29" s="155" t="str">
        <f>IFERROR(__xludf.DUMMYFUNCTION("GOOGLETRANSLATE(A29,""ar"", ""en"")"),"LOTUS PLEXI CHAIR")</f>
        <v>LOTUS PLEXI CHAIR</v>
      </c>
      <c r="D29" s="156"/>
      <c r="E29" s="157" t="s">
        <v>5116</v>
      </c>
      <c r="F29" s="158">
        <v>1.0</v>
      </c>
      <c r="G29" s="159">
        <v>21.57</v>
      </c>
      <c r="H29" s="160">
        <v>21.57</v>
      </c>
      <c r="I29" s="154" t="s">
        <v>123</v>
      </c>
      <c r="J29" s="162"/>
      <c r="K29" s="162"/>
      <c r="L29" s="162"/>
      <c r="M29" s="162"/>
      <c r="N29" s="162"/>
    </row>
    <row r="30">
      <c r="A30" s="179" t="s">
        <v>5108</v>
      </c>
      <c r="B30" s="154">
        <f t="shared" si="1"/>
        <v>1028</v>
      </c>
      <c r="C30" s="155" t="str">
        <f>IFERROR(__xludf.DUMMYFUNCTION("GOOGLETRANSLATE(A30,""ar"", ""en"")"),"iron bar chair")</f>
        <v>iron bar chair</v>
      </c>
      <c r="D30" s="156"/>
      <c r="E30" s="157" t="s">
        <v>5117</v>
      </c>
      <c r="F30" s="158">
        <v>3.0</v>
      </c>
      <c r="G30" s="159">
        <v>18.27</v>
      </c>
      <c r="H30" s="160">
        <v>54.8</v>
      </c>
      <c r="I30" s="154" t="s">
        <v>123</v>
      </c>
      <c r="J30" s="162"/>
      <c r="K30" s="162"/>
      <c r="L30" s="162"/>
      <c r="M30" s="162"/>
      <c r="N30" s="162"/>
    </row>
    <row r="31">
      <c r="A31" s="178" t="s">
        <v>37</v>
      </c>
      <c r="B31" s="154">
        <f t="shared" si="1"/>
        <v>1029</v>
      </c>
      <c r="C31" s="155" t="str">
        <f>IFERROR(__xludf.DUMMYFUNCTION("GOOGLETRANSLATE(A31,""ar"", ""en"")"),"dining chair")</f>
        <v>dining chair</v>
      </c>
      <c r="D31" s="169"/>
      <c r="E31" s="170" t="s">
        <v>2988</v>
      </c>
      <c r="F31" s="171">
        <v>2.0</v>
      </c>
      <c r="G31" s="176">
        <v>18.36</v>
      </c>
      <c r="H31" s="177">
        <v>36.72</v>
      </c>
      <c r="I31" s="154" t="s">
        <v>123</v>
      </c>
      <c r="J31" s="162"/>
      <c r="K31" s="162"/>
      <c r="L31" s="162"/>
      <c r="M31" s="162"/>
      <c r="N31" s="162"/>
    </row>
    <row r="32">
      <c r="A32" s="178" t="s">
        <v>2317</v>
      </c>
      <c r="B32" s="154">
        <f t="shared" si="1"/>
        <v>1030</v>
      </c>
      <c r="C32" s="155" t="str">
        <f>IFERROR(__xludf.DUMMYFUNCTION("GOOGLETRANSLATE(A32,""ar"", ""en"")"),"SPARE PARTS")</f>
        <v>SPARE PARTS</v>
      </c>
      <c r="D32" s="169"/>
      <c r="E32" s="170" t="s">
        <v>5118</v>
      </c>
      <c r="F32" s="171">
        <v>3.0</v>
      </c>
      <c r="G32" s="176">
        <v>0.18</v>
      </c>
      <c r="H32" s="177">
        <v>0.53</v>
      </c>
      <c r="I32" s="154" t="s">
        <v>123</v>
      </c>
      <c r="J32" s="162"/>
      <c r="K32" s="162"/>
      <c r="L32" s="162"/>
      <c r="M32" s="162"/>
      <c r="N32" s="162"/>
    </row>
    <row r="33">
      <c r="A33" s="179" t="s">
        <v>103</v>
      </c>
      <c r="B33" s="154">
        <f t="shared" si="1"/>
        <v>1031</v>
      </c>
      <c r="C33" s="155" t="str">
        <f>IFERROR(__xludf.DUMMYFUNCTION("GOOGLETRANSLATE(A33,""ar"", ""en"")"),"wooden chair with handle")</f>
        <v>wooden chair with handle</v>
      </c>
      <c r="D33" s="156"/>
      <c r="E33" s="157" t="s">
        <v>5119</v>
      </c>
      <c r="F33" s="158">
        <v>2.0</v>
      </c>
      <c r="G33" s="159">
        <v>34.17</v>
      </c>
      <c r="H33" s="160">
        <v>68.34</v>
      </c>
      <c r="I33" s="154" t="s">
        <v>123</v>
      </c>
      <c r="J33" s="162"/>
      <c r="K33" s="162"/>
      <c r="L33" s="162"/>
      <c r="M33" s="162"/>
      <c r="N33" s="162"/>
    </row>
    <row r="34">
      <c r="A34" s="178" t="s">
        <v>1542</v>
      </c>
      <c r="B34" s="154">
        <f t="shared" si="1"/>
        <v>1032</v>
      </c>
      <c r="C34" s="155" t="str">
        <f>IFERROR(__xludf.DUMMYFUNCTION("GOOGLETRANSLATE(A34,""ar"", ""en"")"),"wooden chair without handle")</f>
        <v>wooden chair without handle</v>
      </c>
      <c r="D34" s="180"/>
      <c r="E34" s="181" t="s">
        <v>5120</v>
      </c>
      <c r="F34" s="171">
        <v>4.0</v>
      </c>
      <c r="G34" s="176">
        <v>27.84</v>
      </c>
      <c r="H34" s="177">
        <v>111.36</v>
      </c>
      <c r="I34" s="154" t="s">
        <v>123</v>
      </c>
      <c r="J34" s="162"/>
      <c r="K34" s="162"/>
      <c r="L34" s="162"/>
      <c r="M34" s="162"/>
      <c r="N34" s="162"/>
    </row>
    <row r="35">
      <c r="A35" s="179" t="s">
        <v>5121</v>
      </c>
      <c r="B35" s="154">
        <f t="shared" si="1"/>
        <v>1033</v>
      </c>
      <c r="C35" s="155" t="str">
        <f>IFERROR(__xludf.DUMMYFUNCTION("GOOGLETRANSLATE(A35,""ar"", ""en"")"),"CROSS METAL CHAIR")</f>
        <v>CROSS METAL CHAIR</v>
      </c>
      <c r="D35" s="156"/>
      <c r="E35" s="157" t="s">
        <v>3536</v>
      </c>
      <c r="F35" s="158">
        <v>2.0</v>
      </c>
      <c r="G35" s="159">
        <v>25.83</v>
      </c>
      <c r="H35" s="160">
        <v>51.66</v>
      </c>
      <c r="I35" s="154" t="s">
        <v>123</v>
      </c>
      <c r="J35" s="162"/>
      <c r="K35" s="162"/>
      <c r="L35" s="162"/>
      <c r="M35" s="162"/>
      <c r="N35" s="162"/>
    </row>
    <row r="36">
      <c r="A36" s="178" t="s">
        <v>5122</v>
      </c>
      <c r="B36" s="154">
        <f t="shared" si="1"/>
        <v>1034</v>
      </c>
      <c r="C36" s="155" t="str">
        <f>IFERROR(__xludf.DUMMYFUNCTION("GOOGLETRANSLATE(A36,""ar"", ""en"")"),"RATTAN WOODEN CHAIR")</f>
        <v>RATTAN WOODEN CHAIR</v>
      </c>
      <c r="D36" s="169"/>
      <c r="E36" s="170" t="s">
        <v>5123</v>
      </c>
      <c r="F36" s="171">
        <v>3.0</v>
      </c>
      <c r="G36" s="176">
        <v>14.99</v>
      </c>
      <c r="H36" s="177">
        <v>44.97</v>
      </c>
      <c r="I36" s="154" t="s">
        <v>123</v>
      </c>
      <c r="J36" s="162"/>
      <c r="K36" s="162"/>
      <c r="L36" s="162"/>
      <c r="M36" s="162"/>
      <c r="N36" s="162"/>
    </row>
    <row r="37">
      <c r="A37" s="179" t="s">
        <v>1542</v>
      </c>
      <c r="B37" s="154">
        <f t="shared" si="1"/>
        <v>1035</v>
      </c>
      <c r="C37" s="155" t="str">
        <f>IFERROR(__xludf.DUMMYFUNCTION("GOOGLETRANSLATE(A37,""ar"", ""en"")"),"wooden chair without handle")</f>
        <v>wooden chair without handle</v>
      </c>
      <c r="D37" s="156"/>
      <c r="E37" s="157" t="s">
        <v>5124</v>
      </c>
      <c r="F37" s="158">
        <v>-5.0</v>
      </c>
      <c r="G37" s="159">
        <v>19.99</v>
      </c>
      <c r="H37" s="160">
        <v>-99.93</v>
      </c>
      <c r="I37" s="154" t="s">
        <v>123</v>
      </c>
      <c r="J37" s="162"/>
      <c r="K37" s="162"/>
      <c r="L37" s="162"/>
      <c r="M37" s="162"/>
      <c r="N37" s="162"/>
    </row>
    <row r="38">
      <c r="A38" s="179" t="s">
        <v>37</v>
      </c>
      <c r="B38" s="154">
        <f t="shared" si="1"/>
        <v>1036</v>
      </c>
      <c r="C38" s="155" t="str">
        <f>IFERROR(__xludf.DUMMYFUNCTION("GOOGLETRANSLATE(A38,""ar"", ""en"")"),"dining chair")</f>
        <v>dining chair</v>
      </c>
      <c r="D38" s="156"/>
      <c r="E38" s="157" t="s">
        <v>5125</v>
      </c>
      <c r="F38" s="158">
        <v>5.0</v>
      </c>
      <c r="G38" s="159">
        <v>6.25</v>
      </c>
      <c r="H38" s="160">
        <v>31.25</v>
      </c>
      <c r="I38" s="154" t="s">
        <v>123</v>
      </c>
      <c r="J38" s="162"/>
      <c r="K38" s="162"/>
      <c r="L38" s="162"/>
      <c r="M38" s="162"/>
      <c r="N38" s="162"/>
    </row>
    <row r="39">
      <c r="A39" s="179" t="s">
        <v>614</v>
      </c>
      <c r="B39" s="154">
        <f t="shared" si="1"/>
        <v>1037</v>
      </c>
      <c r="C39" s="155" t="str">
        <f>IFERROR(__xludf.DUMMYFUNCTION("GOOGLETRANSLATE(A39,""ar"", ""en"")"),"clothes pole")</f>
        <v>clothes pole</v>
      </c>
      <c r="D39" s="156"/>
      <c r="E39" s="157" t="s">
        <v>5126</v>
      </c>
      <c r="F39" s="158">
        <v>1.0</v>
      </c>
      <c r="G39" s="159">
        <v>4.25</v>
      </c>
      <c r="H39" s="160">
        <v>4.25</v>
      </c>
      <c r="I39" s="154" t="s">
        <v>123</v>
      </c>
      <c r="J39" s="162"/>
      <c r="K39" s="162"/>
      <c r="L39" s="162"/>
      <c r="M39" s="162"/>
      <c r="N39" s="162"/>
    </row>
    <row r="40">
      <c r="A40" s="178" t="s">
        <v>614</v>
      </c>
      <c r="B40" s="154">
        <f t="shared" si="1"/>
        <v>1038</v>
      </c>
      <c r="C40" s="155" t="str">
        <f>IFERROR(__xludf.DUMMYFUNCTION("GOOGLETRANSLATE(A40,""ar"", ""en"")"),"clothes pole")</f>
        <v>clothes pole</v>
      </c>
      <c r="D40" s="169"/>
      <c r="E40" s="170" t="s">
        <v>5127</v>
      </c>
      <c r="F40" s="171">
        <v>2.0</v>
      </c>
      <c r="G40" s="176">
        <v>10.7</v>
      </c>
      <c r="H40" s="177">
        <v>21.4</v>
      </c>
      <c r="I40" s="154" t="s">
        <v>123</v>
      </c>
      <c r="J40" s="162"/>
      <c r="K40" s="162"/>
      <c r="L40" s="162"/>
      <c r="M40" s="162"/>
      <c r="N40" s="162"/>
    </row>
    <row r="41">
      <c r="A41" s="179" t="s">
        <v>584</v>
      </c>
      <c r="B41" s="154">
        <f t="shared" si="1"/>
        <v>1039</v>
      </c>
      <c r="C41" s="155" t="str">
        <f>IFERROR(__xludf.DUMMYFUNCTION("GOOGLETRANSLATE(A41,""ar"", ""en"")"),"wooden clothes pole")</f>
        <v>wooden clothes pole</v>
      </c>
      <c r="D41" s="156"/>
      <c r="E41" s="157" t="s">
        <v>5128</v>
      </c>
      <c r="F41" s="158">
        <v>2.0</v>
      </c>
      <c r="G41" s="159">
        <v>15.64</v>
      </c>
      <c r="H41" s="160">
        <v>31.29</v>
      </c>
      <c r="I41" s="154" t="s">
        <v>123</v>
      </c>
      <c r="J41" s="162"/>
      <c r="K41" s="162"/>
      <c r="L41" s="162"/>
      <c r="M41" s="162"/>
      <c r="N41" s="162"/>
    </row>
    <row r="42">
      <c r="A42" s="178" t="s">
        <v>5129</v>
      </c>
      <c r="B42" s="154">
        <f t="shared" si="1"/>
        <v>1040</v>
      </c>
      <c r="C42" s="155" t="str">
        <f>IFERROR(__xludf.DUMMYFUNCTION("GOOGLETRANSLATE(A42,""ar"", ""en"")"),"chrome clothes pole")</f>
        <v>chrome clothes pole</v>
      </c>
      <c r="D42" s="169"/>
      <c r="E42" s="170" t="s">
        <v>5130</v>
      </c>
      <c r="F42" s="171">
        <v>1.0</v>
      </c>
      <c r="G42" s="176">
        <v>13.15</v>
      </c>
      <c r="H42" s="177">
        <v>13.15</v>
      </c>
      <c r="I42" s="154" t="s">
        <v>123</v>
      </c>
      <c r="J42" s="162"/>
      <c r="K42" s="162"/>
      <c r="L42" s="162"/>
      <c r="M42" s="162"/>
      <c r="N42" s="162"/>
    </row>
    <row r="43">
      <c r="A43" s="179" t="s">
        <v>5131</v>
      </c>
      <c r="B43" s="154">
        <f t="shared" si="1"/>
        <v>1041</v>
      </c>
      <c r="C43" s="155" t="str">
        <f>IFERROR(__xludf.DUMMYFUNCTION("GOOGLETRANSLATE(A43,""ar"", ""en"")"),"Leather dining chair with handle")</f>
        <v>Leather dining chair with handle</v>
      </c>
      <c r="D43" s="156"/>
      <c r="E43" s="157" t="s">
        <v>5132</v>
      </c>
      <c r="F43" s="158">
        <v>-1.0</v>
      </c>
      <c r="G43" s="159">
        <v>21.92</v>
      </c>
      <c r="H43" s="160">
        <v>-21.92</v>
      </c>
      <c r="I43" s="154" t="s">
        <v>123</v>
      </c>
      <c r="J43" s="162"/>
      <c r="K43" s="162"/>
      <c r="L43" s="162"/>
      <c r="M43" s="162"/>
      <c r="N43" s="162"/>
    </row>
    <row r="44">
      <c r="A44" s="178" t="s">
        <v>5133</v>
      </c>
      <c r="B44" s="154">
        <f t="shared" si="1"/>
        <v>1042</v>
      </c>
      <c r="C44" s="155" t="str">
        <f>IFERROR(__xludf.DUMMYFUNCTION("GOOGLETRANSLATE(A44,""ar"", ""en"")"),"straw rocking chair")</f>
        <v>straw rocking chair</v>
      </c>
      <c r="D44" s="169"/>
      <c r="E44" s="170" t="s">
        <v>5134</v>
      </c>
      <c r="F44" s="171">
        <v>2.0</v>
      </c>
      <c r="G44" s="176">
        <v>28.27</v>
      </c>
      <c r="H44" s="177">
        <v>56.54</v>
      </c>
      <c r="I44" s="154" t="s">
        <v>123</v>
      </c>
      <c r="J44" s="162"/>
      <c r="K44" s="162"/>
      <c r="L44" s="162"/>
      <c r="M44" s="162"/>
      <c r="N44" s="162"/>
    </row>
    <row r="45">
      <c r="A45" s="179" t="s">
        <v>5135</v>
      </c>
      <c r="B45" s="154">
        <f t="shared" si="1"/>
        <v>1043</v>
      </c>
      <c r="C45" s="155" t="str">
        <f>IFERROR(__xludf.DUMMYFUNCTION("GOOGLETRANSLATE(A45,""ar"", ""en"")"),"office")</f>
        <v>office</v>
      </c>
      <c r="D45" s="156"/>
      <c r="E45" s="157" t="s">
        <v>5136</v>
      </c>
      <c r="F45" s="158">
        <v>1.0</v>
      </c>
      <c r="G45" s="174"/>
      <c r="H45" s="175"/>
      <c r="I45" s="154" t="s">
        <v>123</v>
      </c>
      <c r="J45" s="162"/>
      <c r="K45" s="162"/>
      <c r="L45" s="162"/>
      <c r="M45" s="162"/>
      <c r="N45" s="162"/>
    </row>
    <row r="46">
      <c r="A46" s="179" t="s">
        <v>2218</v>
      </c>
      <c r="B46" s="154">
        <f t="shared" si="1"/>
        <v>1044</v>
      </c>
      <c r="C46" s="155" t="str">
        <f>IFERROR(__xludf.DUMMYFUNCTION("GOOGLETRANSLATE(A46,""ar"", ""en"")"),"computer table")</f>
        <v>computer table</v>
      </c>
      <c r="D46" s="156"/>
      <c r="E46" s="157" t="s">
        <v>5137</v>
      </c>
      <c r="F46" s="158">
        <v>4.0</v>
      </c>
      <c r="G46" s="159">
        <v>16.15</v>
      </c>
      <c r="H46" s="160">
        <v>64.61</v>
      </c>
      <c r="I46" s="154" t="s">
        <v>123</v>
      </c>
      <c r="J46" s="162"/>
      <c r="K46" s="162"/>
      <c r="L46" s="162"/>
      <c r="M46" s="162"/>
      <c r="N46" s="162"/>
    </row>
    <row r="47">
      <c r="A47" s="178" t="s">
        <v>2443</v>
      </c>
      <c r="B47" s="154">
        <f t="shared" si="1"/>
        <v>1045</v>
      </c>
      <c r="C47" s="155" t="str">
        <f>IFERROR(__xludf.DUMMYFUNCTION("GOOGLETRANSLATE(A47,""ar"", ""en"")"),"Text table")</f>
        <v>Text table</v>
      </c>
      <c r="D47" s="169"/>
      <c r="E47" s="170" t="s">
        <v>5138</v>
      </c>
      <c r="F47" s="171">
        <v>1.0</v>
      </c>
      <c r="G47" s="176">
        <v>46.0</v>
      </c>
      <c r="H47" s="177">
        <v>46.0</v>
      </c>
      <c r="I47" s="154" t="s">
        <v>123</v>
      </c>
      <c r="J47" s="162"/>
      <c r="K47" s="162"/>
      <c r="L47" s="162"/>
      <c r="M47" s="162"/>
      <c r="N47" s="162"/>
    </row>
    <row r="48">
      <c r="A48" s="179" t="s">
        <v>116</v>
      </c>
      <c r="B48" s="154">
        <f t="shared" si="1"/>
        <v>1046</v>
      </c>
      <c r="C48" s="155" t="str">
        <f>IFERROR(__xludf.DUMMYFUNCTION("GOOGLETRANSLATE(A48,""ar"", ""en"")"),"Half wood table")</f>
        <v>Half wood table</v>
      </c>
      <c r="D48" s="156"/>
      <c r="E48" s="157" t="s">
        <v>5139</v>
      </c>
      <c r="F48" s="158">
        <v>1.0</v>
      </c>
      <c r="G48" s="159">
        <v>32.98</v>
      </c>
      <c r="H48" s="160">
        <v>32.98</v>
      </c>
      <c r="I48" s="154" t="s">
        <v>123</v>
      </c>
      <c r="J48" s="162"/>
      <c r="K48" s="162"/>
      <c r="L48" s="162"/>
      <c r="M48" s="162"/>
      <c r="N48" s="162"/>
    </row>
    <row r="49">
      <c r="A49" s="178" t="s">
        <v>2218</v>
      </c>
      <c r="B49" s="154">
        <f t="shared" si="1"/>
        <v>1047</v>
      </c>
      <c r="C49" s="155" t="str">
        <f>IFERROR(__xludf.DUMMYFUNCTION("GOOGLETRANSLATE(A49,""ar"", ""en"")"),"computer table")</f>
        <v>computer table</v>
      </c>
      <c r="D49" s="169"/>
      <c r="E49" s="170" t="s">
        <v>5140</v>
      </c>
      <c r="F49" s="171">
        <v>1.0</v>
      </c>
      <c r="G49" s="176">
        <v>82.0</v>
      </c>
      <c r="H49" s="177">
        <v>82.0</v>
      </c>
      <c r="I49" s="154" t="s">
        <v>123</v>
      </c>
      <c r="J49" s="162"/>
      <c r="K49" s="162"/>
      <c r="L49" s="162"/>
      <c r="M49" s="162"/>
      <c r="N49" s="162"/>
    </row>
    <row r="50">
      <c r="A50" s="178" t="s">
        <v>2218</v>
      </c>
      <c r="B50" s="154">
        <f t="shared" si="1"/>
        <v>1048</v>
      </c>
      <c r="C50" s="155" t="str">
        <f>IFERROR(__xludf.DUMMYFUNCTION("GOOGLETRANSLATE(A50,""ar"", ""en"")"),"computer table")</f>
        <v>computer table</v>
      </c>
      <c r="D50" s="169"/>
      <c r="E50" s="170" t="s">
        <v>3569</v>
      </c>
      <c r="F50" s="171">
        <v>4.0</v>
      </c>
      <c r="G50" s="176">
        <v>37.22</v>
      </c>
      <c r="H50" s="177">
        <v>148.87</v>
      </c>
      <c r="I50" s="154" t="s">
        <v>123</v>
      </c>
      <c r="J50" s="162"/>
      <c r="K50" s="162"/>
      <c r="L50" s="162"/>
      <c r="M50" s="162"/>
      <c r="N50" s="162"/>
    </row>
    <row r="51">
      <c r="A51" s="178" t="s">
        <v>5141</v>
      </c>
      <c r="B51" s="154">
        <f t="shared" si="1"/>
        <v>1049</v>
      </c>
      <c r="C51" s="155" t="str">
        <f>IFERROR(__xludf.DUMMYFUNCTION("GOOGLETRANSLATE(A51,""ar"", ""en"")"),"drawing table")</f>
        <v>drawing table</v>
      </c>
      <c r="D51" s="169"/>
      <c r="E51" s="170" t="s">
        <v>5142</v>
      </c>
      <c r="F51" s="171">
        <v>1.0</v>
      </c>
      <c r="G51" s="176">
        <v>64.43</v>
      </c>
      <c r="H51" s="177">
        <v>64.43</v>
      </c>
      <c r="I51" s="154" t="s">
        <v>123</v>
      </c>
      <c r="J51" s="162"/>
      <c r="K51" s="162"/>
      <c r="L51" s="162"/>
      <c r="M51" s="162"/>
      <c r="N51" s="162"/>
    </row>
    <row r="52">
      <c r="A52" s="179" t="s">
        <v>5141</v>
      </c>
      <c r="B52" s="154">
        <f t="shared" si="1"/>
        <v>1050</v>
      </c>
      <c r="C52" s="155" t="str">
        <f>IFERROR(__xludf.DUMMYFUNCTION("GOOGLETRANSLATE(A52,""ar"", ""en"")"),"drawing table")</f>
        <v>drawing table</v>
      </c>
      <c r="D52" s="156"/>
      <c r="E52" s="157" t="s">
        <v>5143</v>
      </c>
      <c r="F52" s="158">
        <v>1.0</v>
      </c>
      <c r="G52" s="159">
        <v>64.43</v>
      </c>
      <c r="H52" s="160">
        <v>64.43</v>
      </c>
      <c r="I52" s="154" t="s">
        <v>123</v>
      </c>
      <c r="J52" s="162"/>
      <c r="K52" s="162"/>
      <c r="L52" s="162"/>
      <c r="M52" s="162"/>
      <c r="N52" s="162"/>
    </row>
    <row r="53">
      <c r="A53" s="178" t="s">
        <v>5144</v>
      </c>
      <c r="B53" s="154">
        <f t="shared" si="1"/>
        <v>1051</v>
      </c>
      <c r="C53" s="155" t="str">
        <f>IFERROR(__xludf.DUMMYFUNCTION("GOOGLETRANSLATE(A53,""ar"", ""en"")"),"stainless steel chair")</f>
        <v>stainless steel chair</v>
      </c>
      <c r="D53" s="169"/>
      <c r="E53" s="170" t="s">
        <v>5145</v>
      </c>
      <c r="F53" s="171">
        <v>4.0</v>
      </c>
      <c r="G53" s="176">
        <v>7.5</v>
      </c>
      <c r="H53" s="177">
        <v>30.0</v>
      </c>
      <c r="I53" s="154" t="s">
        <v>123</v>
      </c>
      <c r="J53" s="162"/>
      <c r="K53" s="162"/>
      <c r="L53" s="162"/>
      <c r="M53" s="162"/>
      <c r="N53" s="162"/>
    </row>
    <row r="54">
      <c r="A54" s="179" t="s">
        <v>5146</v>
      </c>
      <c r="B54" s="154">
        <f t="shared" si="1"/>
        <v>1052</v>
      </c>
      <c r="C54" s="155" t="str">
        <f>IFERROR(__xludf.DUMMYFUNCTION("GOOGLETRANSLATE(A54,""ar"", ""en"")"),"SOFA BED 1.5M")</f>
        <v>SOFA BED 1.5M</v>
      </c>
      <c r="D54" s="156"/>
      <c r="E54" s="157" t="s">
        <v>5147</v>
      </c>
      <c r="F54" s="158">
        <v>3.0</v>
      </c>
      <c r="G54" s="159">
        <v>118.64</v>
      </c>
      <c r="H54" s="160">
        <v>355.93</v>
      </c>
      <c r="I54" s="154" t="s">
        <v>123</v>
      </c>
      <c r="J54" s="162"/>
      <c r="K54" s="162"/>
      <c r="L54" s="162"/>
      <c r="M54" s="162"/>
      <c r="N54" s="162"/>
    </row>
    <row r="55">
      <c r="A55" s="179" t="s">
        <v>5148</v>
      </c>
      <c r="B55" s="154">
        <f t="shared" si="1"/>
        <v>1053</v>
      </c>
      <c r="C55" s="155" t="str">
        <f>IFERROR(__xludf.DUMMYFUNCTION("GOOGLETRANSLATE(A55,""ar"", ""en"")"),"Glass table set + 4 leather chairs")</f>
        <v>Glass table set + 4 leather chairs</v>
      </c>
      <c r="D55" s="156"/>
      <c r="E55" s="157" t="s">
        <v>5149</v>
      </c>
      <c r="F55" s="158">
        <v>2.0</v>
      </c>
      <c r="G55" s="159">
        <v>93.14</v>
      </c>
      <c r="H55" s="160">
        <v>186.28</v>
      </c>
      <c r="I55" s="154" t="s">
        <v>123</v>
      </c>
      <c r="J55" s="162"/>
      <c r="K55" s="162"/>
      <c r="L55" s="162"/>
      <c r="M55" s="162"/>
      <c r="N55" s="162"/>
    </row>
    <row r="56">
      <c r="A56" s="179" t="s">
        <v>5150</v>
      </c>
      <c r="B56" s="154">
        <f t="shared" si="1"/>
        <v>1054</v>
      </c>
      <c r="C56" s="155" t="str">
        <f>IFERROR(__xludf.DUMMYFUNCTION("GOOGLETRANSLATE(A56,""ar"", ""en"")"),"DIGITAL TENT SET")</f>
        <v>DIGITAL TENT SET</v>
      </c>
      <c r="D56" s="156"/>
      <c r="E56" s="157" t="s">
        <v>5151</v>
      </c>
      <c r="F56" s="158">
        <v>1.0</v>
      </c>
      <c r="G56" s="159">
        <v>29.6</v>
      </c>
      <c r="H56" s="160">
        <v>29.6</v>
      </c>
      <c r="I56" s="154" t="s">
        <v>123</v>
      </c>
      <c r="J56" s="162"/>
      <c r="K56" s="162"/>
      <c r="L56" s="162"/>
      <c r="M56" s="162"/>
      <c r="N56" s="162"/>
    </row>
    <row r="57">
      <c r="A57" s="179" t="s">
        <v>5152</v>
      </c>
      <c r="B57" s="154">
        <f t="shared" si="1"/>
        <v>1055</v>
      </c>
      <c r="C57" s="155" t="str">
        <f>IFERROR(__xludf.DUMMYFUNCTION("GOOGLETRANSLATE(A57,""ar"", ""en"")"),"4-piece table set")</f>
        <v>4-piece table set</v>
      </c>
      <c r="D57" s="156"/>
      <c r="E57" s="157" t="s">
        <v>5153</v>
      </c>
      <c r="F57" s="158">
        <v>1.0</v>
      </c>
      <c r="G57" s="174"/>
      <c r="H57" s="175"/>
      <c r="I57" s="154" t="s">
        <v>123</v>
      </c>
      <c r="J57" s="162"/>
      <c r="K57" s="162"/>
      <c r="L57" s="162"/>
      <c r="M57" s="162"/>
      <c r="N57" s="162"/>
    </row>
    <row r="58">
      <c r="A58" s="179" t="s">
        <v>2318</v>
      </c>
      <c r="B58" s="154">
        <f t="shared" si="1"/>
        <v>1056</v>
      </c>
      <c r="C58" s="155" t="str">
        <f>IFERROR(__xludf.DUMMYFUNCTION("GOOGLETRANSLATE(A58,""ar"", ""en"")"),"Dining table 90*150 cm")</f>
        <v>Dining table 90*150 cm</v>
      </c>
      <c r="D58" s="156"/>
      <c r="E58" s="157" t="s">
        <v>5154</v>
      </c>
      <c r="F58" s="158">
        <v>1.0</v>
      </c>
      <c r="G58" s="159">
        <v>49.01</v>
      </c>
      <c r="H58" s="160">
        <v>49.01</v>
      </c>
      <c r="I58" s="154" t="s">
        <v>123</v>
      </c>
      <c r="J58" s="162"/>
      <c r="K58" s="162"/>
      <c r="L58" s="162"/>
      <c r="M58" s="162"/>
      <c r="N58" s="162"/>
    </row>
    <row r="59">
      <c r="A59" s="178" t="s">
        <v>2318</v>
      </c>
      <c r="B59" s="154">
        <f t="shared" si="1"/>
        <v>1057</v>
      </c>
      <c r="C59" s="155" t="str">
        <f>IFERROR(__xludf.DUMMYFUNCTION("GOOGLETRANSLATE(A59,""ar"", ""en"")"),"Dining table 90*150 cm")</f>
        <v>Dining table 90*150 cm</v>
      </c>
      <c r="D59" s="169"/>
      <c r="E59" s="170" t="s">
        <v>5155</v>
      </c>
      <c r="F59" s="171">
        <v>3.0</v>
      </c>
      <c r="G59" s="176">
        <v>56.46</v>
      </c>
      <c r="H59" s="177">
        <v>169.38</v>
      </c>
      <c r="I59" s="154" t="s">
        <v>123</v>
      </c>
      <c r="J59" s="162"/>
      <c r="K59" s="162"/>
      <c r="L59" s="162"/>
      <c r="M59" s="162"/>
      <c r="N59" s="162"/>
    </row>
    <row r="60">
      <c r="A60" s="179" t="s">
        <v>5156</v>
      </c>
      <c r="B60" s="154">
        <f t="shared" si="1"/>
        <v>1058</v>
      </c>
      <c r="C60" s="155" t="str">
        <f>IFERROR(__xludf.DUMMYFUNCTION("GOOGLETRANSLATE(A60,""ar"", ""en"")"),"Dining table 95*160 cm")</f>
        <v>Dining table 95*160 cm</v>
      </c>
      <c r="D60" s="156"/>
      <c r="E60" s="157" t="s">
        <v>5157</v>
      </c>
      <c r="F60" s="158">
        <v>2.0</v>
      </c>
      <c r="G60" s="159">
        <v>52.93</v>
      </c>
      <c r="H60" s="160">
        <v>105.86</v>
      </c>
      <c r="I60" s="154" t="s">
        <v>123</v>
      </c>
      <c r="J60" s="162"/>
      <c r="K60" s="162"/>
      <c r="L60" s="162"/>
      <c r="M60" s="162"/>
      <c r="N60" s="162"/>
    </row>
    <row r="61">
      <c r="A61" s="178" t="s">
        <v>37</v>
      </c>
      <c r="B61" s="154">
        <f t="shared" si="1"/>
        <v>1059</v>
      </c>
      <c r="C61" s="155" t="str">
        <f>IFERROR(__xludf.DUMMYFUNCTION("GOOGLETRANSLATE(A61,""ar"", ""en"")"),"dining chair")</f>
        <v>dining chair</v>
      </c>
      <c r="D61" s="169"/>
      <c r="E61" s="170" t="s">
        <v>5158</v>
      </c>
      <c r="F61" s="171">
        <v>2.0</v>
      </c>
      <c r="G61" s="176">
        <v>16.17</v>
      </c>
      <c r="H61" s="177">
        <v>32.35</v>
      </c>
      <c r="I61" s="154" t="s">
        <v>123</v>
      </c>
      <c r="J61" s="162"/>
      <c r="K61" s="162"/>
      <c r="L61" s="162"/>
      <c r="M61" s="162"/>
      <c r="N61" s="162"/>
    </row>
    <row r="62">
      <c r="A62" s="178" t="s">
        <v>37</v>
      </c>
      <c r="B62" s="154">
        <f t="shared" si="1"/>
        <v>1060</v>
      </c>
      <c r="C62" s="155" t="str">
        <f>IFERROR(__xludf.DUMMYFUNCTION("GOOGLETRANSLATE(A62,""ar"", ""en"")"),"dining chair")</f>
        <v>dining chair</v>
      </c>
      <c r="D62" s="169"/>
      <c r="E62" s="170" t="s">
        <v>5159</v>
      </c>
      <c r="F62" s="171">
        <v>-1.0</v>
      </c>
      <c r="G62" s="176">
        <v>19.11</v>
      </c>
      <c r="H62" s="177">
        <v>-19.11</v>
      </c>
      <c r="I62" s="154" t="s">
        <v>123</v>
      </c>
      <c r="J62" s="162"/>
      <c r="K62" s="162"/>
      <c r="L62" s="162"/>
      <c r="M62" s="162"/>
      <c r="N62" s="162"/>
    </row>
    <row r="63">
      <c r="A63" s="179" t="s">
        <v>37</v>
      </c>
      <c r="B63" s="154">
        <f t="shared" si="1"/>
        <v>1061</v>
      </c>
      <c r="C63" s="155" t="str">
        <f>IFERROR(__xludf.DUMMYFUNCTION("GOOGLETRANSLATE(A63,""ar"", ""en"")"),"dining chair")</f>
        <v>dining chair</v>
      </c>
      <c r="D63" s="156"/>
      <c r="E63" s="157" t="s">
        <v>5160</v>
      </c>
      <c r="F63" s="158">
        <v>2.0</v>
      </c>
      <c r="G63" s="159">
        <v>17.06</v>
      </c>
      <c r="H63" s="160">
        <v>34.11</v>
      </c>
      <c r="I63" s="154" t="s">
        <v>123</v>
      </c>
      <c r="J63" s="162"/>
      <c r="K63" s="162"/>
      <c r="L63" s="162"/>
      <c r="M63" s="162"/>
      <c r="N63" s="162"/>
    </row>
    <row r="64">
      <c r="A64" s="178" t="s">
        <v>37</v>
      </c>
      <c r="B64" s="154">
        <f t="shared" si="1"/>
        <v>1062</v>
      </c>
      <c r="C64" s="155" t="str">
        <f>IFERROR(__xludf.DUMMYFUNCTION("GOOGLETRANSLATE(A64,""ar"", ""en"")"),"dining chair")</f>
        <v>dining chair</v>
      </c>
      <c r="D64" s="169"/>
      <c r="E64" s="170" t="s">
        <v>5161</v>
      </c>
      <c r="F64" s="171">
        <v>2.0</v>
      </c>
      <c r="G64" s="176">
        <v>14.7</v>
      </c>
      <c r="H64" s="177">
        <v>29.41</v>
      </c>
      <c r="I64" s="154" t="s">
        <v>123</v>
      </c>
      <c r="J64" s="162"/>
      <c r="K64" s="162"/>
      <c r="L64" s="162"/>
      <c r="M64" s="162"/>
      <c r="N64" s="162"/>
    </row>
    <row r="65">
      <c r="A65" s="179" t="s">
        <v>37</v>
      </c>
      <c r="B65" s="154">
        <f t="shared" si="1"/>
        <v>1063</v>
      </c>
      <c r="C65" s="155" t="str">
        <f>IFERROR(__xludf.DUMMYFUNCTION("GOOGLETRANSLATE(A65,""ar"", ""en"")"),"dining chair")</f>
        <v>dining chair</v>
      </c>
      <c r="D65" s="156"/>
      <c r="E65" s="157" t="s">
        <v>5162</v>
      </c>
      <c r="F65" s="158">
        <v>3.0</v>
      </c>
      <c r="G65" s="159">
        <v>17.06</v>
      </c>
      <c r="H65" s="160">
        <v>51.17</v>
      </c>
      <c r="I65" s="154" t="s">
        <v>123</v>
      </c>
      <c r="J65" s="162"/>
      <c r="K65" s="162"/>
      <c r="L65" s="162"/>
      <c r="M65" s="162"/>
      <c r="N65" s="162"/>
    </row>
    <row r="66">
      <c r="A66" s="178" t="s">
        <v>1554</v>
      </c>
      <c r="B66" s="154">
        <f t="shared" si="1"/>
        <v>1064</v>
      </c>
      <c r="C66" s="155" t="str">
        <f>IFERROR(__xludf.DUMMYFUNCTION("GOOGLETRANSLATE(A66,""ar"", ""en"")"),"heavy dining chair")</f>
        <v>heavy dining chair</v>
      </c>
      <c r="D66" s="169"/>
      <c r="E66" s="170" t="s">
        <v>5163</v>
      </c>
      <c r="F66" s="171">
        <v>1.0</v>
      </c>
      <c r="G66" s="176">
        <v>25.29</v>
      </c>
      <c r="H66" s="177">
        <v>25.29</v>
      </c>
      <c r="I66" s="154" t="s">
        <v>123</v>
      </c>
      <c r="J66" s="162"/>
      <c r="K66" s="162"/>
      <c r="L66" s="162"/>
      <c r="M66" s="162"/>
      <c r="N66" s="162"/>
    </row>
    <row r="67">
      <c r="A67" s="179" t="s">
        <v>49</v>
      </c>
      <c r="B67" s="154">
        <f t="shared" si="1"/>
        <v>1065</v>
      </c>
      <c r="C67" s="155" t="str">
        <f>IFERROR(__xludf.DUMMYFUNCTION("GOOGLETRANSLATE(A67,""ar"", ""en"")"),"bar chair")</f>
        <v>bar chair</v>
      </c>
      <c r="D67" s="156"/>
      <c r="E67" s="157" t="s">
        <v>5164</v>
      </c>
      <c r="F67" s="158">
        <v>1.0</v>
      </c>
      <c r="G67" s="159">
        <v>25.04</v>
      </c>
      <c r="H67" s="160">
        <v>25.04</v>
      </c>
      <c r="I67" s="154" t="s">
        <v>123</v>
      </c>
      <c r="J67" s="162"/>
      <c r="K67" s="162"/>
      <c r="L67" s="162"/>
      <c r="M67" s="162"/>
      <c r="N67" s="162"/>
    </row>
    <row r="68">
      <c r="A68" s="178" t="s">
        <v>49</v>
      </c>
      <c r="B68" s="154">
        <f t="shared" si="1"/>
        <v>1066</v>
      </c>
      <c r="C68" s="155" t="str">
        <f>IFERROR(__xludf.DUMMYFUNCTION("GOOGLETRANSLATE(A68,""ar"", ""en"")"),"bar chair")</f>
        <v>bar chair</v>
      </c>
      <c r="D68" s="169"/>
      <c r="E68" s="170" t="s">
        <v>5165</v>
      </c>
      <c r="F68" s="171">
        <v>3.0</v>
      </c>
      <c r="G68" s="176">
        <v>24.19</v>
      </c>
      <c r="H68" s="177">
        <v>72.57</v>
      </c>
      <c r="I68" s="154" t="s">
        <v>123</v>
      </c>
      <c r="J68" s="162"/>
      <c r="K68" s="162"/>
      <c r="L68" s="162"/>
      <c r="M68" s="162"/>
      <c r="N68" s="162"/>
    </row>
    <row r="69">
      <c r="A69" s="179" t="s">
        <v>49</v>
      </c>
      <c r="B69" s="154">
        <f t="shared" si="1"/>
        <v>1067</v>
      </c>
      <c r="C69" s="155" t="str">
        <f>IFERROR(__xludf.DUMMYFUNCTION("GOOGLETRANSLATE(A69,""ar"", ""en"")"),"bar chair")</f>
        <v>bar chair</v>
      </c>
      <c r="D69" s="156"/>
      <c r="E69" s="157" t="s">
        <v>5166</v>
      </c>
      <c r="F69" s="158">
        <v>-3.0</v>
      </c>
      <c r="G69" s="159">
        <v>24.99</v>
      </c>
      <c r="H69" s="160">
        <v>-74.96</v>
      </c>
      <c r="I69" s="154" t="s">
        <v>123</v>
      </c>
      <c r="J69" s="162"/>
      <c r="K69" s="162"/>
      <c r="L69" s="162"/>
      <c r="M69" s="162"/>
      <c r="N69" s="162"/>
    </row>
    <row r="70">
      <c r="A70" s="178" t="s">
        <v>49</v>
      </c>
      <c r="B70" s="154">
        <f t="shared" si="1"/>
        <v>1068</v>
      </c>
      <c r="C70" s="155" t="str">
        <f>IFERROR(__xludf.DUMMYFUNCTION("GOOGLETRANSLATE(A70,""ar"", ""en"")"),"bar chair")</f>
        <v>bar chair</v>
      </c>
      <c r="D70" s="169"/>
      <c r="E70" s="170" t="s">
        <v>5167</v>
      </c>
      <c r="F70" s="171">
        <v>2.0</v>
      </c>
      <c r="G70" s="176">
        <v>24.53</v>
      </c>
      <c r="H70" s="177">
        <v>49.06</v>
      </c>
      <c r="I70" s="154" t="s">
        <v>123</v>
      </c>
      <c r="J70" s="162"/>
      <c r="K70" s="162"/>
      <c r="L70" s="162"/>
      <c r="M70" s="162"/>
      <c r="N70" s="162"/>
    </row>
    <row r="71">
      <c r="A71" s="178" t="s">
        <v>49</v>
      </c>
      <c r="B71" s="154">
        <f t="shared" si="1"/>
        <v>1069</v>
      </c>
      <c r="C71" s="155" t="str">
        <f>IFERROR(__xludf.DUMMYFUNCTION("GOOGLETRANSLATE(A71,""ar"", ""en"")"),"bar chair")</f>
        <v>bar chair</v>
      </c>
      <c r="D71" s="169"/>
      <c r="E71" s="170" t="s">
        <v>5168</v>
      </c>
      <c r="F71" s="171">
        <v>2.0</v>
      </c>
      <c r="G71" s="176">
        <v>30.89</v>
      </c>
      <c r="H71" s="177">
        <v>61.78</v>
      </c>
      <c r="I71" s="154" t="s">
        <v>123</v>
      </c>
      <c r="J71" s="162"/>
      <c r="K71" s="162"/>
      <c r="L71" s="162"/>
      <c r="M71" s="162"/>
      <c r="N71" s="162"/>
    </row>
    <row r="72">
      <c r="A72" s="179" t="s">
        <v>1583</v>
      </c>
      <c r="B72" s="154">
        <f t="shared" si="1"/>
        <v>1070</v>
      </c>
      <c r="C72" s="155" t="str">
        <f>IFERROR(__xludf.DUMMYFUNCTION("GOOGLETRANSLATE(A72,""ar"", ""en"")"),"bar table")</f>
        <v>bar table</v>
      </c>
      <c r="D72" s="156"/>
      <c r="E72" s="157" t="s">
        <v>5169</v>
      </c>
      <c r="F72" s="158">
        <v>2.0</v>
      </c>
      <c r="G72" s="159">
        <v>20.44</v>
      </c>
      <c r="H72" s="160">
        <v>40.88</v>
      </c>
      <c r="I72" s="154" t="s">
        <v>123</v>
      </c>
      <c r="J72" s="162"/>
      <c r="K72" s="162"/>
      <c r="L72" s="162"/>
      <c r="M72" s="162"/>
      <c r="N72" s="162"/>
    </row>
    <row r="73">
      <c r="A73" s="178" t="s">
        <v>49</v>
      </c>
      <c r="B73" s="154">
        <f t="shared" si="1"/>
        <v>1071</v>
      </c>
      <c r="C73" s="155" t="str">
        <f>IFERROR(__xludf.DUMMYFUNCTION("GOOGLETRANSLATE(A73,""ar"", ""en"")"),"bar chair")</f>
        <v>bar chair</v>
      </c>
      <c r="D73" s="169"/>
      <c r="E73" s="170" t="s">
        <v>5170</v>
      </c>
      <c r="F73" s="171">
        <v>2.0</v>
      </c>
      <c r="G73" s="176">
        <v>34.9</v>
      </c>
      <c r="H73" s="177">
        <v>69.8</v>
      </c>
      <c r="I73" s="154" t="s">
        <v>123</v>
      </c>
      <c r="J73" s="162"/>
      <c r="K73" s="162"/>
      <c r="L73" s="162"/>
      <c r="M73" s="162"/>
      <c r="N73" s="162"/>
    </row>
    <row r="74">
      <c r="A74" s="178" t="s">
        <v>49</v>
      </c>
      <c r="B74" s="154">
        <f t="shared" si="1"/>
        <v>1072</v>
      </c>
      <c r="C74" s="155" t="str">
        <f>IFERROR(__xludf.DUMMYFUNCTION("GOOGLETRANSLATE(A74,""ar"", ""en"")"),"bar chair")</f>
        <v>bar chair</v>
      </c>
      <c r="D74" s="169"/>
      <c r="E74" s="170" t="s">
        <v>5171</v>
      </c>
      <c r="F74" s="171">
        <v>1.0</v>
      </c>
      <c r="G74" s="176">
        <v>29.88</v>
      </c>
      <c r="H74" s="177">
        <v>29.88</v>
      </c>
      <c r="I74" s="154" t="s">
        <v>123</v>
      </c>
      <c r="J74" s="162"/>
      <c r="K74" s="162"/>
      <c r="L74" s="162"/>
      <c r="M74" s="162"/>
      <c r="N74" s="162"/>
    </row>
    <row r="75">
      <c r="A75" s="179" t="s">
        <v>49</v>
      </c>
      <c r="B75" s="154">
        <f t="shared" si="1"/>
        <v>1073</v>
      </c>
      <c r="C75" s="155" t="str">
        <f>IFERROR(__xludf.DUMMYFUNCTION("GOOGLETRANSLATE(A75,""ar"", ""en"")"),"bar chair")</f>
        <v>bar chair</v>
      </c>
      <c r="D75" s="156"/>
      <c r="E75" s="157" t="s">
        <v>5172</v>
      </c>
      <c r="F75" s="158">
        <v>1.0</v>
      </c>
      <c r="G75" s="159">
        <v>23.62</v>
      </c>
      <c r="H75" s="160">
        <v>23.62</v>
      </c>
      <c r="I75" s="154" t="s">
        <v>123</v>
      </c>
      <c r="J75" s="162"/>
      <c r="K75" s="162"/>
      <c r="L75" s="162"/>
      <c r="M75" s="162"/>
      <c r="N75" s="162"/>
    </row>
    <row r="76">
      <c r="A76" s="178" t="s">
        <v>49</v>
      </c>
      <c r="B76" s="154">
        <f t="shared" si="1"/>
        <v>1074</v>
      </c>
      <c r="C76" s="155" t="str">
        <f>IFERROR(__xludf.DUMMYFUNCTION("GOOGLETRANSLATE(A76,""ar"", ""en"")"),"bar chair")</f>
        <v>bar chair</v>
      </c>
      <c r="D76" s="169"/>
      <c r="E76" s="170" t="s">
        <v>5173</v>
      </c>
      <c r="F76" s="171">
        <v>-5.0</v>
      </c>
      <c r="G76" s="176">
        <v>26.9</v>
      </c>
      <c r="H76" s="177">
        <v>-134.48</v>
      </c>
      <c r="I76" s="154" t="s">
        <v>123</v>
      </c>
      <c r="J76" s="162"/>
      <c r="K76" s="162"/>
      <c r="L76" s="162"/>
      <c r="M76" s="162"/>
      <c r="N76" s="162"/>
    </row>
    <row r="77">
      <c r="A77" s="179" t="s">
        <v>1565</v>
      </c>
      <c r="B77" s="154">
        <f t="shared" si="1"/>
        <v>1075</v>
      </c>
      <c r="C77" s="155" t="str">
        <f>IFERROR(__xludf.DUMMYFUNCTION("GOOGLETRANSLATE(A77,""ar"", ""en"")"),"oval mirror")</f>
        <v>oval mirror</v>
      </c>
      <c r="D77" s="156"/>
      <c r="E77" s="157" t="s">
        <v>5174</v>
      </c>
      <c r="F77" s="158">
        <v>3.0</v>
      </c>
      <c r="G77" s="159">
        <v>14.58</v>
      </c>
      <c r="H77" s="160">
        <v>43.73</v>
      </c>
      <c r="I77" s="154" t="s">
        <v>123</v>
      </c>
      <c r="J77" s="162"/>
      <c r="K77" s="162"/>
      <c r="L77" s="162"/>
      <c r="M77" s="162"/>
      <c r="N77" s="162"/>
    </row>
    <row r="78">
      <c r="A78" s="178" t="s">
        <v>5175</v>
      </c>
      <c r="B78" s="154">
        <f t="shared" si="1"/>
        <v>1076</v>
      </c>
      <c r="C78" s="155" t="str">
        <f>IFERROR(__xludf.DUMMYFUNCTION("GOOGLETRANSLATE(A78,""ar"", ""en"")"),"Large rectangular mirror")</f>
        <v>Large rectangular mirror</v>
      </c>
      <c r="D78" s="169"/>
      <c r="E78" s="170" t="s">
        <v>5176</v>
      </c>
      <c r="F78" s="171">
        <v>4.0</v>
      </c>
      <c r="G78" s="176">
        <v>31.64</v>
      </c>
      <c r="H78" s="177">
        <v>126.54</v>
      </c>
      <c r="I78" s="154" t="s">
        <v>123</v>
      </c>
      <c r="J78" s="162"/>
      <c r="K78" s="162"/>
      <c r="L78" s="162"/>
      <c r="M78" s="162"/>
      <c r="N78" s="162"/>
    </row>
    <row r="79">
      <c r="A79" s="178" t="s">
        <v>5177</v>
      </c>
      <c r="B79" s="154">
        <f t="shared" si="1"/>
        <v>1077</v>
      </c>
      <c r="C79" s="155" t="str">
        <f>IFERROR(__xludf.DUMMYFUNCTION("GOOGLETRANSLATE(A79,""ar"", ""en"")"),"BANANA UMBRELLA 2.5*2.5")</f>
        <v>BANANA UMBRELLA 2.5*2.5</v>
      </c>
      <c r="D79" s="182"/>
      <c r="E79" s="183" t="s">
        <v>5178</v>
      </c>
      <c r="F79" s="171">
        <v>1.0</v>
      </c>
      <c r="G79" s="176">
        <v>58.0</v>
      </c>
      <c r="H79" s="177">
        <v>58.0</v>
      </c>
      <c r="I79" s="154" t="s">
        <v>123</v>
      </c>
      <c r="J79" s="162"/>
      <c r="K79" s="162"/>
      <c r="L79" s="162"/>
      <c r="M79" s="162"/>
      <c r="N79" s="162"/>
    </row>
    <row r="80">
      <c r="A80" s="179" t="s">
        <v>5179</v>
      </c>
      <c r="B80" s="154">
        <f t="shared" si="1"/>
        <v>1078</v>
      </c>
      <c r="C80" s="155" t="str">
        <f>IFERROR(__xludf.DUMMYFUNCTION("GOOGLETRANSLATE(A80,""ar"", ""en"")"),"ADJUSTABLE CHAIR")</f>
        <v>ADJUSTABLE CHAIR</v>
      </c>
      <c r="D80" s="156"/>
      <c r="E80" s="157" t="s">
        <v>5180</v>
      </c>
      <c r="F80" s="158">
        <v>1.0</v>
      </c>
      <c r="G80" s="159">
        <v>17.69</v>
      </c>
      <c r="H80" s="160">
        <v>17.69</v>
      </c>
      <c r="I80" s="154" t="s">
        <v>123</v>
      </c>
      <c r="J80" s="162"/>
      <c r="K80" s="162"/>
      <c r="L80" s="162"/>
      <c r="M80" s="162"/>
      <c r="N80" s="162"/>
    </row>
    <row r="81">
      <c r="A81" s="178" t="s">
        <v>103</v>
      </c>
      <c r="B81" s="154">
        <f t="shared" si="1"/>
        <v>1079</v>
      </c>
      <c r="C81" s="155" t="str">
        <f>IFERROR(__xludf.DUMMYFUNCTION("GOOGLETRANSLATE(A81,""ar"", ""en"")"),"wooden chair with handle")</f>
        <v>wooden chair with handle</v>
      </c>
      <c r="D81" s="169"/>
      <c r="E81" s="170" t="s">
        <v>5181</v>
      </c>
      <c r="F81" s="171">
        <v>4.0</v>
      </c>
      <c r="G81" s="176">
        <v>26.4</v>
      </c>
      <c r="H81" s="177">
        <v>105.62</v>
      </c>
      <c r="I81" s="154" t="s">
        <v>123</v>
      </c>
      <c r="J81" s="162"/>
      <c r="K81" s="162"/>
      <c r="L81" s="162"/>
      <c r="M81" s="162"/>
      <c r="N81" s="162"/>
    </row>
    <row r="82">
      <c r="A82" s="179" t="s">
        <v>1703</v>
      </c>
      <c r="B82" s="154">
        <f t="shared" si="1"/>
        <v>1080</v>
      </c>
      <c r="C82" s="155" t="str">
        <f>IFERROR(__xludf.DUMMYFUNCTION("GOOGLETRANSLATE(A82,""ar"", ""en"")"),"FOLDING CHAIR")</f>
        <v>FOLDING CHAIR</v>
      </c>
      <c r="D82" s="156"/>
      <c r="E82" s="157" t="s">
        <v>5182</v>
      </c>
      <c r="F82" s="158">
        <v>4.0</v>
      </c>
      <c r="G82" s="159">
        <v>5.0</v>
      </c>
      <c r="H82" s="160">
        <v>20.0</v>
      </c>
      <c r="I82" s="154" t="s">
        <v>123</v>
      </c>
      <c r="J82" s="162"/>
      <c r="K82" s="162"/>
      <c r="L82" s="162"/>
      <c r="M82" s="162"/>
      <c r="N82" s="162"/>
    </row>
    <row r="83">
      <c r="A83" s="178" t="s">
        <v>5183</v>
      </c>
      <c r="B83" s="154">
        <f t="shared" si="1"/>
        <v>1081</v>
      </c>
      <c r="C83" s="155" t="str">
        <f>IFERROR(__xludf.DUMMYFUNCTION("GOOGLETRANSLATE(A83,""ar"", ""en"")"),"Gecko set")</f>
        <v>Gecko set</v>
      </c>
      <c r="D83" s="169"/>
      <c r="E83" s="170" t="s">
        <v>5184</v>
      </c>
      <c r="F83" s="171">
        <v>2.0</v>
      </c>
      <c r="G83" s="176">
        <v>18.43</v>
      </c>
      <c r="H83" s="177">
        <v>36.87</v>
      </c>
      <c r="I83" s="154" t="s">
        <v>123</v>
      </c>
      <c r="J83" s="162"/>
      <c r="K83" s="162"/>
      <c r="L83" s="162"/>
      <c r="M83" s="162"/>
      <c r="N83" s="162"/>
    </row>
    <row r="84">
      <c r="A84" s="179" t="s">
        <v>5183</v>
      </c>
      <c r="B84" s="154">
        <f t="shared" si="1"/>
        <v>1082</v>
      </c>
      <c r="C84" s="155" t="str">
        <f>IFERROR(__xludf.DUMMYFUNCTION("GOOGLETRANSLATE(A84,""ar"", ""en"")"),"Gecko set")</f>
        <v>Gecko set</v>
      </c>
      <c r="D84" s="156"/>
      <c r="E84" s="157" t="s">
        <v>5185</v>
      </c>
      <c r="F84" s="158">
        <v>1.0</v>
      </c>
      <c r="G84" s="159">
        <v>14.85</v>
      </c>
      <c r="H84" s="160">
        <v>14.85</v>
      </c>
      <c r="I84" s="154" t="s">
        <v>123</v>
      </c>
      <c r="J84" s="162"/>
      <c r="K84" s="162"/>
      <c r="L84" s="162"/>
      <c r="M84" s="162"/>
      <c r="N84" s="162"/>
    </row>
    <row r="85">
      <c r="A85" s="178" t="s">
        <v>5186</v>
      </c>
      <c r="B85" s="154">
        <f t="shared" si="1"/>
        <v>1083</v>
      </c>
      <c r="C85" s="155" t="str">
        <f>IFERROR(__xludf.DUMMYFUNCTION("GOOGLETRANSLATE(A85,""ar"", ""en"")"),"Heavy Turkish Gikon Set")</f>
        <v>Heavy Turkish Gikon Set</v>
      </c>
      <c r="D85" s="169"/>
      <c r="E85" s="170" t="s">
        <v>5187</v>
      </c>
      <c r="F85" s="171">
        <v>5.0</v>
      </c>
      <c r="G85" s="176">
        <v>33.34</v>
      </c>
      <c r="H85" s="177">
        <v>166.69</v>
      </c>
      <c r="I85" s="154" t="s">
        <v>123</v>
      </c>
      <c r="J85" s="162"/>
      <c r="K85" s="162"/>
      <c r="L85" s="162"/>
      <c r="M85" s="162"/>
      <c r="N85" s="162"/>
    </row>
    <row r="86">
      <c r="A86" s="179" t="s">
        <v>5188</v>
      </c>
      <c r="B86" s="154">
        <f t="shared" si="1"/>
        <v>1084</v>
      </c>
      <c r="C86" s="155" t="str">
        <f>IFERROR(__xludf.DUMMYFUNCTION("GOOGLETRANSLATE(A86,""ar"", ""en"")"),"OFFICE DESK 160 cm")</f>
        <v>OFFICE DESK 160 cm</v>
      </c>
      <c r="D86" s="156"/>
      <c r="E86" s="157" t="s">
        <v>5189</v>
      </c>
      <c r="F86" s="158">
        <v>1.0</v>
      </c>
      <c r="G86" s="159">
        <v>28.39</v>
      </c>
      <c r="H86" s="160">
        <v>28.39</v>
      </c>
      <c r="I86" s="154" t="s">
        <v>123</v>
      </c>
      <c r="J86" s="162"/>
      <c r="K86" s="162"/>
      <c r="L86" s="162"/>
      <c r="M86" s="162"/>
      <c r="N86" s="162"/>
    </row>
    <row r="87">
      <c r="A87" s="178" t="s">
        <v>5190</v>
      </c>
      <c r="B87" s="154">
        <f t="shared" si="1"/>
        <v>1085</v>
      </c>
      <c r="C87" s="155" t="str">
        <f>IFERROR(__xludf.DUMMYFUNCTION("GOOGLETRANSLATE(A87,""ar"", ""en"")"),"OFFICE DESK")</f>
        <v>OFFICE DESK</v>
      </c>
      <c r="D87" s="169"/>
      <c r="E87" s="170" t="s">
        <v>5191</v>
      </c>
      <c r="F87" s="171">
        <v>1.0</v>
      </c>
      <c r="G87" s="176">
        <v>130.14</v>
      </c>
      <c r="H87" s="177">
        <v>130.14</v>
      </c>
      <c r="I87" s="154" t="s">
        <v>123</v>
      </c>
      <c r="J87" s="162"/>
      <c r="K87" s="162"/>
      <c r="L87" s="162"/>
      <c r="M87" s="162"/>
      <c r="N87" s="162"/>
    </row>
    <row r="88">
      <c r="A88" s="179" t="s">
        <v>2264</v>
      </c>
      <c r="B88" s="154">
        <f t="shared" si="1"/>
        <v>1086</v>
      </c>
      <c r="C88" s="155" t="str">
        <f>IFERROR(__xludf.DUMMYFUNCTION("GOOGLETRANSLATE(A88,""ar"", ""en"")"),"Straw perfume")</f>
        <v>Straw perfume</v>
      </c>
      <c r="D88" s="156"/>
      <c r="E88" s="157" t="s">
        <v>5192</v>
      </c>
      <c r="F88" s="158">
        <v>2.0</v>
      </c>
      <c r="G88" s="159">
        <v>15.23</v>
      </c>
      <c r="H88" s="160">
        <v>30.46</v>
      </c>
      <c r="I88" s="154" t="s">
        <v>123</v>
      </c>
      <c r="J88" s="162"/>
      <c r="K88" s="162"/>
      <c r="L88" s="162"/>
      <c r="M88" s="162"/>
      <c r="N88" s="162"/>
    </row>
    <row r="89">
      <c r="A89" s="178" t="s">
        <v>3434</v>
      </c>
      <c r="B89" s="154">
        <f t="shared" si="1"/>
        <v>1087</v>
      </c>
      <c r="C89" s="155" t="str">
        <f>IFERROR(__xludf.DUMMYFUNCTION("GOOGLETRANSLATE(A89,""ar"", ""en"")"),"bar stool wood seat")</f>
        <v>bar stool wood seat</v>
      </c>
      <c r="D89" s="169"/>
      <c r="E89" s="170" t="s">
        <v>5193</v>
      </c>
      <c r="F89" s="171">
        <v>5.0</v>
      </c>
      <c r="G89" s="176">
        <v>27.76</v>
      </c>
      <c r="H89" s="177">
        <v>138.82</v>
      </c>
      <c r="I89" s="154" t="s">
        <v>123</v>
      </c>
      <c r="J89" s="162"/>
      <c r="K89" s="162"/>
      <c r="L89" s="162"/>
      <c r="M89" s="162"/>
      <c r="N89" s="162"/>
    </row>
    <row r="90">
      <c r="A90" s="179" t="s">
        <v>170</v>
      </c>
      <c r="B90" s="154">
        <f t="shared" si="1"/>
        <v>1088</v>
      </c>
      <c r="C90" s="155" t="str">
        <f>IFERROR(__xludf.DUMMYFUNCTION("GOOGLETRANSLATE(A90,""ar"", ""en"")"),"Plastic chair with wood without handle")</f>
        <v>Plastic chair with wood without handle</v>
      </c>
      <c r="D90" s="156"/>
      <c r="E90" s="157" t="s">
        <v>5194</v>
      </c>
      <c r="F90" s="158">
        <v>1.0</v>
      </c>
      <c r="G90" s="159">
        <v>11.13</v>
      </c>
      <c r="H90" s="160">
        <v>11.13</v>
      </c>
      <c r="I90" s="154" t="s">
        <v>123</v>
      </c>
      <c r="J90" s="162"/>
      <c r="K90" s="162"/>
      <c r="L90" s="162"/>
      <c r="M90" s="162"/>
      <c r="N90" s="162"/>
    </row>
    <row r="91">
      <c r="A91" s="179" t="s">
        <v>1453</v>
      </c>
      <c r="B91" s="154">
        <f t="shared" si="1"/>
        <v>1089</v>
      </c>
      <c r="C91" s="155" t="str">
        <f>IFERROR(__xludf.DUMMYFUNCTION("GOOGLETRANSLATE(A91,""ar"", ""en"")"),"plastic chair without handles")</f>
        <v>plastic chair without handles</v>
      </c>
      <c r="D91" s="156"/>
      <c r="E91" s="157" t="s">
        <v>5195</v>
      </c>
      <c r="F91" s="158">
        <v>1.0</v>
      </c>
      <c r="G91" s="159">
        <v>16.19</v>
      </c>
      <c r="H91" s="160">
        <v>16.19</v>
      </c>
      <c r="I91" s="154" t="s">
        <v>123</v>
      </c>
      <c r="J91" s="162"/>
      <c r="K91" s="162"/>
      <c r="L91" s="162"/>
      <c r="M91" s="162"/>
      <c r="N91" s="162"/>
    </row>
    <row r="92">
      <c r="A92" s="179" t="s">
        <v>5196</v>
      </c>
      <c r="B92" s="154">
        <f t="shared" si="1"/>
        <v>1090</v>
      </c>
      <c r="C92" s="155" t="str">
        <f>IFERROR(__xludf.DUMMYFUNCTION("GOOGLETRANSLATE(A92,""ar"", ""en"")"),"seat")</f>
        <v>seat</v>
      </c>
      <c r="D92" s="184"/>
      <c r="E92" s="185" t="s">
        <v>5197</v>
      </c>
      <c r="F92" s="158">
        <v>2.0</v>
      </c>
      <c r="G92" s="159">
        <v>1.2</v>
      </c>
      <c r="H92" s="160">
        <v>2.41</v>
      </c>
      <c r="I92" s="154" t="s">
        <v>123</v>
      </c>
      <c r="J92" s="162"/>
      <c r="K92" s="162"/>
      <c r="L92" s="162"/>
      <c r="M92" s="162"/>
      <c r="N92" s="162"/>
    </row>
    <row r="93">
      <c r="A93" s="178" t="s">
        <v>1735</v>
      </c>
      <c r="B93" s="154">
        <f t="shared" si="1"/>
        <v>1091</v>
      </c>
      <c r="C93" s="155" t="str">
        <f>IFERROR(__xludf.DUMMYFUNCTION("GOOGLETRANSLATE(A93,""ar"", ""en"")"),"Two-seat resin set")</f>
        <v>Two-seat resin set</v>
      </c>
      <c r="D93" s="169"/>
      <c r="E93" s="170" t="s">
        <v>5198</v>
      </c>
      <c r="F93" s="171">
        <v>1.0</v>
      </c>
      <c r="G93" s="176">
        <v>69.28</v>
      </c>
      <c r="H93" s="177">
        <v>69.28</v>
      </c>
      <c r="I93" s="154" t="s">
        <v>123</v>
      </c>
      <c r="J93" s="162"/>
      <c r="K93" s="162"/>
      <c r="L93" s="162"/>
      <c r="M93" s="162"/>
      <c r="N93" s="162"/>
    </row>
    <row r="94">
      <c r="A94" s="178" t="s">
        <v>5199</v>
      </c>
      <c r="B94" s="154">
        <f t="shared" si="1"/>
        <v>1092</v>
      </c>
      <c r="C94" s="155" t="str">
        <f>IFERROR(__xludf.DUMMYFUNCTION("GOOGLETRANSLATE(A94,""ar"", ""en"")"),"chair")</f>
        <v>chair</v>
      </c>
      <c r="D94" s="169"/>
      <c r="E94" s="170" t="s">
        <v>5200</v>
      </c>
      <c r="F94" s="171">
        <v>1.0</v>
      </c>
      <c r="G94" s="176">
        <v>20.63</v>
      </c>
      <c r="H94" s="177">
        <v>20.63</v>
      </c>
      <c r="I94" s="154" t="s">
        <v>123</v>
      </c>
      <c r="J94" s="162"/>
      <c r="K94" s="162"/>
      <c r="L94" s="162"/>
      <c r="M94" s="162"/>
      <c r="N94" s="162"/>
    </row>
    <row r="95">
      <c r="A95" s="179" t="s">
        <v>5201</v>
      </c>
      <c r="B95" s="154">
        <f t="shared" si="1"/>
        <v>1093</v>
      </c>
      <c r="C95" s="155" t="str">
        <f>IFERROR(__xludf.DUMMYFUNCTION("GOOGLETRANSLATE(A95,""ar"", ""en"")"),"chair with hand")</f>
        <v>chair with hand</v>
      </c>
      <c r="D95" s="156"/>
      <c r="E95" s="157" t="s">
        <v>5202</v>
      </c>
      <c r="F95" s="158">
        <v>1.0</v>
      </c>
      <c r="G95" s="159">
        <v>23.01</v>
      </c>
      <c r="H95" s="160">
        <v>23.01</v>
      </c>
      <c r="I95" s="154" t="s">
        <v>123</v>
      </c>
      <c r="J95" s="162"/>
      <c r="K95" s="162"/>
      <c r="L95" s="162"/>
      <c r="M95" s="162"/>
      <c r="N95" s="162"/>
    </row>
    <row r="96">
      <c r="A96" s="178" t="s">
        <v>5203</v>
      </c>
      <c r="B96" s="154">
        <f t="shared" si="1"/>
        <v>1094</v>
      </c>
      <c r="C96" s="155" t="str">
        <f>IFERROR(__xludf.DUMMYFUNCTION("GOOGLETRANSLATE(A96,""ar"", ""en"")"),"Resin table")</f>
        <v>Resin table</v>
      </c>
      <c r="D96" s="169"/>
      <c r="E96" s="170" t="s">
        <v>5204</v>
      </c>
      <c r="F96" s="171">
        <v>3.0</v>
      </c>
      <c r="G96" s="176">
        <v>41.0</v>
      </c>
      <c r="H96" s="177">
        <v>123.01</v>
      </c>
      <c r="I96" s="154" t="s">
        <v>123</v>
      </c>
      <c r="J96" s="162"/>
      <c r="K96" s="162"/>
      <c r="L96" s="162"/>
      <c r="M96" s="162"/>
      <c r="N96" s="162"/>
    </row>
    <row r="97">
      <c r="A97" s="179" t="s">
        <v>2903</v>
      </c>
      <c r="B97" s="154">
        <f t="shared" si="1"/>
        <v>1095</v>
      </c>
      <c r="C97" s="155" t="str">
        <f>IFERROR(__xludf.DUMMYFUNCTION("GOOGLETRANSLATE(A97,""ar"", ""en"")"),"3-seat resin set")</f>
        <v>3-seat resin set</v>
      </c>
      <c r="D97" s="156"/>
      <c r="E97" s="157" t="s">
        <v>5205</v>
      </c>
      <c r="F97" s="158">
        <v>1.0</v>
      </c>
      <c r="G97" s="159">
        <v>171.45</v>
      </c>
      <c r="H97" s="160">
        <v>171.45</v>
      </c>
      <c r="I97" s="154" t="s">
        <v>123</v>
      </c>
      <c r="J97" s="162"/>
      <c r="K97" s="162"/>
      <c r="L97" s="162"/>
      <c r="M97" s="162"/>
      <c r="N97" s="162"/>
    </row>
    <row r="98">
      <c r="A98" s="178" t="s">
        <v>5206</v>
      </c>
      <c r="B98" s="154">
        <f t="shared" si="1"/>
        <v>1096</v>
      </c>
      <c r="C98" s="155" t="str">
        <f>IFERROR(__xludf.DUMMYFUNCTION("GOOGLETRANSLATE(A98,""ar"", ""en"")"),"BASE OF COFFEE TABLE")</f>
        <v>BASE OF COFFEE TABLE</v>
      </c>
      <c r="D98" s="169"/>
      <c r="E98" s="170" t="s">
        <v>5207</v>
      </c>
      <c r="F98" s="171">
        <v>1.0</v>
      </c>
      <c r="G98" s="176">
        <v>15.09</v>
      </c>
      <c r="H98" s="177">
        <v>15.09</v>
      </c>
      <c r="I98" s="154" t="s">
        <v>123</v>
      </c>
      <c r="J98" s="162"/>
      <c r="K98" s="162"/>
      <c r="L98" s="162"/>
      <c r="M98" s="162"/>
      <c r="N98" s="162"/>
    </row>
    <row r="99">
      <c r="A99" s="178" t="s">
        <v>5208</v>
      </c>
      <c r="B99" s="154">
        <f t="shared" si="1"/>
        <v>1097</v>
      </c>
      <c r="C99" s="155" t="str">
        <f>IFERROR(__xludf.DUMMYFUNCTION("GOOGLETRANSLATE(A99,""ar"", ""en"")"),"Resin table 90*90 cm")</f>
        <v>Resin table 90*90 cm</v>
      </c>
      <c r="D99" s="169"/>
      <c r="E99" s="170" t="s">
        <v>5209</v>
      </c>
      <c r="F99" s="171">
        <v>3.0</v>
      </c>
      <c r="G99" s="176">
        <v>41.51</v>
      </c>
      <c r="H99" s="177">
        <v>124.53</v>
      </c>
      <c r="I99" s="154" t="s">
        <v>123</v>
      </c>
      <c r="J99" s="162"/>
      <c r="K99" s="162"/>
      <c r="L99" s="162"/>
      <c r="M99" s="162"/>
      <c r="N99" s="162"/>
    </row>
    <row r="100">
      <c r="A100" s="178" t="s">
        <v>5210</v>
      </c>
      <c r="B100" s="154">
        <f t="shared" si="1"/>
        <v>1098</v>
      </c>
      <c r="C100" s="155" t="str">
        <f>IFERROR(__xludf.DUMMYFUNCTION("GOOGLETRANSLATE(A100,""ar"", ""en"")"),"solid chair with handle")</f>
        <v>solid chair with handle</v>
      </c>
      <c r="D100" s="169"/>
      <c r="E100" s="170" t="s">
        <v>5211</v>
      </c>
      <c r="F100" s="171">
        <v>4.0</v>
      </c>
      <c r="G100" s="176">
        <v>85.9</v>
      </c>
      <c r="H100" s="177">
        <v>343.58</v>
      </c>
      <c r="I100" s="154" t="s">
        <v>123</v>
      </c>
      <c r="J100" s="162"/>
      <c r="K100" s="162"/>
      <c r="L100" s="162"/>
      <c r="M100" s="162"/>
      <c r="N100" s="162"/>
    </row>
    <row r="101">
      <c r="A101" s="179" t="s">
        <v>5212</v>
      </c>
      <c r="B101" s="154">
        <f t="shared" si="1"/>
        <v>1099</v>
      </c>
      <c r="C101" s="155" t="str">
        <f>IFERROR(__xludf.DUMMYFUNCTION("GOOGLETRANSLATE(A101,""ar"", ""en"")"),"COFFEE TABLE 1+2 PER")</f>
        <v>COFFEE TABLE 1+2 PER</v>
      </c>
      <c r="D101" s="156"/>
      <c r="E101" s="157" t="s">
        <v>4050</v>
      </c>
      <c r="F101" s="158">
        <v>1.0</v>
      </c>
      <c r="G101" s="159">
        <v>181.13</v>
      </c>
      <c r="H101" s="160">
        <v>181.13</v>
      </c>
      <c r="I101" s="154" t="s">
        <v>123</v>
      </c>
      <c r="J101" s="162"/>
      <c r="K101" s="162"/>
      <c r="L101" s="162"/>
      <c r="M101" s="162"/>
      <c r="N101" s="162"/>
    </row>
    <row r="102">
      <c r="A102" s="178" t="s">
        <v>2290</v>
      </c>
      <c r="B102" s="154">
        <f t="shared" si="1"/>
        <v>1100</v>
      </c>
      <c r="C102" s="155" t="str">
        <f>IFERROR(__xludf.DUMMYFUNCTION("GOOGLETRANSLATE(A102,""ar"", ""en"")"),"RATTAN CHAIR")</f>
        <v>RATTAN CHAIR</v>
      </c>
      <c r="D102" s="169"/>
      <c r="E102" s="170" t="s">
        <v>5213</v>
      </c>
      <c r="F102" s="171">
        <v>1.0</v>
      </c>
      <c r="G102" s="176">
        <v>18.35</v>
      </c>
      <c r="H102" s="177">
        <v>18.35</v>
      </c>
      <c r="I102" s="154" t="s">
        <v>123</v>
      </c>
      <c r="J102" s="162"/>
      <c r="K102" s="162"/>
      <c r="L102" s="162"/>
      <c r="M102" s="162"/>
      <c r="N102" s="162"/>
    </row>
    <row r="103">
      <c r="A103" s="179" t="s">
        <v>5214</v>
      </c>
      <c r="B103" s="154">
        <f t="shared" si="1"/>
        <v>1101</v>
      </c>
      <c r="C103" s="155" t="str">
        <f>IFERROR(__xludf.DUMMYFUNCTION("GOOGLETRANSLATE(A103,""ar"", ""en"")"),"Resin bamboo set")</f>
        <v>Resin bamboo set</v>
      </c>
      <c r="D103" s="156"/>
      <c r="E103" s="157" t="s">
        <v>5215</v>
      </c>
      <c r="F103" s="158">
        <v>1.0</v>
      </c>
      <c r="G103" s="159">
        <v>116.41</v>
      </c>
      <c r="H103" s="160">
        <v>116.41</v>
      </c>
      <c r="I103" s="154" t="s">
        <v>123</v>
      </c>
      <c r="J103" s="162"/>
      <c r="K103" s="162"/>
      <c r="L103" s="162"/>
      <c r="M103" s="162"/>
      <c r="N103" s="162"/>
    </row>
    <row r="104">
      <c r="A104" s="178" t="s">
        <v>5216</v>
      </c>
      <c r="B104" s="154">
        <f t="shared" si="1"/>
        <v>1102</v>
      </c>
      <c r="C104" s="155" t="str">
        <f>IFERROR(__xludf.DUMMYFUNCTION("GOOGLETRANSLATE(A104,""ar"", ""en"")"),"Resin table 90*90")</f>
        <v>Resin table 90*90</v>
      </c>
      <c r="D104" s="169"/>
      <c r="E104" s="170" t="s">
        <v>5217</v>
      </c>
      <c r="F104" s="171">
        <v>5.0</v>
      </c>
      <c r="G104" s="176">
        <v>42.89</v>
      </c>
      <c r="H104" s="177">
        <v>214.47</v>
      </c>
      <c r="I104" s="154" t="s">
        <v>123</v>
      </c>
      <c r="J104" s="162"/>
      <c r="K104" s="162"/>
      <c r="L104" s="162"/>
      <c r="M104" s="162"/>
      <c r="N104" s="162"/>
    </row>
    <row r="105">
      <c r="A105" s="179" t="s">
        <v>2903</v>
      </c>
      <c r="B105" s="154">
        <f t="shared" si="1"/>
        <v>1103</v>
      </c>
      <c r="C105" s="155" t="str">
        <f>IFERROR(__xludf.DUMMYFUNCTION("GOOGLETRANSLATE(A105,""ar"", ""en"")"),"3-seat resin set")</f>
        <v>3-seat resin set</v>
      </c>
      <c r="D105" s="156"/>
      <c r="E105" s="157" t="s">
        <v>5218</v>
      </c>
      <c r="F105" s="158">
        <v>3.0</v>
      </c>
      <c r="G105" s="159">
        <v>161.7</v>
      </c>
      <c r="H105" s="160">
        <v>485.09</v>
      </c>
      <c r="I105" s="154" t="s">
        <v>123</v>
      </c>
      <c r="J105" s="162"/>
      <c r="K105" s="162"/>
      <c r="L105" s="162"/>
      <c r="M105" s="162"/>
      <c r="N105" s="162"/>
    </row>
    <row r="106">
      <c r="A106" s="179" t="s">
        <v>5216</v>
      </c>
      <c r="B106" s="154">
        <f t="shared" si="1"/>
        <v>1104</v>
      </c>
      <c r="C106" s="155" t="str">
        <f>IFERROR(__xludf.DUMMYFUNCTION("GOOGLETRANSLATE(A106,""ar"", ""en"")"),"Resin table 90*90")</f>
        <v>Resin table 90*90</v>
      </c>
      <c r="D106" s="156"/>
      <c r="E106" s="157" t="s">
        <v>5219</v>
      </c>
      <c r="F106" s="158">
        <v>5.0</v>
      </c>
      <c r="G106" s="159">
        <v>28.35</v>
      </c>
      <c r="H106" s="160">
        <v>141.74</v>
      </c>
      <c r="I106" s="154" t="s">
        <v>123</v>
      </c>
      <c r="J106" s="162"/>
      <c r="K106" s="162"/>
      <c r="L106" s="162"/>
      <c r="M106" s="162"/>
      <c r="N106" s="162"/>
    </row>
    <row r="107">
      <c r="A107" s="178" t="s">
        <v>5203</v>
      </c>
      <c r="B107" s="154">
        <f t="shared" si="1"/>
        <v>1105</v>
      </c>
      <c r="C107" s="155" t="str">
        <f>IFERROR(__xludf.DUMMYFUNCTION("GOOGLETRANSLATE(A107,""ar"", ""en"")"),"Resin table")</f>
        <v>Resin table</v>
      </c>
      <c r="D107" s="169"/>
      <c r="E107" s="170" t="s">
        <v>5220</v>
      </c>
      <c r="F107" s="171">
        <v>3.0</v>
      </c>
      <c r="G107" s="176">
        <v>46.28</v>
      </c>
      <c r="H107" s="177">
        <v>138.85</v>
      </c>
      <c r="I107" s="154" t="s">
        <v>123</v>
      </c>
      <c r="J107" s="162"/>
      <c r="K107" s="162"/>
      <c r="L107" s="162"/>
      <c r="M107" s="162"/>
      <c r="N107" s="162"/>
    </row>
    <row r="108">
      <c r="A108" s="179" t="s">
        <v>5221</v>
      </c>
      <c r="B108" s="154">
        <f t="shared" si="1"/>
        <v>1106</v>
      </c>
      <c r="C108" s="155" t="str">
        <f>IFERROR(__xludf.DUMMYFUNCTION("GOOGLETRANSLATE(A108,""ar"", ""en"")"),"Two-seat resin set")</f>
        <v>Two-seat resin set</v>
      </c>
      <c r="D108" s="156"/>
      <c r="E108" s="157" t="s">
        <v>5222</v>
      </c>
      <c r="F108" s="158">
        <v>1.0</v>
      </c>
      <c r="G108" s="159">
        <v>159.17</v>
      </c>
      <c r="H108" s="160">
        <v>159.17</v>
      </c>
      <c r="I108" s="154" t="s">
        <v>123</v>
      </c>
      <c r="J108" s="162"/>
      <c r="K108" s="162"/>
      <c r="L108" s="162"/>
      <c r="M108" s="162"/>
      <c r="N108" s="162"/>
    </row>
    <row r="109">
      <c r="A109" s="178" t="s">
        <v>5223</v>
      </c>
      <c r="B109" s="154">
        <f t="shared" si="1"/>
        <v>1107</v>
      </c>
      <c r="C109" s="155" t="str">
        <f>IFERROR(__xludf.DUMMYFUNCTION("GOOGLETRANSLATE(A109,""ar"", ""en"")"),"Resin chair with handle")</f>
        <v>Resin chair with handle</v>
      </c>
      <c r="D109" s="169"/>
      <c r="E109" s="170" t="s">
        <v>5224</v>
      </c>
      <c r="F109" s="171">
        <v>-1.0</v>
      </c>
      <c r="G109" s="176">
        <v>17.87</v>
      </c>
      <c r="H109" s="177">
        <v>-17.87</v>
      </c>
      <c r="I109" s="154" t="s">
        <v>123</v>
      </c>
      <c r="J109" s="162"/>
      <c r="K109" s="162"/>
      <c r="L109" s="162"/>
      <c r="M109" s="162"/>
      <c r="N109" s="162"/>
    </row>
    <row r="110">
      <c r="A110" s="178" t="s">
        <v>5225</v>
      </c>
      <c r="B110" s="154">
        <f t="shared" si="1"/>
        <v>1108</v>
      </c>
      <c r="C110" s="155" t="str">
        <f>IFERROR(__xludf.DUMMYFUNCTION("GOOGLETRANSLATE(A110,""ar"", ""en"")"),"Bamboo table 90")</f>
        <v>Bamboo table 90</v>
      </c>
      <c r="D110" s="169"/>
      <c r="E110" s="170" t="s">
        <v>5226</v>
      </c>
      <c r="F110" s="171">
        <v>3.0</v>
      </c>
      <c r="G110" s="176">
        <v>41.46</v>
      </c>
      <c r="H110" s="177">
        <v>124.39</v>
      </c>
      <c r="I110" s="154" t="s">
        <v>123</v>
      </c>
      <c r="J110" s="162"/>
      <c r="K110" s="162"/>
      <c r="L110" s="162"/>
      <c r="M110" s="162"/>
      <c r="N110" s="162"/>
    </row>
    <row r="111">
      <c r="A111" s="179" t="s">
        <v>1735</v>
      </c>
      <c r="B111" s="154">
        <f t="shared" si="1"/>
        <v>1109</v>
      </c>
      <c r="C111" s="155" t="str">
        <f>IFERROR(__xludf.DUMMYFUNCTION("GOOGLETRANSLATE(A111,""ar"", ""en"")"),"Two-seat resin set")</f>
        <v>Two-seat resin set</v>
      </c>
      <c r="D111" s="156"/>
      <c r="E111" s="157" t="s">
        <v>4002</v>
      </c>
      <c r="F111" s="158">
        <v>3.0</v>
      </c>
      <c r="G111" s="159">
        <v>605.82</v>
      </c>
      <c r="H111" s="160">
        <v>1817.47</v>
      </c>
      <c r="I111" s="154" t="s">
        <v>123</v>
      </c>
      <c r="J111" s="162"/>
      <c r="K111" s="162"/>
      <c r="L111" s="162"/>
      <c r="M111" s="162"/>
      <c r="N111" s="162"/>
    </row>
    <row r="112">
      <c r="A112" s="178" t="s">
        <v>556</v>
      </c>
      <c r="B112" s="154">
        <f t="shared" si="1"/>
        <v>1110</v>
      </c>
      <c r="C112" s="155" t="str">
        <f>IFERROR(__xludf.DUMMYFUNCTION("GOOGLETRANSLATE(A112,""ar"", ""en"")"),"Two-seat rattan set")</f>
        <v>Two-seat rattan set</v>
      </c>
      <c r="D112" s="169"/>
      <c r="E112" s="170" t="s">
        <v>5227</v>
      </c>
      <c r="F112" s="171">
        <v>1.0</v>
      </c>
      <c r="G112" s="176">
        <v>392.01</v>
      </c>
      <c r="H112" s="177">
        <v>392.01</v>
      </c>
      <c r="I112" s="154" t="s">
        <v>123</v>
      </c>
      <c r="J112" s="162"/>
      <c r="K112" s="162"/>
      <c r="L112" s="162"/>
      <c r="M112" s="162"/>
      <c r="N112" s="162"/>
    </row>
    <row r="113">
      <c r="A113" s="179" t="s">
        <v>556</v>
      </c>
      <c r="B113" s="154">
        <f t="shared" si="1"/>
        <v>1111</v>
      </c>
      <c r="C113" s="155" t="str">
        <f>IFERROR(__xludf.DUMMYFUNCTION("GOOGLETRANSLATE(A113,""ar"", ""en"")"),"Two-seat rattan set")</f>
        <v>Two-seat rattan set</v>
      </c>
      <c r="D113" s="184"/>
      <c r="E113" s="185" t="s">
        <v>5228</v>
      </c>
      <c r="F113" s="158">
        <v>1.0</v>
      </c>
      <c r="G113" s="159">
        <v>340.46</v>
      </c>
      <c r="H113" s="160">
        <v>340.46</v>
      </c>
      <c r="I113" s="154" t="s">
        <v>123</v>
      </c>
      <c r="J113" s="162"/>
      <c r="K113" s="162"/>
      <c r="L113" s="162"/>
      <c r="M113" s="162"/>
      <c r="N113" s="162"/>
    </row>
    <row r="114">
      <c r="A114" s="178" t="s">
        <v>2558</v>
      </c>
      <c r="B114" s="154">
        <f t="shared" si="1"/>
        <v>1112</v>
      </c>
      <c r="C114" s="155" t="str">
        <f>IFERROR(__xludf.DUMMYFUNCTION("GOOGLETRANSLATE(A114,""ar"", ""en"")"),"Bamboo tray set")</f>
        <v>Bamboo tray set</v>
      </c>
      <c r="D114" s="169"/>
      <c r="E114" s="170" t="s">
        <v>5229</v>
      </c>
      <c r="F114" s="171">
        <v>4.0</v>
      </c>
      <c r="G114" s="176">
        <v>7.52</v>
      </c>
      <c r="H114" s="177">
        <v>30.08</v>
      </c>
      <c r="I114" s="154" t="s">
        <v>123</v>
      </c>
      <c r="J114" s="162"/>
      <c r="K114" s="162"/>
      <c r="L114" s="162"/>
      <c r="M114" s="162"/>
      <c r="N114" s="162"/>
    </row>
    <row r="115">
      <c r="A115" s="179" t="s">
        <v>556</v>
      </c>
      <c r="B115" s="154">
        <f t="shared" si="1"/>
        <v>1113</v>
      </c>
      <c r="C115" s="155" t="str">
        <f>IFERROR(__xludf.DUMMYFUNCTION("GOOGLETRANSLATE(A115,""ar"", ""en"")"),"Two-seat rattan set")</f>
        <v>Two-seat rattan set</v>
      </c>
      <c r="D115" s="156"/>
      <c r="E115" s="157" t="s">
        <v>3967</v>
      </c>
      <c r="F115" s="158">
        <v>2.0</v>
      </c>
      <c r="G115" s="159">
        <v>502.62</v>
      </c>
      <c r="H115" s="160">
        <v>1005.24</v>
      </c>
      <c r="I115" s="154" t="s">
        <v>123</v>
      </c>
      <c r="J115" s="162"/>
      <c r="K115" s="162"/>
      <c r="L115" s="162"/>
      <c r="M115" s="162"/>
      <c r="N115" s="162"/>
    </row>
    <row r="116">
      <c r="A116" s="178" t="s">
        <v>3961</v>
      </c>
      <c r="B116" s="154">
        <f t="shared" si="1"/>
        <v>1114</v>
      </c>
      <c r="C116" s="155" t="str">
        <f>IFERROR(__xludf.DUMMYFUNCTION("GOOGLETRANSLATE(A116,""ar"", ""en"")"),"Corner bamboo set")</f>
        <v>Corner bamboo set</v>
      </c>
      <c r="D116" s="169"/>
      <c r="E116" s="170" t="s">
        <v>5230</v>
      </c>
      <c r="F116" s="171">
        <v>1.0</v>
      </c>
      <c r="G116" s="176">
        <v>568.91</v>
      </c>
      <c r="H116" s="177">
        <v>568.91</v>
      </c>
      <c r="I116" s="154" t="s">
        <v>123</v>
      </c>
      <c r="J116" s="162"/>
      <c r="K116" s="162"/>
      <c r="L116" s="162"/>
      <c r="M116" s="162"/>
      <c r="N116" s="162"/>
    </row>
    <row r="117">
      <c r="A117" s="179" t="s">
        <v>5231</v>
      </c>
      <c r="B117" s="154">
        <f t="shared" si="1"/>
        <v>1115</v>
      </c>
      <c r="C117" s="155" t="str">
        <f>IFERROR(__xludf.DUMMYFUNCTION("GOOGLETRANSLATE(A117,""ar"", ""en"")"),"3-seat rattan set")</f>
        <v>3-seat rattan set</v>
      </c>
      <c r="D117" s="184"/>
      <c r="E117" s="185" t="s">
        <v>5232</v>
      </c>
      <c r="F117" s="158">
        <v>1.0</v>
      </c>
      <c r="G117" s="159">
        <v>500.34</v>
      </c>
      <c r="H117" s="160">
        <v>500.34</v>
      </c>
      <c r="I117" s="154" t="s">
        <v>123</v>
      </c>
      <c r="J117" s="162"/>
      <c r="K117" s="162"/>
      <c r="L117" s="162"/>
      <c r="M117" s="162"/>
      <c r="N117" s="162"/>
    </row>
    <row r="118">
      <c r="A118" s="179" t="s">
        <v>5233</v>
      </c>
      <c r="B118" s="154">
        <f t="shared" si="1"/>
        <v>1116</v>
      </c>
      <c r="C118" s="155" t="str">
        <f>IFERROR(__xludf.DUMMYFUNCTION("GOOGLETRANSLATE(A118,""ar"", ""en"")"),"40 cm bamboo table")</f>
        <v>40 cm bamboo table</v>
      </c>
      <c r="D118" s="156"/>
      <c r="E118" s="157" t="s">
        <v>5234</v>
      </c>
      <c r="F118" s="158">
        <v>1.0</v>
      </c>
      <c r="G118" s="159">
        <v>21.44</v>
      </c>
      <c r="H118" s="160">
        <v>21.44</v>
      </c>
      <c r="I118" s="154" t="s">
        <v>123</v>
      </c>
      <c r="J118" s="162"/>
      <c r="K118" s="162"/>
      <c r="L118" s="162"/>
      <c r="M118" s="162"/>
      <c r="N118" s="162"/>
    </row>
    <row r="119">
      <c r="A119" s="178" t="s">
        <v>3986</v>
      </c>
      <c r="B119" s="154">
        <f t="shared" si="1"/>
        <v>1117</v>
      </c>
      <c r="C119" s="155" t="str">
        <f>IFERROR(__xludf.DUMMYFUNCTION("GOOGLETRANSLATE(A119,""ar"", ""en"")"),"Bamboo jikon set")</f>
        <v>Bamboo jikon set</v>
      </c>
      <c r="D119" s="186"/>
      <c r="E119" s="187" t="s">
        <v>5235</v>
      </c>
      <c r="F119" s="171">
        <v>1.0</v>
      </c>
      <c r="G119" s="176">
        <v>37.29</v>
      </c>
      <c r="H119" s="177">
        <v>37.29</v>
      </c>
      <c r="I119" s="154" t="s">
        <v>123</v>
      </c>
      <c r="J119" s="162"/>
      <c r="K119" s="162"/>
      <c r="L119" s="162"/>
      <c r="M119" s="162"/>
      <c r="N119" s="162"/>
    </row>
    <row r="120">
      <c r="A120" s="179" t="s">
        <v>5236</v>
      </c>
      <c r="B120" s="154">
        <f t="shared" si="1"/>
        <v>1118</v>
      </c>
      <c r="C120" s="155" t="str">
        <f>IFERROR(__xludf.DUMMYFUNCTION("GOOGLETRANSLATE(A120,""ar"", ""en"")"),"Canary 2-seat rattan set")</f>
        <v>Canary 2-seat rattan set</v>
      </c>
      <c r="D120" s="184"/>
      <c r="E120" s="185" t="s">
        <v>5237</v>
      </c>
      <c r="F120" s="158">
        <v>1.0</v>
      </c>
      <c r="G120" s="159">
        <v>152.11</v>
      </c>
      <c r="H120" s="160">
        <v>152.11</v>
      </c>
      <c r="I120" s="154" t="s">
        <v>123</v>
      </c>
      <c r="J120" s="162"/>
      <c r="K120" s="162"/>
      <c r="L120" s="162"/>
      <c r="M120" s="162"/>
      <c r="N120" s="162"/>
    </row>
    <row r="121">
      <c r="A121" s="179" t="s">
        <v>5238</v>
      </c>
      <c r="B121" s="154">
        <f t="shared" si="1"/>
        <v>1119</v>
      </c>
      <c r="C121" s="155" t="str">
        <f>IFERROR(__xludf.DUMMYFUNCTION("GOOGLETRANSLATE(A121,""ar"", ""en"")"),"Pattaya rattan chair")</f>
        <v>Pattaya rattan chair</v>
      </c>
      <c r="D121" s="188"/>
      <c r="E121" s="189" t="s">
        <v>5239</v>
      </c>
      <c r="F121" s="158">
        <v>2.0</v>
      </c>
      <c r="G121" s="159">
        <v>17.47</v>
      </c>
      <c r="H121" s="160">
        <v>34.94</v>
      </c>
      <c r="I121" s="154" t="s">
        <v>123</v>
      </c>
      <c r="J121" s="162"/>
      <c r="K121" s="162"/>
      <c r="L121" s="162"/>
      <c r="M121" s="162"/>
      <c r="N121" s="162"/>
    </row>
    <row r="122">
      <c r="A122" s="178" t="s">
        <v>5231</v>
      </c>
      <c r="B122" s="154">
        <f t="shared" si="1"/>
        <v>1120</v>
      </c>
      <c r="C122" s="155" t="str">
        <f>IFERROR(__xludf.DUMMYFUNCTION("GOOGLETRANSLATE(A122,""ar"", ""en"")"),"3-seat rattan set")</f>
        <v>3-seat rattan set</v>
      </c>
      <c r="D122" s="169"/>
      <c r="E122" s="170" t="s">
        <v>5240</v>
      </c>
      <c r="F122" s="171">
        <v>2.0</v>
      </c>
      <c r="G122" s="176">
        <v>192.32</v>
      </c>
      <c r="H122" s="177">
        <v>384.64</v>
      </c>
      <c r="I122" s="154" t="s">
        <v>123</v>
      </c>
      <c r="J122" s="162"/>
      <c r="K122" s="162"/>
      <c r="L122" s="162"/>
      <c r="M122" s="162"/>
      <c r="N122" s="162"/>
    </row>
    <row r="123">
      <c r="A123" s="179" t="s">
        <v>5241</v>
      </c>
      <c r="B123" s="154">
        <f t="shared" si="1"/>
        <v>1121</v>
      </c>
      <c r="C123" s="155" t="str">
        <f>IFERROR(__xludf.DUMMYFUNCTION("GOOGLETRANSLATE(A123,""ar"", ""en"")"),"Bamboo table set + 4 chairs")</f>
        <v>Bamboo table set + 4 chairs</v>
      </c>
      <c r="D123" s="188"/>
      <c r="E123" s="189" t="s">
        <v>5242</v>
      </c>
      <c r="F123" s="158">
        <v>3.0</v>
      </c>
      <c r="G123" s="159">
        <v>163.13</v>
      </c>
      <c r="H123" s="160">
        <v>489.39</v>
      </c>
      <c r="I123" s="154" t="s">
        <v>123</v>
      </c>
      <c r="J123" s="162"/>
      <c r="K123" s="162"/>
      <c r="L123" s="162"/>
      <c r="M123" s="162"/>
      <c r="N123" s="162"/>
    </row>
    <row r="124">
      <c r="A124" s="178" t="s">
        <v>5241</v>
      </c>
      <c r="B124" s="154">
        <f t="shared" si="1"/>
        <v>1122</v>
      </c>
      <c r="C124" s="155" t="str">
        <f>IFERROR(__xludf.DUMMYFUNCTION("GOOGLETRANSLATE(A124,""ar"", ""en"")"),"Bamboo table set + 4 chairs")</f>
        <v>Bamboo table set + 4 chairs</v>
      </c>
      <c r="D124" s="180"/>
      <c r="E124" s="181" t="s">
        <v>5243</v>
      </c>
      <c r="F124" s="171">
        <v>1.0</v>
      </c>
      <c r="G124" s="176">
        <v>177.13</v>
      </c>
      <c r="H124" s="177">
        <v>177.13</v>
      </c>
      <c r="I124" s="154" t="s">
        <v>123</v>
      </c>
      <c r="J124" s="162"/>
      <c r="K124" s="162"/>
      <c r="L124" s="162"/>
      <c r="M124" s="162"/>
      <c r="N124" s="162"/>
    </row>
    <row r="125">
      <c r="A125" s="179" t="s">
        <v>5244</v>
      </c>
      <c r="B125" s="154">
        <f t="shared" si="1"/>
        <v>1123</v>
      </c>
      <c r="C125" s="155" t="str">
        <f>IFERROR(__xludf.DUMMYFUNCTION("GOOGLETRANSLATE(A125,""ar"", ""en"")"),"Pocket rattan chair")</f>
        <v>Pocket rattan chair</v>
      </c>
      <c r="D125" s="184"/>
      <c r="E125" s="185" t="s">
        <v>5245</v>
      </c>
      <c r="F125" s="158">
        <v>1.0</v>
      </c>
      <c r="G125" s="174"/>
      <c r="H125" s="175"/>
      <c r="I125" s="154" t="s">
        <v>123</v>
      </c>
      <c r="J125" s="162"/>
      <c r="K125" s="162"/>
      <c r="L125" s="162"/>
      <c r="M125" s="162"/>
      <c r="N125" s="162"/>
    </row>
    <row r="126">
      <c r="A126" s="178" t="s">
        <v>5246</v>
      </c>
      <c r="B126" s="154">
        <f t="shared" si="1"/>
        <v>1124</v>
      </c>
      <c r="C126" s="155" t="str">
        <f>IFERROR(__xludf.DUMMYFUNCTION("GOOGLETRANSLATE(A126,""ar"", ""en"")"),"Pocket bamboo table")</f>
        <v>Pocket bamboo table</v>
      </c>
      <c r="D126" s="180"/>
      <c r="E126" s="181" t="s">
        <v>5247</v>
      </c>
      <c r="F126" s="171">
        <v>1.0</v>
      </c>
      <c r="G126" s="172"/>
      <c r="H126" s="173"/>
      <c r="I126" s="154" t="s">
        <v>123</v>
      </c>
      <c r="J126" s="162"/>
      <c r="K126" s="162"/>
      <c r="L126" s="162"/>
      <c r="M126" s="162"/>
      <c r="N126" s="162"/>
    </row>
    <row r="127">
      <c r="A127" s="179" t="s">
        <v>5248</v>
      </c>
      <c r="B127" s="154">
        <f t="shared" si="1"/>
        <v>1125</v>
      </c>
      <c r="C127" s="155" t="str">
        <f>IFERROR(__xludf.DUMMYFUNCTION("GOOGLETRANSLATE(A127,""ar"", ""en"")"),"Bamboo drink")</f>
        <v>Bamboo drink</v>
      </c>
      <c r="D127" s="184"/>
      <c r="E127" s="185" t="s">
        <v>5249</v>
      </c>
      <c r="F127" s="158">
        <v>1.0</v>
      </c>
      <c r="G127" s="159">
        <v>24.74</v>
      </c>
      <c r="H127" s="160">
        <v>24.74</v>
      </c>
      <c r="I127" s="154" t="s">
        <v>123</v>
      </c>
      <c r="J127" s="162"/>
      <c r="K127" s="162"/>
      <c r="L127" s="162"/>
      <c r="M127" s="162"/>
      <c r="N127" s="162"/>
    </row>
    <row r="128">
      <c r="A128" s="178" t="s">
        <v>556</v>
      </c>
      <c r="B128" s="154">
        <f t="shared" si="1"/>
        <v>1126</v>
      </c>
      <c r="C128" s="155" t="str">
        <f>IFERROR(__xludf.DUMMYFUNCTION("GOOGLETRANSLATE(A128,""ar"", ""en"")"),"Two-seat rattan set")</f>
        <v>Two-seat rattan set</v>
      </c>
      <c r="D128" s="169"/>
      <c r="E128" s="170" t="s">
        <v>5250</v>
      </c>
      <c r="F128" s="171">
        <v>2.0</v>
      </c>
      <c r="G128" s="176">
        <v>463.28</v>
      </c>
      <c r="H128" s="177">
        <v>926.56</v>
      </c>
      <c r="I128" s="154" t="s">
        <v>123</v>
      </c>
      <c r="J128" s="162"/>
      <c r="K128" s="162"/>
      <c r="L128" s="162"/>
      <c r="M128" s="162"/>
      <c r="N128" s="162"/>
    </row>
    <row r="129">
      <c r="A129" s="179" t="s">
        <v>556</v>
      </c>
      <c r="B129" s="154">
        <f t="shared" si="1"/>
        <v>1127</v>
      </c>
      <c r="C129" s="155" t="str">
        <f>IFERROR(__xludf.DUMMYFUNCTION("GOOGLETRANSLATE(A129,""ar"", ""en"")"),"Two-seat rattan set")</f>
        <v>Two-seat rattan set</v>
      </c>
      <c r="D129" s="184"/>
      <c r="E129" s="185" t="s">
        <v>5251</v>
      </c>
      <c r="F129" s="158">
        <v>2.0</v>
      </c>
      <c r="G129" s="159">
        <v>171.53</v>
      </c>
      <c r="H129" s="160">
        <v>343.06</v>
      </c>
      <c r="I129" s="154" t="s">
        <v>123</v>
      </c>
      <c r="J129" s="162"/>
      <c r="K129" s="162"/>
      <c r="L129" s="162"/>
      <c r="M129" s="162"/>
      <c r="N129" s="162"/>
    </row>
    <row r="130">
      <c r="A130" s="178" t="s">
        <v>5252</v>
      </c>
      <c r="B130" s="154">
        <f t="shared" si="1"/>
        <v>1128</v>
      </c>
      <c r="C130" s="155" t="str">
        <f>IFERROR(__xludf.DUMMYFUNCTION("GOOGLETRANSLATE(A130,""ar"", ""en"")"),"SOFA SET 1+2+3 / B")</f>
        <v>SOFA SET 1+2+3 / B</v>
      </c>
      <c r="D130" s="169"/>
      <c r="E130" s="170" t="s">
        <v>5253</v>
      </c>
      <c r="F130" s="171">
        <v>1.0</v>
      </c>
      <c r="G130" s="176">
        <v>347.6</v>
      </c>
      <c r="H130" s="177">
        <v>347.6</v>
      </c>
      <c r="I130" s="154" t="s">
        <v>123</v>
      </c>
      <c r="J130" s="162"/>
      <c r="K130" s="162"/>
      <c r="L130" s="162"/>
      <c r="M130" s="162"/>
      <c r="N130" s="162"/>
    </row>
    <row r="131">
      <c r="A131" s="179" t="s">
        <v>5254</v>
      </c>
      <c r="B131" s="154">
        <f t="shared" si="1"/>
        <v>1129</v>
      </c>
      <c r="C131" s="155" t="str">
        <f>IFERROR(__xludf.DUMMYFUNCTION("GOOGLETRANSLATE(A131,""ar"", ""en"")"),"SOFA SET 1+3")</f>
        <v>SOFA SET 1+3</v>
      </c>
      <c r="D131" s="156"/>
      <c r="E131" s="157" t="s">
        <v>5255</v>
      </c>
      <c r="F131" s="158">
        <v>1.0</v>
      </c>
      <c r="G131" s="159">
        <v>305.07</v>
      </c>
      <c r="H131" s="160">
        <v>305.07</v>
      </c>
      <c r="I131" s="154" t="s">
        <v>123</v>
      </c>
      <c r="J131" s="162"/>
      <c r="K131" s="162"/>
      <c r="L131" s="162"/>
      <c r="M131" s="162"/>
      <c r="N131" s="162"/>
    </row>
    <row r="132">
      <c r="A132" s="178" t="s">
        <v>5256</v>
      </c>
      <c r="B132" s="154">
        <f t="shared" si="1"/>
        <v>1130</v>
      </c>
      <c r="C132" s="155" t="str">
        <f>IFERROR(__xludf.DUMMYFUNCTION("GOOGLETRANSLATE(A132,""ar"", ""en"")"),"Corner sofa")</f>
        <v>Corner sofa</v>
      </c>
      <c r="D132" s="169"/>
      <c r="E132" s="170" t="s">
        <v>5257</v>
      </c>
      <c r="F132" s="171">
        <v>2.0</v>
      </c>
      <c r="G132" s="176">
        <v>364.02</v>
      </c>
      <c r="H132" s="177">
        <v>728.03</v>
      </c>
      <c r="I132" s="154" t="s">
        <v>123</v>
      </c>
      <c r="J132" s="162"/>
      <c r="K132" s="162"/>
      <c r="L132" s="162"/>
      <c r="M132" s="162"/>
      <c r="N132" s="162"/>
    </row>
    <row r="133">
      <c r="A133" s="178" t="s">
        <v>5258</v>
      </c>
      <c r="B133" s="154">
        <f t="shared" si="1"/>
        <v>1131</v>
      </c>
      <c r="C133" s="155" t="str">
        <f>IFERROR(__xludf.DUMMYFUNCTION("GOOGLETRANSLATE(A133,""ar"", ""en"")"),"3+2+2+2 salon")</f>
        <v>3+2+2+2 salon</v>
      </c>
      <c r="D133" s="169"/>
      <c r="E133" s="170" t="s">
        <v>5259</v>
      </c>
      <c r="F133" s="171">
        <v>1.0</v>
      </c>
      <c r="G133" s="176">
        <v>183.34</v>
      </c>
      <c r="H133" s="177">
        <v>183.34</v>
      </c>
      <c r="I133" s="154" t="s">
        <v>123</v>
      </c>
      <c r="J133" s="162"/>
      <c r="K133" s="162"/>
      <c r="L133" s="162"/>
      <c r="M133" s="162"/>
      <c r="N133" s="162"/>
    </row>
    <row r="134">
      <c r="A134" s="178" t="s">
        <v>5260</v>
      </c>
      <c r="B134" s="154">
        <f t="shared" si="1"/>
        <v>1132</v>
      </c>
      <c r="C134" s="155" t="str">
        <f>IFERROR(__xludf.DUMMYFUNCTION("GOOGLETRANSLATE(A134,""ar"", ""en"")"),"SOFA")</f>
        <v>SOFA</v>
      </c>
      <c r="D134" s="169"/>
      <c r="E134" s="170" t="s">
        <v>5261</v>
      </c>
      <c r="F134" s="171">
        <v>2.0</v>
      </c>
      <c r="G134" s="176">
        <v>199.08</v>
      </c>
      <c r="H134" s="177">
        <v>398.16</v>
      </c>
      <c r="I134" s="154" t="s">
        <v>123</v>
      </c>
      <c r="J134" s="162"/>
      <c r="K134" s="162"/>
      <c r="L134" s="162"/>
      <c r="M134" s="162"/>
      <c r="N134" s="162"/>
    </row>
    <row r="135">
      <c r="A135" s="179" t="s">
        <v>2312</v>
      </c>
      <c r="B135" s="154">
        <f t="shared" si="1"/>
        <v>1133</v>
      </c>
      <c r="C135" s="155" t="str">
        <f>IFERROR(__xludf.DUMMYFUNCTION("GOOGLETRANSLATE(A135,""ar"", ""en"")"),"Iron set 1+4 chairs")</f>
        <v>Iron set 1+4 chairs</v>
      </c>
      <c r="D135" s="156"/>
      <c r="E135" s="157" t="s">
        <v>5262</v>
      </c>
      <c r="F135" s="158">
        <v>1.0</v>
      </c>
      <c r="G135" s="159">
        <v>45.71</v>
      </c>
      <c r="H135" s="160">
        <v>45.71</v>
      </c>
      <c r="I135" s="154" t="s">
        <v>123</v>
      </c>
      <c r="J135" s="162"/>
      <c r="K135" s="162"/>
      <c r="L135" s="162"/>
      <c r="M135" s="162"/>
      <c r="N135" s="162"/>
    </row>
    <row r="136">
      <c r="A136" s="178" t="s">
        <v>5263</v>
      </c>
      <c r="B136" s="154">
        <f t="shared" si="1"/>
        <v>1134</v>
      </c>
      <c r="C136" s="155" t="str">
        <f>IFERROR(__xludf.DUMMYFUNCTION("GOOGLETRANSLATE(A136,""ar"", ""en"")"),"Iron Bank")</f>
        <v>Iron Bank</v>
      </c>
      <c r="D136" s="169"/>
      <c r="E136" s="170" t="s">
        <v>5264</v>
      </c>
      <c r="F136" s="171">
        <v>3.0</v>
      </c>
      <c r="G136" s="176">
        <v>15.29</v>
      </c>
      <c r="H136" s="177">
        <v>45.87</v>
      </c>
      <c r="I136" s="154" t="s">
        <v>123</v>
      </c>
      <c r="J136" s="162"/>
      <c r="K136" s="162"/>
      <c r="L136" s="162"/>
      <c r="M136" s="162"/>
      <c r="N136" s="162"/>
    </row>
    <row r="137">
      <c r="A137" s="179" t="s">
        <v>5265</v>
      </c>
      <c r="B137" s="154">
        <f t="shared" si="1"/>
        <v>1135</v>
      </c>
      <c r="C137" s="155" t="str">
        <f>IFERROR(__xludf.DUMMYFUNCTION("GOOGLETRANSLATE(A137,""ar"", ""en"")"),"Rectangular font table")</f>
        <v>Rectangular font table</v>
      </c>
      <c r="D137" s="156"/>
      <c r="E137" s="157" t="s">
        <v>5266</v>
      </c>
      <c r="F137" s="158">
        <v>1.0</v>
      </c>
      <c r="G137" s="159">
        <v>104.66</v>
      </c>
      <c r="H137" s="160">
        <v>104.66</v>
      </c>
      <c r="I137" s="154" t="s">
        <v>123</v>
      </c>
      <c r="J137" s="162"/>
      <c r="K137" s="162"/>
      <c r="L137" s="162"/>
      <c r="M137" s="162"/>
      <c r="N137" s="162"/>
    </row>
    <row r="138">
      <c r="A138" s="178" t="s">
        <v>2312</v>
      </c>
      <c r="B138" s="154">
        <f t="shared" si="1"/>
        <v>1136</v>
      </c>
      <c r="C138" s="155" t="str">
        <f>IFERROR(__xludf.DUMMYFUNCTION("GOOGLETRANSLATE(A138,""ar"", ""en"")"),"Iron set 1+4 chairs")</f>
        <v>Iron set 1+4 chairs</v>
      </c>
      <c r="D138" s="169"/>
      <c r="E138" s="170" t="s">
        <v>3510</v>
      </c>
      <c r="F138" s="171">
        <v>2.0</v>
      </c>
      <c r="G138" s="176">
        <v>47.17</v>
      </c>
      <c r="H138" s="177">
        <v>94.34</v>
      </c>
      <c r="I138" s="154" t="s">
        <v>123</v>
      </c>
      <c r="J138" s="162"/>
      <c r="K138" s="162"/>
      <c r="L138" s="162"/>
      <c r="M138" s="162"/>
      <c r="N138" s="162"/>
    </row>
    <row r="139">
      <c r="A139" s="178" t="s">
        <v>5267</v>
      </c>
      <c r="B139" s="154">
        <f t="shared" si="1"/>
        <v>1137</v>
      </c>
      <c r="C139" s="155" t="str">
        <f>IFERROR(__xludf.DUMMYFUNCTION("GOOGLETRANSLATE(A139,""ar"", ""en"")"),"Two-seat iron set")</f>
        <v>Two-seat iron set</v>
      </c>
      <c r="D139" s="169"/>
      <c r="E139" s="170" t="s">
        <v>5268</v>
      </c>
      <c r="F139" s="171">
        <v>1.0</v>
      </c>
      <c r="G139" s="176">
        <v>104.86</v>
      </c>
      <c r="H139" s="177">
        <v>104.86</v>
      </c>
      <c r="I139" s="154" t="s">
        <v>123</v>
      </c>
      <c r="J139" s="162"/>
      <c r="K139" s="162"/>
      <c r="L139" s="162"/>
      <c r="M139" s="162"/>
      <c r="N139" s="162"/>
    </row>
    <row r="140">
      <c r="A140" s="179" t="s">
        <v>5269</v>
      </c>
      <c r="B140" s="154">
        <f t="shared" si="1"/>
        <v>1138</v>
      </c>
      <c r="C140" s="155" t="str">
        <f>IFERROR(__xludf.DUMMYFUNCTION("GOOGLETRANSLATE(A140,""ar"", ""en"")"),"LARGE CURVE BENCH")</f>
        <v>LARGE CURVE BENCH</v>
      </c>
      <c r="D140" s="156"/>
      <c r="E140" s="157" t="s">
        <v>5270</v>
      </c>
      <c r="F140" s="158">
        <v>2.0</v>
      </c>
      <c r="G140" s="159">
        <v>33.98</v>
      </c>
      <c r="H140" s="160">
        <v>67.96</v>
      </c>
      <c r="I140" s="154" t="s">
        <v>123</v>
      </c>
      <c r="J140" s="162"/>
      <c r="K140" s="162"/>
      <c r="L140" s="162"/>
      <c r="M140" s="162"/>
      <c r="N140" s="162"/>
    </row>
    <row r="141">
      <c r="A141" s="179" t="s">
        <v>5271</v>
      </c>
      <c r="B141" s="154">
        <f t="shared" si="1"/>
        <v>1139</v>
      </c>
      <c r="C141" s="155" t="str">
        <f>IFERROR(__xludf.DUMMYFUNCTION("GOOGLETRANSLATE(A141,""ar"", ""en"")"),"Cocktail Bench")</f>
        <v>Cocktail Bench</v>
      </c>
      <c r="D141" s="156"/>
      <c r="E141" s="157" t="s">
        <v>5272</v>
      </c>
      <c r="F141" s="158">
        <v>1.0</v>
      </c>
      <c r="G141" s="159">
        <v>37.27</v>
      </c>
      <c r="H141" s="160">
        <v>37.27</v>
      </c>
      <c r="I141" s="154" t="s">
        <v>123</v>
      </c>
      <c r="J141" s="162"/>
      <c r="K141" s="162"/>
      <c r="L141" s="162"/>
      <c r="M141" s="162"/>
      <c r="N141" s="162"/>
    </row>
    <row r="142">
      <c r="A142" s="178" t="s">
        <v>5273</v>
      </c>
      <c r="B142" s="154">
        <f t="shared" si="1"/>
        <v>1140</v>
      </c>
      <c r="C142" s="155" t="str">
        <f>IFERROR(__xludf.DUMMYFUNCTION("GOOGLETRANSLATE(A142,""ar"", ""en"")"),"Iron chair in a set")</f>
        <v>Iron chair in a set</v>
      </c>
      <c r="D142" s="169"/>
      <c r="E142" s="170" t="s">
        <v>5274</v>
      </c>
      <c r="F142" s="171">
        <v>3.0</v>
      </c>
      <c r="G142" s="172"/>
      <c r="H142" s="173"/>
      <c r="I142" s="154" t="s">
        <v>123</v>
      </c>
      <c r="J142" s="162"/>
      <c r="K142" s="162"/>
      <c r="L142" s="162"/>
      <c r="M142" s="162"/>
      <c r="N142" s="162"/>
    </row>
    <row r="143">
      <c r="A143" s="179" t="s">
        <v>5275</v>
      </c>
      <c r="B143" s="154">
        <f t="shared" si="1"/>
        <v>1141</v>
      </c>
      <c r="C143" s="155" t="str">
        <f>IFERROR(__xludf.DUMMYFUNCTION("GOOGLETRANSLATE(A143,""ar"", ""en"")"),"MESH CHAIR")</f>
        <v>MESH CHAIR</v>
      </c>
      <c r="D143" s="156"/>
      <c r="E143" s="157" t="s">
        <v>5276</v>
      </c>
      <c r="F143" s="158">
        <v>2.0</v>
      </c>
      <c r="G143" s="159">
        <v>15.68</v>
      </c>
      <c r="H143" s="160">
        <v>31.35</v>
      </c>
      <c r="I143" s="154" t="s">
        <v>123</v>
      </c>
      <c r="J143" s="162"/>
      <c r="K143" s="162"/>
      <c r="L143" s="162"/>
      <c r="M143" s="162"/>
      <c r="N143" s="162"/>
    </row>
    <row r="144">
      <c r="A144" s="179" t="s">
        <v>5277</v>
      </c>
      <c r="B144" s="154">
        <f t="shared" si="1"/>
        <v>1142</v>
      </c>
      <c r="C144" s="155" t="str">
        <f>IFERROR(__xludf.DUMMYFUNCTION("GOOGLETRANSLATE(A144,""ar"", ""en"")"),"4-door wide plastic cabinet")</f>
        <v>4-door wide plastic cabinet</v>
      </c>
      <c r="D144" s="156"/>
      <c r="E144" s="157" t="s">
        <v>5278</v>
      </c>
      <c r="F144" s="158">
        <v>1.0</v>
      </c>
      <c r="G144" s="159">
        <v>52.75</v>
      </c>
      <c r="H144" s="160">
        <v>52.75</v>
      </c>
      <c r="I144" s="154" t="s">
        <v>123</v>
      </c>
      <c r="J144" s="162"/>
      <c r="K144" s="162"/>
      <c r="L144" s="162"/>
      <c r="M144" s="162"/>
      <c r="N144" s="162"/>
    </row>
    <row r="145">
      <c r="A145" s="178" t="s">
        <v>5279</v>
      </c>
      <c r="B145" s="154">
        <f t="shared" si="1"/>
        <v>1143</v>
      </c>
      <c r="C145" s="155" t="str">
        <f>IFERROR(__xludf.DUMMYFUNCTION("GOOGLETRANSLATE(A145,""ar"", ""en"")"),"Tall two-door plastic cabinet")</f>
        <v>Tall two-door plastic cabinet</v>
      </c>
      <c r="D145" s="169"/>
      <c r="E145" s="170" t="s">
        <v>5280</v>
      </c>
      <c r="F145" s="171">
        <v>1.0</v>
      </c>
      <c r="G145" s="176">
        <v>37.53</v>
      </c>
      <c r="H145" s="177">
        <v>37.53</v>
      </c>
      <c r="I145" s="154" t="s">
        <v>123</v>
      </c>
      <c r="J145" s="162"/>
      <c r="K145" s="162"/>
      <c r="L145" s="162"/>
      <c r="M145" s="162"/>
      <c r="N145" s="162"/>
    </row>
    <row r="146">
      <c r="A146" s="179" t="s">
        <v>5281</v>
      </c>
      <c r="B146" s="154">
        <f t="shared" si="1"/>
        <v>1144</v>
      </c>
      <c r="C146" s="155" t="str">
        <f>IFERROR(__xludf.DUMMYFUNCTION("GOOGLETRANSLATE(A146,""ar"", ""en"")"),"5-drawer shoe cabinet")</f>
        <v>5-drawer shoe cabinet</v>
      </c>
      <c r="D146" s="156"/>
      <c r="E146" s="157" t="s">
        <v>5282</v>
      </c>
      <c r="F146" s="158">
        <v>3.0</v>
      </c>
      <c r="G146" s="159">
        <v>45.92</v>
      </c>
      <c r="H146" s="160">
        <v>137.76</v>
      </c>
      <c r="I146" s="154" t="s">
        <v>123</v>
      </c>
      <c r="J146" s="162"/>
      <c r="K146" s="162"/>
      <c r="L146" s="162"/>
      <c r="M146" s="162"/>
      <c r="N146" s="162"/>
    </row>
    <row r="147">
      <c r="A147" s="178" t="s">
        <v>5283</v>
      </c>
      <c r="B147" s="154">
        <f t="shared" si="1"/>
        <v>1145</v>
      </c>
      <c r="C147" s="155" t="str">
        <f>IFERROR(__xludf.DUMMYFUNCTION("GOOGLETRANSLATE(A147,""ar"", ""en"")"),"ARM REST")</f>
        <v>ARM REST</v>
      </c>
      <c r="D147" s="169"/>
      <c r="E147" s="170" t="s">
        <v>5284</v>
      </c>
      <c r="F147" s="171">
        <v>4.0</v>
      </c>
      <c r="G147" s="176">
        <v>0.0</v>
      </c>
      <c r="H147" s="177">
        <v>0.0</v>
      </c>
      <c r="I147" s="154" t="s">
        <v>123</v>
      </c>
      <c r="J147" s="162"/>
      <c r="K147" s="162"/>
      <c r="L147" s="162"/>
      <c r="M147" s="162"/>
      <c r="N147" s="162"/>
    </row>
    <row r="148">
      <c r="A148" s="179" t="s">
        <v>5285</v>
      </c>
      <c r="B148" s="154">
        <f t="shared" si="1"/>
        <v>1146</v>
      </c>
      <c r="C148" s="155" t="str">
        <f>IFERROR(__xludf.DUMMYFUNCTION("GOOGLETRANSLATE(A148,""ar"", ""en"")"),"SPONGE CUT MACHINE")</f>
        <v>SPONGE CUT MACHINE</v>
      </c>
      <c r="D148" s="184"/>
      <c r="E148" s="185" t="s">
        <v>5286</v>
      </c>
      <c r="F148" s="158">
        <v>1.0</v>
      </c>
      <c r="G148" s="159">
        <v>743.94</v>
      </c>
      <c r="H148" s="160">
        <v>743.94</v>
      </c>
      <c r="I148" s="154" t="s">
        <v>123</v>
      </c>
      <c r="J148" s="162"/>
      <c r="K148" s="162"/>
      <c r="L148" s="162"/>
      <c r="M148" s="162"/>
      <c r="N148" s="162"/>
    </row>
    <row r="149">
      <c r="A149" s="179" t="s">
        <v>2336</v>
      </c>
      <c r="B149" s="154">
        <f t="shared" si="1"/>
        <v>1147</v>
      </c>
      <c r="C149" s="155" t="str">
        <f>IFERROR(__xludf.DUMMYFUNCTION("GOOGLETRANSLATE(A149,""ar"", ""en"")"),"120 cm table")</f>
        <v>120 cm table</v>
      </c>
      <c r="D149" s="156"/>
      <c r="E149" s="157" t="s">
        <v>3042</v>
      </c>
      <c r="F149" s="158">
        <v>4.0</v>
      </c>
      <c r="G149" s="159">
        <v>25.12</v>
      </c>
      <c r="H149" s="160">
        <v>100.47</v>
      </c>
      <c r="I149" s="154" t="s">
        <v>123</v>
      </c>
      <c r="J149" s="162"/>
      <c r="K149" s="162"/>
      <c r="L149" s="162"/>
      <c r="M149" s="162"/>
      <c r="N149" s="162"/>
    </row>
    <row r="150">
      <c r="A150" s="178" t="s">
        <v>2336</v>
      </c>
      <c r="B150" s="154">
        <f t="shared" si="1"/>
        <v>1148</v>
      </c>
      <c r="C150" s="155" t="str">
        <f>IFERROR(__xludf.DUMMYFUNCTION("GOOGLETRANSLATE(A150,""ar"", ""en"")"),"120 cm table")</f>
        <v>120 cm table</v>
      </c>
      <c r="D150" s="169"/>
      <c r="E150" s="170" t="s">
        <v>5287</v>
      </c>
      <c r="F150" s="171">
        <v>2.0</v>
      </c>
      <c r="G150" s="176">
        <v>30.22</v>
      </c>
      <c r="H150" s="177">
        <v>60.44</v>
      </c>
      <c r="I150" s="154" t="s">
        <v>123</v>
      </c>
      <c r="J150" s="162"/>
      <c r="K150" s="162"/>
      <c r="L150" s="162"/>
      <c r="M150" s="162"/>
      <c r="N150" s="162"/>
    </row>
    <row r="151">
      <c r="A151" s="179" t="s">
        <v>5288</v>
      </c>
      <c r="B151" s="154">
        <f t="shared" si="1"/>
        <v>1149</v>
      </c>
      <c r="C151" s="155" t="str">
        <f>IFERROR(__xludf.DUMMYFUNCTION("GOOGLETRANSLATE(A151,""ar"", ""en"")"),"150 cm fixed table with two watermelons")</f>
        <v>150 cm fixed table with two watermelons</v>
      </c>
      <c r="D151" s="156"/>
      <c r="E151" s="157" t="s">
        <v>3053</v>
      </c>
      <c r="F151" s="158">
        <v>4.0</v>
      </c>
      <c r="G151" s="159">
        <v>51.55</v>
      </c>
      <c r="H151" s="160">
        <v>206.21</v>
      </c>
      <c r="I151" s="154" t="s">
        <v>123</v>
      </c>
      <c r="J151" s="162"/>
      <c r="K151" s="162"/>
      <c r="L151" s="162"/>
      <c r="M151" s="162"/>
      <c r="N151" s="162"/>
    </row>
    <row r="152">
      <c r="A152" s="178" t="s">
        <v>5289</v>
      </c>
      <c r="B152" s="154">
        <f t="shared" si="1"/>
        <v>1150</v>
      </c>
      <c r="C152" s="155" t="str">
        <f>IFERROR(__xludf.DUMMYFUNCTION("GOOGLETRANSLATE(A152,""ar"", ""en"")"),"195 cm table")</f>
        <v>195 cm table</v>
      </c>
      <c r="D152" s="169"/>
      <c r="E152" s="170" t="s">
        <v>5290</v>
      </c>
      <c r="F152" s="171">
        <v>1.0</v>
      </c>
      <c r="G152" s="176">
        <v>74.11</v>
      </c>
      <c r="H152" s="177">
        <v>74.11</v>
      </c>
      <c r="I152" s="154" t="s">
        <v>123</v>
      </c>
      <c r="J152" s="162"/>
      <c r="K152" s="162"/>
      <c r="L152" s="162"/>
      <c r="M152" s="162"/>
      <c r="N152" s="162"/>
    </row>
    <row r="153">
      <c r="A153" s="179" t="s">
        <v>5291</v>
      </c>
      <c r="B153" s="154">
        <f t="shared" si="1"/>
        <v>1151</v>
      </c>
      <c r="C153" s="155" t="str">
        <f>IFERROR(__xludf.DUMMYFUNCTION("GOOGLETRANSLATE(A153,""ar"", ""en"")"),"150 cm lathe table")</f>
        <v>150 cm lathe table</v>
      </c>
      <c r="D153" s="156"/>
      <c r="E153" s="157" t="s">
        <v>5292</v>
      </c>
      <c r="F153" s="158">
        <v>2.0</v>
      </c>
      <c r="G153" s="159">
        <v>46.0</v>
      </c>
      <c r="H153" s="160">
        <v>92.0</v>
      </c>
      <c r="I153" s="154" t="s">
        <v>123</v>
      </c>
      <c r="J153" s="162"/>
      <c r="K153" s="162"/>
      <c r="L153" s="162"/>
      <c r="M153" s="162"/>
      <c r="N153" s="162"/>
    </row>
    <row r="154">
      <c r="A154" s="178" t="s">
        <v>5293</v>
      </c>
      <c r="B154" s="154">
        <f t="shared" si="1"/>
        <v>1152</v>
      </c>
      <c r="C154" s="155" t="str">
        <f>IFERROR(__xludf.DUMMYFUNCTION("GOOGLETRANSLATE(A154,""ar"", ""en"")"),"150 cm table")</f>
        <v>150 cm table</v>
      </c>
      <c r="D154" s="169"/>
      <c r="E154" s="170" t="s">
        <v>5294</v>
      </c>
      <c r="F154" s="171">
        <v>1.0</v>
      </c>
      <c r="G154" s="176">
        <v>50.26</v>
      </c>
      <c r="H154" s="177">
        <v>50.26</v>
      </c>
      <c r="I154" s="154" t="s">
        <v>123</v>
      </c>
      <c r="J154" s="162"/>
      <c r="K154" s="162"/>
      <c r="L154" s="162"/>
      <c r="M154" s="162"/>
      <c r="N154" s="162"/>
    </row>
    <row r="155">
      <c r="A155" s="179" t="s">
        <v>2336</v>
      </c>
      <c r="B155" s="154">
        <f t="shared" si="1"/>
        <v>1153</v>
      </c>
      <c r="C155" s="155" t="str">
        <f>IFERROR(__xludf.DUMMYFUNCTION("GOOGLETRANSLATE(A155,""ar"", ""en"")"),"120 cm table")</f>
        <v>120 cm table</v>
      </c>
      <c r="D155" s="156"/>
      <c r="E155" s="157" t="s">
        <v>5295</v>
      </c>
      <c r="F155" s="158">
        <v>1.0</v>
      </c>
      <c r="G155" s="159">
        <v>33.25</v>
      </c>
      <c r="H155" s="160">
        <v>33.25</v>
      </c>
      <c r="I155" s="154" t="s">
        <v>123</v>
      </c>
      <c r="J155" s="162"/>
      <c r="K155" s="162"/>
      <c r="L155" s="162"/>
      <c r="M155" s="162"/>
      <c r="N155" s="162"/>
    </row>
    <row r="156">
      <c r="A156" s="178" t="s">
        <v>5296</v>
      </c>
      <c r="B156" s="154">
        <f t="shared" si="1"/>
        <v>1154</v>
      </c>
      <c r="C156" s="155" t="str">
        <f>IFERROR(__xludf.DUMMYFUNCTION("GOOGLETRANSLATE(A156,""ar"", ""en"")"),"Dining table 150*90 cm")</f>
        <v>Dining table 150*90 cm</v>
      </c>
      <c r="D156" s="169"/>
      <c r="E156" s="170" t="s">
        <v>5297</v>
      </c>
      <c r="F156" s="171">
        <v>1.0</v>
      </c>
      <c r="G156" s="176">
        <v>46.55</v>
      </c>
      <c r="H156" s="177">
        <v>46.55</v>
      </c>
      <c r="I156" s="154" t="s">
        <v>123</v>
      </c>
      <c r="J156" s="162"/>
      <c r="K156" s="162"/>
      <c r="L156" s="162"/>
      <c r="M156" s="162"/>
      <c r="N156" s="162"/>
    </row>
    <row r="157">
      <c r="A157" s="178" t="s">
        <v>5298</v>
      </c>
      <c r="B157" s="154">
        <f t="shared" si="1"/>
        <v>1155</v>
      </c>
      <c r="C157" s="155" t="str">
        <f>IFERROR(__xludf.DUMMYFUNCTION("GOOGLETRANSLATE(A157,""ar"", ""en"")"),"Iron table 110*70 cm")</f>
        <v>Iron table 110*70 cm</v>
      </c>
      <c r="D157" s="169"/>
      <c r="E157" s="170" t="s">
        <v>5299</v>
      </c>
      <c r="F157" s="171">
        <v>1.0</v>
      </c>
      <c r="G157" s="176">
        <v>44.33</v>
      </c>
      <c r="H157" s="177">
        <v>44.33</v>
      </c>
      <c r="I157" s="154" t="s">
        <v>123</v>
      </c>
      <c r="J157" s="162"/>
      <c r="K157" s="162"/>
      <c r="L157" s="162"/>
      <c r="M157" s="162"/>
      <c r="N157" s="162"/>
    </row>
    <row r="158">
      <c r="A158" s="178" t="s">
        <v>5293</v>
      </c>
      <c r="B158" s="154">
        <f t="shared" si="1"/>
        <v>1156</v>
      </c>
      <c r="C158" s="155" t="str">
        <f>IFERROR(__xludf.DUMMYFUNCTION("GOOGLETRANSLATE(A158,""ar"", ""en"")"),"150 cm table")</f>
        <v>150 cm table</v>
      </c>
      <c r="D158" s="169"/>
      <c r="E158" s="170" t="s">
        <v>5300</v>
      </c>
      <c r="F158" s="171">
        <v>1.0</v>
      </c>
      <c r="G158" s="176">
        <v>55.88</v>
      </c>
      <c r="H158" s="177">
        <v>55.88</v>
      </c>
      <c r="I158" s="154" t="s">
        <v>123</v>
      </c>
      <c r="J158" s="162"/>
      <c r="K158" s="162"/>
      <c r="L158" s="162"/>
      <c r="M158" s="162"/>
      <c r="N158" s="162"/>
    </row>
    <row r="159">
      <c r="A159" s="179" t="s">
        <v>5301</v>
      </c>
      <c r="B159" s="154">
        <f t="shared" si="1"/>
        <v>1157</v>
      </c>
      <c r="C159" s="155" t="str">
        <f>IFERROR(__xludf.DUMMYFUNCTION("GOOGLETRANSLATE(A159,""ar"", ""en"")"),"Table Cross")</f>
        <v>Table Cross</v>
      </c>
      <c r="D159" s="156"/>
      <c r="E159" s="157" t="s">
        <v>5302</v>
      </c>
      <c r="F159" s="158">
        <v>359.0</v>
      </c>
      <c r="G159" s="159">
        <v>3.38</v>
      </c>
      <c r="H159" s="160">
        <v>1213.64</v>
      </c>
      <c r="I159" s="154" t="s">
        <v>123</v>
      </c>
      <c r="J159" s="162"/>
      <c r="K159" s="162"/>
      <c r="L159" s="162"/>
      <c r="M159" s="162"/>
      <c r="N159" s="162"/>
    </row>
    <row r="160">
      <c r="A160" s="178" t="s">
        <v>5303</v>
      </c>
      <c r="B160" s="154">
        <f t="shared" si="1"/>
        <v>1158</v>
      </c>
      <c r="C160" s="155" t="str">
        <f>IFERROR(__xludf.DUMMYFUNCTION("GOOGLETRANSLATE(A160,""ar"", ""en"")"),"Natural LCD table")</f>
        <v>Natural LCD table</v>
      </c>
      <c r="D160" s="169"/>
      <c r="E160" s="170" t="s">
        <v>5304</v>
      </c>
      <c r="F160" s="171">
        <v>1.0</v>
      </c>
      <c r="G160" s="176">
        <v>46.0</v>
      </c>
      <c r="H160" s="177">
        <v>46.0</v>
      </c>
      <c r="I160" s="154" t="s">
        <v>123</v>
      </c>
      <c r="J160" s="162"/>
      <c r="K160" s="162"/>
      <c r="L160" s="162"/>
      <c r="M160" s="162"/>
      <c r="N160" s="162"/>
    </row>
    <row r="161">
      <c r="A161" s="179" t="s">
        <v>2687</v>
      </c>
      <c r="B161" s="154">
        <f t="shared" si="1"/>
        <v>1159</v>
      </c>
      <c r="C161" s="155" t="str">
        <f>IFERROR(__xludf.DUMMYFUNCTION("GOOGLETRANSLATE(A161,""ar"", ""en"")"),"TV table")</f>
        <v>TV table</v>
      </c>
      <c r="D161" s="156"/>
      <c r="E161" s="157" t="s">
        <v>5305</v>
      </c>
      <c r="F161" s="158">
        <v>-1.0</v>
      </c>
      <c r="G161" s="159">
        <v>36.98</v>
      </c>
      <c r="H161" s="160">
        <v>-36.98</v>
      </c>
      <c r="I161" s="154" t="s">
        <v>123</v>
      </c>
      <c r="J161" s="162"/>
      <c r="K161" s="162"/>
      <c r="L161" s="162"/>
      <c r="M161" s="162"/>
      <c r="N161" s="162"/>
    </row>
    <row r="162">
      <c r="A162" s="178" t="s">
        <v>5306</v>
      </c>
      <c r="B162" s="154">
        <f t="shared" si="1"/>
        <v>1160</v>
      </c>
      <c r="C162" s="155" t="str">
        <f>IFERROR(__xludf.DUMMYFUNCTION("GOOGLETRANSLATE(A162,""ar"", ""en"")"),"LCD TV table")</f>
        <v>LCD TV table</v>
      </c>
      <c r="D162" s="169"/>
      <c r="E162" s="170" t="s">
        <v>5307</v>
      </c>
      <c r="F162" s="171">
        <v>1.0</v>
      </c>
      <c r="G162" s="176">
        <v>54.55</v>
      </c>
      <c r="H162" s="177">
        <v>54.55</v>
      </c>
      <c r="I162" s="154" t="s">
        <v>123</v>
      </c>
      <c r="J162" s="162"/>
      <c r="K162" s="162"/>
      <c r="L162" s="162"/>
      <c r="M162" s="162"/>
      <c r="N162" s="162"/>
    </row>
    <row r="163">
      <c r="A163" s="178" t="s">
        <v>5306</v>
      </c>
      <c r="B163" s="154">
        <f t="shared" si="1"/>
        <v>1161</v>
      </c>
      <c r="C163" s="155" t="str">
        <f>IFERROR(__xludf.DUMMYFUNCTION("GOOGLETRANSLATE(A163,""ar"", ""en"")"),"LCD TV table")</f>
        <v>LCD TV table</v>
      </c>
      <c r="D163" s="169"/>
      <c r="E163" s="170" t="s">
        <v>5308</v>
      </c>
      <c r="F163" s="171">
        <v>2.0</v>
      </c>
      <c r="G163" s="176">
        <v>33.26</v>
      </c>
      <c r="H163" s="177">
        <v>66.51</v>
      </c>
      <c r="I163" s="154" t="s">
        <v>123</v>
      </c>
      <c r="J163" s="162"/>
      <c r="K163" s="162"/>
      <c r="L163" s="162"/>
      <c r="M163" s="162"/>
      <c r="N163" s="162"/>
    </row>
    <row r="164">
      <c r="A164" s="179" t="s">
        <v>5309</v>
      </c>
      <c r="B164" s="154">
        <f t="shared" si="1"/>
        <v>1162</v>
      </c>
      <c r="C164" s="155" t="str">
        <f>IFERROR(__xludf.DUMMYFUNCTION("GOOGLETRANSLATE(A164,""ar"", ""en"")"),"Natural with LCD table stand")</f>
        <v>Natural with LCD table stand</v>
      </c>
      <c r="D164" s="156"/>
      <c r="E164" s="157" t="s">
        <v>5310</v>
      </c>
      <c r="F164" s="158">
        <v>2.0</v>
      </c>
      <c r="G164" s="159">
        <v>83.0</v>
      </c>
      <c r="H164" s="160">
        <v>166.0</v>
      </c>
      <c r="I164" s="154" t="s">
        <v>123</v>
      </c>
      <c r="J164" s="162"/>
      <c r="K164" s="162"/>
      <c r="L164" s="162"/>
      <c r="M164" s="162"/>
      <c r="N164" s="162"/>
    </row>
    <row r="165">
      <c r="A165" s="178" t="s">
        <v>2338</v>
      </c>
      <c r="B165" s="154">
        <f t="shared" si="1"/>
        <v>1163</v>
      </c>
      <c r="C165" s="155" t="str">
        <f>IFERROR(__xludf.DUMMYFUNCTION("GOOGLETRANSLATE(A165,""ar"", ""en"")"),"Brown LCD table")</f>
        <v>Brown LCD table</v>
      </c>
      <c r="D165" s="169"/>
      <c r="E165" s="170" t="s">
        <v>5311</v>
      </c>
      <c r="F165" s="171">
        <v>3.0</v>
      </c>
      <c r="G165" s="176">
        <v>73.0</v>
      </c>
      <c r="H165" s="177">
        <v>219.0</v>
      </c>
      <c r="I165" s="154" t="s">
        <v>123</v>
      </c>
      <c r="J165" s="162"/>
      <c r="K165" s="162"/>
      <c r="L165" s="162"/>
      <c r="M165" s="162"/>
      <c r="N165" s="162"/>
    </row>
    <row r="166">
      <c r="A166" s="178" t="s">
        <v>2338</v>
      </c>
      <c r="B166" s="154">
        <f t="shared" si="1"/>
        <v>1164</v>
      </c>
      <c r="C166" s="155" t="str">
        <f>IFERROR(__xludf.DUMMYFUNCTION("GOOGLETRANSLATE(A166,""ar"", ""en"")"),"Brown LCD table")</f>
        <v>Brown LCD table</v>
      </c>
      <c r="D166" s="169"/>
      <c r="E166" s="170" t="s">
        <v>5312</v>
      </c>
      <c r="F166" s="171">
        <v>1.0</v>
      </c>
      <c r="G166" s="176">
        <v>143.0</v>
      </c>
      <c r="H166" s="177">
        <v>143.0</v>
      </c>
      <c r="I166" s="154" t="s">
        <v>123</v>
      </c>
      <c r="J166" s="162"/>
      <c r="K166" s="162"/>
      <c r="L166" s="162"/>
      <c r="M166" s="162"/>
      <c r="N166" s="162"/>
    </row>
    <row r="167">
      <c r="A167" s="178" t="s">
        <v>5306</v>
      </c>
      <c r="B167" s="154">
        <f t="shared" si="1"/>
        <v>1165</v>
      </c>
      <c r="C167" s="155" t="str">
        <f>IFERROR(__xludf.DUMMYFUNCTION("GOOGLETRANSLATE(A167,""ar"", ""en"")"),"LCD TV table")</f>
        <v>LCD TV table</v>
      </c>
      <c r="D167" s="169"/>
      <c r="E167" s="170" t="s">
        <v>5313</v>
      </c>
      <c r="F167" s="171">
        <v>1.0</v>
      </c>
      <c r="G167" s="176">
        <v>44.48</v>
      </c>
      <c r="H167" s="177">
        <v>44.48</v>
      </c>
      <c r="I167" s="154" t="s">
        <v>123</v>
      </c>
      <c r="J167" s="162"/>
      <c r="K167" s="162"/>
      <c r="L167" s="162"/>
      <c r="M167" s="162"/>
      <c r="N167" s="162"/>
    </row>
    <row r="168">
      <c r="A168" s="179" t="s">
        <v>5306</v>
      </c>
      <c r="B168" s="154">
        <f t="shared" si="1"/>
        <v>1166</v>
      </c>
      <c r="C168" s="155" t="str">
        <f>IFERROR(__xludf.DUMMYFUNCTION("GOOGLETRANSLATE(A168,""ar"", ""en"")"),"LCD TV table")</f>
        <v>LCD TV table</v>
      </c>
      <c r="D168" s="156"/>
      <c r="E168" s="157" t="s">
        <v>5314</v>
      </c>
      <c r="F168" s="158">
        <v>1.0</v>
      </c>
      <c r="G168" s="159">
        <v>44.48</v>
      </c>
      <c r="H168" s="160">
        <v>44.48</v>
      </c>
      <c r="I168" s="154" t="s">
        <v>123</v>
      </c>
      <c r="J168" s="162"/>
      <c r="K168" s="162"/>
      <c r="L168" s="162"/>
      <c r="M168" s="162"/>
      <c r="N168" s="162"/>
    </row>
    <row r="169">
      <c r="A169" s="178" t="s">
        <v>5306</v>
      </c>
      <c r="B169" s="154">
        <f t="shared" si="1"/>
        <v>1167</v>
      </c>
      <c r="C169" s="155" t="str">
        <f>IFERROR(__xludf.DUMMYFUNCTION("GOOGLETRANSLATE(A169,""ar"", ""en"")"),"LCD TV table")</f>
        <v>LCD TV table</v>
      </c>
      <c r="D169" s="169"/>
      <c r="E169" s="170" t="s">
        <v>5315</v>
      </c>
      <c r="F169" s="171">
        <v>2.0</v>
      </c>
      <c r="G169" s="176">
        <v>62.07</v>
      </c>
      <c r="H169" s="177">
        <v>124.14</v>
      </c>
      <c r="I169" s="154" t="s">
        <v>123</v>
      </c>
      <c r="J169" s="162"/>
      <c r="K169" s="162"/>
      <c r="L169" s="162"/>
      <c r="M169" s="162"/>
      <c r="N169" s="162"/>
    </row>
    <row r="170">
      <c r="A170" s="178" t="s">
        <v>5316</v>
      </c>
      <c r="B170" s="154">
        <f t="shared" si="1"/>
        <v>1168</v>
      </c>
      <c r="C170" s="155" t="str">
        <f>IFERROR(__xludf.DUMMYFUNCTION("GOOGLETRANSLATE(A170,""ar"", ""en"")"),"120*75 cm lathe table")</f>
        <v>120*75 cm lathe table</v>
      </c>
      <c r="D170" s="169"/>
      <c r="E170" s="170" t="s">
        <v>5317</v>
      </c>
      <c r="F170" s="171">
        <v>5.0</v>
      </c>
      <c r="G170" s="176">
        <v>25.25</v>
      </c>
      <c r="H170" s="177">
        <v>126.25</v>
      </c>
      <c r="I170" s="154" t="s">
        <v>123</v>
      </c>
      <c r="J170" s="162"/>
      <c r="K170" s="162"/>
      <c r="L170" s="162"/>
      <c r="M170" s="162"/>
      <c r="N170" s="162"/>
    </row>
    <row r="171">
      <c r="A171" s="179" t="s">
        <v>5318</v>
      </c>
      <c r="B171" s="154">
        <f t="shared" si="1"/>
        <v>1169</v>
      </c>
      <c r="C171" s="155" t="str">
        <f>IFERROR(__xludf.DUMMYFUNCTION("GOOGLETRANSLATE(A171,""ar"", ""en"")"),"Table 150*90 cm")</f>
        <v>Table 150*90 cm</v>
      </c>
      <c r="D171" s="156"/>
      <c r="E171" s="157" t="s">
        <v>5319</v>
      </c>
      <c r="F171" s="158">
        <v>1.0</v>
      </c>
      <c r="G171" s="159">
        <v>37.87</v>
      </c>
      <c r="H171" s="160">
        <v>37.87</v>
      </c>
      <c r="I171" s="154" t="s">
        <v>123</v>
      </c>
      <c r="J171" s="162"/>
      <c r="K171" s="162"/>
      <c r="L171" s="162"/>
      <c r="M171" s="162"/>
      <c r="N171" s="162"/>
    </row>
    <row r="172">
      <c r="A172" s="178" t="s">
        <v>5320</v>
      </c>
      <c r="B172" s="154">
        <f t="shared" si="1"/>
        <v>1170</v>
      </c>
      <c r="C172" s="155" t="str">
        <f>IFERROR(__xludf.DUMMYFUNCTION("GOOGLETRANSLATE(A172,""ar"", ""en"")"),"98*180 cm Vange table")</f>
        <v>98*180 cm Vange table</v>
      </c>
      <c r="D172" s="169"/>
      <c r="E172" s="170" t="s">
        <v>5321</v>
      </c>
      <c r="F172" s="171">
        <v>2.0</v>
      </c>
      <c r="G172" s="176">
        <v>72.01</v>
      </c>
      <c r="H172" s="177">
        <v>144.02</v>
      </c>
      <c r="I172" s="154" t="s">
        <v>123</v>
      </c>
      <c r="J172" s="162"/>
      <c r="K172" s="162"/>
      <c r="L172" s="162"/>
      <c r="M172" s="162"/>
      <c r="N172" s="162"/>
    </row>
    <row r="173">
      <c r="A173" s="179" t="s">
        <v>5322</v>
      </c>
      <c r="B173" s="154">
        <f t="shared" si="1"/>
        <v>1171</v>
      </c>
      <c r="C173" s="155" t="str">
        <f>IFERROR(__xludf.DUMMYFUNCTION("GOOGLETRANSLATE(A173,""ar"", ""en"")"),"150 cm oval table")</f>
        <v>150 cm oval table</v>
      </c>
      <c r="D173" s="156"/>
      <c r="E173" s="157" t="s">
        <v>5323</v>
      </c>
      <c r="F173" s="158">
        <v>1.0</v>
      </c>
      <c r="G173" s="159">
        <v>28.46</v>
      </c>
      <c r="H173" s="160">
        <v>28.46</v>
      </c>
      <c r="I173" s="154" t="s">
        <v>123</v>
      </c>
      <c r="J173" s="162"/>
      <c r="K173" s="162"/>
      <c r="L173" s="162"/>
      <c r="M173" s="162"/>
      <c r="N173" s="162"/>
    </row>
    <row r="174">
      <c r="A174" s="179" t="s">
        <v>3067</v>
      </c>
      <c r="B174" s="154">
        <f t="shared" si="1"/>
        <v>1172</v>
      </c>
      <c r="C174" s="155" t="str">
        <f>IFERROR(__xludf.DUMMYFUNCTION("GOOGLETRANSLATE(A174,""ar"", ""en"")"),"250 cm table with two watermelons")</f>
        <v>250 cm table with two watermelons</v>
      </c>
      <c r="D174" s="156"/>
      <c r="E174" s="157" t="s">
        <v>5324</v>
      </c>
      <c r="F174" s="158">
        <v>4.0</v>
      </c>
      <c r="G174" s="159">
        <v>96.8</v>
      </c>
      <c r="H174" s="160">
        <v>387.2</v>
      </c>
      <c r="I174" s="154" t="s">
        <v>123</v>
      </c>
      <c r="J174" s="162"/>
      <c r="K174" s="162"/>
      <c r="L174" s="162"/>
      <c r="M174" s="162"/>
      <c r="N174" s="162"/>
    </row>
    <row r="175">
      <c r="A175" s="179" t="s">
        <v>5325</v>
      </c>
      <c r="B175" s="154">
        <f t="shared" si="1"/>
        <v>1173</v>
      </c>
      <c r="C175" s="155" t="str">
        <f>IFERROR(__xludf.DUMMYFUNCTION("GOOGLETRANSLATE(A175,""ar"", ""en"")"),"CAST IRON BASE/SQUARE")</f>
        <v>CAST IRON BASE/SQUARE</v>
      </c>
      <c r="D175" s="156"/>
      <c r="E175" s="157" t="s">
        <v>4666</v>
      </c>
      <c r="F175" s="158">
        <v>62.0</v>
      </c>
      <c r="G175" s="159">
        <v>15.15</v>
      </c>
      <c r="H175" s="160">
        <v>939.02</v>
      </c>
      <c r="I175" s="154" t="s">
        <v>123</v>
      </c>
      <c r="J175" s="162"/>
      <c r="K175" s="162"/>
      <c r="L175" s="162"/>
      <c r="M175" s="162"/>
      <c r="N175" s="162"/>
    </row>
    <row r="176">
      <c r="A176" s="178" t="s">
        <v>5326</v>
      </c>
      <c r="B176" s="154">
        <f t="shared" si="1"/>
        <v>1174</v>
      </c>
      <c r="C176" s="155" t="str">
        <f>IFERROR(__xludf.DUMMYFUNCTION("GOOGLETRANSLATE(A176,""ar"", ""en"")"),"TUBE")</f>
        <v>TUBE</v>
      </c>
      <c r="D176" s="169"/>
      <c r="E176" s="170" t="s">
        <v>5327</v>
      </c>
      <c r="F176" s="171">
        <v>100.0</v>
      </c>
      <c r="G176" s="176">
        <v>5.3</v>
      </c>
      <c r="H176" s="177">
        <v>530.09</v>
      </c>
      <c r="I176" s="154" t="s">
        <v>123</v>
      </c>
      <c r="J176" s="162"/>
      <c r="K176" s="162"/>
      <c r="L176" s="162"/>
      <c r="M176" s="162"/>
      <c r="N176" s="162"/>
    </row>
    <row r="177">
      <c r="A177" s="179" t="s">
        <v>5326</v>
      </c>
      <c r="B177" s="154">
        <f t="shared" si="1"/>
        <v>1175</v>
      </c>
      <c r="C177" s="155" t="str">
        <f>IFERROR(__xludf.DUMMYFUNCTION("GOOGLETRANSLATE(A177,""ar"", ""en"")"),"TUBE")</f>
        <v>TUBE</v>
      </c>
      <c r="D177" s="156"/>
      <c r="E177" s="157" t="s">
        <v>5328</v>
      </c>
      <c r="F177" s="158">
        <v>60.0</v>
      </c>
      <c r="G177" s="159">
        <v>5.3</v>
      </c>
      <c r="H177" s="160">
        <v>318.06</v>
      </c>
      <c r="I177" s="154" t="s">
        <v>123</v>
      </c>
      <c r="J177" s="162"/>
      <c r="K177" s="162"/>
      <c r="L177" s="162"/>
      <c r="M177" s="162"/>
      <c r="N177" s="162"/>
    </row>
    <row r="178">
      <c r="A178" s="178" t="s">
        <v>5326</v>
      </c>
      <c r="B178" s="154">
        <f t="shared" si="1"/>
        <v>1176</v>
      </c>
      <c r="C178" s="155" t="str">
        <f>IFERROR(__xludf.DUMMYFUNCTION("GOOGLETRANSLATE(A178,""ar"", ""en"")"),"TUBE")</f>
        <v>TUBE</v>
      </c>
      <c r="D178" s="169"/>
      <c r="E178" s="170" t="s">
        <v>5329</v>
      </c>
      <c r="F178" s="171">
        <v>30.0</v>
      </c>
      <c r="G178" s="176">
        <v>5.3</v>
      </c>
      <c r="H178" s="177">
        <v>159.03</v>
      </c>
      <c r="I178" s="154" t="s">
        <v>123</v>
      </c>
      <c r="J178" s="162"/>
      <c r="K178" s="162"/>
      <c r="L178" s="162"/>
      <c r="M178" s="162"/>
      <c r="N178" s="162"/>
    </row>
    <row r="179">
      <c r="A179" s="179" t="s">
        <v>5326</v>
      </c>
      <c r="B179" s="154">
        <f t="shared" si="1"/>
        <v>1177</v>
      </c>
      <c r="C179" s="155" t="str">
        <f>IFERROR(__xludf.DUMMYFUNCTION("GOOGLETRANSLATE(A179,""ar"", ""en"")"),"TUBE")</f>
        <v>TUBE</v>
      </c>
      <c r="D179" s="156"/>
      <c r="E179" s="157" t="s">
        <v>5330</v>
      </c>
      <c r="F179" s="158">
        <v>30.0</v>
      </c>
      <c r="G179" s="159">
        <v>6.06</v>
      </c>
      <c r="H179" s="160">
        <v>181.75</v>
      </c>
      <c r="I179" s="154" t="s">
        <v>123</v>
      </c>
      <c r="J179" s="162"/>
      <c r="K179" s="162"/>
      <c r="L179" s="162"/>
      <c r="M179" s="162"/>
      <c r="N179" s="162"/>
    </row>
    <row r="180">
      <c r="A180" s="178" t="s">
        <v>5326</v>
      </c>
      <c r="B180" s="154">
        <f t="shared" si="1"/>
        <v>1178</v>
      </c>
      <c r="C180" s="155" t="str">
        <f>IFERROR(__xludf.DUMMYFUNCTION("GOOGLETRANSLATE(A180,""ar"", ""en"")"),"TUBE")</f>
        <v>TUBE</v>
      </c>
      <c r="D180" s="169"/>
      <c r="E180" s="170" t="s">
        <v>5331</v>
      </c>
      <c r="F180" s="171">
        <v>50.0</v>
      </c>
      <c r="G180" s="176">
        <v>6.82</v>
      </c>
      <c r="H180" s="177">
        <v>340.77</v>
      </c>
      <c r="I180" s="154" t="s">
        <v>123</v>
      </c>
      <c r="J180" s="162"/>
      <c r="K180" s="162"/>
      <c r="L180" s="162"/>
      <c r="M180" s="162"/>
      <c r="N180" s="162"/>
    </row>
    <row r="181">
      <c r="A181" s="179" t="s">
        <v>5326</v>
      </c>
      <c r="B181" s="154">
        <f t="shared" si="1"/>
        <v>1179</v>
      </c>
      <c r="C181" s="155" t="str">
        <f>IFERROR(__xludf.DUMMYFUNCTION("GOOGLETRANSLATE(A181,""ar"", ""en"")"),"TUBE")</f>
        <v>TUBE</v>
      </c>
      <c r="D181" s="156"/>
      <c r="E181" s="157" t="s">
        <v>5332</v>
      </c>
      <c r="F181" s="158">
        <v>45.0</v>
      </c>
      <c r="G181" s="159">
        <v>6.82</v>
      </c>
      <c r="H181" s="160">
        <v>306.7</v>
      </c>
      <c r="I181" s="154" t="s">
        <v>123</v>
      </c>
      <c r="J181" s="162"/>
      <c r="K181" s="162"/>
      <c r="L181" s="162"/>
      <c r="M181" s="162"/>
      <c r="N181" s="162"/>
    </row>
    <row r="182">
      <c r="A182" s="179" t="s">
        <v>5326</v>
      </c>
      <c r="B182" s="154">
        <f t="shared" si="1"/>
        <v>1180</v>
      </c>
      <c r="C182" s="155" t="str">
        <f>IFERROR(__xludf.DUMMYFUNCTION("GOOGLETRANSLATE(A182,""ar"", ""en"")"),"TUBE")</f>
        <v>TUBE</v>
      </c>
      <c r="D182" s="156"/>
      <c r="E182" s="157" t="s">
        <v>5333</v>
      </c>
      <c r="F182" s="158">
        <v>50.0</v>
      </c>
      <c r="G182" s="159">
        <v>4.6</v>
      </c>
      <c r="H182" s="160">
        <v>230.21</v>
      </c>
      <c r="I182" s="154" t="s">
        <v>123</v>
      </c>
      <c r="J182" s="162"/>
      <c r="K182" s="162"/>
      <c r="L182" s="162"/>
      <c r="M182" s="162"/>
      <c r="N182" s="162"/>
    </row>
    <row r="183">
      <c r="A183" s="179" t="s">
        <v>2360</v>
      </c>
      <c r="B183" s="154">
        <f t="shared" si="1"/>
        <v>1181</v>
      </c>
      <c r="C183" s="155" t="str">
        <f>IFERROR(__xludf.DUMMYFUNCTION("GOOGLETRANSLATE(A183,""ar"", ""en"")"),"Table base tube")</f>
        <v>Table base tube</v>
      </c>
      <c r="D183" s="156"/>
      <c r="E183" s="157" t="s">
        <v>5334</v>
      </c>
      <c r="F183" s="158">
        <v>20.0</v>
      </c>
      <c r="G183" s="159">
        <v>14.33</v>
      </c>
      <c r="H183" s="160">
        <v>286.64</v>
      </c>
      <c r="I183" s="154" t="s">
        <v>123</v>
      </c>
      <c r="J183" s="162"/>
      <c r="K183" s="162"/>
      <c r="L183" s="162"/>
      <c r="M183" s="162"/>
      <c r="N183" s="162"/>
    </row>
    <row r="184">
      <c r="A184" s="178" t="s">
        <v>5326</v>
      </c>
      <c r="B184" s="154">
        <f t="shared" si="1"/>
        <v>1182</v>
      </c>
      <c r="C184" s="155" t="str">
        <f>IFERROR(__xludf.DUMMYFUNCTION("GOOGLETRANSLATE(A184,""ar"", ""en"")"),"TUBE")</f>
        <v>TUBE</v>
      </c>
      <c r="D184" s="169"/>
      <c r="E184" s="170" t="s">
        <v>5335</v>
      </c>
      <c r="F184" s="171">
        <v>30.0</v>
      </c>
      <c r="G184" s="176">
        <v>13.15</v>
      </c>
      <c r="H184" s="177">
        <v>394.6</v>
      </c>
      <c r="I184" s="154" t="s">
        <v>123</v>
      </c>
      <c r="J184" s="162"/>
      <c r="K184" s="162"/>
      <c r="L184" s="162"/>
      <c r="M184" s="162"/>
      <c r="N184" s="162"/>
    </row>
    <row r="185">
      <c r="A185" s="179" t="s">
        <v>5326</v>
      </c>
      <c r="B185" s="154">
        <f t="shared" si="1"/>
        <v>1183</v>
      </c>
      <c r="C185" s="155" t="str">
        <f>IFERROR(__xludf.DUMMYFUNCTION("GOOGLETRANSLATE(A185,""ar"", ""en"")"),"TUBE")</f>
        <v>TUBE</v>
      </c>
      <c r="D185" s="156"/>
      <c r="E185" s="157" t="s">
        <v>5336</v>
      </c>
      <c r="F185" s="158">
        <v>20.0</v>
      </c>
      <c r="G185" s="159">
        <v>13.15</v>
      </c>
      <c r="H185" s="160">
        <v>263.07</v>
      </c>
      <c r="I185" s="154" t="s">
        <v>123</v>
      </c>
      <c r="J185" s="162"/>
      <c r="K185" s="162"/>
      <c r="L185" s="162"/>
      <c r="M185" s="162"/>
      <c r="N185" s="162"/>
    </row>
    <row r="186">
      <c r="A186" s="178" t="s">
        <v>5071</v>
      </c>
      <c r="B186" s="154">
        <f t="shared" si="1"/>
        <v>1184</v>
      </c>
      <c r="C186" s="155" t="str">
        <f>IFERROR(__xludf.DUMMYFUNCTION("GOOGLETRANSLATE(A186,""ar"", ""en"")"),"CROSS")</f>
        <v>CROSS</v>
      </c>
      <c r="D186" s="169"/>
      <c r="E186" s="170" t="s">
        <v>5337</v>
      </c>
      <c r="F186" s="171">
        <v>60.0</v>
      </c>
      <c r="G186" s="176">
        <v>3.77</v>
      </c>
      <c r="H186" s="177">
        <v>226.3</v>
      </c>
      <c r="I186" s="154" t="s">
        <v>123</v>
      </c>
      <c r="J186" s="162"/>
      <c r="K186" s="162"/>
      <c r="L186" s="162"/>
      <c r="M186" s="162"/>
      <c r="N186" s="162"/>
    </row>
    <row r="187">
      <c r="A187" s="178" t="s">
        <v>2368</v>
      </c>
      <c r="B187" s="154">
        <f t="shared" si="1"/>
        <v>1185</v>
      </c>
      <c r="C187" s="155" t="str">
        <f>IFERROR(__xludf.DUMMYFUNCTION("GOOGLETRANSLATE(A187,""ar"", ""en"")"),"Table Base")</f>
        <v>Table Base</v>
      </c>
      <c r="D187" s="169"/>
      <c r="E187" s="170" t="s">
        <v>5338</v>
      </c>
      <c r="F187" s="171">
        <v>1.0</v>
      </c>
      <c r="G187" s="176">
        <v>13.63</v>
      </c>
      <c r="H187" s="177">
        <v>13.63</v>
      </c>
      <c r="I187" s="154" t="s">
        <v>123</v>
      </c>
      <c r="J187" s="162"/>
      <c r="K187" s="162"/>
      <c r="L187" s="162"/>
      <c r="M187" s="162"/>
      <c r="N187" s="162"/>
    </row>
    <row r="188">
      <c r="A188" s="178" t="s">
        <v>2368</v>
      </c>
      <c r="B188" s="154">
        <f t="shared" si="1"/>
        <v>1186</v>
      </c>
      <c r="C188" s="155" t="str">
        <f>IFERROR(__xludf.DUMMYFUNCTION("GOOGLETRANSLATE(A188,""ar"", ""en"")"),"Table Base")</f>
        <v>Table Base</v>
      </c>
      <c r="D188" s="169"/>
      <c r="E188" s="170" t="s">
        <v>5339</v>
      </c>
      <c r="F188" s="171">
        <v>1.0</v>
      </c>
      <c r="G188" s="176">
        <v>30.29</v>
      </c>
      <c r="H188" s="177">
        <v>30.29</v>
      </c>
      <c r="I188" s="154" t="s">
        <v>123</v>
      </c>
      <c r="J188" s="162"/>
      <c r="K188" s="162"/>
      <c r="L188" s="162"/>
      <c r="M188" s="162"/>
      <c r="N188" s="162"/>
    </row>
    <row r="189">
      <c r="A189" s="179" t="s">
        <v>2368</v>
      </c>
      <c r="B189" s="154">
        <f t="shared" si="1"/>
        <v>1187</v>
      </c>
      <c r="C189" s="155" t="str">
        <f>IFERROR(__xludf.DUMMYFUNCTION("GOOGLETRANSLATE(A189,""ar"", ""en"")"),"Table Base")</f>
        <v>Table Base</v>
      </c>
      <c r="D189" s="156"/>
      <c r="E189" s="157" t="s">
        <v>5340</v>
      </c>
      <c r="F189" s="158">
        <v>1.0</v>
      </c>
      <c r="G189" s="159">
        <v>27.26</v>
      </c>
      <c r="H189" s="160">
        <v>27.26</v>
      </c>
      <c r="I189" s="154" t="s">
        <v>123</v>
      </c>
      <c r="J189" s="162"/>
      <c r="K189" s="162"/>
      <c r="L189" s="162"/>
      <c r="M189" s="162"/>
      <c r="N189" s="162"/>
    </row>
    <row r="190">
      <c r="A190" s="178" t="s">
        <v>2368</v>
      </c>
      <c r="B190" s="154">
        <f t="shared" si="1"/>
        <v>1188</v>
      </c>
      <c r="C190" s="155" t="str">
        <f>IFERROR(__xludf.DUMMYFUNCTION("GOOGLETRANSLATE(A190,""ar"", ""en"")"),"Table Base")</f>
        <v>Table Base</v>
      </c>
      <c r="D190" s="169"/>
      <c r="E190" s="170" t="s">
        <v>5341</v>
      </c>
      <c r="F190" s="171">
        <v>1.0</v>
      </c>
      <c r="G190" s="176">
        <v>30.29</v>
      </c>
      <c r="H190" s="177">
        <v>30.29</v>
      </c>
      <c r="I190" s="154" t="s">
        <v>123</v>
      </c>
      <c r="J190" s="162"/>
      <c r="K190" s="162"/>
      <c r="L190" s="162"/>
      <c r="M190" s="162"/>
      <c r="N190" s="162"/>
    </row>
    <row r="191">
      <c r="A191" s="178" t="s">
        <v>5342</v>
      </c>
      <c r="B191" s="154">
        <f t="shared" si="1"/>
        <v>1189</v>
      </c>
      <c r="C191" s="155" t="str">
        <f>IFERROR(__xludf.DUMMYFUNCTION("GOOGLETRANSLATE(A191,""ar"", ""en"")"),"Table base tubes")</f>
        <v>Table base tubes</v>
      </c>
      <c r="D191" s="169"/>
      <c r="E191" s="170" t="s">
        <v>5343</v>
      </c>
      <c r="F191" s="171">
        <v>110.0</v>
      </c>
      <c r="G191" s="176">
        <v>5.56</v>
      </c>
      <c r="H191" s="177">
        <v>611.17</v>
      </c>
      <c r="I191" s="154" t="s">
        <v>123</v>
      </c>
      <c r="J191" s="162"/>
      <c r="K191" s="162"/>
      <c r="L191" s="162"/>
      <c r="M191" s="162"/>
      <c r="N191" s="162"/>
    </row>
    <row r="192">
      <c r="A192" s="179" t="s">
        <v>5342</v>
      </c>
      <c r="B192" s="154">
        <f t="shared" si="1"/>
        <v>1190</v>
      </c>
      <c r="C192" s="155" t="str">
        <f>IFERROR(__xludf.DUMMYFUNCTION("GOOGLETRANSLATE(A192,""ar"", ""en"")"),"Table base tubes")</f>
        <v>Table base tubes</v>
      </c>
      <c r="D192" s="156"/>
      <c r="E192" s="157" t="s">
        <v>5344</v>
      </c>
      <c r="F192" s="158">
        <v>70.0</v>
      </c>
      <c r="G192" s="159">
        <v>23.02</v>
      </c>
      <c r="H192" s="160">
        <v>1611.28</v>
      </c>
      <c r="I192" s="154" t="s">
        <v>123</v>
      </c>
      <c r="J192" s="162"/>
      <c r="K192" s="162"/>
      <c r="L192" s="162"/>
      <c r="M192" s="162"/>
      <c r="N192" s="162"/>
    </row>
    <row r="193">
      <c r="A193" s="178" t="s">
        <v>2317</v>
      </c>
      <c r="B193" s="154">
        <f t="shared" si="1"/>
        <v>1191</v>
      </c>
      <c r="C193" s="155" t="str">
        <f>IFERROR(__xludf.DUMMYFUNCTION("GOOGLETRANSLATE(A193,""ar"", ""en"")"),"SPARE PARTS")</f>
        <v>SPARE PARTS</v>
      </c>
      <c r="D193" s="180"/>
      <c r="E193" s="181" t="s">
        <v>5345</v>
      </c>
      <c r="F193" s="171">
        <v>1.0</v>
      </c>
      <c r="G193" s="176">
        <v>3.73</v>
      </c>
      <c r="H193" s="177">
        <v>3.73</v>
      </c>
      <c r="I193" s="154" t="s">
        <v>123</v>
      </c>
      <c r="J193" s="162"/>
      <c r="K193" s="162"/>
      <c r="L193" s="162"/>
      <c r="M193" s="162"/>
      <c r="N193" s="162"/>
    </row>
    <row r="194">
      <c r="A194" s="179" t="s">
        <v>5346</v>
      </c>
      <c r="B194" s="154">
        <f t="shared" si="1"/>
        <v>1192</v>
      </c>
      <c r="C194" s="155" t="str">
        <f>IFERROR(__xludf.DUMMYFUNCTION("GOOGLETRANSLATE(A194,""ar"", ""en"")"),"ROUND UMBRELLA 200 cm")</f>
        <v>ROUND UMBRELLA 200 cm</v>
      </c>
      <c r="D194" s="156"/>
      <c r="E194" s="157" t="s">
        <v>5347</v>
      </c>
      <c r="F194" s="158">
        <v>2.0</v>
      </c>
      <c r="G194" s="159">
        <v>49.09</v>
      </c>
      <c r="H194" s="160">
        <v>98.18</v>
      </c>
      <c r="I194" s="154" t="s">
        <v>123</v>
      </c>
      <c r="J194" s="162"/>
      <c r="K194" s="162"/>
      <c r="L194" s="162"/>
      <c r="M194" s="162"/>
      <c r="N194" s="162"/>
    </row>
    <row r="195">
      <c r="A195" s="179" t="s">
        <v>5348</v>
      </c>
      <c r="B195" s="154">
        <f t="shared" si="1"/>
        <v>1193</v>
      </c>
      <c r="C195" s="155" t="str">
        <f>IFERROR(__xludf.DUMMYFUNCTION("GOOGLETRANSLATE(A195,""ar"", ""en"")"),"Funky dining chair")</f>
        <v>Funky dining chair</v>
      </c>
      <c r="D195" s="156"/>
      <c r="E195" s="157" t="s">
        <v>5349</v>
      </c>
      <c r="F195" s="158">
        <v>10.0</v>
      </c>
      <c r="G195" s="159">
        <v>16.11</v>
      </c>
      <c r="H195" s="160">
        <v>161.07</v>
      </c>
      <c r="I195" s="154" t="s">
        <v>123</v>
      </c>
      <c r="J195" s="162"/>
      <c r="K195" s="162"/>
      <c r="L195" s="162"/>
      <c r="M195" s="162"/>
      <c r="N195" s="162"/>
    </row>
    <row r="196">
      <c r="A196" s="178" t="s">
        <v>5348</v>
      </c>
      <c r="B196" s="154">
        <f t="shared" si="1"/>
        <v>1194</v>
      </c>
      <c r="C196" s="155" t="str">
        <f>IFERROR(__xludf.DUMMYFUNCTION("GOOGLETRANSLATE(A196,""ar"", ""en"")"),"Funky dining chair")</f>
        <v>Funky dining chair</v>
      </c>
      <c r="D196" s="169"/>
      <c r="E196" s="170" t="s">
        <v>5350</v>
      </c>
      <c r="F196" s="171">
        <v>1.0</v>
      </c>
      <c r="G196" s="176">
        <v>16.11</v>
      </c>
      <c r="H196" s="177">
        <v>16.11</v>
      </c>
      <c r="I196" s="154" t="s">
        <v>123</v>
      </c>
      <c r="J196" s="162"/>
      <c r="K196" s="162"/>
      <c r="L196" s="162"/>
      <c r="M196" s="162"/>
      <c r="N196" s="162"/>
    </row>
    <row r="197">
      <c r="A197" s="179" t="s">
        <v>37</v>
      </c>
      <c r="B197" s="154">
        <f t="shared" si="1"/>
        <v>1195</v>
      </c>
      <c r="C197" s="155" t="str">
        <f>IFERROR(__xludf.DUMMYFUNCTION("GOOGLETRANSLATE(A197,""ar"", ""en"")"),"dining chair")</f>
        <v>dining chair</v>
      </c>
      <c r="D197" s="156"/>
      <c r="E197" s="157" t="s">
        <v>5351</v>
      </c>
      <c r="F197" s="158">
        <v>22.0</v>
      </c>
      <c r="G197" s="159">
        <v>15.95</v>
      </c>
      <c r="H197" s="160">
        <v>350.96</v>
      </c>
      <c r="I197" s="154" t="s">
        <v>123</v>
      </c>
      <c r="J197" s="162"/>
      <c r="K197" s="162"/>
      <c r="L197" s="162"/>
      <c r="M197" s="162"/>
      <c r="N197" s="162"/>
    </row>
    <row r="198">
      <c r="A198" s="178" t="s">
        <v>37</v>
      </c>
      <c r="B198" s="154">
        <f t="shared" si="1"/>
        <v>1196</v>
      </c>
      <c r="C198" s="155" t="str">
        <f>IFERROR(__xludf.DUMMYFUNCTION("GOOGLETRANSLATE(A198,""ar"", ""en"")"),"dining chair")</f>
        <v>dining chair</v>
      </c>
      <c r="D198" s="169"/>
      <c r="E198" s="170" t="s">
        <v>5352</v>
      </c>
      <c r="F198" s="171">
        <v>1.0</v>
      </c>
      <c r="G198" s="176">
        <v>15.95</v>
      </c>
      <c r="H198" s="177">
        <v>15.95</v>
      </c>
      <c r="I198" s="154" t="s">
        <v>123</v>
      </c>
      <c r="J198" s="162"/>
      <c r="K198" s="162"/>
      <c r="L198" s="162"/>
      <c r="M198" s="162"/>
      <c r="N198" s="162"/>
    </row>
    <row r="199">
      <c r="A199" s="179" t="s">
        <v>37</v>
      </c>
      <c r="B199" s="154">
        <f t="shared" si="1"/>
        <v>1197</v>
      </c>
      <c r="C199" s="155" t="str">
        <f>IFERROR(__xludf.DUMMYFUNCTION("GOOGLETRANSLATE(A199,""ar"", ""en"")"),"dining chair")</f>
        <v>dining chair</v>
      </c>
      <c r="D199" s="156"/>
      <c r="E199" s="157" t="s">
        <v>5353</v>
      </c>
      <c r="F199" s="158">
        <v>8.0</v>
      </c>
      <c r="G199" s="159">
        <v>9.45</v>
      </c>
      <c r="H199" s="160">
        <v>75.6</v>
      </c>
      <c r="I199" s="154" t="s">
        <v>123</v>
      </c>
      <c r="J199" s="162"/>
      <c r="K199" s="162"/>
      <c r="L199" s="162"/>
      <c r="M199" s="162"/>
      <c r="N199" s="162"/>
    </row>
    <row r="200">
      <c r="A200" s="178" t="s">
        <v>37</v>
      </c>
      <c r="B200" s="154">
        <f t="shared" si="1"/>
        <v>1198</v>
      </c>
      <c r="C200" s="155" t="str">
        <f>IFERROR(__xludf.DUMMYFUNCTION("GOOGLETRANSLATE(A200,""ar"", ""en"")"),"dining chair")</f>
        <v>dining chair</v>
      </c>
      <c r="D200" s="169"/>
      <c r="E200" s="170" t="s">
        <v>5354</v>
      </c>
      <c r="F200" s="171">
        <v>6.0</v>
      </c>
      <c r="G200" s="176">
        <v>14.74</v>
      </c>
      <c r="H200" s="177">
        <v>88.44</v>
      </c>
      <c r="I200" s="154" t="s">
        <v>123</v>
      </c>
      <c r="J200" s="162"/>
      <c r="K200" s="162"/>
      <c r="L200" s="162"/>
      <c r="M200" s="162"/>
      <c r="N200" s="162"/>
    </row>
    <row r="201">
      <c r="A201" s="179" t="s">
        <v>37</v>
      </c>
      <c r="B201" s="154">
        <f t="shared" si="1"/>
        <v>1199</v>
      </c>
      <c r="C201" s="155" t="str">
        <f>IFERROR(__xludf.DUMMYFUNCTION("GOOGLETRANSLATE(A201,""ar"", ""en"")"),"dining chair")</f>
        <v>dining chair</v>
      </c>
      <c r="D201" s="156"/>
      <c r="E201" s="157" t="s">
        <v>5355</v>
      </c>
      <c r="F201" s="158">
        <v>12.0</v>
      </c>
      <c r="G201" s="159">
        <v>20.27</v>
      </c>
      <c r="H201" s="160">
        <v>243.23</v>
      </c>
      <c r="I201" s="154" t="s">
        <v>123</v>
      </c>
      <c r="J201" s="162"/>
      <c r="K201" s="162"/>
      <c r="L201" s="162"/>
      <c r="M201" s="162"/>
      <c r="N201" s="162"/>
    </row>
    <row r="202">
      <c r="A202" s="178" t="s">
        <v>5356</v>
      </c>
      <c r="B202" s="154">
        <f t="shared" si="1"/>
        <v>1200</v>
      </c>
      <c r="C202" s="155" t="str">
        <f>IFERROR(__xludf.DUMMYFUNCTION("GOOGLETRANSLATE(A202,""ar"", ""en"")"),"Vangee dresser + glass")</f>
        <v>Vangee dresser + glass</v>
      </c>
      <c r="D202" s="169"/>
      <c r="E202" s="170" t="s">
        <v>5357</v>
      </c>
      <c r="F202" s="171">
        <v>1.0</v>
      </c>
      <c r="G202" s="176">
        <v>107.38</v>
      </c>
      <c r="H202" s="177">
        <v>107.38</v>
      </c>
      <c r="I202" s="154" t="s">
        <v>123</v>
      </c>
      <c r="J202" s="162"/>
      <c r="K202" s="162"/>
      <c r="L202" s="162"/>
      <c r="M202" s="162"/>
      <c r="N202" s="162"/>
    </row>
    <row r="203">
      <c r="A203" s="179" t="s">
        <v>5358</v>
      </c>
      <c r="B203" s="154">
        <f t="shared" si="1"/>
        <v>1201</v>
      </c>
      <c r="C203" s="155" t="str">
        <f>IFERROR(__xludf.DUMMYFUNCTION("GOOGLETRANSLATE(A203,""ar"", ""en"")"),"3-door glass dresser")</f>
        <v>3-door glass dresser</v>
      </c>
      <c r="D203" s="156"/>
      <c r="E203" s="157" t="s">
        <v>5359</v>
      </c>
      <c r="F203" s="158">
        <v>1.0</v>
      </c>
      <c r="G203" s="159">
        <v>142.49</v>
      </c>
      <c r="H203" s="160">
        <v>142.49</v>
      </c>
      <c r="I203" s="154" t="s">
        <v>123</v>
      </c>
      <c r="J203" s="162"/>
      <c r="K203" s="162"/>
      <c r="L203" s="162"/>
      <c r="M203" s="162"/>
      <c r="N203" s="162"/>
    </row>
    <row r="204">
      <c r="A204" s="178" t="s">
        <v>5360</v>
      </c>
      <c r="B204" s="154">
        <f t="shared" si="1"/>
        <v>1202</v>
      </c>
      <c r="C204" s="155" t="str">
        <f>IFERROR(__xludf.DUMMYFUNCTION("GOOGLETRANSLATE(A204,""ar"", ""en"")"),"180 cm table set + 6 chairs")</f>
        <v>180 cm table set + 6 chairs</v>
      </c>
      <c r="D204" s="169"/>
      <c r="E204" s="170" t="s">
        <v>5361</v>
      </c>
      <c r="F204" s="171">
        <v>12.0</v>
      </c>
      <c r="G204" s="176">
        <v>150.66</v>
      </c>
      <c r="H204" s="177">
        <v>1807.95</v>
      </c>
      <c r="I204" s="154" t="s">
        <v>123</v>
      </c>
      <c r="J204" s="162"/>
      <c r="K204" s="162"/>
      <c r="L204" s="162"/>
      <c r="M204" s="162"/>
      <c r="N204" s="162"/>
    </row>
    <row r="205">
      <c r="A205" s="178" t="s">
        <v>5362</v>
      </c>
      <c r="B205" s="154">
        <f t="shared" si="1"/>
        <v>1203</v>
      </c>
      <c r="C205" s="155" t="str">
        <f>IFERROR(__xludf.DUMMYFUNCTION("GOOGLETRANSLATE(A205,""ar"", ""en"")"),"WOODEN GAZEBO 3*3")</f>
        <v>WOODEN GAZEBO 3*3</v>
      </c>
      <c r="D205" s="169"/>
      <c r="E205" s="170" t="s">
        <v>5363</v>
      </c>
      <c r="F205" s="171">
        <v>1.0</v>
      </c>
      <c r="G205" s="176">
        <v>30.82</v>
      </c>
      <c r="H205" s="177">
        <v>30.82</v>
      </c>
      <c r="I205" s="154" t="s">
        <v>123</v>
      </c>
      <c r="J205" s="162"/>
      <c r="K205" s="162"/>
      <c r="L205" s="162"/>
      <c r="M205" s="162"/>
      <c r="N205" s="162"/>
    </row>
    <row r="206">
      <c r="A206" s="179" t="s">
        <v>678</v>
      </c>
      <c r="B206" s="154">
        <f t="shared" si="1"/>
        <v>1204</v>
      </c>
      <c r="C206" s="155" t="str">
        <f>IFERROR(__xludf.DUMMYFUNCTION("GOOGLETRANSLATE(A206,""ar"", ""en"")"),"Chest of drawers")</f>
        <v>Chest of drawers</v>
      </c>
      <c r="D206" s="156"/>
      <c r="E206" s="157" t="s">
        <v>5364</v>
      </c>
      <c r="F206" s="158">
        <v>1.0</v>
      </c>
      <c r="G206" s="159">
        <v>62.17</v>
      </c>
      <c r="H206" s="160">
        <v>62.17</v>
      </c>
      <c r="I206" s="154" t="s">
        <v>123</v>
      </c>
      <c r="J206" s="162"/>
      <c r="K206" s="162"/>
      <c r="L206" s="162"/>
      <c r="M206" s="162"/>
      <c r="N206" s="162"/>
    </row>
    <row r="207">
      <c r="A207" s="178" t="s">
        <v>5365</v>
      </c>
      <c r="B207" s="154">
        <f t="shared" si="1"/>
        <v>1205</v>
      </c>
      <c r="C207" s="155" t="str">
        <f>IFERROR(__xludf.DUMMYFUNCTION("GOOGLETRANSLATE(A207,""ar"", ""en"")"),"4-drawer mirrored wardrobe")</f>
        <v>4-drawer mirrored wardrobe</v>
      </c>
      <c r="D207" s="169"/>
      <c r="E207" s="170" t="s">
        <v>5366</v>
      </c>
      <c r="F207" s="171">
        <v>1.0</v>
      </c>
      <c r="G207" s="176">
        <v>128.63</v>
      </c>
      <c r="H207" s="177">
        <v>128.63</v>
      </c>
      <c r="I207" s="154" t="s">
        <v>123</v>
      </c>
      <c r="J207" s="162"/>
      <c r="K207" s="162"/>
      <c r="L207" s="162"/>
      <c r="M207" s="162"/>
      <c r="N207" s="162"/>
    </row>
    <row r="208">
      <c r="A208" s="179" t="s">
        <v>5367</v>
      </c>
      <c r="B208" s="154">
        <f t="shared" si="1"/>
        <v>1206</v>
      </c>
      <c r="C208" s="155" t="str">
        <f>IFERROR(__xludf.DUMMYFUNCTION("GOOGLETRANSLATE(A208,""ar"", ""en"")"),"3-drawer wardrobe")</f>
        <v>3-drawer wardrobe</v>
      </c>
      <c r="D208" s="156"/>
      <c r="E208" s="157" t="s">
        <v>5368</v>
      </c>
      <c r="F208" s="158">
        <v>1.0</v>
      </c>
      <c r="G208" s="159">
        <v>111.27</v>
      </c>
      <c r="H208" s="160">
        <v>111.27</v>
      </c>
      <c r="I208" s="154" t="s">
        <v>123</v>
      </c>
      <c r="J208" s="162"/>
      <c r="K208" s="162"/>
      <c r="L208" s="162"/>
      <c r="M208" s="162"/>
      <c r="N208" s="162"/>
    </row>
    <row r="209">
      <c r="A209" s="178" t="s">
        <v>5369</v>
      </c>
      <c r="B209" s="154">
        <f t="shared" si="1"/>
        <v>1207</v>
      </c>
      <c r="C209" s="155" t="str">
        <f>IFERROR(__xludf.DUMMYFUNCTION("GOOGLETRANSLATE(A209,""ar"", ""en"")"),"aluminum chair")</f>
        <v>aluminum chair</v>
      </c>
      <c r="D209" s="169"/>
      <c r="E209" s="170" t="s">
        <v>5370</v>
      </c>
      <c r="F209" s="171">
        <v>1.0</v>
      </c>
      <c r="G209" s="176">
        <v>22.34</v>
      </c>
      <c r="H209" s="177">
        <v>22.34</v>
      </c>
      <c r="I209" s="154" t="s">
        <v>123</v>
      </c>
      <c r="J209" s="162"/>
      <c r="K209" s="162"/>
      <c r="L209" s="162"/>
      <c r="M209" s="162"/>
      <c r="N209" s="162"/>
    </row>
    <row r="210">
      <c r="A210" s="178" t="s">
        <v>5371</v>
      </c>
      <c r="B210" s="154">
        <f t="shared" si="1"/>
        <v>1208</v>
      </c>
      <c r="C210" s="155" t="str">
        <f>IFERROR(__xludf.DUMMYFUNCTION("GOOGLETRANSLATE(A210,""ar"", ""en"")"),"Aluminum table 80*80 cm")</f>
        <v>Aluminum table 80*80 cm</v>
      </c>
      <c r="D210" s="169"/>
      <c r="E210" s="170" t="s">
        <v>5372</v>
      </c>
      <c r="F210" s="171">
        <v>2.0</v>
      </c>
      <c r="G210" s="176">
        <v>53.77</v>
      </c>
      <c r="H210" s="177">
        <v>107.54</v>
      </c>
      <c r="I210" s="154" t="s">
        <v>123</v>
      </c>
      <c r="J210" s="162"/>
      <c r="K210" s="162"/>
      <c r="L210" s="162"/>
      <c r="M210" s="162"/>
      <c r="N210" s="162"/>
    </row>
    <row r="211">
      <c r="A211" s="179" t="s">
        <v>5373</v>
      </c>
      <c r="B211" s="154">
        <f t="shared" si="1"/>
        <v>1209</v>
      </c>
      <c r="C211" s="155" t="str">
        <f>IFERROR(__xludf.DUMMYFUNCTION("GOOGLETRANSLATE(A211,""ar"", ""en"")"),"4-legged aluminum base")</f>
        <v>4-legged aluminum base</v>
      </c>
      <c r="D211" s="156"/>
      <c r="E211" s="157" t="s">
        <v>5374</v>
      </c>
      <c r="F211" s="158">
        <v>1.0</v>
      </c>
      <c r="G211" s="159">
        <v>14.67</v>
      </c>
      <c r="H211" s="160">
        <v>14.67</v>
      </c>
      <c r="I211" s="154" t="s">
        <v>123</v>
      </c>
      <c r="J211" s="162"/>
      <c r="K211" s="162"/>
      <c r="L211" s="162"/>
      <c r="M211" s="162"/>
      <c r="N211" s="162"/>
    </row>
    <row r="212">
      <c r="A212" s="178" t="s">
        <v>5375</v>
      </c>
      <c r="B212" s="154">
        <f t="shared" si="1"/>
        <v>1210</v>
      </c>
      <c r="C212" s="155" t="str">
        <f>IFERROR(__xludf.DUMMYFUNCTION("GOOGLETRANSLATE(A212,""ar"", ""en"")"),"Permitted aluminum base")</f>
        <v>Permitted aluminum base</v>
      </c>
      <c r="D212" s="169"/>
      <c r="E212" s="170" t="s">
        <v>5376</v>
      </c>
      <c r="F212" s="171">
        <v>-2.0</v>
      </c>
      <c r="G212" s="176">
        <v>18.04</v>
      </c>
      <c r="H212" s="177">
        <v>-36.08</v>
      </c>
      <c r="I212" s="154" t="s">
        <v>123</v>
      </c>
      <c r="J212" s="162"/>
      <c r="K212" s="162"/>
      <c r="L212" s="162"/>
      <c r="M212" s="162"/>
      <c r="N212" s="162"/>
    </row>
    <row r="213">
      <c r="A213" s="179" t="s">
        <v>5377</v>
      </c>
      <c r="B213" s="154">
        <f t="shared" si="1"/>
        <v>1211</v>
      </c>
      <c r="C213" s="155" t="str">
        <f>IFERROR(__xludf.DUMMYFUNCTION("GOOGLETRANSLATE(A213,""ar"", ""en"")"),"011 TV remote stand")</f>
        <v>011 TV remote stand</v>
      </c>
      <c r="D213" s="156"/>
      <c r="E213" s="157" t="s">
        <v>5378</v>
      </c>
      <c r="F213" s="158">
        <v>2.0</v>
      </c>
      <c r="G213" s="174"/>
      <c r="H213" s="175"/>
      <c r="I213" s="154" t="s">
        <v>123</v>
      </c>
      <c r="J213" s="162"/>
      <c r="K213" s="162"/>
      <c r="L213" s="162"/>
      <c r="M213" s="162"/>
      <c r="N213" s="162"/>
    </row>
    <row r="214">
      <c r="A214" s="179" t="s">
        <v>5379</v>
      </c>
      <c r="B214" s="154">
        <f t="shared" si="1"/>
        <v>1212</v>
      </c>
      <c r="C214" s="155" t="str">
        <f>IFERROR(__xludf.DUMMYFUNCTION("GOOGLETRANSLATE(A214,""ar"", ""en"")"),"Bank Corner Kitchen Fadar")</f>
        <v>Bank Corner Kitchen Fadar</v>
      </c>
      <c r="D214" s="156"/>
      <c r="E214" s="157" t="s">
        <v>5380</v>
      </c>
      <c r="F214" s="158">
        <v>4.0</v>
      </c>
      <c r="G214" s="174"/>
      <c r="H214" s="175"/>
      <c r="I214" s="154" t="s">
        <v>123</v>
      </c>
      <c r="J214" s="162"/>
      <c r="K214" s="162"/>
      <c r="L214" s="162"/>
      <c r="M214" s="162"/>
      <c r="N214" s="162"/>
    </row>
    <row r="215">
      <c r="A215" s="178" t="s">
        <v>5381</v>
      </c>
      <c r="B215" s="154">
        <f t="shared" si="1"/>
        <v>1213</v>
      </c>
      <c r="C215" s="155" t="str">
        <f>IFERROR(__xludf.DUMMYFUNCTION("GOOGLETRANSLATE(A215,""ar"", ""en"")"),"Kitchen corner table in Fadar")</f>
        <v>Kitchen corner table in Fadar</v>
      </c>
      <c r="D215" s="169"/>
      <c r="E215" s="170" t="s">
        <v>5382</v>
      </c>
      <c r="F215" s="171">
        <v>2.0</v>
      </c>
      <c r="G215" s="172"/>
      <c r="H215" s="173"/>
      <c r="I215" s="154" t="s">
        <v>123</v>
      </c>
      <c r="J215" s="162"/>
      <c r="K215" s="162"/>
      <c r="L215" s="162"/>
      <c r="M215" s="162"/>
      <c r="N215" s="162"/>
    </row>
    <row r="216">
      <c r="A216" s="179" t="s">
        <v>5383</v>
      </c>
      <c r="B216" s="154">
        <f t="shared" si="1"/>
        <v>1214</v>
      </c>
      <c r="C216" s="155" t="str">
        <f>IFERROR(__xludf.DUMMYFUNCTION("GOOGLETRANSLATE(A216,""ar"", ""en"")"),"45*55 photo frames")</f>
        <v>45*55 photo frames</v>
      </c>
      <c r="D216" s="156"/>
      <c r="E216" s="157" t="s">
        <v>5384</v>
      </c>
      <c r="F216" s="158">
        <v>10.0</v>
      </c>
      <c r="G216" s="174"/>
      <c r="H216" s="175"/>
      <c r="I216" s="154" t="s">
        <v>123</v>
      </c>
      <c r="J216" s="162"/>
      <c r="K216" s="162"/>
      <c r="L216" s="162"/>
      <c r="M216" s="162"/>
      <c r="N216" s="162"/>
    </row>
    <row r="217">
      <c r="A217" s="178" t="s">
        <v>5385</v>
      </c>
      <c r="B217" s="154">
        <f t="shared" si="1"/>
        <v>1215</v>
      </c>
      <c r="C217" s="155" t="str">
        <f>IFERROR(__xludf.DUMMYFUNCTION("GOOGLETRANSLATE(A217,""ar"", ""en"")"),"2-seater sofa")</f>
        <v>2-seater sofa</v>
      </c>
      <c r="D217" s="169"/>
      <c r="E217" s="170" t="s">
        <v>5386</v>
      </c>
      <c r="F217" s="171">
        <v>1.0</v>
      </c>
      <c r="G217" s="172"/>
      <c r="H217" s="173"/>
      <c r="I217" s="154" t="s">
        <v>123</v>
      </c>
      <c r="J217" s="162"/>
      <c r="K217" s="162"/>
      <c r="L217" s="162"/>
      <c r="M217" s="162"/>
      <c r="N217" s="162"/>
    </row>
    <row r="218">
      <c r="A218" s="179" t="s">
        <v>5387</v>
      </c>
      <c r="B218" s="154">
        <f t="shared" si="1"/>
        <v>1216</v>
      </c>
      <c r="C218" s="155" t="str">
        <f>IFERROR(__xludf.DUMMYFUNCTION("GOOGLETRANSLATE(A218,""ar"", ""en"")"),"Aluminum plate/chair")</f>
        <v>Aluminum plate/chair</v>
      </c>
      <c r="D218" s="190"/>
      <c r="E218" s="191" t="s">
        <v>5388</v>
      </c>
      <c r="F218" s="158">
        <v>1.0</v>
      </c>
      <c r="G218" s="174"/>
      <c r="H218" s="175"/>
      <c r="I218" s="154" t="s">
        <v>123</v>
      </c>
      <c r="J218" s="162"/>
      <c r="K218" s="162"/>
      <c r="L218" s="162"/>
      <c r="M218" s="162"/>
      <c r="N218" s="162"/>
    </row>
    <row r="219">
      <c r="A219" s="178" t="s">
        <v>5389</v>
      </c>
      <c r="B219" s="154">
        <f t="shared" si="1"/>
        <v>1217</v>
      </c>
      <c r="C219" s="155" t="str">
        <f>IFERROR(__xludf.DUMMYFUNCTION("GOOGLETRANSLATE(A219,""ar"", ""en"")"),"3-seat Turkish swing")</f>
        <v>3-seat Turkish swing</v>
      </c>
      <c r="D219" s="169"/>
      <c r="E219" s="170" t="s">
        <v>5390</v>
      </c>
      <c r="F219" s="171">
        <v>1.0</v>
      </c>
      <c r="G219" s="172"/>
      <c r="H219" s="173"/>
      <c r="I219" s="154" t="s">
        <v>123</v>
      </c>
      <c r="J219" s="162"/>
      <c r="K219" s="162"/>
      <c r="L219" s="162"/>
      <c r="M219" s="162"/>
      <c r="N219" s="162"/>
    </row>
    <row r="220">
      <c r="A220" s="178" t="s">
        <v>5391</v>
      </c>
      <c r="B220" s="154">
        <f t="shared" si="1"/>
        <v>1218</v>
      </c>
      <c r="C220" s="155" t="str">
        <f>IFERROR(__xludf.DUMMYFUNCTION("GOOGLETRANSLATE(A220,""ar"", ""en"")"),"bedroom")</f>
        <v>bedroom</v>
      </c>
      <c r="D220" s="169"/>
      <c r="E220" s="170" t="s">
        <v>5392</v>
      </c>
      <c r="F220" s="171">
        <v>1.0</v>
      </c>
      <c r="G220" s="172"/>
      <c r="H220" s="173"/>
      <c r="I220" s="154" t="s">
        <v>123</v>
      </c>
      <c r="J220" s="162"/>
      <c r="K220" s="162"/>
      <c r="L220" s="162"/>
      <c r="M220" s="162"/>
      <c r="N220" s="162"/>
    </row>
    <row r="221">
      <c r="A221" s="179" t="s">
        <v>5393</v>
      </c>
      <c r="B221" s="154">
        <f t="shared" si="1"/>
        <v>1219</v>
      </c>
      <c r="C221" s="155" t="str">
        <f>IFERROR(__xludf.DUMMYFUNCTION("GOOGLETRANSLATE(A221,""ar"", ""en"")"),"VS Commode")</f>
        <v>VS Commode</v>
      </c>
      <c r="D221" s="188"/>
      <c r="E221" s="189" t="s">
        <v>5394</v>
      </c>
      <c r="F221" s="158">
        <v>5.0</v>
      </c>
      <c r="G221" s="174"/>
      <c r="H221" s="175"/>
      <c r="I221" s="154" t="s">
        <v>123</v>
      </c>
      <c r="J221" s="162"/>
      <c r="K221" s="162"/>
      <c r="L221" s="162"/>
      <c r="M221" s="162"/>
      <c r="N221" s="162"/>
    </row>
    <row r="222">
      <c r="A222" s="178" t="s">
        <v>5395</v>
      </c>
      <c r="B222" s="154">
        <f t="shared" si="1"/>
        <v>1220</v>
      </c>
      <c r="C222" s="155" t="str">
        <f>IFERROR(__xludf.DUMMYFUNCTION("GOOGLETRANSLATE(A222,""ar"", ""en"")"),"Large 6-drawer toilet with mirror")</f>
        <v>Large 6-drawer toilet with mirror</v>
      </c>
      <c r="D222" s="169"/>
      <c r="E222" s="170" t="s">
        <v>5396</v>
      </c>
      <c r="F222" s="171">
        <v>2.0</v>
      </c>
      <c r="G222" s="172"/>
      <c r="H222" s="173"/>
      <c r="I222" s="154" t="s">
        <v>123</v>
      </c>
      <c r="J222" s="162"/>
      <c r="K222" s="162"/>
      <c r="L222" s="162"/>
      <c r="M222" s="162"/>
      <c r="N222" s="162"/>
    </row>
    <row r="223">
      <c r="A223" s="179" t="s">
        <v>5397</v>
      </c>
      <c r="B223" s="154">
        <f t="shared" si="1"/>
        <v>1221</v>
      </c>
      <c r="C223" s="155" t="str">
        <f>IFERROR(__xludf.DUMMYFUNCTION("GOOGLETRANSLATE(A223,""ar"", ""en"")"),"VS Mirror")</f>
        <v>VS Mirror</v>
      </c>
      <c r="D223" s="184"/>
      <c r="E223" s="185" t="s">
        <v>5398</v>
      </c>
      <c r="F223" s="158">
        <v>2.0</v>
      </c>
      <c r="G223" s="174"/>
      <c r="H223" s="175"/>
      <c r="I223" s="154" t="s">
        <v>123</v>
      </c>
      <c r="J223" s="162"/>
      <c r="K223" s="162"/>
      <c r="L223" s="162"/>
      <c r="M223" s="162"/>
      <c r="N223" s="162"/>
    </row>
    <row r="224">
      <c r="A224" s="178" t="s">
        <v>5399</v>
      </c>
      <c r="B224" s="154">
        <f t="shared" si="1"/>
        <v>1222</v>
      </c>
      <c r="C224" s="155" t="str">
        <f>IFERROR(__xludf.DUMMYFUNCTION("GOOGLETRANSLATE(A224,""ar"", ""en"")"),"VS Cheveniere 3 Drawers")</f>
        <v>VS Cheveniere 3 Drawers</v>
      </c>
      <c r="D224" s="186"/>
      <c r="E224" s="187" t="s">
        <v>5400</v>
      </c>
      <c r="F224" s="171">
        <v>6.0</v>
      </c>
      <c r="G224" s="172"/>
      <c r="H224" s="173"/>
      <c r="I224" s="154" t="s">
        <v>123</v>
      </c>
      <c r="J224" s="162"/>
      <c r="K224" s="162"/>
      <c r="L224" s="162"/>
      <c r="M224" s="162"/>
      <c r="N224" s="162"/>
    </row>
    <row r="225">
      <c r="A225" s="179" t="s">
        <v>5401</v>
      </c>
      <c r="B225" s="154">
        <f t="shared" si="1"/>
        <v>1223</v>
      </c>
      <c r="C225" s="155" t="str">
        <f>IFERROR(__xludf.DUMMYFUNCTION("GOOGLETRANSLATE(A225,""ar"", ""en"")"),"Colorful car boys bedroom")</f>
        <v>Colorful car boys bedroom</v>
      </c>
      <c r="D225" s="156"/>
      <c r="E225" s="157" t="s">
        <v>5402</v>
      </c>
      <c r="F225" s="158">
        <v>1.0</v>
      </c>
      <c r="G225" s="174"/>
      <c r="H225" s="175"/>
      <c r="I225" s="154" t="s">
        <v>123</v>
      </c>
      <c r="J225" s="162"/>
      <c r="K225" s="162"/>
      <c r="L225" s="162"/>
      <c r="M225" s="162"/>
      <c r="N225" s="162"/>
    </row>
    <row r="226">
      <c r="A226" s="178" t="s">
        <v>5403</v>
      </c>
      <c r="B226" s="154">
        <f t="shared" si="1"/>
        <v>1224</v>
      </c>
      <c r="C226" s="155" t="str">
        <f>IFERROR(__xludf.DUMMYFUNCTION("GOOGLETRANSLATE(A226,""ar"", ""en"")"),"bedroom library")</f>
        <v>bedroom library</v>
      </c>
      <c r="D226" s="169"/>
      <c r="E226" s="170" t="s">
        <v>5404</v>
      </c>
      <c r="F226" s="171">
        <v>1.0</v>
      </c>
      <c r="G226" s="172"/>
      <c r="H226" s="173"/>
      <c r="I226" s="154" t="s">
        <v>123</v>
      </c>
      <c r="J226" s="162"/>
      <c r="K226" s="162"/>
      <c r="L226" s="162"/>
      <c r="M226" s="162"/>
      <c r="N226" s="162"/>
    </row>
    <row r="227">
      <c r="A227" s="179" t="s">
        <v>678</v>
      </c>
      <c r="B227" s="154">
        <f t="shared" si="1"/>
        <v>1225</v>
      </c>
      <c r="C227" s="155" t="str">
        <f>IFERROR(__xludf.DUMMYFUNCTION("GOOGLETRANSLATE(A227,""ar"", ""en"")"),"Chest of drawers")</f>
        <v>Chest of drawers</v>
      </c>
      <c r="D227" s="156"/>
      <c r="E227" s="157" t="s">
        <v>5405</v>
      </c>
      <c r="F227" s="158">
        <v>1.0</v>
      </c>
      <c r="G227" s="174"/>
      <c r="H227" s="175"/>
      <c r="I227" s="154" t="s">
        <v>123</v>
      </c>
      <c r="J227" s="162"/>
      <c r="K227" s="162"/>
      <c r="L227" s="162"/>
      <c r="M227" s="162"/>
      <c r="N227" s="162"/>
    </row>
    <row r="228">
      <c r="A228" s="178" t="s">
        <v>5401</v>
      </c>
      <c r="B228" s="154">
        <f t="shared" si="1"/>
        <v>1226</v>
      </c>
      <c r="C228" s="155" t="str">
        <f>IFERROR(__xludf.DUMMYFUNCTION("GOOGLETRANSLATE(A228,""ar"", ""en"")"),"Colorful car boys bedroom")</f>
        <v>Colorful car boys bedroom</v>
      </c>
      <c r="D228" s="169"/>
      <c r="E228" s="170" t="s">
        <v>5406</v>
      </c>
      <c r="F228" s="171">
        <v>1.0</v>
      </c>
      <c r="G228" s="172"/>
      <c r="H228" s="173"/>
      <c r="I228" s="154" t="s">
        <v>123</v>
      </c>
      <c r="J228" s="162"/>
      <c r="K228" s="162"/>
      <c r="L228" s="162"/>
      <c r="M228" s="162"/>
      <c r="N228" s="162"/>
    </row>
    <row r="229">
      <c r="A229" s="179" t="s">
        <v>5391</v>
      </c>
      <c r="B229" s="154">
        <f t="shared" si="1"/>
        <v>1227</v>
      </c>
      <c r="C229" s="155" t="str">
        <f>IFERROR(__xludf.DUMMYFUNCTION("GOOGLETRANSLATE(A229,""ar"", ""en"")"),"bedroom")</f>
        <v>bedroom</v>
      </c>
      <c r="D229" s="156"/>
      <c r="E229" s="157" t="s">
        <v>5407</v>
      </c>
      <c r="F229" s="158">
        <v>1.0</v>
      </c>
      <c r="G229" s="174"/>
      <c r="H229" s="175"/>
      <c r="I229" s="154" t="s">
        <v>123</v>
      </c>
      <c r="J229" s="162"/>
      <c r="K229" s="162"/>
      <c r="L229" s="162"/>
      <c r="M229" s="162"/>
      <c r="N229" s="162"/>
    </row>
    <row r="230">
      <c r="A230" s="179" t="s">
        <v>5408</v>
      </c>
      <c r="B230" s="154">
        <f t="shared" si="1"/>
        <v>1228</v>
      </c>
      <c r="C230" s="155" t="str">
        <f>IFERROR(__xludf.DUMMYFUNCTION("GOOGLETRANSLATE(A230,""ar"", ""en"")"),"Turkish bedroom for boys")</f>
        <v>Turkish bedroom for boys</v>
      </c>
      <c r="D230" s="156"/>
      <c r="E230" s="157" t="s">
        <v>5409</v>
      </c>
      <c r="F230" s="158">
        <v>1.0</v>
      </c>
      <c r="G230" s="174"/>
      <c r="H230" s="175"/>
      <c r="I230" s="154" t="s">
        <v>123</v>
      </c>
      <c r="J230" s="162"/>
      <c r="K230" s="162"/>
      <c r="L230" s="162"/>
      <c r="M230" s="162"/>
      <c r="N230" s="162"/>
    </row>
    <row r="231">
      <c r="A231" s="178" t="s">
        <v>5391</v>
      </c>
      <c r="B231" s="154">
        <f t="shared" si="1"/>
        <v>1229</v>
      </c>
      <c r="C231" s="155" t="str">
        <f>IFERROR(__xludf.DUMMYFUNCTION("GOOGLETRANSLATE(A231,""ar"", ""en"")"),"bedroom")</f>
        <v>bedroom</v>
      </c>
      <c r="D231" s="169"/>
      <c r="E231" s="170" t="s">
        <v>5410</v>
      </c>
      <c r="F231" s="171">
        <v>3.0</v>
      </c>
      <c r="G231" s="172"/>
      <c r="H231" s="173"/>
      <c r="I231" s="154" t="s">
        <v>123</v>
      </c>
      <c r="J231" s="162"/>
      <c r="K231" s="162"/>
      <c r="L231" s="162"/>
      <c r="M231" s="162"/>
      <c r="N231" s="162"/>
    </row>
    <row r="232">
      <c r="A232" s="179" t="s">
        <v>527</v>
      </c>
      <c r="B232" s="154">
        <f t="shared" si="1"/>
        <v>1230</v>
      </c>
      <c r="C232" s="155" t="str">
        <f>IFERROR(__xludf.DUMMYFUNCTION("GOOGLETRANSLATE(A232,""ar"", ""en"")"),"solid chair")</f>
        <v>solid chair</v>
      </c>
      <c r="D232" s="156"/>
      <c r="E232" s="157" t="s">
        <v>5411</v>
      </c>
      <c r="F232" s="158">
        <v>-1.0</v>
      </c>
      <c r="G232" s="174"/>
      <c r="H232" s="175"/>
      <c r="I232" s="154" t="s">
        <v>123</v>
      </c>
      <c r="J232" s="162"/>
      <c r="K232" s="162"/>
      <c r="L232" s="162"/>
      <c r="M232" s="162"/>
      <c r="N232" s="162"/>
    </row>
    <row r="233">
      <c r="A233" s="178" t="s">
        <v>5412</v>
      </c>
      <c r="B233" s="154">
        <f t="shared" si="1"/>
        <v>1231</v>
      </c>
      <c r="C233" s="155" t="str">
        <f>IFERROR(__xludf.DUMMYFUNCTION("GOOGLETRANSLATE(A233,""ar"", ""en"")"),"Two-seat mesh resin set")</f>
        <v>Two-seat mesh resin set</v>
      </c>
      <c r="D233" s="169"/>
      <c r="E233" s="170" t="s">
        <v>5413</v>
      </c>
      <c r="F233" s="171">
        <v>1.0</v>
      </c>
      <c r="G233" s="172"/>
      <c r="H233" s="173"/>
      <c r="I233" s="154" t="s">
        <v>123</v>
      </c>
      <c r="J233" s="162"/>
      <c r="K233" s="162"/>
      <c r="L233" s="162"/>
      <c r="M233" s="162"/>
      <c r="N233" s="162"/>
    </row>
    <row r="234">
      <c r="A234" s="179" t="s">
        <v>5414</v>
      </c>
      <c r="B234" s="154">
        <f t="shared" si="1"/>
        <v>1232</v>
      </c>
      <c r="C234" s="155" t="str">
        <f>IFERROR(__xludf.DUMMYFUNCTION("GOOGLETRANSLATE(A234,""ar"", ""en"")"),"CLASSIC Two-seat resin set")</f>
        <v>CLASSIC Two-seat resin set</v>
      </c>
      <c r="D234" s="156"/>
      <c r="E234" s="157" t="s">
        <v>5415</v>
      </c>
      <c r="F234" s="158">
        <v>4.0</v>
      </c>
      <c r="G234" s="174"/>
      <c r="H234" s="175"/>
      <c r="I234" s="154" t="s">
        <v>123</v>
      </c>
      <c r="J234" s="162"/>
      <c r="K234" s="162"/>
      <c r="L234" s="162"/>
      <c r="M234" s="162"/>
      <c r="N234" s="162"/>
    </row>
    <row r="235">
      <c r="A235" s="178" t="s">
        <v>5416</v>
      </c>
      <c r="B235" s="154">
        <f t="shared" si="1"/>
        <v>1233</v>
      </c>
      <c r="C235" s="155" t="str">
        <f>IFERROR(__xludf.DUMMYFUNCTION("GOOGLETRANSLATE(A235,""ar"", ""en"")"),"CLASSIC 3-Seater Resin Set")</f>
        <v>CLASSIC 3-Seater Resin Set</v>
      </c>
      <c r="D235" s="169"/>
      <c r="E235" s="170" t="s">
        <v>5417</v>
      </c>
      <c r="F235" s="171">
        <v>-4.0</v>
      </c>
      <c r="G235" s="172"/>
      <c r="H235" s="173"/>
      <c r="I235" s="154" t="s">
        <v>123</v>
      </c>
      <c r="J235" s="162"/>
      <c r="K235" s="162"/>
      <c r="L235" s="162"/>
      <c r="M235" s="162"/>
      <c r="N235" s="162"/>
    </row>
    <row r="236">
      <c r="A236" s="179" t="s">
        <v>2617</v>
      </c>
      <c r="B236" s="154">
        <f t="shared" si="1"/>
        <v>1234</v>
      </c>
      <c r="C236" s="155" t="str">
        <f>IFERROR(__xludf.DUMMYFUNCTION("GOOGLETRANSLATE(A236,""ar"", ""en"")"),"Resin table in the house")</f>
        <v>Resin table in the house</v>
      </c>
      <c r="D236" s="156"/>
      <c r="E236" s="157" t="s">
        <v>5418</v>
      </c>
      <c r="F236" s="158">
        <v>2.0</v>
      </c>
      <c r="G236" s="174"/>
      <c r="H236" s="175"/>
      <c r="I236" s="154" t="s">
        <v>123</v>
      </c>
      <c r="J236" s="162"/>
      <c r="K236" s="162"/>
      <c r="L236" s="162"/>
      <c r="M236" s="162"/>
      <c r="N236" s="162"/>
    </row>
    <row r="237">
      <c r="A237" s="178" t="s">
        <v>527</v>
      </c>
      <c r="B237" s="154">
        <f t="shared" si="1"/>
        <v>1235</v>
      </c>
      <c r="C237" s="155" t="str">
        <f>IFERROR(__xludf.DUMMYFUNCTION("GOOGLETRANSLATE(A237,""ar"", ""en"")"),"solid chair")</f>
        <v>solid chair</v>
      </c>
      <c r="D237" s="169"/>
      <c r="E237" s="170" t="s">
        <v>5419</v>
      </c>
      <c r="F237" s="171">
        <v>3.0</v>
      </c>
      <c r="G237" s="172"/>
      <c r="H237" s="173"/>
      <c r="I237" s="154" t="s">
        <v>123</v>
      </c>
      <c r="J237" s="162"/>
      <c r="K237" s="162"/>
      <c r="L237" s="162"/>
      <c r="M237" s="162"/>
      <c r="N237" s="162"/>
    </row>
    <row r="238">
      <c r="A238" s="179" t="s">
        <v>2903</v>
      </c>
      <c r="B238" s="154">
        <f t="shared" si="1"/>
        <v>1236</v>
      </c>
      <c r="C238" s="155" t="str">
        <f>IFERROR(__xludf.DUMMYFUNCTION("GOOGLETRANSLATE(A238,""ar"", ""en"")"),"3-seat resin set")</f>
        <v>3-seat resin set</v>
      </c>
      <c r="D238" s="156"/>
      <c r="E238" s="157" t="s">
        <v>5420</v>
      </c>
      <c r="F238" s="158">
        <v>1.0</v>
      </c>
      <c r="G238" s="174"/>
      <c r="H238" s="175"/>
      <c r="I238" s="154" t="s">
        <v>123</v>
      </c>
      <c r="J238" s="162"/>
      <c r="K238" s="162"/>
      <c r="L238" s="162"/>
      <c r="M238" s="162"/>
      <c r="N238" s="162"/>
    </row>
    <row r="239">
      <c r="A239" s="179" t="s">
        <v>5421</v>
      </c>
      <c r="B239" s="154">
        <f t="shared" si="1"/>
        <v>1237</v>
      </c>
      <c r="C239" s="155" t="str">
        <f>IFERROR(__xludf.DUMMYFUNCTION("GOOGLETRANSLATE(A239,""ar"", ""en"")"),"Resin table set 80 cm square + 4 chairs")</f>
        <v>Resin table set 80 cm square + 4 chairs</v>
      </c>
      <c r="D239" s="156"/>
      <c r="E239" s="157" t="s">
        <v>5422</v>
      </c>
      <c r="F239" s="158">
        <v>2.0</v>
      </c>
      <c r="G239" s="174"/>
      <c r="H239" s="175"/>
      <c r="I239" s="154" t="s">
        <v>123</v>
      </c>
      <c r="J239" s="162"/>
      <c r="K239" s="162"/>
      <c r="L239" s="162"/>
      <c r="M239" s="162"/>
      <c r="N239" s="162"/>
    </row>
    <row r="240">
      <c r="A240" s="179" t="s">
        <v>5423</v>
      </c>
      <c r="B240" s="154">
        <f t="shared" si="1"/>
        <v>1238</v>
      </c>
      <c r="C240" s="155" t="str">
        <f>IFERROR(__xludf.DUMMYFUNCTION("GOOGLETRANSLATE(A240,""ar"", ""en"")"),"Dining table set 90*90 + 4 chairs / assorted")</f>
        <v>Dining table set 90*90 + 4 chairs / assorted</v>
      </c>
      <c r="D240" s="156"/>
      <c r="E240" s="157" t="s">
        <v>5424</v>
      </c>
      <c r="F240" s="158">
        <v>1.0</v>
      </c>
      <c r="G240" s="174"/>
      <c r="H240" s="175"/>
      <c r="I240" s="154" t="s">
        <v>123</v>
      </c>
      <c r="J240" s="162"/>
      <c r="K240" s="162"/>
      <c r="L240" s="162"/>
      <c r="M240" s="162"/>
      <c r="N240" s="162"/>
    </row>
    <row r="241">
      <c r="A241" s="178" t="s">
        <v>521</v>
      </c>
      <c r="B241" s="154">
        <f t="shared" si="1"/>
        <v>1239</v>
      </c>
      <c r="C241" s="155" t="str">
        <f>IFERROR(__xludf.DUMMYFUNCTION("GOOGLETRANSLATE(A241,""ar"", ""en"")"),"Resin table 80*80 cm")</f>
        <v>Resin table 80*80 cm</v>
      </c>
      <c r="D241" s="169"/>
      <c r="E241" s="170" t="s">
        <v>5425</v>
      </c>
      <c r="F241" s="171">
        <v>2.0</v>
      </c>
      <c r="G241" s="172"/>
      <c r="H241" s="173"/>
      <c r="I241" s="154" t="s">
        <v>123</v>
      </c>
      <c r="J241" s="162"/>
      <c r="K241" s="162"/>
      <c r="L241" s="162"/>
      <c r="M241" s="162"/>
      <c r="N241" s="162"/>
    </row>
    <row r="242">
      <c r="A242" s="179" t="s">
        <v>527</v>
      </c>
      <c r="B242" s="154">
        <f t="shared" si="1"/>
        <v>1240</v>
      </c>
      <c r="C242" s="155" t="str">
        <f>IFERROR(__xludf.DUMMYFUNCTION("GOOGLETRANSLATE(A242,""ar"", ""en"")"),"solid chair")</f>
        <v>solid chair</v>
      </c>
      <c r="D242" s="156"/>
      <c r="E242" s="157" t="s">
        <v>5426</v>
      </c>
      <c r="F242" s="158">
        <v>-4.0</v>
      </c>
      <c r="G242" s="174"/>
      <c r="H242" s="175"/>
      <c r="I242" s="154" t="s">
        <v>123</v>
      </c>
      <c r="J242" s="162"/>
      <c r="K242" s="162"/>
      <c r="L242" s="162"/>
      <c r="M242" s="162"/>
      <c r="N242" s="162"/>
    </row>
    <row r="243">
      <c r="A243" s="179" t="s">
        <v>2525</v>
      </c>
      <c r="B243" s="154">
        <f t="shared" si="1"/>
        <v>1241</v>
      </c>
      <c r="C243" s="155" t="str">
        <f>IFERROR(__xludf.DUMMYFUNCTION("GOOGLETRANSLATE(A243,""ar"", ""en"")"),"Table 100*200 cm")</f>
        <v>Table 100*200 cm</v>
      </c>
      <c r="D243" s="156"/>
      <c r="E243" s="157" t="s">
        <v>5427</v>
      </c>
      <c r="F243" s="158">
        <v>1.0</v>
      </c>
      <c r="G243" s="174"/>
      <c r="H243" s="175"/>
      <c r="I243" s="154" t="s">
        <v>123</v>
      </c>
      <c r="J243" s="162"/>
      <c r="K243" s="162"/>
      <c r="L243" s="162"/>
      <c r="M243" s="162"/>
      <c r="N243" s="162"/>
    </row>
    <row r="244">
      <c r="A244" s="179" t="s">
        <v>1735</v>
      </c>
      <c r="B244" s="154">
        <f t="shared" si="1"/>
        <v>1242</v>
      </c>
      <c r="C244" s="155" t="str">
        <f>IFERROR(__xludf.DUMMYFUNCTION("GOOGLETRANSLATE(A244,""ar"", ""en"")"),"Two-seat resin set")</f>
        <v>Two-seat resin set</v>
      </c>
      <c r="D244" s="156"/>
      <c r="E244" s="157" t="s">
        <v>5428</v>
      </c>
      <c r="F244" s="158">
        <v>2.0</v>
      </c>
      <c r="G244" s="174"/>
      <c r="H244" s="175"/>
      <c r="I244" s="154" t="s">
        <v>123</v>
      </c>
      <c r="J244" s="162"/>
      <c r="K244" s="162"/>
      <c r="L244" s="162"/>
      <c r="M244" s="162"/>
      <c r="N244" s="162"/>
    </row>
    <row r="245">
      <c r="A245" s="178" t="s">
        <v>5429</v>
      </c>
      <c r="B245" s="154">
        <f t="shared" si="1"/>
        <v>1243</v>
      </c>
      <c r="C245" s="155" t="str">
        <f>IFERROR(__xludf.DUMMYFUNCTION("GOOGLETRANSLATE(A245,""ar"", ""en"")"),"Resin set 1+1+2+3")</f>
        <v>Resin set 1+1+2+3</v>
      </c>
      <c r="D245" s="169"/>
      <c r="E245" s="170" t="s">
        <v>5430</v>
      </c>
      <c r="F245" s="171">
        <v>2.0</v>
      </c>
      <c r="G245" s="172"/>
      <c r="H245" s="173"/>
      <c r="I245" s="154" t="s">
        <v>123</v>
      </c>
      <c r="J245" s="162"/>
      <c r="K245" s="162"/>
      <c r="L245" s="162"/>
      <c r="M245" s="162"/>
      <c r="N245" s="162"/>
    </row>
    <row r="246">
      <c r="A246" s="179" t="s">
        <v>4129</v>
      </c>
      <c r="B246" s="154">
        <f t="shared" si="1"/>
        <v>1244</v>
      </c>
      <c r="C246" s="155" t="str">
        <f>IFERROR(__xludf.DUMMYFUNCTION("GOOGLETRANSLATE(A246,""ar"", ""en"")"),"Resin table 90*90 cm")</f>
        <v>Resin table 90*90 cm</v>
      </c>
      <c r="D246" s="156"/>
      <c r="E246" s="157" t="s">
        <v>5431</v>
      </c>
      <c r="F246" s="158">
        <v>4.0</v>
      </c>
      <c r="G246" s="174"/>
      <c r="H246" s="175"/>
      <c r="I246" s="154" t="s">
        <v>123</v>
      </c>
      <c r="J246" s="162"/>
      <c r="K246" s="162"/>
      <c r="L246" s="162"/>
      <c r="M246" s="162"/>
      <c r="N246" s="162"/>
    </row>
    <row r="247">
      <c r="A247" s="179" t="s">
        <v>5432</v>
      </c>
      <c r="B247" s="154">
        <f t="shared" si="1"/>
        <v>1245</v>
      </c>
      <c r="C247" s="155" t="str">
        <f>IFERROR(__xludf.DUMMYFUNCTION("GOOGLETRANSLATE(A247,""ar"", ""en"")"),"Two-seat resin set - with chair 1395")</f>
        <v>Two-seat resin set - with chair 1395</v>
      </c>
      <c r="D247" s="156"/>
      <c r="E247" s="157" t="s">
        <v>5433</v>
      </c>
      <c r="F247" s="158">
        <v>1.0</v>
      </c>
      <c r="G247" s="174"/>
      <c r="H247" s="175"/>
      <c r="I247" s="154" t="s">
        <v>123</v>
      </c>
      <c r="J247" s="162"/>
      <c r="K247" s="162"/>
      <c r="L247" s="162"/>
      <c r="M247" s="162"/>
      <c r="N247" s="162"/>
    </row>
    <row r="248">
      <c r="A248" s="178" t="s">
        <v>5434</v>
      </c>
      <c r="B248" s="154">
        <f t="shared" si="1"/>
        <v>1246</v>
      </c>
      <c r="C248" s="155" t="str">
        <f>IFERROR(__xludf.DUMMYFUNCTION("GOOGLETRANSLATE(A248,""ar"", ""en"")"),"Tam Rezin 3 seats")</f>
        <v>Tam Rezin 3 seats</v>
      </c>
      <c r="D248" s="169"/>
      <c r="E248" s="170" t="s">
        <v>5435</v>
      </c>
      <c r="F248" s="171">
        <v>-1.0</v>
      </c>
      <c r="G248" s="172"/>
      <c r="H248" s="173"/>
      <c r="I248" s="154" t="s">
        <v>123</v>
      </c>
      <c r="J248" s="162"/>
      <c r="K248" s="162"/>
      <c r="L248" s="162"/>
      <c r="M248" s="162"/>
      <c r="N248" s="162"/>
    </row>
    <row r="249">
      <c r="A249" s="179" t="s">
        <v>5436</v>
      </c>
      <c r="B249" s="154">
        <f t="shared" si="1"/>
        <v>1247</v>
      </c>
      <c r="C249" s="155" t="str">
        <f>IFERROR(__xludf.DUMMYFUNCTION("GOOGLETRANSLATE(A249,""ar"", ""en"")"),"XTRA Corner Resin Set")</f>
        <v>XTRA Corner Resin Set</v>
      </c>
      <c r="D249" s="156"/>
      <c r="E249" s="157" t="s">
        <v>5437</v>
      </c>
      <c r="F249" s="158">
        <v>4.0</v>
      </c>
      <c r="G249" s="174"/>
      <c r="H249" s="175"/>
      <c r="I249" s="154" t="s">
        <v>123</v>
      </c>
      <c r="J249" s="162"/>
      <c r="K249" s="162"/>
      <c r="L249" s="162"/>
      <c r="M249" s="162"/>
      <c r="N249" s="162"/>
    </row>
    <row r="250">
      <c r="A250" s="179" t="s">
        <v>4054</v>
      </c>
      <c r="B250" s="154">
        <f t="shared" si="1"/>
        <v>1248</v>
      </c>
      <c r="C250" s="155" t="str">
        <f>IFERROR(__xludf.DUMMYFUNCTION("GOOGLETRANSLATE(A250,""ar"", ""en"")"),"Resin set, 1 + 6 white mesh chairs")</f>
        <v>Resin set, 1 + 6 white mesh chairs</v>
      </c>
      <c r="D250" s="156"/>
      <c r="E250" s="157" t="s">
        <v>5438</v>
      </c>
      <c r="F250" s="158">
        <v>3.0</v>
      </c>
      <c r="G250" s="174"/>
      <c r="H250" s="175"/>
      <c r="I250" s="154" t="s">
        <v>123</v>
      </c>
      <c r="J250" s="162"/>
      <c r="K250" s="162"/>
      <c r="L250" s="162"/>
      <c r="M250" s="162"/>
      <c r="N250" s="162"/>
    </row>
    <row r="251">
      <c r="A251" s="179" t="s">
        <v>5439</v>
      </c>
      <c r="B251" s="154">
        <f t="shared" si="1"/>
        <v>1249</v>
      </c>
      <c r="C251" s="155" t="str">
        <f>IFERROR(__xludf.DUMMYFUNCTION("GOOGLETRANSLATE(A251,""ar"", ""en"")"),"White resin bar chair in Dar")</f>
        <v>White resin bar chair in Dar</v>
      </c>
      <c r="D251" s="156"/>
      <c r="E251" s="157" t="s">
        <v>5440</v>
      </c>
      <c r="F251" s="158">
        <v>2.0</v>
      </c>
      <c r="G251" s="174"/>
      <c r="H251" s="175"/>
      <c r="I251" s="154" t="s">
        <v>123</v>
      </c>
      <c r="J251" s="162"/>
      <c r="K251" s="162"/>
      <c r="L251" s="162"/>
      <c r="M251" s="162"/>
      <c r="N251" s="162"/>
    </row>
    <row r="252">
      <c r="A252" s="178" t="s">
        <v>5441</v>
      </c>
      <c r="B252" s="154">
        <f t="shared" si="1"/>
        <v>1250</v>
      </c>
      <c r="C252" s="155" t="str">
        <f>IFERROR(__xludf.DUMMYFUNCTION("GOOGLETRANSLATE(A252,""ar"", ""en"")"),"Resin bar table 160 cm / Fadar from a set")</f>
        <v>Resin bar table 160 cm / Fadar from a set</v>
      </c>
      <c r="D252" s="169"/>
      <c r="E252" s="170" t="s">
        <v>5442</v>
      </c>
      <c r="F252" s="171">
        <v>2.0</v>
      </c>
      <c r="G252" s="172"/>
      <c r="H252" s="173"/>
      <c r="I252" s="154" t="s">
        <v>123</v>
      </c>
      <c r="J252" s="162"/>
      <c r="K252" s="162"/>
      <c r="L252" s="162"/>
      <c r="M252" s="162"/>
      <c r="N252" s="162"/>
    </row>
    <row r="253">
      <c r="A253" s="179" t="s">
        <v>5443</v>
      </c>
      <c r="B253" s="154">
        <f t="shared" si="1"/>
        <v>1251</v>
      </c>
      <c r="C253" s="155" t="str">
        <f>IFERROR(__xludf.DUMMYFUNCTION("GOOGLETRANSLATE(A253,""ar"", ""en"")"),"Resin corner with wood")</f>
        <v>Resin corner with wood</v>
      </c>
      <c r="D253" s="156"/>
      <c r="E253" s="157" t="s">
        <v>5444</v>
      </c>
      <c r="F253" s="158">
        <v>2.0</v>
      </c>
      <c r="G253" s="174"/>
      <c r="H253" s="175"/>
      <c r="I253" s="154" t="s">
        <v>123</v>
      </c>
      <c r="J253" s="162"/>
      <c r="K253" s="162"/>
      <c r="L253" s="162"/>
      <c r="M253" s="162"/>
      <c r="N253" s="162"/>
    </row>
    <row r="254">
      <c r="A254" s="178" t="s">
        <v>2455</v>
      </c>
      <c r="B254" s="154">
        <f t="shared" si="1"/>
        <v>1252</v>
      </c>
      <c r="C254" s="155" t="str">
        <f>IFERROR(__xludf.DUMMYFUNCTION("GOOGLETRANSLATE(A254,""ar"", ""en"")"),"XTRA 3-seat resin set")</f>
        <v>XTRA 3-seat resin set</v>
      </c>
      <c r="D254" s="169"/>
      <c r="E254" s="170" t="s">
        <v>5445</v>
      </c>
      <c r="F254" s="171">
        <v>1.0</v>
      </c>
      <c r="G254" s="172"/>
      <c r="H254" s="173"/>
      <c r="I254" s="154" t="s">
        <v>123</v>
      </c>
      <c r="J254" s="162"/>
      <c r="K254" s="162"/>
      <c r="L254" s="162"/>
      <c r="M254" s="162"/>
      <c r="N254" s="162"/>
    </row>
    <row r="255">
      <c r="A255" s="179" t="s">
        <v>1724</v>
      </c>
      <c r="B255" s="154">
        <f t="shared" si="1"/>
        <v>1253</v>
      </c>
      <c r="C255" s="155" t="str">
        <f>IFERROR(__xludf.DUMMYFUNCTION("GOOGLETRANSLATE(A255,""ar"", ""en"")"),"Resin chair")</f>
        <v>Resin chair</v>
      </c>
      <c r="D255" s="156"/>
      <c r="E255" s="157" t="s">
        <v>5446</v>
      </c>
      <c r="F255" s="158">
        <v>1.0</v>
      </c>
      <c r="G255" s="174"/>
      <c r="H255" s="175"/>
      <c r="I255" s="154" t="s">
        <v>123</v>
      </c>
      <c r="J255" s="162"/>
      <c r="K255" s="162"/>
      <c r="L255" s="162"/>
      <c r="M255" s="162"/>
      <c r="N255" s="162"/>
    </row>
    <row r="256">
      <c r="A256" s="178" t="s">
        <v>4139</v>
      </c>
      <c r="B256" s="154">
        <f t="shared" si="1"/>
        <v>1254</v>
      </c>
      <c r="C256" s="155" t="str">
        <f>IFERROR(__xludf.DUMMYFUNCTION("GOOGLETRANSLATE(A256,""ar"", ""en"")"),"120 cm resin table")</f>
        <v>120 cm resin table</v>
      </c>
      <c r="D256" s="169"/>
      <c r="E256" s="170" t="s">
        <v>5447</v>
      </c>
      <c r="F256" s="171">
        <v>1.0</v>
      </c>
      <c r="G256" s="172"/>
      <c r="H256" s="173"/>
      <c r="I256" s="154" t="s">
        <v>123</v>
      </c>
      <c r="J256" s="162"/>
      <c r="K256" s="162"/>
      <c r="L256" s="162"/>
      <c r="M256" s="162"/>
      <c r="N256" s="162"/>
    </row>
    <row r="257">
      <c r="A257" s="179" t="s">
        <v>1724</v>
      </c>
      <c r="B257" s="154">
        <f t="shared" si="1"/>
        <v>1255</v>
      </c>
      <c r="C257" s="155" t="str">
        <f>IFERROR(__xludf.DUMMYFUNCTION("GOOGLETRANSLATE(A257,""ar"", ""en"")"),"Resin chair")</f>
        <v>Resin chair</v>
      </c>
      <c r="D257" s="156"/>
      <c r="E257" s="157" t="s">
        <v>5448</v>
      </c>
      <c r="F257" s="158">
        <v>4.0</v>
      </c>
      <c r="G257" s="174"/>
      <c r="H257" s="175"/>
      <c r="I257" s="154" t="s">
        <v>123</v>
      </c>
      <c r="J257" s="162"/>
      <c r="K257" s="162"/>
      <c r="L257" s="162"/>
      <c r="M257" s="162"/>
      <c r="N257" s="162"/>
    </row>
    <row r="258">
      <c r="A258" s="178" t="s">
        <v>5449</v>
      </c>
      <c r="B258" s="154">
        <f t="shared" si="1"/>
        <v>1256</v>
      </c>
      <c r="C258" s="155" t="str">
        <f>IFERROR(__xludf.DUMMYFUNCTION("GOOGLETRANSLATE(A258,""ar"", ""en"")"),"Resin oval basket")</f>
        <v>Resin oval basket</v>
      </c>
      <c r="D258" s="169"/>
      <c r="E258" s="170" t="s">
        <v>5450</v>
      </c>
      <c r="F258" s="171">
        <v>1.0</v>
      </c>
      <c r="G258" s="172"/>
      <c r="H258" s="173"/>
      <c r="I258" s="154" t="s">
        <v>123</v>
      </c>
      <c r="J258" s="162"/>
      <c r="K258" s="162"/>
      <c r="L258" s="162"/>
      <c r="M258" s="162"/>
      <c r="N258" s="162"/>
    </row>
    <row r="259">
      <c r="A259" s="179" t="s">
        <v>1738</v>
      </c>
      <c r="B259" s="154">
        <f t="shared" si="1"/>
        <v>1257</v>
      </c>
      <c r="C259" s="155" t="str">
        <f>IFERROR(__xludf.DUMMYFUNCTION("GOOGLETRANSLATE(A259,""ar"", ""en"")"),"resin basket")</f>
        <v>resin basket</v>
      </c>
      <c r="D259" s="156"/>
      <c r="E259" s="157" t="s">
        <v>5451</v>
      </c>
      <c r="F259" s="158">
        <v>5.0</v>
      </c>
      <c r="G259" s="174"/>
      <c r="H259" s="175"/>
      <c r="I259" s="154" t="s">
        <v>123</v>
      </c>
      <c r="J259" s="162"/>
      <c r="K259" s="162"/>
      <c r="L259" s="162"/>
      <c r="M259" s="162"/>
      <c r="N259" s="162"/>
    </row>
    <row r="260">
      <c r="A260" s="179" t="s">
        <v>5452</v>
      </c>
      <c r="B260" s="154">
        <f t="shared" si="1"/>
        <v>1258</v>
      </c>
      <c r="C260" s="155" t="str">
        <f>IFERROR(__xludf.DUMMYFUNCTION("GOOGLETRANSLATE(A260,""ar"", ""en"")"),"BANANA Resin Basket")</f>
        <v>BANANA Resin Basket</v>
      </c>
      <c r="D260" s="156"/>
      <c r="E260" s="157" t="s">
        <v>5453</v>
      </c>
      <c r="F260" s="158">
        <v>1.0</v>
      </c>
      <c r="G260" s="174"/>
      <c r="H260" s="175"/>
      <c r="I260" s="154" t="s">
        <v>123</v>
      </c>
      <c r="J260" s="162"/>
      <c r="K260" s="162"/>
      <c r="L260" s="162"/>
      <c r="M260" s="162"/>
      <c r="N260" s="162"/>
    </row>
    <row r="261">
      <c r="A261" s="179" t="s">
        <v>174</v>
      </c>
      <c r="B261" s="154">
        <f t="shared" si="1"/>
        <v>1259</v>
      </c>
      <c r="C261" s="155" t="str">
        <f>IFERROR(__xludf.DUMMYFUNCTION("GOOGLETRANSLATE(A261,""ar"", ""en"")"),"plastic chair")</f>
        <v>plastic chair</v>
      </c>
      <c r="D261" s="156"/>
      <c r="E261" s="157" t="s">
        <v>5454</v>
      </c>
      <c r="F261" s="158">
        <v>10.0</v>
      </c>
      <c r="G261" s="174"/>
      <c r="H261" s="175"/>
      <c r="I261" s="154" t="s">
        <v>123</v>
      </c>
      <c r="J261" s="162"/>
      <c r="K261" s="162"/>
      <c r="L261" s="162"/>
      <c r="M261" s="162"/>
      <c r="N261" s="162"/>
    </row>
    <row r="262">
      <c r="A262" s="178" t="s">
        <v>1580</v>
      </c>
      <c r="B262" s="154">
        <f t="shared" si="1"/>
        <v>1260</v>
      </c>
      <c r="C262" s="155" t="str">
        <f>IFERROR(__xludf.DUMMYFUNCTION("GOOGLETRANSLATE(A262,""ar"", ""en"")"),"plastic chair with handle")</f>
        <v>plastic chair with handle</v>
      </c>
      <c r="D262" s="169"/>
      <c r="E262" s="170" t="s">
        <v>5455</v>
      </c>
      <c r="F262" s="171">
        <v>2.0</v>
      </c>
      <c r="G262" s="172"/>
      <c r="H262" s="173"/>
      <c r="I262" s="154" t="s">
        <v>123</v>
      </c>
      <c r="J262" s="162"/>
      <c r="K262" s="162"/>
      <c r="L262" s="162"/>
      <c r="M262" s="162"/>
      <c r="N262" s="162"/>
    </row>
    <row r="263">
      <c r="A263" s="179" t="s">
        <v>1580</v>
      </c>
      <c r="B263" s="154">
        <f t="shared" si="1"/>
        <v>1261</v>
      </c>
      <c r="C263" s="155" t="str">
        <f>IFERROR(__xludf.DUMMYFUNCTION("GOOGLETRANSLATE(A263,""ar"", ""en"")"),"plastic chair with handle")</f>
        <v>plastic chair with handle</v>
      </c>
      <c r="D263" s="156"/>
      <c r="E263" s="157" t="s">
        <v>5456</v>
      </c>
      <c r="F263" s="158">
        <v>3.0</v>
      </c>
      <c r="G263" s="159">
        <v>16.5</v>
      </c>
      <c r="H263" s="160">
        <v>49.5</v>
      </c>
      <c r="I263" s="154" t="s">
        <v>123</v>
      </c>
      <c r="J263" s="162"/>
      <c r="K263" s="162"/>
      <c r="L263" s="162"/>
      <c r="M263" s="162"/>
      <c r="N263" s="162"/>
    </row>
    <row r="264">
      <c r="A264" s="178" t="s">
        <v>5457</v>
      </c>
      <c r="B264" s="154">
        <f t="shared" si="1"/>
        <v>1262</v>
      </c>
      <c r="C264" s="155" t="str">
        <f>IFERROR(__xludf.DUMMYFUNCTION("GOOGLETRANSLATE(A264,""ar"", ""en"")"),"Foot link")</f>
        <v>Foot link</v>
      </c>
      <c r="D264" s="169"/>
      <c r="E264" s="170" t="s">
        <v>5458</v>
      </c>
      <c r="F264" s="171">
        <v>3.0</v>
      </c>
      <c r="G264" s="172"/>
      <c r="H264" s="173"/>
      <c r="I264" s="154" t="s">
        <v>123</v>
      </c>
      <c r="J264" s="162"/>
      <c r="K264" s="162"/>
      <c r="L264" s="162"/>
      <c r="M264" s="162"/>
      <c r="N264" s="162"/>
    </row>
    <row r="265">
      <c r="A265" s="179" t="s">
        <v>5459</v>
      </c>
      <c r="B265" s="154">
        <f t="shared" si="1"/>
        <v>1263</v>
      </c>
      <c r="C265" s="155" t="str">
        <f>IFERROR(__xludf.DUMMYFUNCTION("GOOGLETRANSLATE(A265,""ar"", ""en"")"),"Plastic footstool")</f>
        <v>Plastic footstool</v>
      </c>
      <c r="D265" s="156"/>
      <c r="E265" s="157" t="s">
        <v>5460</v>
      </c>
      <c r="F265" s="158">
        <v>1.0</v>
      </c>
      <c r="G265" s="174"/>
      <c r="H265" s="175"/>
      <c r="I265" s="154" t="s">
        <v>123</v>
      </c>
      <c r="J265" s="162"/>
      <c r="K265" s="162"/>
      <c r="L265" s="162"/>
      <c r="M265" s="162"/>
      <c r="N265" s="162"/>
    </row>
    <row r="266">
      <c r="A266" s="178" t="s">
        <v>5461</v>
      </c>
      <c r="B266" s="154">
        <f t="shared" si="1"/>
        <v>1264</v>
      </c>
      <c r="C266" s="155" t="str">
        <f>IFERROR(__xludf.DUMMYFUNCTION("GOOGLETRANSLATE(A266,""ar"", ""en"")"),"Elastic chair")</f>
        <v>Elastic chair</v>
      </c>
      <c r="D266" s="169"/>
      <c r="E266" s="170" t="s">
        <v>5462</v>
      </c>
      <c r="F266" s="171">
        <v>1.0</v>
      </c>
      <c r="G266" s="176">
        <v>16.0</v>
      </c>
      <c r="H266" s="177">
        <v>16.0</v>
      </c>
      <c r="I266" s="154" t="s">
        <v>123</v>
      </c>
      <c r="J266" s="162"/>
      <c r="K266" s="162"/>
      <c r="L266" s="162"/>
      <c r="M266" s="162"/>
      <c r="N266" s="162"/>
    </row>
    <row r="267">
      <c r="A267" s="179" t="s">
        <v>5463</v>
      </c>
      <c r="B267" s="154">
        <f t="shared" si="1"/>
        <v>1265</v>
      </c>
      <c r="C267" s="155" t="str">
        <f>IFERROR(__xludf.DUMMYFUNCTION("GOOGLETRANSLATE(A267,""ar"", ""en"")"),"SOMO White Sea Chaise Longue")</f>
        <v>SOMO White Sea Chaise Longue</v>
      </c>
      <c r="D267" s="156"/>
      <c r="E267" s="157" t="s">
        <v>5464</v>
      </c>
      <c r="F267" s="158">
        <v>1.0</v>
      </c>
      <c r="G267" s="174"/>
      <c r="H267" s="175"/>
      <c r="I267" s="154" t="s">
        <v>123</v>
      </c>
      <c r="J267" s="162"/>
      <c r="K267" s="162"/>
      <c r="L267" s="162"/>
      <c r="M267" s="162"/>
      <c r="N267" s="162"/>
    </row>
    <row r="268">
      <c r="A268" s="178" t="s">
        <v>3718</v>
      </c>
      <c r="B268" s="154">
        <f t="shared" si="1"/>
        <v>1266</v>
      </c>
      <c r="C268" s="155" t="str">
        <f>IFERROR(__xludf.DUMMYFUNCTION("GOOGLETRANSLATE(A268,""ar"", ""en"")"),"plastic table")</f>
        <v>plastic table</v>
      </c>
      <c r="D268" s="169"/>
      <c r="E268" s="170" t="s">
        <v>3720</v>
      </c>
      <c r="F268" s="171">
        <v>12.0</v>
      </c>
      <c r="G268" s="176">
        <v>6.0</v>
      </c>
      <c r="H268" s="177">
        <v>72.0</v>
      </c>
      <c r="I268" s="154" t="s">
        <v>123</v>
      </c>
      <c r="J268" s="162"/>
      <c r="K268" s="162"/>
      <c r="L268" s="162"/>
      <c r="M268" s="162"/>
      <c r="N268" s="162"/>
    </row>
    <row r="269">
      <c r="A269" s="179" t="s">
        <v>5465</v>
      </c>
      <c r="B269" s="154">
        <f t="shared" si="1"/>
        <v>1267</v>
      </c>
      <c r="C269" s="155" t="str">
        <f>IFERROR(__xludf.DUMMYFUNCTION("GOOGLETRANSLATE(A269,""ar"", ""en"")"),"Plastic set table")</f>
        <v>Plastic set table</v>
      </c>
      <c r="D269" s="156"/>
      <c r="E269" s="157" t="s">
        <v>5466</v>
      </c>
      <c r="F269" s="158">
        <v>1.0</v>
      </c>
      <c r="G269" s="174"/>
      <c r="H269" s="175"/>
      <c r="I269" s="154" t="s">
        <v>123</v>
      </c>
      <c r="J269" s="162"/>
      <c r="K269" s="162"/>
      <c r="L269" s="162"/>
      <c r="M269" s="162"/>
      <c r="N269" s="162"/>
    </row>
    <row r="270">
      <c r="A270" s="178" t="s">
        <v>2218</v>
      </c>
      <c r="B270" s="154">
        <f t="shared" si="1"/>
        <v>1268</v>
      </c>
      <c r="C270" s="155" t="str">
        <f>IFERROR(__xludf.DUMMYFUNCTION("GOOGLETRANSLATE(A270,""ar"", ""en"")"),"computer table")</f>
        <v>computer table</v>
      </c>
      <c r="D270" s="169"/>
      <c r="E270" s="170" t="s">
        <v>5467</v>
      </c>
      <c r="F270" s="171">
        <v>1.0</v>
      </c>
      <c r="G270" s="172"/>
      <c r="H270" s="173"/>
      <c r="I270" s="154" t="s">
        <v>123</v>
      </c>
      <c r="J270" s="162"/>
      <c r="K270" s="162"/>
      <c r="L270" s="162"/>
      <c r="M270" s="162"/>
      <c r="N270" s="162"/>
    </row>
    <row r="271">
      <c r="A271" s="179" t="s">
        <v>5468</v>
      </c>
      <c r="B271" s="154">
        <f t="shared" si="1"/>
        <v>1269</v>
      </c>
      <c r="C271" s="155" t="str">
        <f>IFERROR(__xludf.DUMMYFUNCTION("GOOGLETRANSLATE(A271,""ar"", ""en"")"),"Chevenier")</f>
        <v>Chevenier</v>
      </c>
      <c r="D271" s="156"/>
      <c r="E271" s="157" t="s">
        <v>5469</v>
      </c>
      <c r="F271" s="158">
        <v>3.0</v>
      </c>
      <c r="G271" s="174"/>
      <c r="H271" s="175"/>
      <c r="I271" s="154" t="s">
        <v>123</v>
      </c>
      <c r="J271" s="162"/>
      <c r="K271" s="162"/>
      <c r="L271" s="162"/>
      <c r="M271" s="162"/>
      <c r="N271" s="162"/>
    </row>
    <row r="272">
      <c r="A272" s="178" t="s">
        <v>5470</v>
      </c>
      <c r="B272" s="154">
        <f t="shared" si="1"/>
        <v>1270</v>
      </c>
      <c r="C272" s="155" t="str">
        <f>IFERROR(__xludf.DUMMYFUNCTION("GOOGLETRANSLATE(A272,""ar"", ""en"")"),"CLOTHES DRYER BIG")</f>
        <v>CLOTHES DRYER BIG</v>
      </c>
      <c r="D272" s="169"/>
      <c r="E272" s="170" t="s">
        <v>5471</v>
      </c>
      <c r="F272" s="171">
        <v>1.0</v>
      </c>
      <c r="G272" s="172"/>
      <c r="H272" s="173"/>
      <c r="I272" s="154" t="s">
        <v>123</v>
      </c>
      <c r="J272" s="162"/>
      <c r="K272" s="162"/>
      <c r="L272" s="162"/>
      <c r="M272" s="162"/>
      <c r="N272" s="162"/>
    </row>
    <row r="273">
      <c r="A273" s="179" t="s">
        <v>5472</v>
      </c>
      <c r="B273" s="154">
        <f t="shared" si="1"/>
        <v>1271</v>
      </c>
      <c r="C273" s="155" t="str">
        <f>IFERROR(__xludf.DUMMYFUNCTION("GOOGLETRANSLATE(A273,""ar"", ""en"")"),"computer table")</f>
        <v>computer table</v>
      </c>
      <c r="D273" s="156"/>
      <c r="E273" s="157" t="s">
        <v>5473</v>
      </c>
      <c r="F273" s="158">
        <v>1.0</v>
      </c>
      <c r="G273" s="174"/>
      <c r="H273" s="175"/>
      <c r="I273" s="154" t="s">
        <v>123</v>
      </c>
      <c r="J273" s="162"/>
      <c r="K273" s="162"/>
      <c r="L273" s="162"/>
      <c r="M273" s="162"/>
      <c r="N273" s="162"/>
    </row>
    <row r="274">
      <c r="A274" s="178" t="s">
        <v>5474</v>
      </c>
      <c r="B274" s="154">
        <f t="shared" si="1"/>
        <v>1272</v>
      </c>
      <c r="C274" s="155" t="str">
        <f>IFERROR(__xludf.DUMMYFUNCTION("GOOGLETRANSLATE(A274,""ar"", ""en"")"),"80 cm glass top table")</f>
        <v>80 cm glass top table</v>
      </c>
      <c r="D274" s="169"/>
      <c r="E274" s="170" t="s">
        <v>5475</v>
      </c>
      <c r="F274" s="171">
        <v>1.0</v>
      </c>
      <c r="G274" s="172"/>
      <c r="H274" s="173"/>
      <c r="I274" s="154" t="s">
        <v>123</v>
      </c>
      <c r="J274" s="162"/>
      <c r="K274" s="162"/>
      <c r="L274" s="162"/>
      <c r="M274" s="162"/>
      <c r="N274" s="162"/>
    </row>
    <row r="275">
      <c r="A275" s="179" t="s">
        <v>5476</v>
      </c>
      <c r="B275" s="154">
        <f t="shared" si="1"/>
        <v>1273</v>
      </c>
      <c r="C275" s="155" t="str">
        <f>IFERROR(__xludf.DUMMYFUNCTION("GOOGLETRANSLATE(A275,""ar"", ""en"")"),"Two-story bed + drawer + stairs")</f>
        <v>Two-story bed + drawer + stairs</v>
      </c>
      <c r="D275" s="156"/>
      <c r="E275" s="157" t="s">
        <v>5477</v>
      </c>
      <c r="F275" s="158">
        <v>8.0</v>
      </c>
      <c r="G275" s="174"/>
      <c r="H275" s="175"/>
      <c r="I275" s="154" t="s">
        <v>123</v>
      </c>
      <c r="J275" s="162"/>
      <c r="K275" s="162"/>
      <c r="L275" s="162"/>
      <c r="M275" s="162"/>
      <c r="N275" s="162"/>
    </row>
    <row r="276">
      <c r="A276" s="178" t="s">
        <v>5476</v>
      </c>
      <c r="B276" s="154">
        <f t="shared" si="1"/>
        <v>1274</v>
      </c>
      <c r="C276" s="155" t="str">
        <f>IFERROR(__xludf.DUMMYFUNCTION("GOOGLETRANSLATE(A276,""ar"", ""en"")"),"Two-story bed + drawer + stairs")</f>
        <v>Two-story bed + drawer + stairs</v>
      </c>
      <c r="D276" s="169"/>
      <c r="E276" s="170" t="s">
        <v>5478</v>
      </c>
      <c r="F276" s="171">
        <v>9.0</v>
      </c>
      <c r="G276" s="172"/>
      <c r="H276" s="173"/>
      <c r="I276" s="154" t="s">
        <v>123</v>
      </c>
      <c r="J276" s="162"/>
      <c r="K276" s="162"/>
      <c r="L276" s="162"/>
      <c r="M276" s="162"/>
      <c r="N276" s="162"/>
    </row>
    <row r="277">
      <c r="A277" s="179" t="s">
        <v>5479</v>
      </c>
      <c r="B277" s="154">
        <f t="shared" si="1"/>
        <v>1275</v>
      </c>
      <c r="C277" s="155" t="str">
        <f>IFERROR(__xludf.DUMMYFUNCTION("GOOGLETRANSLATE(A277,""ar"", ""en"")"),"3-story bed + stairs")</f>
        <v>3-story bed + stairs</v>
      </c>
      <c r="D277" s="156"/>
      <c r="E277" s="157" t="s">
        <v>5480</v>
      </c>
      <c r="F277" s="158">
        <v>5.0</v>
      </c>
      <c r="G277" s="174"/>
      <c r="H277" s="175"/>
      <c r="I277" s="154" t="s">
        <v>123</v>
      </c>
      <c r="J277" s="162"/>
      <c r="K277" s="162"/>
      <c r="L277" s="162"/>
      <c r="M277" s="162"/>
      <c r="N277" s="162"/>
    </row>
    <row r="278">
      <c r="A278" s="178" t="s">
        <v>5481</v>
      </c>
      <c r="B278" s="154">
        <f t="shared" si="1"/>
        <v>1276</v>
      </c>
      <c r="C278" s="155" t="str">
        <f>IFERROR(__xludf.DUMMYFUNCTION("GOOGLETRANSLATE(A278,""ar"", ""en"")"),"3-story bed")</f>
        <v>3-story bed</v>
      </c>
      <c r="D278" s="169"/>
      <c r="E278" s="170" t="s">
        <v>5482</v>
      </c>
      <c r="F278" s="171">
        <v>6.0</v>
      </c>
      <c r="G278" s="172"/>
      <c r="H278" s="173"/>
      <c r="I278" s="154" t="s">
        <v>123</v>
      </c>
      <c r="J278" s="162"/>
      <c r="K278" s="162"/>
      <c r="L278" s="162"/>
      <c r="M278" s="162"/>
      <c r="N278" s="162"/>
    </row>
    <row r="279">
      <c r="A279" s="178" t="s">
        <v>5483</v>
      </c>
      <c r="B279" s="154">
        <f t="shared" si="1"/>
        <v>1277</v>
      </c>
      <c r="C279" s="155" t="str">
        <f>IFERROR(__xludf.DUMMYFUNCTION("GOOGLETRANSLATE(A279,""ar"", ""en"")"),"Colorful table set + 4 chairs")</f>
        <v>Colorful table set + 4 chairs</v>
      </c>
      <c r="D279" s="169"/>
      <c r="E279" s="170" t="s">
        <v>5484</v>
      </c>
      <c r="F279" s="171">
        <v>2.0</v>
      </c>
      <c r="G279" s="172"/>
      <c r="H279" s="173"/>
      <c r="I279" s="154" t="s">
        <v>123</v>
      </c>
      <c r="J279" s="162"/>
      <c r="K279" s="162"/>
      <c r="L279" s="162"/>
      <c r="M279" s="162"/>
      <c r="N279" s="162"/>
    </row>
    <row r="280">
      <c r="A280" s="179" t="s">
        <v>4980</v>
      </c>
      <c r="B280" s="154">
        <f t="shared" si="1"/>
        <v>1278</v>
      </c>
      <c r="C280" s="155" t="str">
        <f>IFERROR(__xludf.DUMMYFUNCTION("GOOGLETRANSLATE(A280,""ar"", ""en"")"),"Next to Font Bank")</f>
        <v>Next to Font Bank</v>
      </c>
      <c r="D280" s="156"/>
      <c r="E280" s="157" t="s">
        <v>5485</v>
      </c>
      <c r="F280" s="158">
        <v>6.0</v>
      </c>
      <c r="G280" s="174"/>
      <c r="H280" s="175"/>
      <c r="I280" s="154" t="s">
        <v>123</v>
      </c>
      <c r="J280" s="162"/>
      <c r="K280" s="162"/>
      <c r="L280" s="162"/>
      <c r="M280" s="162"/>
      <c r="N280" s="162"/>
    </row>
    <row r="281">
      <c r="A281" s="178" t="s">
        <v>4980</v>
      </c>
      <c r="B281" s="154">
        <f t="shared" si="1"/>
        <v>1279</v>
      </c>
      <c r="C281" s="155" t="str">
        <f>IFERROR(__xludf.DUMMYFUNCTION("GOOGLETRANSLATE(A281,""ar"", ""en"")"),"Next to Font Bank")</f>
        <v>Next to Font Bank</v>
      </c>
      <c r="D281" s="169"/>
      <c r="E281" s="170" t="s">
        <v>5486</v>
      </c>
      <c r="F281" s="171">
        <v>14.0</v>
      </c>
      <c r="G281" s="172"/>
      <c r="H281" s="173"/>
      <c r="I281" s="154" t="s">
        <v>123</v>
      </c>
      <c r="J281" s="162"/>
      <c r="K281" s="162"/>
      <c r="L281" s="162"/>
      <c r="M281" s="162"/>
      <c r="N281" s="162"/>
    </row>
    <row r="282">
      <c r="A282" s="179" t="s">
        <v>4980</v>
      </c>
      <c r="B282" s="154">
        <f t="shared" si="1"/>
        <v>1280</v>
      </c>
      <c r="C282" s="155" t="str">
        <f>IFERROR(__xludf.DUMMYFUNCTION("GOOGLETRANSLATE(A282,""ar"", ""en"")"),"Next to Font Bank")</f>
        <v>Next to Font Bank</v>
      </c>
      <c r="D282" s="156"/>
      <c r="E282" s="157" t="s">
        <v>5487</v>
      </c>
      <c r="F282" s="158">
        <v>12.0</v>
      </c>
      <c r="G282" s="174"/>
      <c r="H282" s="175"/>
      <c r="I282" s="154" t="s">
        <v>123</v>
      </c>
      <c r="J282" s="162"/>
      <c r="K282" s="162"/>
      <c r="L282" s="162"/>
      <c r="M282" s="162"/>
      <c r="N282" s="162"/>
    </row>
    <row r="283">
      <c r="A283" s="178" t="s">
        <v>665</v>
      </c>
      <c r="B283" s="154">
        <f t="shared" si="1"/>
        <v>1281</v>
      </c>
      <c r="C283" s="155" t="str">
        <f>IFERROR(__xludf.DUMMYFUNCTION("GOOGLETRANSLATE(A283,""ar"", ""en"")"),"4-legged aluminum base")</f>
        <v>4-legged aluminum base</v>
      </c>
      <c r="D283" s="169"/>
      <c r="E283" s="170" t="s">
        <v>5488</v>
      </c>
      <c r="F283" s="171">
        <v>-2.0</v>
      </c>
      <c r="G283" s="176">
        <v>0.0</v>
      </c>
      <c r="H283" s="177">
        <v>0.0</v>
      </c>
      <c r="I283" s="154" t="s">
        <v>123</v>
      </c>
      <c r="J283" s="162"/>
      <c r="K283" s="162"/>
      <c r="L283" s="162"/>
      <c r="M283" s="162"/>
      <c r="N283" s="162"/>
    </row>
    <row r="284">
      <c r="A284" s="179" t="s">
        <v>5489</v>
      </c>
      <c r="B284" s="154">
        <f t="shared" si="1"/>
        <v>1282</v>
      </c>
      <c r="C284" s="155" t="str">
        <f>IFERROR(__xludf.DUMMYFUNCTION("GOOGLETRANSLATE(A284,""ar"", ""en"")"),"Aluminum face 60*60")</f>
        <v>Aluminum face 60*60</v>
      </c>
      <c r="D284" s="156"/>
      <c r="E284" s="157" t="s">
        <v>5490</v>
      </c>
      <c r="F284" s="158">
        <v>3.0</v>
      </c>
      <c r="G284" s="159">
        <v>0.0</v>
      </c>
      <c r="H284" s="160">
        <v>0.0</v>
      </c>
      <c r="I284" s="154" t="s">
        <v>123</v>
      </c>
      <c r="J284" s="161" t="s">
        <v>98</v>
      </c>
      <c r="K284" s="162"/>
      <c r="L284" s="162"/>
      <c r="M284" s="162"/>
      <c r="N284" s="162"/>
    </row>
    <row r="285">
      <c r="A285" s="178" t="s">
        <v>5491</v>
      </c>
      <c r="B285" s="154">
        <f t="shared" si="1"/>
        <v>1283</v>
      </c>
      <c r="C285" s="155" t="str">
        <f>IFERROR(__xludf.DUMMYFUNCTION("GOOGLETRANSLATE(A285,""ar"", ""en"")"),"60 cm round table")</f>
        <v>60 cm round table</v>
      </c>
      <c r="D285" s="169"/>
      <c r="E285" s="170" t="s">
        <v>5492</v>
      </c>
      <c r="F285" s="171">
        <v>1.0</v>
      </c>
      <c r="G285" s="176">
        <v>0.0</v>
      </c>
      <c r="H285" s="177">
        <v>0.0</v>
      </c>
      <c r="I285" s="154" t="s">
        <v>123</v>
      </c>
      <c r="J285" s="162"/>
      <c r="K285" s="162"/>
      <c r="L285" s="162"/>
      <c r="M285" s="162"/>
      <c r="N285" s="162"/>
    </row>
    <row r="286">
      <c r="A286" s="178" t="s">
        <v>5493</v>
      </c>
      <c r="B286" s="154">
        <f t="shared" si="1"/>
        <v>1284</v>
      </c>
      <c r="C286" s="155" t="str">
        <f>IFERROR(__xludf.DUMMYFUNCTION("GOOGLETRANSLATE(A286,""ar"", ""en"")"),"Aluminum hotel chair")</f>
        <v>Aluminum hotel chair</v>
      </c>
      <c r="D286" s="169"/>
      <c r="E286" s="170" t="s">
        <v>5494</v>
      </c>
      <c r="F286" s="171">
        <v>5.0</v>
      </c>
      <c r="G286" s="172"/>
      <c r="H286" s="173"/>
      <c r="I286" s="154" t="s">
        <v>123</v>
      </c>
      <c r="J286" s="162"/>
      <c r="K286" s="162"/>
      <c r="L286" s="162"/>
      <c r="M286" s="162"/>
      <c r="N286" s="162"/>
    </row>
    <row r="287">
      <c r="A287" s="179" t="s">
        <v>2999</v>
      </c>
      <c r="B287" s="154">
        <f t="shared" si="1"/>
        <v>1285</v>
      </c>
      <c r="C287" s="155" t="str">
        <f>IFERROR(__xludf.DUMMYFUNCTION("GOOGLETRANSLATE(A287,""ar"", ""en"")"),"Iron hotel chair")</f>
        <v>Iron hotel chair</v>
      </c>
      <c r="D287" s="156"/>
      <c r="E287" s="157" t="s">
        <v>5495</v>
      </c>
      <c r="F287" s="158">
        <v>1.0</v>
      </c>
      <c r="G287" s="174"/>
      <c r="H287" s="175"/>
      <c r="I287" s="154" t="s">
        <v>123</v>
      </c>
      <c r="J287" s="162"/>
      <c r="K287" s="162"/>
      <c r="L287" s="162"/>
      <c r="M287" s="162"/>
      <c r="N287" s="162"/>
    </row>
    <row r="288">
      <c r="A288" s="178" t="s">
        <v>5496</v>
      </c>
      <c r="B288" s="154">
        <f t="shared" si="1"/>
        <v>1286</v>
      </c>
      <c r="C288" s="155" t="str">
        <f>IFERROR(__xludf.DUMMYFUNCTION("GOOGLETRANSLATE(A288,""ar"", ""en"")"),"TECKNO 3-drawer chest 120 cm")</f>
        <v>TECKNO 3-drawer chest 120 cm</v>
      </c>
      <c r="D288" s="169"/>
      <c r="E288" s="170" t="s">
        <v>5497</v>
      </c>
      <c r="F288" s="171">
        <v>4.0</v>
      </c>
      <c r="G288" s="172"/>
      <c r="H288" s="173"/>
      <c r="I288" s="154" t="s">
        <v>123</v>
      </c>
      <c r="J288" s="162"/>
      <c r="K288" s="162"/>
      <c r="L288" s="162"/>
      <c r="M288" s="162"/>
      <c r="N288" s="162"/>
    </row>
    <row r="289">
      <c r="A289" s="179" t="s">
        <v>5498</v>
      </c>
      <c r="B289" s="154">
        <f t="shared" si="1"/>
        <v>1287</v>
      </c>
      <c r="C289" s="155" t="str">
        <f>IFERROR(__xludf.DUMMYFUNCTION("GOOGLETRANSLATE(A289,""ar"", ""en"")"),"sofa")</f>
        <v>sofa</v>
      </c>
      <c r="D289" s="156"/>
      <c r="E289" s="157" t="s">
        <v>5499</v>
      </c>
      <c r="F289" s="158">
        <v>2.0</v>
      </c>
      <c r="G289" s="174"/>
      <c r="H289" s="175"/>
      <c r="I289" s="154" t="s">
        <v>123</v>
      </c>
      <c r="J289" s="162"/>
      <c r="K289" s="162"/>
      <c r="L289" s="162"/>
      <c r="M289" s="162"/>
      <c r="N289" s="162"/>
    </row>
    <row r="290">
      <c r="A290" s="178" t="s">
        <v>5500</v>
      </c>
      <c r="B290" s="154">
        <f t="shared" si="1"/>
        <v>1288</v>
      </c>
      <c r="C290" s="155" t="str">
        <f>IFERROR(__xludf.DUMMYFUNCTION("GOOGLETRANSLATE(A290,""ar"", ""en"")"),"Children's bed")</f>
        <v>Children's bed</v>
      </c>
      <c r="D290" s="169"/>
      <c r="E290" s="170" t="s">
        <v>5501</v>
      </c>
      <c r="F290" s="171">
        <v>-1.0</v>
      </c>
      <c r="G290" s="176">
        <v>0.0</v>
      </c>
      <c r="H290" s="177">
        <v>0.0</v>
      </c>
      <c r="I290" s="154" t="s">
        <v>123</v>
      </c>
      <c r="J290" s="162"/>
      <c r="K290" s="162"/>
      <c r="L290" s="162"/>
      <c r="M290" s="162"/>
      <c r="N290" s="162"/>
    </row>
    <row r="291">
      <c r="A291" s="179" t="s">
        <v>2687</v>
      </c>
      <c r="B291" s="154">
        <f t="shared" si="1"/>
        <v>1289</v>
      </c>
      <c r="C291" s="155" t="str">
        <f>IFERROR(__xludf.DUMMYFUNCTION("GOOGLETRANSLATE(A291,""ar"", ""en"")"),"TV table")</f>
        <v>TV table</v>
      </c>
      <c r="D291" s="156"/>
      <c r="E291" s="157" t="s">
        <v>5502</v>
      </c>
      <c r="F291" s="158">
        <v>2.0</v>
      </c>
      <c r="G291" s="159">
        <v>0.0</v>
      </c>
      <c r="H291" s="160">
        <v>0.0</v>
      </c>
      <c r="I291" s="154" t="s">
        <v>123</v>
      </c>
      <c r="J291" s="162"/>
      <c r="K291" s="162"/>
      <c r="L291" s="162"/>
      <c r="M291" s="162"/>
      <c r="N291" s="162"/>
    </row>
    <row r="292">
      <c r="A292" s="179" t="s">
        <v>527</v>
      </c>
      <c r="B292" s="154">
        <f t="shared" si="1"/>
        <v>1290</v>
      </c>
      <c r="C292" s="155" t="str">
        <f>IFERROR(__xludf.DUMMYFUNCTION("GOOGLETRANSLATE(A292,""ar"", ""en"")"),"solid chair")</f>
        <v>solid chair</v>
      </c>
      <c r="D292" s="156"/>
      <c r="E292" s="157" t="s">
        <v>5503</v>
      </c>
      <c r="F292" s="158">
        <v>5.0</v>
      </c>
      <c r="G292" s="174"/>
      <c r="H292" s="175"/>
      <c r="I292" s="154" t="s">
        <v>123</v>
      </c>
      <c r="J292" s="162"/>
      <c r="K292" s="162"/>
      <c r="L292" s="162"/>
      <c r="M292" s="162"/>
      <c r="N292" s="162"/>
    </row>
    <row r="293">
      <c r="A293" s="178" t="s">
        <v>3312</v>
      </c>
      <c r="B293" s="154">
        <f t="shared" si="1"/>
        <v>1291</v>
      </c>
      <c r="C293" s="155" t="str">
        <f>IFERROR(__xludf.DUMMYFUNCTION("GOOGLETRANSLATE(A293,""ar"", ""en"")"),"Turkish corner table")</f>
        <v>Turkish corner table</v>
      </c>
      <c r="D293" s="169"/>
      <c r="E293" s="170" t="s">
        <v>5504</v>
      </c>
      <c r="F293" s="171">
        <v>2.0</v>
      </c>
      <c r="G293" s="172"/>
      <c r="H293" s="173"/>
      <c r="I293" s="154" t="s">
        <v>123</v>
      </c>
      <c r="J293" s="162"/>
      <c r="K293" s="162"/>
      <c r="L293" s="162"/>
      <c r="M293" s="162"/>
      <c r="N293" s="162"/>
    </row>
    <row r="294">
      <c r="A294" s="179" t="s">
        <v>2334</v>
      </c>
      <c r="B294" s="154">
        <f t="shared" si="1"/>
        <v>1292</v>
      </c>
      <c r="C294" s="155" t="str">
        <f>IFERROR(__xludf.DUMMYFUNCTION("GOOGLETRANSLATE(A294,""ar"", ""en"")"),"165 cm table with two watermelons")</f>
        <v>165 cm table with two watermelons</v>
      </c>
      <c r="D294" s="156"/>
      <c r="E294" s="157" t="s">
        <v>5505</v>
      </c>
      <c r="F294" s="158">
        <v>3.0</v>
      </c>
      <c r="G294" s="174"/>
      <c r="H294" s="175"/>
      <c r="I294" s="154" t="s">
        <v>123</v>
      </c>
      <c r="J294" s="162"/>
      <c r="K294" s="162"/>
      <c r="L294" s="162"/>
      <c r="M294" s="162"/>
      <c r="N294" s="162"/>
    </row>
    <row r="295">
      <c r="A295" s="178" t="s">
        <v>5506</v>
      </c>
      <c r="B295" s="154">
        <f t="shared" si="1"/>
        <v>1293</v>
      </c>
      <c r="C295" s="155" t="str">
        <f>IFERROR(__xludf.DUMMYFUNCTION("GOOGLETRANSLATE(A295,""ar"", ""en"")"),"150 butterfly table")</f>
        <v>150 butterfly table</v>
      </c>
      <c r="D295" s="169"/>
      <c r="E295" s="170" t="s">
        <v>5507</v>
      </c>
      <c r="F295" s="171">
        <v>2.0</v>
      </c>
      <c r="G295" s="176">
        <v>0.0</v>
      </c>
      <c r="H295" s="177">
        <v>0.0</v>
      </c>
      <c r="I295" s="154" t="s">
        <v>123</v>
      </c>
      <c r="J295" s="162"/>
      <c r="K295" s="162"/>
      <c r="L295" s="162"/>
      <c r="M295" s="162"/>
      <c r="N295" s="162"/>
    </row>
    <row r="296">
      <c r="A296" s="178" t="s">
        <v>2352</v>
      </c>
      <c r="B296" s="154">
        <f t="shared" si="1"/>
        <v>1294</v>
      </c>
      <c r="C296" s="155" t="str">
        <f>IFERROR(__xludf.DUMMYFUNCTION("GOOGLETRANSLATE(A296,""ar"", ""en"")"),"Colist table 105*150")</f>
        <v>Colist table 105*150</v>
      </c>
      <c r="D296" s="169"/>
      <c r="E296" s="170" t="s">
        <v>5508</v>
      </c>
      <c r="F296" s="171">
        <v>3.0</v>
      </c>
      <c r="G296" s="172"/>
      <c r="H296" s="173"/>
      <c r="I296" s="154" t="s">
        <v>123</v>
      </c>
      <c r="J296" s="162"/>
      <c r="K296" s="162"/>
      <c r="L296" s="162"/>
      <c r="M296" s="162"/>
      <c r="N296" s="162"/>
    </row>
    <row r="297">
      <c r="A297" s="179" t="s">
        <v>5509</v>
      </c>
      <c r="B297" s="154">
        <f t="shared" si="1"/>
        <v>1295</v>
      </c>
      <c r="C297" s="155" t="str">
        <f>IFERROR(__xludf.DUMMYFUNCTION("GOOGLETRANSLATE(A297,""ar"", ""en"")"),"Resin set 1 + 4 chairs")</f>
        <v>Resin set 1 + 4 chairs</v>
      </c>
      <c r="D297" s="156"/>
      <c r="E297" s="157" t="s">
        <v>5510</v>
      </c>
      <c r="F297" s="158">
        <v>2.0</v>
      </c>
      <c r="G297" s="174"/>
      <c r="H297" s="175"/>
      <c r="I297" s="154" t="s">
        <v>123</v>
      </c>
      <c r="J297" s="162"/>
      <c r="K297" s="162"/>
      <c r="L297" s="162"/>
      <c r="M297" s="162"/>
      <c r="N297" s="162"/>
    </row>
    <row r="298">
      <c r="A298" s="178" t="s">
        <v>5511</v>
      </c>
      <c r="B298" s="154">
        <f t="shared" si="1"/>
        <v>1296</v>
      </c>
      <c r="C298" s="155" t="str">
        <f>IFERROR(__xludf.DUMMYFUNCTION("GOOGLETRANSLATE(A298,""ar"", ""en"")"),"3-door library")</f>
        <v>3-door library</v>
      </c>
      <c r="D298" s="169"/>
      <c r="E298" s="170" t="s">
        <v>5512</v>
      </c>
      <c r="F298" s="171">
        <v>2.0</v>
      </c>
      <c r="G298" s="176">
        <v>0.0</v>
      </c>
      <c r="H298" s="177">
        <v>0.0</v>
      </c>
      <c r="I298" s="154" t="s">
        <v>123</v>
      </c>
      <c r="J298" s="162"/>
      <c r="K298" s="162"/>
      <c r="L298" s="162"/>
      <c r="M298" s="162"/>
      <c r="N298" s="162"/>
    </row>
    <row r="299">
      <c r="A299" s="179" t="s">
        <v>5498</v>
      </c>
      <c r="B299" s="154">
        <f t="shared" si="1"/>
        <v>1297</v>
      </c>
      <c r="C299" s="155" t="str">
        <f>IFERROR(__xludf.DUMMYFUNCTION("GOOGLETRANSLATE(A299,""ar"", ""en"")"),"sofa")</f>
        <v>sofa</v>
      </c>
      <c r="D299" s="156"/>
      <c r="E299" s="157" t="s">
        <v>5513</v>
      </c>
      <c r="F299" s="158">
        <v>4.0</v>
      </c>
      <c r="G299" s="174"/>
      <c r="H299" s="175"/>
      <c r="I299" s="154" t="s">
        <v>123</v>
      </c>
      <c r="J299" s="162"/>
      <c r="K299" s="162"/>
      <c r="L299" s="162"/>
      <c r="M299" s="162"/>
      <c r="N299" s="162"/>
    </row>
    <row r="300">
      <c r="A300" s="178" t="s">
        <v>37</v>
      </c>
      <c r="B300" s="154">
        <f t="shared" si="1"/>
        <v>1298</v>
      </c>
      <c r="C300" s="155" t="str">
        <f>IFERROR(__xludf.DUMMYFUNCTION("GOOGLETRANSLATE(A300,""ar"", ""en"")"),"dining chair")</f>
        <v>dining chair</v>
      </c>
      <c r="D300" s="169"/>
      <c r="E300" s="170" t="s">
        <v>5514</v>
      </c>
      <c r="F300" s="171">
        <v>2.0</v>
      </c>
      <c r="G300" s="176">
        <v>0.0</v>
      </c>
      <c r="H300" s="177">
        <v>0.0</v>
      </c>
      <c r="I300" s="154" t="s">
        <v>123</v>
      </c>
      <c r="J300" s="162"/>
      <c r="K300" s="162"/>
      <c r="L300" s="162"/>
      <c r="M300" s="162"/>
      <c r="N300" s="162"/>
    </row>
    <row r="301">
      <c r="A301" s="179" t="s">
        <v>5515</v>
      </c>
      <c r="B301" s="154">
        <f t="shared" si="1"/>
        <v>1299</v>
      </c>
      <c r="C301" s="155" t="str">
        <f>IFERROR(__xludf.DUMMYFUNCTION("GOOGLETRANSLATE(A301,""ar"", ""en"")"),"sofa set")</f>
        <v>sofa set</v>
      </c>
      <c r="D301" s="156"/>
      <c r="E301" s="157" t="s">
        <v>5516</v>
      </c>
      <c r="F301" s="158">
        <v>1.0</v>
      </c>
      <c r="G301" s="159">
        <v>0.0</v>
      </c>
      <c r="H301" s="160">
        <v>0.0</v>
      </c>
      <c r="I301" s="154" t="s">
        <v>123</v>
      </c>
      <c r="J301" s="162"/>
      <c r="K301" s="162"/>
      <c r="L301" s="162"/>
      <c r="M301" s="162"/>
      <c r="N301" s="162"/>
    </row>
    <row r="302">
      <c r="A302" s="179" t="s">
        <v>5517</v>
      </c>
      <c r="B302" s="154">
        <f t="shared" si="1"/>
        <v>1300</v>
      </c>
      <c r="C302" s="155" t="str">
        <f>IFERROR(__xludf.DUMMYFUNCTION("GOOGLETRANSLATE(A302,""ar"", ""en"")"),"90*190 bed")</f>
        <v>90*190 bed</v>
      </c>
      <c r="D302" s="156"/>
      <c r="E302" s="157" t="s">
        <v>5518</v>
      </c>
      <c r="F302" s="158">
        <v>1.0</v>
      </c>
      <c r="G302" s="159">
        <v>0.0</v>
      </c>
      <c r="H302" s="160">
        <v>0.0</v>
      </c>
      <c r="I302" s="154" t="s">
        <v>123</v>
      </c>
      <c r="J302" s="162"/>
      <c r="K302" s="162"/>
      <c r="L302" s="162"/>
      <c r="M302" s="162"/>
      <c r="N302" s="162"/>
    </row>
    <row r="303">
      <c r="A303" s="178" t="s">
        <v>5519</v>
      </c>
      <c r="B303" s="154">
        <f t="shared" si="1"/>
        <v>1301</v>
      </c>
      <c r="C303" s="155" t="str">
        <f>IFERROR(__xludf.DUMMYFUNCTION("GOOGLETRANSLATE(A303,""ar"", ""en"")"),"Bed 110*190")</f>
        <v>Bed 110*190</v>
      </c>
      <c r="D303" s="169"/>
      <c r="E303" s="170" t="s">
        <v>5520</v>
      </c>
      <c r="F303" s="171">
        <v>2.0</v>
      </c>
      <c r="G303" s="176">
        <v>0.0</v>
      </c>
      <c r="H303" s="177">
        <v>0.0</v>
      </c>
      <c r="I303" s="154" t="s">
        <v>123</v>
      </c>
      <c r="J303" s="162"/>
      <c r="K303" s="162"/>
      <c r="L303" s="162"/>
      <c r="M303" s="162"/>
      <c r="N303" s="162"/>
    </row>
    <row r="304">
      <c r="A304" s="179" t="s">
        <v>5521</v>
      </c>
      <c r="B304" s="154">
        <f t="shared" si="1"/>
        <v>1302</v>
      </c>
      <c r="C304" s="155" t="str">
        <f>IFERROR(__xludf.DUMMYFUNCTION("GOOGLETRANSLATE(A304,""ar"", ""en"")"),"Low kitchen chair")</f>
        <v>Low kitchen chair</v>
      </c>
      <c r="D304" s="156"/>
      <c r="E304" s="157" t="s">
        <v>5522</v>
      </c>
      <c r="F304" s="158">
        <v>4.0</v>
      </c>
      <c r="G304" s="159">
        <v>0.0</v>
      </c>
      <c r="H304" s="160">
        <v>0.0</v>
      </c>
      <c r="I304" s="154" t="s">
        <v>123</v>
      </c>
      <c r="J304" s="162"/>
      <c r="K304" s="162"/>
      <c r="L304" s="162"/>
      <c r="M304" s="162"/>
      <c r="N304" s="162"/>
    </row>
    <row r="305">
      <c r="A305" s="178" t="s">
        <v>5498</v>
      </c>
      <c r="B305" s="154">
        <f t="shared" si="1"/>
        <v>1303</v>
      </c>
      <c r="C305" s="155" t="str">
        <f>IFERROR(__xludf.DUMMYFUNCTION("GOOGLETRANSLATE(A305,""ar"", ""en"")"),"sofa")</f>
        <v>sofa</v>
      </c>
      <c r="D305" s="169"/>
      <c r="E305" s="170" t="s">
        <v>5523</v>
      </c>
      <c r="F305" s="171">
        <v>1.0</v>
      </c>
      <c r="G305" s="172"/>
      <c r="H305" s="173"/>
      <c r="I305" s="154" t="s">
        <v>123</v>
      </c>
      <c r="J305" s="162"/>
      <c r="K305" s="162"/>
      <c r="L305" s="162"/>
      <c r="M305" s="162"/>
      <c r="N305" s="162"/>
    </row>
    <row r="306">
      <c r="A306" s="178" t="s">
        <v>675</v>
      </c>
      <c r="B306" s="154">
        <f t="shared" si="1"/>
        <v>1304</v>
      </c>
      <c r="C306" s="155" t="str">
        <f>IFERROR(__xludf.DUMMYFUNCTION("GOOGLETRANSLATE(A306,""ar"", ""en"")"),"Bed 160*190")</f>
        <v>Bed 160*190</v>
      </c>
      <c r="D306" s="169"/>
      <c r="E306" s="170" t="s">
        <v>5524</v>
      </c>
      <c r="F306" s="171">
        <v>1.0</v>
      </c>
      <c r="G306" s="176">
        <v>0.0</v>
      </c>
      <c r="H306" s="177">
        <v>0.0</v>
      </c>
      <c r="I306" s="154" t="s">
        <v>123</v>
      </c>
      <c r="J306" s="162"/>
      <c r="K306" s="162"/>
      <c r="L306" s="162"/>
      <c r="M306" s="162"/>
      <c r="N306" s="162"/>
    </row>
    <row r="307">
      <c r="A307" s="179" t="s">
        <v>5519</v>
      </c>
      <c r="B307" s="154">
        <f t="shared" si="1"/>
        <v>1305</v>
      </c>
      <c r="C307" s="155" t="str">
        <f>IFERROR(__xludf.DUMMYFUNCTION("GOOGLETRANSLATE(A307,""ar"", ""en"")"),"Bed 110*190")</f>
        <v>Bed 110*190</v>
      </c>
      <c r="D307" s="156"/>
      <c r="E307" s="157" t="s">
        <v>5525</v>
      </c>
      <c r="F307" s="158">
        <v>2.0</v>
      </c>
      <c r="G307" s="159">
        <v>0.0</v>
      </c>
      <c r="H307" s="160">
        <v>0.0</v>
      </c>
      <c r="I307" s="154" t="s">
        <v>123</v>
      </c>
      <c r="J307" s="162"/>
      <c r="K307" s="162"/>
      <c r="L307" s="162"/>
      <c r="M307" s="162"/>
      <c r="N307" s="162"/>
    </row>
    <row r="308">
      <c r="A308" s="178" t="s">
        <v>5517</v>
      </c>
      <c r="B308" s="154">
        <f t="shared" si="1"/>
        <v>1306</v>
      </c>
      <c r="C308" s="155" t="str">
        <f>IFERROR(__xludf.DUMMYFUNCTION("GOOGLETRANSLATE(A308,""ar"", ""en"")"),"90*190 bed")</f>
        <v>90*190 bed</v>
      </c>
      <c r="D308" s="169"/>
      <c r="E308" s="170" t="s">
        <v>5526</v>
      </c>
      <c r="F308" s="171">
        <v>3.0</v>
      </c>
      <c r="G308" s="176">
        <v>0.0</v>
      </c>
      <c r="H308" s="177">
        <v>0.0</v>
      </c>
      <c r="I308" s="154" t="s">
        <v>123</v>
      </c>
      <c r="J308" s="162"/>
      <c r="K308" s="162"/>
      <c r="L308" s="162"/>
      <c r="M308" s="162"/>
      <c r="N308" s="162"/>
    </row>
    <row r="309">
      <c r="A309" s="179" t="s">
        <v>5519</v>
      </c>
      <c r="B309" s="154">
        <f t="shared" si="1"/>
        <v>1307</v>
      </c>
      <c r="C309" s="155" t="str">
        <f>IFERROR(__xludf.DUMMYFUNCTION("GOOGLETRANSLATE(A309,""ar"", ""en"")"),"Bed 110*190")</f>
        <v>Bed 110*190</v>
      </c>
      <c r="D309" s="156"/>
      <c r="E309" s="157" t="s">
        <v>5527</v>
      </c>
      <c r="F309" s="158">
        <v>1.0</v>
      </c>
      <c r="G309" s="159">
        <v>0.0</v>
      </c>
      <c r="H309" s="160">
        <v>0.0</v>
      </c>
      <c r="I309" s="154" t="s">
        <v>123</v>
      </c>
      <c r="J309" s="162"/>
      <c r="K309" s="162"/>
      <c r="L309" s="162"/>
      <c r="M309" s="162"/>
      <c r="N309" s="162"/>
    </row>
    <row r="310">
      <c r="A310" s="178" t="s">
        <v>5528</v>
      </c>
      <c r="B310" s="154">
        <f t="shared" si="1"/>
        <v>1308</v>
      </c>
      <c r="C310" s="155" t="str">
        <f>IFERROR(__xludf.DUMMYFUNCTION("GOOGLETRANSLATE(A310,""ar"", ""en"")"),"Table set + 6 chairs")</f>
        <v>Table set + 6 chairs</v>
      </c>
      <c r="D310" s="169"/>
      <c r="E310" s="170" t="s">
        <v>5529</v>
      </c>
      <c r="F310" s="171">
        <v>1.0</v>
      </c>
      <c r="G310" s="176">
        <v>78.56</v>
      </c>
      <c r="H310" s="177">
        <v>78.56</v>
      </c>
      <c r="I310" s="154" t="s">
        <v>123</v>
      </c>
      <c r="J310" s="162"/>
      <c r="K310" s="162"/>
      <c r="L310" s="162"/>
      <c r="M310" s="162"/>
      <c r="N310" s="162"/>
    </row>
    <row r="311">
      <c r="A311" s="179" t="s">
        <v>5530</v>
      </c>
      <c r="B311" s="154">
        <f t="shared" si="1"/>
        <v>1309</v>
      </c>
      <c r="C311" s="155" t="str">
        <f>IFERROR(__xludf.DUMMYFUNCTION("GOOGLETRANSLATE(A311,""ar"", ""en"")"),"3-piece round glass table set")</f>
        <v>3-piece round glass table set</v>
      </c>
      <c r="D311" s="156"/>
      <c r="E311" s="157" t="s">
        <v>5531</v>
      </c>
      <c r="F311" s="158">
        <v>3.0</v>
      </c>
      <c r="G311" s="159">
        <v>20.95</v>
      </c>
      <c r="H311" s="160">
        <v>62.85</v>
      </c>
      <c r="I311" s="154" t="s">
        <v>123</v>
      </c>
      <c r="J311" s="162"/>
      <c r="K311" s="162"/>
      <c r="L311" s="162"/>
      <c r="M311" s="162"/>
      <c r="N311" s="162"/>
    </row>
    <row r="312">
      <c r="A312" s="178" t="s">
        <v>5532</v>
      </c>
      <c r="B312" s="154">
        <f t="shared" si="1"/>
        <v>1310</v>
      </c>
      <c r="C312" s="155" t="str">
        <f>IFERROR(__xludf.DUMMYFUNCTION("GOOGLETRANSLATE(A312,""ar"", ""en"")"),"3-piece round wooden table set")</f>
        <v>3-piece round wooden table set</v>
      </c>
      <c r="D312" s="169"/>
      <c r="E312" s="170" t="s">
        <v>5533</v>
      </c>
      <c r="F312" s="171">
        <v>2.0</v>
      </c>
      <c r="G312" s="176">
        <v>41.9</v>
      </c>
      <c r="H312" s="177">
        <v>83.8</v>
      </c>
      <c r="I312" s="154" t="s">
        <v>123</v>
      </c>
      <c r="J312" s="162"/>
      <c r="K312" s="162"/>
      <c r="L312" s="162"/>
      <c r="M312" s="162"/>
      <c r="N312" s="162"/>
    </row>
    <row r="313">
      <c r="A313" s="179" t="s">
        <v>5534</v>
      </c>
      <c r="B313" s="154">
        <f t="shared" si="1"/>
        <v>1311</v>
      </c>
      <c r="C313" s="155" t="str">
        <f>IFERROR(__xludf.DUMMYFUNCTION("GOOGLETRANSLATE(A313,""ar"", ""en"")"),"3-piece square wooden table set")</f>
        <v>3-piece square wooden table set</v>
      </c>
      <c r="D313" s="156"/>
      <c r="E313" s="157" t="s">
        <v>5535</v>
      </c>
      <c r="F313" s="158">
        <v>3.0</v>
      </c>
      <c r="G313" s="159">
        <v>41.9</v>
      </c>
      <c r="H313" s="160">
        <v>125.7</v>
      </c>
      <c r="I313" s="154" t="s">
        <v>123</v>
      </c>
      <c r="J313" s="162"/>
      <c r="K313" s="162"/>
      <c r="L313" s="162"/>
      <c r="M313" s="162"/>
      <c r="N313" s="162"/>
    </row>
    <row r="314">
      <c r="A314" s="178" t="s">
        <v>2443</v>
      </c>
      <c r="B314" s="154">
        <f t="shared" si="1"/>
        <v>1312</v>
      </c>
      <c r="C314" s="155" t="str">
        <f>IFERROR(__xludf.DUMMYFUNCTION("GOOGLETRANSLATE(A314,""ar"", ""en"")"),"Text table")</f>
        <v>Text table</v>
      </c>
      <c r="D314" s="169"/>
      <c r="E314" s="170" t="s">
        <v>5536</v>
      </c>
      <c r="F314" s="171">
        <v>1.0</v>
      </c>
      <c r="G314" s="172"/>
      <c r="H314" s="173"/>
      <c r="I314" s="154" t="s">
        <v>123</v>
      </c>
      <c r="J314" s="162"/>
      <c r="K314" s="162"/>
      <c r="L314" s="162"/>
      <c r="M314" s="162"/>
      <c r="N314" s="162"/>
    </row>
    <row r="315">
      <c r="A315" s="179" t="s">
        <v>2443</v>
      </c>
      <c r="B315" s="154">
        <f t="shared" si="1"/>
        <v>1313</v>
      </c>
      <c r="C315" s="155" t="str">
        <f>IFERROR(__xludf.DUMMYFUNCTION("GOOGLETRANSLATE(A315,""ar"", ""en"")"),"Text table")</f>
        <v>Text table</v>
      </c>
      <c r="D315" s="156"/>
      <c r="E315" s="157" t="s">
        <v>5537</v>
      </c>
      <c r="F315" s="158">
        <v>3.0</v>
      </c>
      <c r="G315" s="174"/>
      <c r="H315" s="175"/>
      <c r="I315" s="154" t="s">
        <v>123</v>
      </c>
      <c r="J315" s="162"/>
      <c r="K315" s="162"/>
      <c r="L315" s="162"/>
      <c r="M315" s="162"/>
      <c r="N315" s="162"/>
    </row>
    <row r="316">
      <c r="A316" s="179" t="s">
        <v>5538</v>
      </c>
      <c r="B316" s="154">
        <f t="shared" si="1"/>
        <v>1314</v>
      </c>
      <c r="C316" s="155" t="str">
        <f>IFERROR(__xludf.DUMMYFUNCTION("GOOGLETRANSLATE(A316,""ar"", ""en"")"),"chrome chair")</f>
        <v>chrome chair</v>
      </c>
      <c r="D316" s="156"/>
      <c r="E316" s="157" t="s">
        <v>5539</v>
      </c>
      <c r="F316" s="158">
        <v>5.0</v>
      </c>
      <c r="G316" s="159">
        <v>0.0</v>
      </c>
      <c r="H316" s="160">
        <v>0.0</v>
      </c>
      <c r="I316" s="154" t="s">
        <v>123</v>
      </c>
      <c r="J316" s="162"/>
      <c r="K316" s="162"/>
      <c r="L316" s="162"/>
      <c r="M316" s="162"/>
      <c r="N316" s="162"/>
    </row>
    <row r="317">
      <c r="A317" s="179" t="s">
        <v>2443</v>
      </c>
      <c r="B317" s="154">
        <f t="shared" si="1"/>
        <v>1315</v>
      </c>
      <c r="C317" s="155" t="str">
        <f>IFERROR(__xludf.DUMMYFUNCTION("GOOGLETRANSLATE(A317,""ar"", ""en"")"),"Text table")</f>
        <v>Text table</v>
      </c>
      <c r="D317" s="156"/>
      <c r="E317" s="157" t="s">
        <v>5540</v>
      </c>
      <c r="F317" s="158">
        <v>-1.0</v>
      </c>
      <c r="G317" s="159">
        <v>0.0</v>
      </c>
      <c r="H317" s="160">
        <v>0.0</v>
      </c>
      <c r="I317" s="154" t="s">
        <v>123</v>
      </c>
      <c r="J317" s="162"/>
      <c r="K317" s="162"/>
      <c r="L317" s="162"/>
      <c r="M317" s="162"/>
      <c r="N317" s="162"/>
    </row>
    <row r="318">
      <c r="A318" s="178" t="s">
        <v>5541</v>
      </c>
      <c r="B318" s="154">
        <f t="shared" si="1"/>
        <v>1316</v>
      </c>
      <c r="C318" s="155" t="str">
        <f>IFERROR(__xludf.DUMMYFUNCTION("GOOGLETRANSLATE(A318,""ar"", ""en"")"),"small text table")</f>
        <v>small text table</v>
      </c>
      <c r="D318" s="169"/>
      <c r="E318" s="170" t="s">
        <v>5542</v>
      </c>
      <c r="F318" s="171">
        <v>3.0</v>
      </c>
      <c r="G318" s="172"/>
      <c r="H318" s="173"/>
      <c r="I318" s="154" t="s">
        <v>123</v>
      </c>
      <c r="J318" s="162"/>
      <c r="K318" s="162"/>
      <c r="L318" s="162"/>
      <c r="M318" s="162"/>
      <c r="N318" s="162"/>
    </row>
    <row r="319">
      <c r="A319" s="179" t="s">
        <v>2443</v>
      </c>
      <c r="B319" s="154">
        <f t="shared" si="1"/>
        <v>1317</v>
      </c>
      <c r="C319" s="155" t="str">
        <f>IFERROR(__xludf.DUMMYFUNCTION("GOOGLETRANSLATE(A319,""ar"", ""en"")"),"Text table")</f>
        <v>Text table</v>
      </c>
      <c r="D319" s="156"/>
      <c r="E319" s="157" t="s">
        <v>5543</v>
      </c>
      <c r="F319" s="158">
        <v>-1.0</v>
      </c>
      <c r="G319" s="174"/>
      <c r="H319" s="175"/>
      <c r="I319" s="154" t="s">
        <v>123</v>
      </c>
      <c r="J319" s="162"/>
      <c r="K319" s="162"/>
      <c r="L319" s="162"/>
      <c r="M319" s="162"/>
      <c r="N319" s="162"/>
    </row>
    <row r="320">
      <c r="A320" s="178" t="s">
        <v>3197</v>
      </c>
      <c r="B320" s="154">
        <f t="shared" si="1"/>
        <v>1318</v>
      </c>
      <c r="C320" s="155" t="str">
        <f>IFERROR(__xludf.DUMMYFUNCTION("GOOGLETRANSLATE(A320,""ar"", ""en"")"),"Two-seat leather bank")</f>
        <v>Two-seat leather bank</v>
      </c>
      <c r="D320" s="169"/>
      <c r="E320" s="170" t="s">
        <v>5544</v>
      </c>
      <c r="F320" s="171">
        <v>1.0</v>
      </c>
      <c r="G320" s="172"/>
      <c r="H320" s="173"/>
      <c r="I320" s="154" t="s">
        <v>123</v>
      </c>
      <c r="J320" s="162"/>
      <c r="K320" s="162"/>
      <c r="L320" s="162"/>
      <c r="M320" s="162"/>
      <c r="N320" s="162"/>
    </row>
    <row r="321">
      <c r="A321" s="179" t="s">
        <v>5545</v>
      </c>
      <c r="B321" s="154">
        <f t="shared" si="1"/>
        <v>1319</v>
      </c>
      <c r="C321" s="155" t="str">
        <f>IFERROR(__xludf.DUMMYFUNCTION("GOOGLETRANSLATE(A321,""ar"", ""en"")"),"Tek Fadar chair from a set")</f>
        <v>Tek Fadar chair from a set</v>
      </c>
      <c r="D321" s="156"/>
      <c r="E321" s="157" t="s">
        <v>5546</v>
      </c>
      <c r="F321" s="158">
        <v>1.0</v>
      </c>
      <c r="G321" s="174"/>
      <c r="H321" s="175"/>
      <c r="I321" s="154" t="s">
        <v>123</v>
      </c>
      <c r="J321" s="162"/>
      <c r="K321" s="162"/>
      <c r="L321" s="162"/>
      <c r="M321" s="162"/>
      <c r="N321" s="162"/>
    </row>
    <row r="322">
      <c r="A322" s="178" t="s">
        <v>5547</v>
      </c>
      <c r="B322" s="154">
        <f t="shared" si="1"/>
        <v>1320</v>
      </c>
      <c r="C322" s="155" t="str">
        <f>IFERROR(__xludf.DUMMYFUNCTION("GOOGLETRANSLATE(A322,""ar"", ""en"")"),"TEAK rocking chair")</f>
        <v>TEAK rocking chair</v>
      </c>
      <c r="D322" s="169"/>
      <c r="E322" s="170" t="s">
        <v>5548</v>
      </c>
      <c r="F322" s="171">
        <v>1.0</v>
      </c>
      <c r="G322" s="172"/>
      <c r="H322" s="173"/>
      <c r="I322" s="154" t="s">
        <v>123</v>
      </c>
      <c r="J322" s="162"/>
      <c r="K322" s="162"/>
      <c r="L322" s="162"/>
      <c r="M322" s="162"/>
      <c r="N322" s="162"/>
    </row>
    <row r="323">
      <c r="A323" s="179" t="s">
        <v>5549</v>
      </c>
      <c r="B323" s="154">
        <f t="shared" si="1"/>
        <v>1321</v>
      </c>
      <c r="C323" s="155" t="str">
        <f>IFERROR(__xludf.DUMMYFUNCTION("GOOGLETRANSLATE(A323,""ar"", ""en"")"),"Tech set 1+4")</f>
        <v>Tech set 1+4</v>
      </c>
      <c r="D323" s="156"/>
      <c r="E323" s="157" t="s">
        <v>5550</v>
      </c>
      <c r="F323" s="158">
        <v>3.0</v>
      </c>
      <c r="G323" s="174"/>
      <c r="H323" s="175"/>
      <c r="I323" s="154" t="s">
        <v>123</v>
      </c>
      <c r="J323" s="162"/>
      <c r="K323" s="162"/>
      <c r="L323" s="162"/>
      <c r="M323" s="162"/>
      <c r="N323" s="162"/>
    </row>
    <row r="324">
      <c r="A324" s="179" t="s">
        <v>5551</v>
      </c>
      <c r="B324" s="154">
        <f t="shared" si="1"/>
        <v>1322</v>
      </c>
      <c r="C324" s="155" t="str">
        <f>IFERROR(__xludf.DUMMYFUNCTION("GOOGLETRANSLATE(A324,""ar"", ""en"")"),"SOMO - Chair Throw")</f>
        <v>SOMO - Chair Throw</v>
      </c>
      <c r="D324" s="188"/>
      <c r="E324" s="189" t="s">
        <v>5552</v>
      </c>
      <c r="F324" s="158">
        <v>7.0</v>
      </c>
      <c r="G324" s="159">
        <v>5.0</v>
      </c>
      <c r="H324" s="160">
        <v>35.0</v>
      </c>
      <c r="I324" s="154" t="s">
        <v>123</v>
      </c>
      <c r="J324" s="162"/>
      <c r="K324" s="162"/>
      <c r="L324" s="162"/>
      <c r="M324" s="162"/>
      <c r="N324" s="162"/>
    </row>
    <row r="325">
      <c r="A325" s="178" t="s">
        <v>5553</v>
      </c>
      <c r="B325" s="154">
        <f t="shared" si="1"/>
        <v>1323</v>
      </c>
      <c r="C325" s="155" t="str">
        <f>IFERROR(__xludf.DUMMYFUNCTION("GOOGLETRANSLATE(A325,""ar"", ""en"")"),"140 cm desk")</f>
        <v>140 cm desk</v>
      </c>
      <c r="D325" s="169"/>
      <c r="E325" s="170" t="s">
        <v>5554</v>
      </c>
      <c r="F325" s="171">
        <v>1.0</v>
      </c>
      <c r="G325" s="172"/>
      <c r="H325" s="173"/>
      <c r="I325" s="154" t="s">
        <v>123</v>
      </c>
      <c r="J325" s="162"/>
      <c r="K325" s="162"/>
      <c r="L325" s="162"/>
      <c r="M325" s="162"/>
      <c r="N325" s="162"/>
    </row>
    <row r="326">
      <c r="A326" s="179" t="s">
        <v>5555</v>
      </c>
      <c r="B326" s="154">
        <f t="shared" si="1"/>
        <v>1324</v>
      </c>
      <c r="C326" s="155" t="str">
        <f>IFERROR(__xludf.DUMMYFUNCTION("GOOGLETRANSLATE(A326,""ar"", ""en"")"),"Two-seat rattan set")</f>
        <v>Two-seat rattan set</v>
      </c>
      <c r="D326" s="156"/>
      <c r="E326" s="157" t="s">
        <v>5556</v>
      </c>
      <c r="F326" s="158">
        <v>-1.0</v>
      </c>
      <c r="G326" s="159">
        <v>0.0</v>
      </c>
      <c r="H326" s="160">
        <v>0.0</v>
      </c>
      <c r="I326" s="154" t="s">
        <v>123</v>
      </c>
      <c r="J326" s="162"/>
      <c r="K326" s="162"/>
      <c r="L326" s="162"/>
      <c r="M326" s="162"/>
      <c r="N326" s="162"/>
    </row>
    <row r="327">
      <c r="A327" s="179" t="s">
        <v>2903</v>
      </c>
      <c r="B327" s="154">
        <f t="shared" si="1"/>
        <v>1325</v>
      </c>
      <c r="C327" s="155" t="str">
        <f>IFERROR(__xludf.DUMMYFUNCTION("GOOGLETRANSLATE(A327,""ar"", ""en"")"),"3-seat resin set")</f>
        <v>3-seat resin set</v>
      </c>
      <c r="D327" s="156"/>
      <c r="E327" s="157" t="s">
        <v>5557</v>
      </c>
      <c r="F327" s="158">
        <v>1.0</v>
      </c>
      <c r="G327" s="159">
        <v>0.0</v>
      </c>
      <c r="H327" s="160">
        <v>0.0</v>
      </c>
      <c r="I327" s="154" t="s">
        <v>123</v>
      </c>
      <c r="J327" s="162"/>
      <c r="K327" s="162"/>
      <c r="L327" s="162"/>
      <c r="M327" s="162"/>
      <c r="N327" s="162"/>
    </row>
    <row r="328">
      <c r="A328" s="178" t="s">
        <v>5558</v>
      </c>
      <c r="B328" s="154">
        <f t="shared" si="1"/>
        <v>1326</v>
      </c>
      <c r="C328" s="155" t="str">
        <f>IFERROR(__xludf.DUMMYFUNCTION("GOOGLETRANSLATE(A328,""ar"", ""en"")"),"40cm Balinese bamboo table")</f>
        <v>40cm Balinese bamboo table</v>
      </c>
      <c r="D328" s="169"/>
      <c r="E328" s="170" t="s">
        <v>5559</v>
      </c>
      <c r="F328" s="171">
        <v>2.0</v>
      </c>
      <c r="G328" s="176">
        <v>0.0</v>
      </c>
      <c r="H328" s="177">
        <v>0.0</v>
      </c>
      <c r="I328" s="154" t="s">
        <v>123</v>
      </c>
      <c r="J328" s="162"/>
      <c r="K328" s="162"/>
      <c r="L328" s="162"/>
      <c r="M328" s="162"/>
      <c r="N328" s="162"/>
    </row>
    <row r="329">
      <c r="A329" s="179" t="s">
        <v>5560</v>
      </c>
      <c r="B329" s="154">
        <f t="shared" si="1"/>
        <v>1327</v>
      </c>
      <c r="C329" s="155" t="str">
        <f>IFERROR(__xludf.DUMMYFUNCTION("GOOGLETRANSLATE(A329,""ar"", ""en"")"),"Small 2-seat propo set")</f>
        <v>Small 2-seat propo set</v>
      </c>
      <c r="D329" s="156"/>
      <c r="E329" s="157" t="s">
        <v>5561</v>
      </c>
      <c r="F329" s="158">
        <v>1.0</v>
      </c>
      <c r="G329" s="159">
        <v>0.0</v>
      </c>
      <c r="H329" s="160">
        <v>0.0</v>
      </c>
      <c r="I329" s="154" t="s">
        <v>123</v>
      </c>
      <c r="J329" s="162"/>
      <c r="K329" s="162"/>
      <c r="L329" s="162"/>
      <c r="M329" s="162"/>
      <c r="N329" s="162"/>
    </row>
    <row r="330">
      <c r="A330" s="178" t="s">
        <v>5562</v>
      </c>
      <c r="B330" s="154">
        <f t="shared" si="1"/>
        <v>1328</v>
      </c>
      <c r="C330" s="155" t="str">
        <f>IFERROR(__xludf.DUMMYFUNCTION("GOOGLETRANSLATE(A330,""ar"", ""en"")"),"Two-seater sofa in the house")</f>
        <v>Two-seater sofa in the house</v>
      </c>
      <c r="D330" s="169"/>
      <c r="E330" s="170" t="s">
        <v>5563</v>
      </c>
      <c r="F330" s="171">
        <v>2.0</v>
      </c>
      <c r="G330" s="172"/>
      <c r="H330" s="173"/>
      <c r="I330" s="154" t="s">
        <v>123</v>
      </c>
      <c r="J330" s="162"/>
      <c r="K330" s="162"/>
      <c r="L330" s="162"/>
      <c r="M330" s="162"/>
      <c r="N330" s="162"/>
    </row>
    <row r="331">
      <c r="A331" s="179" t="s">
        <v>5564</v>
      </c>
      <c r="B331" s="154">
        <f t="shared" si="1"/>
        <v>1329</v>
      </c>
      <c r="C331" s="155" t="str">
        <f>IFERROR(__xludf.DUMMYFUNCTION("GOOGLETRANSLATE(A331,""ar"", ""en"")"),"VS 6-drawer shoe cabinet with drawer")</f>
        <v>VS 6-drawer shoe cabinet with drawer</v>
      </c>
      <c r="D331" s="156"/>
      <c r="E331" s="157" t="s">
        <v>5565</v>
      </c>
      <c r="F331" s="158">
        <v>1.0</v>
      </c>
      <c r="G331" s="174"/>
      <c r="H331" s="175"/>
      <c r="I331" s="154" t="s">
        <v>123</v>
      </c>
      <c r="J331" s="162"/>
      <c r="K331" s="162"/>
      <c r="L331" s="162"/>
      <c r="M331" s="162"/>
      <c r="N331" s="162"/>
    </row>
    <row r="332">
      <c r="A332" s="178" t="s">
        <v>5566</v>
      </c>
      <c r="B332" s="154">
        <f t="shared" si="1"/>
        <v>1330</v>
      </c>
      <c r="C332" s="155" t="str">
        <f>IFERROR(__xludf.DUMMYFUNCTION("GOOGLETRANSLATE(A332,""ar"", ""en"")"),"VS 4-drawer shoe cabinet")</f>
        <v>VS 4-drawer shoe cabinet</v>
      </c>
      <c r="D332" s="169"/>
      <c r="E332" s="170" t="s">
        <v>5567</v>
      </c>
      <c r="F332" s="171">
        <v>1.0</v>
      </c>
      <c r="G332" s="172"/>
      <c r="H332" s="173"/>
      <c r="I332" s="154" t="s">
        <v>123</v>
      </c>
      <c r="J332" s="162"/>
      <c r="K332" s="162"/>
      <c r="L332" s="162"/>
      <c r="M332" s="162"/>
      <c r="N332" s="162"/>
    </row>
    <row r="333">
      <c r="A333" s="179" t="s">
        <v>5568</v>
      </c>
      <c r="B333" s="154">
        <f t="shared" si="1"/>
        <v>1331</v>
      </c>
      <c r="C333" s="155" t="str">
        <f>IFERROR(__xludf.DUMMYFUNCTION("GOOGLETRANSLATE(A333,""ar"", ""en"")"),"Two-door tall shoe cabinet")</f>
        <v>Two-door tall shoe cabinet</v>
      </c>
      <c r="D333" s="156"/>
      <c r="E333" s="157" t="s">
        <v>5569</v>
      </c>
      <c r="F333" s="158">
        <v>1.0</v>
      </c>
      <c r="G333" s="174"/>
      <c r="H333" s="175"/>
      <c r="I333" s="154" t="s">
        <v>123</v>
      </c>
      <c r="J333" s="162"/>
      <c r="K333" s="162"/>
      <c r="L333" s="162"/>
      <c r="M333" s="162"/>
      <c r="N333" s="162"/>
    </row>
    <row r="334">
      <c r="A334" s="178" t="s">
        <v>1950</v>
      </c>
      <c r="B334" s="154">
        <f t="shared" si="1"/>
        <v>1332</v>
      </c>
      <c r="C334" s="155" t="str">
        <f>IFERROR(__xludf.DUMMYFUNCTION("GOOGLETRANSLATE(A334,""ar"", ""en"")"),"tall shoe cabinet")</f>
        <v>tall shoe cabinet</v>
      </c>
      <c r="D334" s="169"/>
      <c r="E334" s="170" t="s">
        <v>5570</v>
      </c>
      <c r="F334" s="171">
        <v>2.0</v>
      </c>
      <c r="G334" s="172"/>
      <c r="H334" s="173"/>
      <c r="I334" s="154" t="s">
        <v>123</v>
      </c>
      <c r="J334" s="162"/>
      <c r="K334" s="162"/>
      <c r="L334" s="162"/>
      <c r="M334" s="162"/>
      <c r="N334" s="162"/>
    </row>
    <row r="335">
      <c r="A335" s="179" t="s">
        <v>5571</v>
      </c>
      <c r="B335" s="154">
        <f t="shared" si="1"/>
        <v>1333</v>
      </c>
      <c r="C335" s="155" t="str">
        <f>IFERROR(__xludf.DUMMYFUNCTION("GOOGLETRANSLATE(A335,""ar"", ""en"")"),"Single door shoes")</f>
        <v>Single door shoes</v>
      </c>
      <c r="D335" s="156"/>
      <c r="E335" s="157" t="s">
        <v>5572</v>
      </c>
      <c r="F335" s="158">
        <v>1.0</v>
      </c>
      <c r="G335" s="174"/>
      <c r="H335" s="175"/>
      <c r="I335" s="154" t="s">
        <v>123</v>
      </c>
      <c r="K335" s="162"/>
      <c r="L335" s="162"/>
      <c r="M335" s="162"/>
      <c r="N335" s="162"/>
    </row>
    <row r="336">
      <c r="A336" s="178" t="s">
        <v>5573</v>
      </c>
      <c r="B336" s="154">
        <f t="shared" si="1"/>
        <v>1334</v>
      </c>
      <c r="C336" s="155" t="str">
        <f>IFERROR(__xludf.DUMMYFUNCTION("GOOGLETRANSLATE(A336,""ar"", ""en"")"),"AN 6-drawer shoe cabinet")</f>
        <v>AN 6-drawer shoe cabinet</v>
      </c>
      <c r="D336" s="169"/>
      <c r="E336" s="170" t="s">
        <v>5574</v>
      </c>
      <c r="F336" s="171">
        <v>1.0</v>
      </c>
      <c r="G336" s="172"/>
      <c r="H336" s="173"/>
      <c r="I336" s="154" t="s">
        <v>123</v>
      </c>
      <c r="K336" s="162"/>
      <c r="L336" s="162"/>
      <c r="M336" s="162"/>
      <c r="N336" s="162"/>
    </row>
    <row r="337">
      <c r="A337" s="179" t="s">
        <v>5575</v>
      </c>
      <c r="B337" s="154">
        <f t="shared" si="1"/>
        <v>1335</v>
      </c>
      <c r="C337" s="155" t="str">
        <f>IFERROR(__xludf.DUMMYFUNCTION("GOOGLETRANSLATE(A337,""ar"", ""en"")"),"Turkey Relax Chair")</f>
        <v>Turkey Relax Chair</v>
      </c>
      <c r="D337" s="156"/>
      <c r="E337" s="157" t="s">
        <v>5576</v>
      </c>
      <c r="F337" s="158">
        <v>64.0</v>
      </c>
      <c r="G337" s="159">
        <v>85.0</v>
      </c>
      <c r="H337" s="160">
        <v>5440.0</v>
      </c>
      <c r="I337" s="154" t="s">
        <v>123</v>
      </c>
      <c r="J337" s="162"/>
      <c r="K337" s="162"/>
      <c r="L337" s="162"/>
      <c r="M337" s="162"/>
      <c r="N337" s="162"/>
    </row>
    <row r="338">
      <c r="A338" s="178" t="s">
        <v>3216</v>
      </c>
      <c r="B338" s="154">
        <f t="shared" si="1"/>
        <v>1336</v>
      </c>
      <c r="C338" s="155" t="str">
        <f>IFERROR(__xludf.DUMMYFUNCTION("GOOGLETRANSLATE(A338,""ar"", ""en"")"),"Turkish salon")</f>
        <v>Turkish salon</v>
      </c>
      <c r="D338" s="169"/>
      <c r="E338" s="170" t="s">
        <v>3221</v>
      </c>
      <c r="F338" s="171">
        <v>2.0</v>
      </c>
      <c r="G338" s="172"/>
      <c r="H338" s="173"/>
      <c r="I338" s="154" t="s">
        <v>123</v>
      </c>
      <c r="K338" s="162"/>
      <c r="L338" s="162"/>
      <c r="M338" s="162"/>
      <c r="N338" s="162"/>
    </row>
    <row r="339">
      <c r="A339" s="179" t="s">
        <v>5577</v>
      </c>
      <c r="B339" s="154">
        <f t="shared" si="1"/>
        <v>1337</v>
      </c>
      <c r="C339" s="155" t="str">
        <f>IFERROR(__xludf.DUMMYFUNCTION("GOOGLETRANSLATE(A339,""ar"", ""en"")"),"3 seater sofa set")</f>
        <v>3 seater sofa set</v>
      </c>
      <c r="D339" s="156"/>
      <c r="E339" s="157" t="s">
        <v>5578</v>
      </c>
      <c r="F339" s="158">
        <v>4.0</v>
      </c>
      <c r="G339" s="174"/>
      <c r="H339" s="175"/>
      <c r="I339" s="154" t="s">
        <v>123</v>
      </c>
      <c r="K339" s="162"/>
      <c r="L339" s="162"/>
      <c r="M339" s="162"/>
      <c r="N339" s="162"/>
    </row>
    <row r="340">
      <c r="A340" s="178" t="s">
        <v>5579</v>
      </c>
      <c r="B340" s="154">
        <f t="shared" si="1"/>
        <v>1338</v>
      </c>
      <c r="C340" s="155" t="str">
        <f>IFERROR(__xludf.DUMMYFUNCTION("GOOGLETRANSLATE(A340,""ar"", ""en"")"),"Fedar chair from a set")</f>
        <v>Fedar chair from a set</v>
      </c>
      <c r="D340" s="169"/>
      <c r="E340" s="170" t="s">
        <v>5580</v>
      </c>
      <c r="F340" s="171">
        <v>1.0</v>
      </c>
      <c r="G340" s="172"/>
      <c r="H340" s="173"/>
      <c r="I340" s="154" t="s">
        <v>123</v>
      </c>
      <c r="K340" s="162"/>
      <c r="L340" s="162"/>
      <c r="M340" s="162"/>
      <c r="N340" s="162"/>
    </row>
    <row r="341">
      <c r="A341" s="179" t="s">
        <v>5581</v>
      </c>
      <c r="B341" s="154">
        <f t="shared" si="1"/>
        <v>1339</v>
      </c>
      <c r="C341" s="155" t="str">
        <f>IFERROR(__xludf.DUMMYFUNCTION("GOOGLETRANSLATE(A341,""ar"", ""en"")"),"1+6 Turkish chair set")</f>
        <v>1+6 Turkish chair set</v>
      </c>
      <c r="D341" s="156"/>
      <c r="E341" s="157" t="s">
        <v>5582</v>
      </c>
      <c r="F341" s="158">
        <v>1.0</v>
      </c>
      <c r="G341" s="174"/>
      <c r="H341" s="175"/>
      <c r="I341" s="154" t="s">
        <v>123</v>
      </c>
      <c r="K341" s="162"/>
      <c r="L341" s="162"/>
      <c r="M341" s="162"/>
      <c r="N341" s="162"/>
    </row>
    <row r="342">
      <c r="A342" s="178" t="s">
        <v>4500</v>
      </c>
      <c r="B342" s="154">
        <f t="shared" si="1"/>
        <v>1340</v>
      </c>
      <c r="C342" s="155" t="str">
        <f>IFERROR(__xludf.DUMMYFUNCTION("GOOGLETRANSLATE(A342,""ar"", ""en"")"),"Heavy Duty 3 Legs Wide Aluminum Base")</f>
        <v>Heavy Duty 3 Legs Wide Aluminum Base</v>
      </c>
      <c r="D342" s="169"/>
      <c r="E342" s="170" t="s">
        <v>5583</v>
      </c>
      <c r="F342" s="171">
        <v>-6.0</v>
      </c>
      <c r="G342" s="172"/>
      <c r="H342" s="173"/>
      <c r="I342" s="154" t="s">
        <v>123</v>
      </c>
      <c r="J342" s="162"/>
      <c r="K342" s="162"/>
      <c r="L342" s="162"/>
      <c r="M342" s="162"/>
      <c r="N342" s="162"/>
    </row>
    <row r="343">
      <c r="A343" s="178" t="s">
        <v>5584</v>
      </c>
      <c r="B343" s="154">
        <f t="shared" si="1"/>
        <v>1341</v>
      </c>
      <c r="C343" s="155" t="str">
        <f>IFERROR(__xludf.DUMMYFUNCTION("GOOGLETRANSLATE(A343,""ar"", ""en"")"),"4-legged aluminum inflatable base")</f>
        <v>4-legged aluminum inflatable base</v>
      </c>
      <c r="D343" s="169"/>
      <c r="E343" s="170" t="s">
        <v>5585</v>
      </c>
      <c r="F343" s="171">
        <v>-58.0</v>
      </c>
      <c r="G343" s="172"/>
      <c r="H343" s="173"/>
      <c r="I343" s="154" t="s">
        <v>123</v>
      </c>
      <c r="J343" s="162"/>
      <c r="K343" s="162"/>
      <c r="L343" s="162"/>
      <c r="M343" s="162"/>
      <c r="N343" s="162"/>
    </row>
    <row r="344">
      <c r="A344" s="179" t="s">
        <v>5586</v>
      </c>
      <c r="B344" s="154">
        <f t="shared" si="1"/>
        <v>1342</v>
      </c>
      <c r="C344" s="155" t="str">
        <f>IFERROR(__xludf.DUMMYFUNCTION("GOOGLETRANSLATE(A344,""ar"", ""en"")"),"3-legged aluminum inflatable base")</f>
        <v>3-legged aluminum inflatable base</v>
      </c>
      <c r="D344" s="156"/>
      <c r="E344" s="157" t="s">
        <v>5587</v>
      </c>
      <c r="F344" s="158">
        <v>-5.0</v>
      </c>
      <c r="G344" s="174"/>
      <c r="H344" s="175"/>
      <c r="I344" s="154" t="s">
        <v>123</v>
      </c>
      <c r="J344" s="162"/>
      <c r="K344" s="162"/>
      <c r="L344" s="162"/>
      <c r="M344" s="162"/>
      <c r="N344" s="162"/>
    </row>
    <row r="345">
      <c r="A345" s="179" t="s">
        <v>4696</v>
      </c>
      <c r="B345" s="154">
        <f t="shared" si="1"/>
        <v>1343</v>
      </c>
      <c r="C345" s="155" t="str">
        <f>IFERROR(__xludf.DUMMYFUNCTION("GOOGLETRANSLATE(A345,""ar"", ""en"")"),"4-legged font base")</f>
        <v>4-legged font base</v>
      </c>
      <c r="D345" s="156"/>
      <c r="E345" s="157" t="s">
        <v>5588</v>
      </c>
      <c r="F345" s="158">
        <v>-1.0</v>
      </c>
      <c r="G345" s="159">
        <v>0.0</v>
      </c>
      <c r="H345" s="160">
        <v>0.0</v>
      </c>
      <c r="I345" s="154" t="s">
        <v>123</v>
      </c>
      <c r="J345" s="162"/>
      <c r="K345" s="162"/>
      <c r="L345" s="162"/>
      <c r="M345" s="162"/>
      <c r="N345" s="162"/>
    </row>
    <row r="346">
      <c r="A346" s="179" t="s">
        <v>2676</v>
      </c>
      <c r="B346" s="154">
        <f t="shared" si="1"/>
        <v>1344</v>
      </c>
      <c r="C346" s="155" t="str">
        <f>IFERROR(__xludf.DUMMYFUNCTION("GOOGLETRANSLATE(A346,""ar"", ""en"")"),"Font base")</f>
        <v>Font base</v>
      </c>
      <c r="D346" s="156"/>
      <c r="E346" s="157" t="s">
        <v>5589</v>
      </c>
      <c r="F346" s="158">
        <v>-2.0</v>
      </c>
      <c r="G346" s="159">
        <v>0.0</v>
      </c>
      <c r="H346" s="160">
        <v>0.0</v>
      </c>
      <c r="I346" s="154" t="s">
        <v>123</v>
      </c>
      <c r="J346" s="162"/>
      <c r="K346" s="162"/>
      <c r="L346" s="162"/>
      <c r="M346" s="162"/>
      <c r="N346" s="162"/>
    </row>
    <row r="347">
      <c r="A347" s="178" t="s">
        <v>2676</v>
      </c>
      <c r="B347" s="154">
        <f t="shared" si="1"/>
        <v>1345</v>
      </c>
      <c r="C347" s="155" t="str">
        <f>IFERROR(__xludf.DUMMYFUNCTION("GOOGLETRANSLATE(A347,""ar"", ""en"")"),"Font base")</f>
        <v>Font base</v>
      </c>
      <c r="D347" s="169"/>
      <c r="E347" s="170" t="s">
        <v>5590</v>
      </c>
      <c r="F347" s="171">
        <v>-2.0</v>
      </c>
      <c r="G347" s="172"/>
      <c r="H347" s="173"/>
      <c r="I347" s="154" t="s">
        <v>123</v>
      </c>
      <c r="J347" s="162"/>
      <c r="K347" s="162"/>
      <c r="L347" s="162"/>
      <c r="M347" s="162"/>
      <c r="N347" s="162"/>
    </row>
    <row r="348">
      <c r="A348" s="179" t="s">
        <v>1993</v>
      </c>
      <c r="B348" s="154">
        <f t="shared" si="1"/>
        <v>1346</v>
      </c>
      <c r="C348" s="155" t="str">
        <f>IFERROR(__xludf.DUMMYFUNCTION("GOOGLETRANSLATE(A348,""ar"", ""en"")"),"Font Bar Base")</f>
        <v>Font Bar Base</v>
      </c>
      <c r="D348" s="156"/>
      <c r="E348" s="157" t="s">
        <v>5591</v>
      </c>
      <c r="F348" s="158">
        <v>-15.0</v>
      </c>
      <c r="G348" s="159">
        <v>0.0</v>
      </c>
      <c r="H348" s="160">
        <v>0.0</v>
      </c>
      <c r="I348" s="154" t="s">
        <v>123</v>
      </c>
      <c r="J348" s="162"/>
      <c r="K348" s="162"/>
      <c r="L348" s="162"/>
      <c r="M348" s="162"/>
      <c r="N348" s="162"/>
    </row>
    <row r="349">
      <c r="A349" s="179" t="s">
        <v>5592</v>
      </c>
      <c r="B349" s="154">
        <f t="shared" si="1"/>
        <v>1347</v>
      </c>
      <c r="C349" s="155" t="str">
        <f>IFERROR(__xludf.DUMMYFUNCTION("GOOGLETRANSLATE(A349,""ar"", ""en"")"),"Turkish Lamaica Board")</f>
        <v>Turkish Lamaica Board</v>
      </c>
      <c r="D349" s="156"/>
      <c r="E349" s="157" t="s">
        <v>5593</v>
      </c>
      <c r="F349" s="158">
        <v>16.0</v>
      </c>
      <c r="G349" s="174"/>
      <c r="H349" s="175"/>
      <c r="I349" s="154" t="s">
        <v>123</v>
      </c>
      <c r="J349" s="161"/>
      <c r="K349" s="162"/>
      <c r="L349" s="162"/>
      <c r="M349" s="192"/>
      <c r="N349" s="162"/>
    </row>
    <row r="350">
      <c r="A350" s="178" t="s">
        <v>5594</v>
      </c>
      <c r="B350" s="154">
        <f t="shared" si="1"/>
        <v>1348</v>
      </c>
      <c r="C350" s="155" t="str">
        <f>IFERROR(__xludf.DUMMYFUNCTION("GOOGLETRANSLATE(A350,""ar"", ""en"")"),"chair without handles")</f>
        <v>chair without handles</v>
      </c>
      <c r="D350" s="169"/>
      <c r="E350" s="170" t="s">
        <v>5595</v>
      </c>
      <c r="F350" s="171">
        <v>4.0</v>
      </c>
      <c r="G350" s="176">
        <v>0.0</v>
      </c>
      <c r="H350" s="177">
        <v>0.0</v>
      </c>
      <c r="I350" s="154" t="s">
        <v>123</v>
      </c>
      <c r="J350" s="162"/>
      <c r="K350" s="162"/>
      <c r="L350" s="162"/>
      <c r="M350" s="162"/>
      <c r="N350" s="162"/>
    </row>
    <row r="351">
      <c r="A351" s="179" t="s">
        <v>5201</v>
      </c>
      <c r="B351" s="154">
        <f t="shared" si="1"/>
        <v>1349</v>
      </c>
      <c r="C351" s="155" t="str">
        <f>IFERROR(__xludf.DUMMYFUNCTION("GOOGLETRANSLATE(A351,""ar"", ""en"")"),"chair with hand")</f>
        <v>chair with hand</v>
      </c>
      <c r="D351" s="156"/>
      <c r="E351" s="157" t="s">
        <v>5596</v>
      </c>
      <c r="F351" s="158">
        <v>14.0</v>
      </c>
      <c r="G351" s="159">
        <v>0.0</v>
      </c>
      <c r="H351" s="160">
        <v>0.0</v>
      </c>
      <c r="I351" s="154" t="s">
        <v>123</v>
      </c>
      <c r="J351" s="162"/>
      <c r="K351" s="162"/>
      <c r="L351" s="162"/>
      <c r="M351" s="162"/>
      <c r="N351" s="162"/>
    </row>
    <row r="352">
      <c r="A352" s="179" t="s">
        <v>5597</v>
      </c>
      <c r="B352" s="154">
        <f t="shared" si="1"/>
        <v>1350</v>
      </c>
      <c r="C352" s="155" t="str">
        <f>IFERROR(__xludf.DUMMYFUNCTION("GOOGLETRANSLATE(A352,""ar"", ""en"")"),"fabric chair")</f>
        <v>fabric chair</v>
      </c>
      <c r="D352" s="156"/>
      <c r="E352" s="157" t="s">
        <v>5598</v>
      </c>
      <c r="F352" s="158">
        <v>1.0</v>
      </c>
      <c r="G352" s="174"/>
      <c r="H352" s="175"/>
      <c r="I352" s="154" t="s">
        <v>123</v>
      </c>
      <c r="J352" s="162"/>
      <c r="K352" s="162"/>
      <c r="L352" s="162"/>
      <c r="M352" s="162"/>
      <c r="N352" s="162"/>
    </row>
    <row r="353">
      <c r="A353" s="178" t="s">
        <v>5599</v>
      </c>
      <c r="B353" s="154">
        <f t="shared" si="1"/>
        <v>1351</v>
      </c>
      <c r="C353" s="155" t="str">
        <f>IFERROR(__xludf.DUMMYFUNCTION("GOOGLETRANSLATE(A353,""ar"", ""en"")"),"Colorful backrest")</f>
        <v>Colorful backrest</v>
      </c>
      <c r="D353" s="169"/>
      <c r="E353" s="170" t="s">
        <v>5600</v>
      </c>
      <c r="F353" s="171">
        <v>409.0</v>
      </c>
      <c r="G353" s="172"/>
      <c r="H353" s="173"/>
      <c r="I353" s="154" t="s">
        <v>123</v>
      </c>
      <c r="J353" s="162"/>
      <c r="K353" s="162"/>
      <c r="L353" s="162"/>
      <c r="M353" s="162"/>
      <c r="N353" s="162"/>
    </row>
    <row r="354">
      <c r="A354" s="179" t="s">
        <v>5599</v>
      </c>
      <c r="B354" s="154">
        <f t="shared" si="1"/>
        <v>1352</v>
      </c>
      <c r="C354" s="155" t="str">
        <f>IFERROR(__xludf.DUMMYFUNCTION("GOOGLETRANSLATE(A354,""ar"", ""en"")"),"Colorful backrest")</f>
        <v>Colorful backrest</v>
      </c>
      <c r="D354" s="156"/>
      <c r="E354" s="157" t="s">
        <v>5601</v>
      </c>
      <c r="F354" s="158">
        <v>100.0</v>
      </c>
      <c r="G354" s="174"/>
      <c r="H354" s="175"/>
      <c r="I354" s="154" t="s">
        <v>123</v>
      </c>
      <c r="J354" s="162"/>
      <c r="K354" s="162"/>
      <c r="L354" s="162"/>
      <c r="M354" s="162"/>
      <c r="N354" s="162"/>
    </row>
    <row r="355">
      <c r="A355" s="178" t="s">
        <v>5599</v>
      </c>
      <c r="B355" s="154">
        <f t="shared" si="1"/>
        <v>1353</v>
      </c>
      <c r="C355" s="155" t="str">
        <f>IFERROR(__xludf.DUMMYFUNCTION("GOOGLETRANSLATE(A355,""ar"", ""en"")"),"Colorful backrest")</f>
        <v>Colorful backrest</v>
      </c>
      <c r="D355" s="169"/>
      <c r="E355" s="170" t="s">
        <v>5602</v>
      </c>
      <c r="F355" s="171">
        <v>26.0</v>
      </c>
      <c r="G355" s="172"/>
      <c r="H355" s="173"/>
      <c r="I355" s="154" t="s">
        <v>123</v>
      </c>
      <c r="J355" s="162"/>
      <c r="K355" s="162"/>
      <c r="L355" s="162"/>
      <c r="M355" s="162"/>
      <c r="N355" s="162"/>
    </row>
    <row r="356">
      <c r="A356" s="179" t="s">
        <v>5603</v>
      </c>
      <c r="B356" s="154">
        <f t="shared" si="1"/>
        <v>1354</v>
      </c>
      <c r="C356" s="155" t="str">
        <f>IFERROR(__xludf.DUMMYFUNCTION("GOOGLETRANSLATE(A356,""ar"", ""en"")"),"Wood won")</f>
        <v>Wood won</v>
      </c>
      <c r="D356" s="156"/>
      <c r="E356" s="157" t="s">
        <v>5604</v>
      </c>
      <c r="F356" s="158">
        <v>9.0</v>
      </c>
      <c r="G356" s="174"/>
      <c r="H356" s="175"/>
      <c r="I356" s="154" t="s">
        <v>123</v>
      </c>
      <c r="J356" s="162"/>
      <c r="K356" s="162"/>
      <c r="L356" s="162"/>
      <c r="M356" s="162"/>
      <c r="N356" s="162"/>
    </row>
    <row r="357">
      <c r="A357" s="178" t="s">
        <v>5603</v>
      </c>
      <c r="B357" s="154">
        <f t="shared" si="1"/>
        <v>1355</v>
      </c>
      <c r="C357" s="155" t="str">
        <f>IFERROR(__xludf.DUMMYFUNCTION("GOOGLETRANSLATE(A357,""ar"", ""en"")"),"Wood won")</f>
        <v>Wood won</v>
      </c>
      <c r="D357" s="169"/>
      <c r="E357" s="170" t="s">
        <v>5605</v>
      </c>
      <c r="F357" s="171">
        <v>6.0</v>
      </c>
      <c r="G357" s="172"/>
      <c r="H357" s="173"/>
      <c r="I357" s="154" t="s">
        <v>123</v>
      </c>
      <c r="J357" s="162"/>
      <c r="K357" s="162"/>
      <c r="L357" s="162"/>
      <c r="M357" s="162"/>
      <c r="N357" s="162"/>
    </row>
    <row r="358">
      <c r="A358" s="179" t="s">
        <v>5603</v>
      </c>
      <c r="B358" s="154">
        <f t="shared" si="1"/>
        <v>1356</v>
      </c>
      <c r="C358" s="155" t="str">
        <f>IFERROR(__xludf.DUMMYFUNCTION("GOOGLETRANSLATE(A358,""ar"", ""en"")"),"Wood won")</f>
        <v>Wood won</v>
      </c>
      <c r="D358" s="156"/>
      <c r="E358" s="157" t="s">
        <v>5606</v>
      </c>
      <c r="F358" s="158">
        <v>6.0</v>
      </c>
      <c r="G358" s="174"/>
      <c r="H358" s="175"/>
      <c r="I358" s="154" t="s">
        <v>123</v>
      </c>
      <c r="J358" s="162"/>
      <c r="K358" s="162"/>
      <c r="L358" s="162"/>
      <c r="M358" s="162"/>
      <c r="N358" s="162"/>
    </row>
    <row r="359">
      <c r="A359" s="178" t="s">
        <v>5603</v>
      </c>
      <c r="B359" s="154">
        <f t="shared" si="1"/>
        <v>1357</v>
      </c>
      <c r="C359" s="155" t="str">
        <f>IFERROR(__xludf.DUMMYFUNCTION("GOOGLETRANSLATE(A359,""ar"", ""en"")"),"Wood won")</f>
        <v>Wood won</v>
      </c>
      <c r="D359" s="169"/>
      <c r="E359" s="170" t="s">
        <v>5607</v>
      </c>
      <c r="F359" s="171">
        <v>12.0</v>
      </c>
      <c r="G359" s="172"/>
      <c r="H359" s="173"/>
      <c r="I359" s="154" t="s">
        <v>123</v>
      </c>
      <c r="J359" s="162"/>
      <c r="K359" s="162"/>
      <c r="L359" s="162"/>
      <c r="M359" s="162"/>
      <c r="N359" s="162"/>
    </row>
    <row r="360">
      <c r="A360" s="179" t="s">
        <v>5603</v>
      </c>
      <c r="B360" s="154">
        <f t="shared" si="1"/>
        <v>1358</v>
      </c>
      <c r="C360" s="155" t="str">
        <f>IFERROR(__xludf.DUMMYFUNCTION("GOOGLETRANSLATE(A360,""ar"", ""en"")"),"Wood won")</f>
        <v>Wood won</v>
      </c>
      <c r="D360" s="156"/>
      <c r="E360" s="157" t="s">
        <v>5608</v>
      </c>
      <c r="F360" s="158">
        <v>12.0</v>
      </c>
      <c r="G360" s="174"/>
      <c r="H360" s="175"/>
      <c r="I360" s="154" t="s">
        <v>123</v>
      </c>
      <c r="J360" s="162"/>
      <c r="K360" s="162"/>
      <c r="L360" s="162"/>
      <c r="M360" s="162"/>
      <c r="N360" s="162"/>
    </row>
    <row r="361">
      <c r="A361" s="178" t="s">
        <v>5603</v>
      </c>
      <c r="B361" s="154">
        <f t="shared" si="1"/>
        <v>1359</v>
      </c>
      <c r="C361" s="155" t="str">
        <f>IFERROR(__xludf.DUMMYFUNCTION("GOOGLETRANSLATE(A361,""ar"", ""en"")"),"Wood won")</f>
        <v>Wood won</v>
      </c>
      <c r="D361" s="169"/>
      <c r="E361" s="170" t="s">
        <v>5609</v>
      </c>
      <c r="F361" s="171">
        <v>24.0</v>
      </c>
      <c r="G361" s="172"/>
      <c r="H361" s="173"/>
      <c r="I361" s="154" t="s">
        <v>123</v>
      </c>
      <c r="J361" s="162"/>
      <c r="K361" s="162"/>
      <c r="L361" s="162"/>
      <c r="M361" s="162"/>
      <c r="N361" s="162"/>
    </row>
    <row r="362">
      <c r="A362" s="179" t="s">
        <v>5603</v>
      </c>
      <c r="B362" s="154">
        <f t="shared" si="1"/>
        <v>1360</v>
      </c>
      <c r="C362" s="155" t="str">
        <f>IFERROR(__xludf.DUMMYFUNCTION("GOOGLETRANSLATE(A362,""ar"", ""en"")"),"Wood won")</f>
        <v>Wood won</v>
      </c>
      <c r="D362" s="156"/>
      <c r="E362" s="157" t="s">
        <v>5610</v>
      </c>
      <c r="F362" s="158">
        <v>24.0</v>
      </c>
      <c r="G362" s="174"/>
      <c r="H362" s="175"/>
      <c r="I362" s="154" t="s">
        <v>123</v>
      </c>
      <c r="J362" s="162"/>
      <c r="K362" s="162"/>
      <c r="L362" s="162"/>
      <c r="M362" s="162"/>
      <c r="N362" s="162"/>
    </row>
    <row r="363">
      <c r="A363" s="178" t="s">
        <v>5603</v>
      </c>
      <c r="B363" s="154">
        <f t="shared" si="1"/>
        <v>1361</v>
      </c>
      <c r="C363" s="155" t="str">
        <f>IFERROR(__xludf.DUMMYFUNCTION("GOOGLETRANSLATE(A363,""ar"", ""en"")"),"Wood won")</f>
        <v>Wood won</v>
      </c>
      <c r="D363" s="169"/>
      <c r="E363" s="170" t="s">
        <v>5611</v>
      </c>
      <c r="F363" s="171">
        <v>6.0</v>
      </c>
      <c r="G363" s="172"/>
      <c r="H363" s="173"/>
      <c r="I363" s="154" t="s">
        <v>123</v>
      </c>
      <c r="J363" s="162"/>
      <c r="K363" s="162"/>
      <c r="L363" s="162"/>
      <c r="M363" s="162"/>
      <c r="N363" s="162"/>
    </row>
    <row r="364">
      <c r="A364" s="179" t="s">
        <v>5603</v>
      </c>
      <c r="B364" s="154">
        <f t="shared" si="1"/>
        <v>1362</v>
      </c>
      <c r="C364" s="155" t="str">
        <f>IFERROR(__xludf.DUMMYFUNCTION("GOOGLETRANSLATE(A364,""ar"", ""en"")"),"Wood won")</f>
        <v>Wood won</v>
      </c>
      <c r="D364" s="156"/>
      <c r="E364" s="157" t="s">
        <v>5612</v>
      </c>
      <c r="F364" s="158">
        <v>6.0</v>
      </c>
      <c r="G364" s="174"/>
      <c r="H364" s="175"/>
      <c r="I364" s="154" t="s">
        <v>123</v>
      </c>
      <c r="J364" s="162"/>
      <c r="K364" s="162"/>
      <c r="L364" s="162"/>
      <c r="M364" s="162"/>
      <c r="N364" s="162"/>
    </row>
    <row r="365">
      <c r="A365" s="178" t="s">
        <v>5603</v>
      </c>
      <c r="B365" s="154">
        <f t="shared" si="1"/>
        <v>1363</v>
      </c>
      <c r="C365" s="155" t="str">
        <f>IFERROR(__xludf.DUMMYFUNCTION("GOOGLETRANSLATE(A365,""ar"", ""en"")"),"Wood won")</f>
        <v>Wood won</v>
      </c>
      <c r="D365" s="169"/>
      <c r="E365" s="170" t="s">
        <v>5613</v>
      </c>
      <c r="F365" s="171">
        <v>6.0</v>
      </c>
      <c r="G365" s="172"/>
      <c r="H365" s="173"/>
      <c r="I365" s="154" t="s">
        <v>123</v>
      </c>
      <c r="J365" s="162"/>
      <c r="K365" s="162"/>
      <c r="L365" s="162"/>
      <c r="M365" s="162"/>
      <c r="N365" s="162"/>
    </row>
    <row r="366">
      <c r="A366" s="179" t="s">
        <v>5603</v>
      </c>
      <c r="B366" s="154">
        <f t="shared" si="1"/>
        <v>1364</v>
      </c>
      <c r="C366" s="155" t="str">
        <f>IFERROR(__xludf.DUMMYFUNCTION("GOOGLETRANSLATE(A366,""ar"", ""en"")"),"Wood won")</f>
        <v>Wood won</v>
      </c>
      <c r="D366" s="156"/>
      <c r="E366" s="157" t="s">
        <v>5614</v>
      </c>
      <c r="F366" s="158">
        <v>6.0</v>
      </c>
      <c r="G366" s="174"/>
      <c r="H366" s="175"/>
      <c r="I366" s="154" t="s">
        <v>123</v>
      </c>
      <c r="J366" s="162"/>
      <c r="K366" s="162"/>
      <c r="L366" s="162"/>
      <c r="M366" s="162"/>
      <c r="N366" s="162"/>
    </row>
    <row r="367">
      <c r="A367" s="178" t="s">
        <v>5603</v>
      </c>
      <c r="B367" s="154">
        <f t="shared" si="1"/>
        <v>1365</v>
      </c>
      <c r="C367" s="155" t="str">
        <f>IFERROR(__xludf.DUMMYFUNCTION("GOOGLETRANSLATE(A367,""ar"", ""en"")"),"Wood won")</f>
        <v>Wood won</v>
      </c>
      <c r="D367" s="169"/>
      <c r="E367" s="170" t="s">
        <v>5615</v>
      </c>
      <c r="F367" s="171">
        <v>9.0</v>
      </c>
      <c r="G367" s="172"/>
      <c r="H367" s="173"/>
      <c r="I367" s="154" t="s">
        <v>123</v>
      </c>
      <c r="J367" s="162"/>
      <c r="K367" s="162"/>
      <c r="L367" s="162"/>
      <c r="M367" s="162"/>
      <c r="N367" s="162"/>
    </row>
    <row r="368">
      <c r="A368" s="179" t="s">
        <v>5603</v>
      </c>
      <c r="B368" s="154">
        <f t="shared" si="1"/>
        <v>1366</v>
      </c>
      <c r="C368" s="155" t="str">
        <f>IFERROR(__xludf.DUMMYFUNCTION("GOOGLETRANSLATE(A368,""ar"", ""en"")"),"Wood won")</f>
        <v>Wood won</v>
      </c>
      <c r="D368" s="156"/>
      <c r="E368" s="157" t="s">
        <v>5616</v>
      </c>
      <c r="F368" s="158">
        <v>16.0</v>
      </c>
      <c r="G368" s="174"/>
      <c r="H368" s="175"/>
      <c r="I368" s="154" t="s">
        <v>123</v>
      </c>
      <c r="J368" s="162"/>
      <c r="K368" s="162"/>
      <c r="L368" s="162"/>
      <c r="M368" s="162"/>
      <c r="N368" s="162"/>
    </row>
    <row r="369">
      <c r="A369" s="178" t="s">
        <v>5603</v>
      </c>
      <c r="B369" s="154">
        <f t="shared" si="1"/>
        <v>1367</v>
      </c>
      <c r="C369" s="155" t="str">
        <f>IFERROR(__xludf.DUMMYFUNCTION("GOOGLETRANSLATE(A369,""ar"", ""en"")"),"Wood won")</f>
        <v>Wood won</v>
      </c>
      <c r="D369" s="169"/>
      <c r="E369" s="170" t="s">
        <v>5617</v>
      </c>
      <c r="F369" s="171">
        <v>12.0</v>
      </c>
      <c r="G369" s="172"/>
      <c r="H369" s="173"/>
      <c r="I369" s="154" t="s">
        <v>123</v>
      </c>
      <c r="J369" s="162"/>
      <c r="K369" s="162"/>
      <c r="L369" s="162"/>
      <c r="M369" s="162"/>
      <c r="N369" s="162"/>
    </row>
    <row r="370">
      <c r="A370" s="179" t="s">
        <v>5618</v>
      </c>
      <c r="B370" s="154">
        <f t="shared" si="1"/>
        <v>1368</v>
      </c>
      <c r="C370" s="155" t="str">
        <f>IFERROR(__xludf.DUMMYFUNCTION("GOOGLETRANSLATE(A370,""ar"", ""en"")"),"Plastic bar stool")</f>
        <v>Plastic bar stool</v>
      </c>
      <c r="D370" s="156"/>
      <c r="E370" s="157" t="s">
        <v>5619</v>
      </c>
      <c r="F370" s="158">
        <v>2.0</v>
      </c>
      <c r="G370" s="174"/>
      <c r="H370" s="175"/>
      <c r="I370" s="154" t="s">
        <v>123</v>
      </c>
      <c r="J370" s="162"/>
      <c r="K370" s="162"/>
      <c r="L370" s="162"/>
      <c r="M370" s="162"/>
      <c r="N370" s="162"/>
    </row>
    <row r="371">
      <c r="A371" s="178" t="s">
        <v>3651</v>
      </c>
      <c r="B371" s="154">
        <f t="shared" si="1"/>
        <v>1369</v>
      </c>
      <c r="C371" s="155" t="str">
        <f>IFERROR(__xludf.DUMMYFUNCTION("GOOGLETRANSLATE(A371,""ar"", ""en"")"),"Aluminum chair with resin")</f>
        <v>Aluminum chair with resin</v>
      </c>
      <c r="D371" s="169"/>
      <c r="E371" s="170" t="s">
        <v>5620</v>
      </c>
      <c r="F371" s="171">
        <v>-3.0</v>
      </c>
      <c r="G371" s="172"/>
      <c r="H371" s="173"/>
      <c r="I371" s="154" t="s">
        <v>123</v>
      </c>
      <c r="J371" s="162"/>
      <c r="K371" s="162"/>
      <c r="L371" s="162"/>
      <c r="M371" s="162"/>
      <c r="N371" s="162"/>
    </row>
    <row r="372">
      <c r="A372" s="179" t="s">
        <v>2868</v>
      </c>
      <c r="B372" s="154">
        <f t="shared" si="1"/>
        <v>1370</v>
      </c>
      <c r="C372" s="155" t="str">
        <f>IFERROR(__xludf.DUMMYFUNCTION("GOOGLETRANSLATE(A372,""ar"", ""en"")"),"Aluminum resin chair")</f>
        <v>Aluminum resin chair</v>
      </c>
      <c r="D372" s="156"/>
      <c r="E372" s="157" t="s">
        <v>5621</v>
      </c>
      <c r="F372" s="158">
        <v>1.0</v>
      </c>
      <c r="G372" s="174"/>
      <c r="H372" s="175"/>
      <c r="I372" s="154" t="s">
        <v>123</v>
      </c>
      <c r="J372" s="162"/>
      <c r="K372" s="162"/>
      <c r="L372" s="162"/>
      <c r="M372" s="162"/>
      <c r="N372" s="162"/>
    </row>
    <row r="373">
      <c r="A373" s="179" t="s">
        <v>2186</v>
      </c>
      <c r="B373" s="154">
        <f t="shared" si="1"/>
        <v>1371</v>
      </c>
      <c r="C373" s="155" t="str">
        <f>IFERROR(__xludf.DUMMYFUNCTION("GOOGLETRANSLATE(A373,""ar"", ""en"")"),"Ghost dining chair")</f>
        <v>Ghost dining chair</v>
      </c>
      <c r="D373" s="156"/>
      <c r="E373" s="157" t="s">
        <v>5622</v>
      </c>
      <c r="F373" s="158">
        <v>67.0</v>
      </c>
      <c r="G373" s="174"/>
      <c r="H373" s="175"/>
      <c r="I373" s="154" t="s">
        <v>123</v>
      </c>
      <c r="J373" s="162"/>
      <c r="K373" s="162"/>
      <c r="L373" s="162"/>
      <c r="M373" s="162"/>
      <c r="N373" s="162"/>
    </row>
    <row r="374">
      <c r="A374" s="179" t="s">
        <v>5623</v>
      </c>
      <c r="B374" s="154">
        <f t="shared" si="1"/>
        <v>1372</v>
      </c>
      <c r="C374" s="155" t="str">
        <f>IFERROR(__xludf.DUMMYFUNCTION("GOOGLETRANSLATE(A374,""ar"", ""en"")"),"LEATHER FABRIC")</f>
        <v>LEATHER FABRIC</v>
      </c>
      <c r="D374" s="188"/>
      <c r="E374" s="189" t="s">
        <v>5624</v>
      </c>
      <c r="F374" s="158">
        <v>800.0</v>
      </c>
      <c r="G374" s="174"/>
      <c r="H374" s="175"/>
      <c r="I374" s="154" t="s">
        <v>123</v>
      </c>
      <c r="J374" s="162"/>
      <c r="K374" s="162"/>
      <c r="L374" s="162"/>
      <c r="M374" s="162"/>
      <c r="N374" s="162"/>
    </row>
    <row r="375">
      <c r="A375" s="178" t="s">
        <v>2777</v>
      </c>
      <c r="B375" s="154">
        <f t="shared" si="1"/>
        <v>1373</v>
      </c>
      <c r="C375" s="155" t="str">
        <f>IFERROR(__xludf.DUMMYFUNCTION("GOOGLETRANSLATE(A375,""ar"", ""en"")"),"summer fabric")</f>
        <v>summer fabric</v>
      </c>
      <c r="D375" s="169"/>
      <c r="E375" s="170" t="s">
        <v>5625</v>
      </c>
      <c r="F375" s="171">
        <v>810.0</v>
      </c>
      <c r="G375" s="172"/>
      <c r="H375" s="173"/>
      <c r="I375" s="154" t="s">
        <v>123</v>
      </c>
      <c r="J375" s="162"/>
      <c r="K375" s="162"/>
      <c r="L375" s="162"/>
      <c r="M375" s="162"/>
      <c r="N375" s="162"/>
    </row>
    <row r="376">
      <c r="A376" s="179" t="s">
        <v>5626</v>
      </c>
      <c r="B376" s="154">
        <f t="shared" si="1"/>
        <v>1374</v>
      </c>
      <c r="C376" s="155" t="str">
        <f>IFERROR(__xludf.DUMMYFUNCTION("GOOGLETRANSLATE(A376,""ar"", ""en"")"),"plastic bar stool mold")</f>
        <v>plastic bar stool mold</v>
      </c>
      <c r="D376" s="156"/>
      <c r="E376" s="157" t="s">
        <v>5627</v>
      </c>
      <c r="F376" s="158">
        <v>1.0</v>
      </c>
      <c r="G376" s="174"/>
      <c r="H376" s="175"/>
      <c r="I376" s="154" t="s">
        <v>123</v>
      </c>
      <c r="J376" s="162"/>
      <c r="K376" s="162"/>
      <c r="L376" s="162"/>
      <c r="M376" s="162"/>
      <c r="N376" s="162"/>
    </row>
    <row r="377">
      <c r="A377" s="178" t="s">
        <v>5267</v>
      </c>
      <c r="B377" s="154">
        <f t="shared" si="1"/>
        <v>1375</v>
      </c>
      <c r="C377" s="155" t="str">
        <f>IFERROR(__xludf.DUMMYFUNCTION("GOOGLETRANSLATE(A377,""ar"", ""en"")"),"Two-seat iron set")</f>
        <v>Two-seat iron set</v>
      </c>
      <c r="D377" s="169"/>
      <c r="E377" s="170" t="s">
        <v>5628</v>
      </c>
      <c r="F377" s="171">
        <v>1.0</v>
      </c>
      <c r="G377" s="172"/>
      <c r="H377" s="173"/>
      <c r="I377" s="154" t="s">
        <v>123</v>
      </c>
      <c r="J377" s="162"/>
      <c r="K377" s="162"/>
      <c r="L377" s="162"/>
      <c r="M377" s="162"/>
      <c r="N377" s="162"/>
    </row>
    <row r="378">
      <c r="A378" s="179" t="s">
        <v>5629</v>
      </c>
      <c r="B378" s="154">
        <f t="shared" si="1"/>
        <v>1376</v>
      </c>
      <c r="C378" s="155" t="str">
        <f>IFERROR(__xludf.DUMMYFUNCTION("GOOGLETRANSLATE(A378,""ar"", ""en"")"),"Small X Single Base")</f>
        <v>Small X Single Base</v>
      </c>
      <c r="D378" s="156"/>
      <c r="E378" s="157" t="s">
        <v>5630</v>
      </c>
      <c r="F378" s="158">
        <v>-28.0</v>
      </c>
      <c r="G378" s="159">
        <v>0.0</v>
      </c>
      <c r="H378" s="160">
        <v>0.0</v>
      </c>
      <c r="I378" s="154" t="s">
        <v>123</v>
      </c>
      <c r="J378" s="162"/>
      <c r="K378" s="162"/>
      <c r="L378" s="162"/>
      <c r="M378" s="162"/>
      <c r="N378" s="162"/>
    </row>
    <row r="379">
      <c r="A379" s="179" t="s">
        <v>1735</v>
      </c>
      <c r="B379" s="154">
        <f t="shared" si="1"/>
        <v>1377</v>
      </c>
      <c r="C379" s="155" t="str">
        <f>IFERROR(__xludf.DUMMYFUNCTION("GOOGLETRANSLATE(A379,""ar"", ""en"")"),"Two-seat resin set")</f>
        <v>Two-seat resin set</v>
      </c>
      <c r="D379" s="156"/>
      <c r="E379" s="157" t="s">
        <v>5631</v>
      </c>
      <c r="F379" s="158">
        <v>3.0</v>
      </c>
      <c r="G379" s="159">
        <v>0.0</v>
      </c>
      <c r="H379" s="160">
        <v>0.0</v>
      </c>
      <c r="I379" s="154" t="s">
        <v>123</v>
      </c>
      <c r="J379" s="162"/>
      <c r="K379" s="162"/>
      <c r="L379" s="162"/>
      <c r="M379" s="162"/>
      <c r="N379" s="162"/>
    </row>
    <row r="380">
      <c r="A380" s="178" t="s">
        <v>5632</v>
      </c>
      <c r="B380" s="154">
        <f t="shared" si="1"/>
        <v>1378</v>
      </c>
      <c r="C380" s="155" t="str">
        <f>IFERROR(__xludf.DUMMYFUNCTION("GOOGLETRANSLATE(A380,""ar"", ""en"")"),"Slim resin two-seat set")</f>
        <v>Slim resin two-seat set</v>
      </c>
      <c r="D380" s="169"/>
      <c r="E380" s="170" t="s">
        <v>5633</v>
      </c>
      <c r="F380" s="171">
        <v>4.0</v>
      </c>
      <c r="G380" s="176">
        <v>0.0</v>
      </c>
      <c r="H380" s="177">
        <v>0.0</v>
      </c>
      <c r="I380" s="154" t="s">
        <v>123</v>
      </c>
      <c r="J380" s="162"/>
      <c r="K380" s="162"/>
      <c r="L380" s="162"/>
      <c r="M380" s="162"/>
      <c r="N380" s="162"/>
    </row>
    <row r="381">
      <c r="A381" s="178" t="s">
        <v>2903</v>
      </c>
      <c r="B381" s="154">
        <f t="shared" si="1"/>
        <v>1379</v>
      </c>
      <c r="C381" s="155" t="str">
        <f>IFERROR(__xludf.DUMMYFUNCTION("GOOGLETRANSLATE(A381,""ar"", ""en"")"),"3-seat resin set")</f>
        <v>3-seat resin set</v>
      </c>
      <c r="D381" s="169"/>
      <c r="E381" s="170" t="s">
        <v>5634</v>
      </c>
      <c r="F381" s="171">
        <v>1.0</v>
      </c>
      <c r="G381" s="172"/>
      <c r="H381" s="173"/>
      <c r="I381" s="154" t="s">
        <v>123</v>
      </c>
      <c r="J381" s="162"/>
      <c r="K381" s="162"/>
      <c r="L381" s="162"/>
      <c r="M381" s="162"/>
      <c r="N381" s="162"/>
    </row>
    <row r="382">
      <c r="A382" s="178" t="s">
        <v>527</v>
      </c>
      <c r="B382" s="154">
        <f t="shared" si="1"/>
        <v>1380</v>
      </c>
      <c r="C382" s="155" t="str">
        <f>IFERROR(__xludf.DUMMYFUNCTION("GOOGLETRANSLATE(A382,""ar"", ""en"")"),"solid chair")</f>
        <v>solid chair</v>
      </c>
      <c r="D382" s="169"/>
      <c r="E382" s="170" t="s">
        <v>5635</v>
      </c>
      <c r="F382" s="171">
        <v>1.0</v>
      </c>
      <c r="G382" s="172"/>
      <c r="H382" s="173"/>
      <c r="I382" s="154" t="s">
        <v>123</v>
      </c>
      <c r="J382" s="162"/>
      <c r="K382" s="162"/>
      <c r="L382" s="162"/>
      <c r="M382" s="162"/>
      <c r="N382" s="162"/>
    </row>
    <row r="383">
      <c r="A383" s="178" t="s">
        <v>5636</v>
      </c>
      <c r="B383" s="154">
        <f t="shared" si="1"/>
        <v>1381</v>
      </c>
      <c r="C383" s="155" t="str">
        <f>IFERROR(__xludf.DUMMYFUNCTION("GOOGLETRANSLATE(A383,""ar"", ""en"")"),"Heavy Duty 3 Seater Resin Set")</f>
        <v>Heavy Duty 3 Seater Resin Set</v>
      </c>
      <c r="D383" s="169"/>
      <c r="E383" s="170" t="s">
        <v>5637</v>
      </c>
      <c r="F383" s="171">
        <v>1.0</v>
      </c>
      <c r="G383" s="172"/>
      <c r="H383" s="173"/>
      <c r="I383" s="154" t="s">
        <v>123</v>
      </c>
      <c r="J383" s="162"/>
      <c r="K383" s="162"/>
      <c r="L383" s="162"/>
      <c r="M383" s="162"/>
      <c r="N383" s="162"/>
    </row>
    <row r="384">
      <c r="A384" s="179" t="s">
        <v>1738</v>
      </c>
      <c r="B384" s="154">
        <f t="shared" si="1"/>
        <v>1382</v>
      </c>
      <c r="C384" s="155" t="str">
        <f>IFERROR(__xludf.DUMMYFUNCTION("GOOGLETRANSLATE(A384,""ar"", ""en"")"),"resin basket")</f>
        <v>resin basket</v>
      </c>
      <c r="D384" s="156"/>
      <c r="E384" s="157" t="s">
        <v>5638</v>
      </c>
      <c r="F384" s="158">
        <v>2.0</v>
      </c>
      <c r="G384" s="174"/>
      <c r="H384" s="175"/>
      <c r="I384" s="154" t="s">
        <v>123</v>
      </c>
      <c r="J384" s="162"/>
      <c r="K384" s="162"/>
      <c r="L384" s="162"/>
      <c r="M384" s="162"/>
      <c r="N384" s="162"/>
    </row>
    <row r="385">
      <c r="A385" s="178" t="s">
        <v>562</v>
      </c>
      <c r="B385" s="154">
        <f t="shared" si="1"/>
        <v>1383</v>
      </c>
      <c r="C385" s="155" t="str">
        <f>IFERROR(__xludf.DUMMYFUNCTION("GOOGLETRANSLATE(A385,""ar"", ""en"")"),"Resin chaise longue")</f>
        <v>Resin chaise longue</v>
      </c>
      <c r="D385" s="169"/>
      <c r="E385" s="170" t="s">
        <v>5639</v>
      </c>
      <c r="F385" s="171">
        <v>2.0</v>
      </c>
      <c r="G385" s="172"/>
      <c r="H385" s="173"/>
      <c r="I385" s="154" t="s">
        <v>123</v>
      </c>
      <c r="J385" s="162"/>
      <c r="K385" s="162"/>
      <c r="L385" s="162"/>
      <c r="M385" s="162"/>
      <c r="N385" s="162"/>
    </row>
    <row r="386">
      <c r="A386" s="179" t="s">
        <v>5640</v>
      </c>
      <c r="B386" s="154">
        <f t="shared" si="1"/>
        <v>1384</v>
      </c>
      <c r="C386" s="155" t="str">
        <f>IFERROR(__xludf.DUMMYFUNCTION("GOOGLETRANSLATE(A386,""ar"", ""en"")"),"Large wooden perfume")</f>
        <v>Large wooden perfume</v>
      </c>
      <c r="D386" s="156"/>
      <c r="E386" s="157" t="s">
        <v>5641</v>
      </c>
      <c r="F386" s="158">
        <v>2.0</v>
      </c>
      <c r="G386" s="174"/>
      <c r="H386" s="175"/>
      <c r="I386" s="154" t="s">
        <v>123</v>
      </c>
      <c r="J386" s="162"/>
      <c r="K386" s="162"/>
      <c r="L386" s="162"/>
      <c r="M386" s="162"/>
      <c r="N386" s="162"/>
    </row>
    <row r="387">
      <c r="A387" s="178" t="s">
        <v>1340</v>
      </c>
      <c r="B387" s="154">
        <f t="shared" si="1"/>
        <v>1385</v>
      </c>
      <c r="C387" s="155" t="str">
        <f>IFERROR(__xludf.DUMMYFUNCTION("GOOGLETRANSLATE(A387,""ar"", ""en"")"),"Wood perfume")</f>
        <v>Wood perfume</v>
      </c>
      <c r="D387" s="169"/>
      <c r="E387" s="170" t="s">
        <v>5642</v>
      </c>
      <c r="F387" s="171">
        <v>4.0</v>
      </c>
      <c r="G387" s="172"/>
      <c r="H387" s="173"/>
      <c r="I387" s="154" t="s">
        <v>123</v>
      </c>
      <c r="J387" s="162"/>
      <c r="K387" s="162"/>
      <c r="L387" s="162"/>
      <c r="M387" s="162"/>
      <c r="N387" s="162"/>
    </row>
    <row r="388">
      <c r="A388" s="179" t="s">
        <v>5643</v>
      </c>
      <c r="B388" s="154">
        <f t="shared" si="1"/>
        <v>1386</v>
      </c>
      <c r="C388" s="155" t="str">
        <f>IFERROR(__xludf.DUMMYFUNCTION("GOOGLETRANSLATE(A388,""ar"", ""en"")"),"Quan Razin")</f>
        <v>Quan Razin</v>
      </c>
      <c r="D388" s="156"/>
      <c r="E388" s="157" t="s">
        <v>5644</v>
      </c>
      <c r="F388" s="158">
        <v>1.0</v>
      </c>
      <c r="G388" s="159">
        <v>0.0</v>
      </c>
      <c r="H388" s="160">
        <v>0.0</v>
      </c>
      <c r="I388" s="154" t="s">
        <v>123</v>
      </c>
      <c r="J388" s="162"/>
      <c r="K388" s="162"/>
      <c r="L388" s="162"/>
      <c r="M388" s="162"/>
      <c r="N388" s="162"/>
    </row>
    <row r="389">
      <c r="A389" s="179" t="s">
        <v>1738</v>
      </c>
      <c r="B389" s="154">
        <f t="shared" si="1"/>
        <v>1387</v>
      </c>
      <c r="C389" s="155" t="str">
        <f>IFERROR(__xludf.DUMMYFUNCTION("GOOGLETRANSLATE(A389,""ar"", ""en"")"),"resin basket")</f>
        <v>resin basket</v>
      </c>
      <c r="D389" s="156"/>
      <c r="E389" s="157" t="s">
        <v>5645</v>
      </c>
      <c r="F389" s="158">
        <v>1.0</v>
      </c>
      <c r="G389" s="159">
        <v>0.0</v>
      </c>
      <c r="H389" s="160">
        <v>0.0</v>
      </c>
      <c r="I389" s="154" t="s">
        <v>123</v>
      </c>
      <c r="J389" s="162"/>
      <c r="K389" s="162"/>
      <c r="L389" s="162"/>
      <c r="M389" s="162"/>
      <c r="N389" s="162"/>
    </row>
    <row r="390">
      <c r="A390" s="179" t="s">
        <v>2687</v>
      </c>
      <c r="B390" s="154">
        <f t="shared" si="1"/>
        <v>1388</v>
      </c>
      <c r="C390" s="155" t="str">
        <f>IFERROR(__xludf.DUMMYFUNCTION("GOOGLETRANSLATE(A390,""ar"", ""en"")"),"TV table")</f>
        <v>TV table</v>
      </c>
      <c r="D390" s="156"/>
      <c r="E390" s="157" t="s">
        <v>5646</v>
      </c>
      <c r="F390" s="158">
        <v>2.0</v>
      </c>
      <c r="G390" s="159">
        <v>0.0</v>
      </c>
      <c r="H390" s="160">
        <v>0.0</v>
      </c>
      <c r="I390" s="154" t="s">
        <v>123</v>
      </c>
      <c r="J390" s="162"/>
      <c r="K390" s="162"/>
      <c r="L390" s="162"/>
      <c r="M390" s="162"/>
      <c r="N390" s="162"/>
    </row>
    <row r="391">
      <c r="A391" s="178" t="s">
        <v>2130</v>
      </c>
      <c r="B391" s="154">
        <f t="shared" si="1"/>
        <v>1389</v>
      </c>
      <c r="C391" s="155" t="str">
        <f>IFERROR(__xludf.DUMMYFUNCTION("GOOGLETRANSLATE(A391,""ar"", ""en"")"),"BABY HIGH CHAIR PLASTIC")</f>
        <v>BABY HIGH CHAIR PLASTIC</v>
      </c>
      <c r="D391" s="169"/>
      <c r="E391" s="170" t="s">
        <v>5647</v>
      </c>
      <c r="F391" s="171">
        <v>1.0</v>
      </c>
      <c r="G391" s="172"/>
      <c r="H391" s="173"/>
      <c r="I391" s="154" t="s">
        <v>123</v>
      </c>
      <c r="J391" s="162"/>
      <c r="K391" s="162"/>
      <c r="L391" s="162"/>
      <c r="M391" s="162"/>
      <c r="N391" s="162"/>
    </row>
    <row r="392">
      <c r="A392" s="179" t="s">
        <v>5077</v>
      </c>
      <c r="B392" s="154">
        <f t="shared" si="1"/>
        <v>1390</v>
      </c>
      <c r="C392" s="155" t="str">
        <f>IFERROR(__xludf.DUMMYFUNCTION("GOOGLETRANSLATE(A392,""ar"", ""en"")"),"ALUMINUM BASE")</f>
        <v>ALUMINUM BASE</v>
      </c>
      <c r="D392" s="156"/>
      <c r="E392" s="157" t="s">
        <v>5648</v>
      </c>
      <c r="F392" s="158">
        <v>2.0</v>
      </c>
      <c r="G392" s="159">
        <v>17.19</v>
      </c>
      <c r="H392" s="160">
        <v>34.39</v>
      </c>
      <c r="I392" s="154" t="s">
        <v>123</v>
      </c>
      <c r="J392" s="162"/>
      <c r="K392" s="162"/>
      <c r="L392" s="162"/>
      <c r="M392" s="162"/>
      <c r="N392" s="162"/>
    </row>
    <row r="396">
      <c r="A396" s="13" t="s">
        <v>2165</v>
      </c>
      <c r="B396" s="6">
        <v>1000.0</v>
      </c>
      <c r="C396" s="7" t="b">
        <v>0</v>
      </c>
      <c r="D396" s="8" t="str">
        <f>IFERROR(__xludf.DUMMYFUNCTION("GOOGLETRANSLATE(A396,""ar"", ""en"")"),"Concrete solar base")</f>
        <v>Concrete solar base</v>
      </c>
      <c r="E396" s="13" t="s">
        <v>2166</v>
      </c>
      <c r="F396" s="9" t="s">
        <v>28</v>
      </c>
      <c r="G396" s="9"/>
      <c r="H396" s="16" t="s">
        <v>285</v>
      </c>
      <c r="I396" s="8"/>
      <c r="J396" s="14">
        <v>50.05</v>
      </c>
      <c r="K396" s="11" t="s">
        <v>5649</v>
      </c>
      <c r="L396" s="8"/>
      <c r="M396" s="15">
        <v>5.0</v>
      </c>
      <c r="N396" s="8"/>
      <c r="O396" s="8"/>
      <c r="P396" s="14">
        <v>10.01</v>
      </c>
      <c r="Q396" s="4" t="str">
        <f t="shared" ref="Q396:Q788" si="2">IF(COUNTIF(#REF!, B396) &gt; 0, "Keep", "Remove")
</f>
        <v>Remove</v>
      </c>
    </row>
    <row r="397">
      <c r="A397" s="5" t="s">
        <v>2167</v>
      </c>
      <c r="B397" s="6">
        <v>1005.0</v>
      </c>
      <c r="C397" s="6" t="b">
        <v>0</v>
      </c>
      <c r="D397" s="8" t="str">
        <f>IFERROR(__xludf.DUMMYFUNCTION("GOOGLETRANSLATE(A397,""ar"", ""en"")"),"+++ /Resin set 1+2+3")</f>
        <v>+++ /Resin set 1+2+3</v>
      </c>
      <c r="E397" s="5" t="s">
        <v>2168</v>
      </c>
      <c r="F397" s="9" t="s">
        <v>28</v>
      </c>
      <c r="G397" s="9"/>
      <c r="H397" s="16" t="s">
        <v>519</v>
      </c>
      <c r="I397" s="8"/>
      <c r="J397" s="10">
        <v>9501.14</v>
      </c>
      <c r="K397" s="11" t="s">
        <v>5650</v>
      </c>
      <c r="L397" s="8"/>
      <c r="M397" s="12">
        <v>38.0</v>
      </c>
      <c r="N397" s="8"/>
      <c r="O397" s="8"/>
      <c r="P397" s="10">
        <v>250.03</v>
      </c>
      <c r="Q397" s="4" t="str">
        <f t="shared" si="2"/>
        <v>Remove</v>
      </c>
    </row>
    <row r="398">
      <c r="A398" s="13" t="s">
        <v>2172</v>
      </c>
      <c r="B398" s="6">
        <v>1016.0</v>
      </c>
      <c r="C398" s="6" t="b">
        <v>0</v>
      </c>
      <c r="D398" s="8" t="str">
        <f>IFERROR(__xludf.DUMMYFUNCTION("GOOGLETRANSLATE(A398,""ar"", ""en"")"),"Starbucks Chair / SAMPLE")</f>
        <v>Starbucks Chair / SAMPLE</v>
      </c>
      <c r="E398" s="13" t="s">
        <v>2173</v>
      </c>
      <c r="F398" s="9" t="s">
        <v>27</v>
      </c>
      <c r="G398" s="9" t="s">
        <v>28</v>
      </c>
      <c r="H398" s="16" t="s">
        <v>29</v>
      </c>
      <c r="I398" s="8"/>
      <c r="J398" s="14">
        <v>0.0</v>
      </c>
      <c r="K398" s="11" t="s">
        <v>5651</v>
      </c>
      <c r="L398" s="8"/>
      <c r="M398" s="15">
        <v>2.0</v>
      </c>
      <c r="N398" s="8"/>
      <c r="O398" s="8"/>
      <c r="P398" s="14">
        <v>0.0</v>
      </c>
      <c r="Q398" s="4" t="str">
        <f t="shared" si="2"/>
        <v>Remove</v>
      </c>
    </row>
    <row r="399">
      <c r="A399" s="5" t="s">
        <v>2174</v>
      </c>
      <c r="B399" s="6">
        <v>1017.0</v>
      </c>
      <c r="C399" s="6" t="b">
        <v>0</v>
      </c>
      <c r="D399" s="8" t="str">
        <f>IFERROR(__xludf.DUMMYFUNCTION("GOOGLETRANSLATE(A399,""ar"", ""en"")"),"Aluminum with handle X Starbucks chair")</f>
        <v>Aluminum with handle X Starbucks chair</v>
      </c>
      <c r="E399" s="5" t="s">
        <v>2175</v>
      </c>
      <c r="F399" s="9" t="s">
        <v>27</v>
      </c>
      <c r="G399" s="9" t="s">
        <v>28</v>
      </c>
      <c r="H399" s="16" t="s">
        <v>29</v>
      </c>
      <c r="I399" s="8"/>
      <c r="J399" s="10">
        <v>266.27</v>
      </c>
      <c r="K399" s="11" t="s">
        <v>5652</v>
      </c>
      <c r="L399" s="8"/>
      <c r="M399" s="12">
        <v>9.0</v>
      </c>
      <c r="N399" s="8"/>
      <c r="O399" s="8"/>
      <c r="P399" s="10">
        <v>29.59</v>
      </c>
      <c r="Q399" s="4" t="str">
        <f t="shared" si="2"/>
        <v>Remove</v>
      </c>
    </row>
    <row r="400">
      <c r="A400" s="5" t="s">
        <v>37</v>
      </c>
      <c r="B400" s="6">
        <v>1020.0</v>
      </c>
      <c r="C400" s="6" t="b">
        <v>0</v>
      </c>
      <c r="D400" s="8" t="str">
        <f>IFERROR(__xludf.DUMMYFUNCTION("GOOGLETRANSLATE(A400,""ar"", ""en"")"),"dining chair")</f>
        <v>dining chair</v>
      </c>
      <c r="E400" s="5" t="s">
        <v>2176</v>
      </c>
      <c r="F400" s="9" t="s">
        <v>18</v>
      </c>
      <c r="G400" s="9"/>
      <c r="H400" s="16" t="s">
        <v>39</v>
      </c>
      <c r="I400" s="8"/>
      <c r="J400" s="10">
        <v>212.19</v>
      </c>
      <c r="K400" s="11" t="s">
        <v>40</v>
      </c>
      <c r="L400" s="8"/>
      <c r="M400" s="12">
        <v>10.0</v>
      </c>
      <c r="N400" s="8"/>
      <c r="O400" s="8"/>
      <c r="P400" s="10">
        <v>21.22</v>
      </c>
      <c r="Q400" s="4" t="str">
        <f t="shared" si="2"/>
        <v>Remove</v>
      </c>
    </row>
    <row r="401">
      <c r="A401" s="5" t="s">
        <v>2177</v>
      </c>
      <c r="B401" s="6">
        <v>1023.0</v>
      </c>
      <c r="C401" s="6" t="b">
        <v>0</v>
      </c>
      <c r="D401" s="8" t="str">
        <f>IFERROR(__xludf.DUMMYFUNCTION("GOOGLETRANSLATE(A401,""ar"", ""en"")"),"Dining chair/broken from a set")</f>
        <v>Dining chair/broken from a set</v>
      </c>
      <c r="E401" s="5" t="s">
        <v>2178</v>
      </c>
      <c r="F401" s="9" t="s">
        <v>18</v>
      </c>
      <c r="G401" s="9"/>
      <c r="H401" s="16" t="s">
        <v>39</v>
      </c>
      <c r="I401" s="16"/>
      <c r="J401" s="10">
        <v>175.0</v>
      </c>
      <c r="K401" s="11" t="s">
        <v>5653</v>
      </c>
      <c r="L401" s="8"/>
      <c r="M401" s="12">
        <v>7.0</v>
      </c>
      <c r="N401" s="8"/>
      <c r="O401" s="8"/>
      <c r="P401" s="10">
        <v>25.0</v>
      </c>
      <c r="Q401" s="4" t="str">
        <f t="shared" si="2"/>
        <v>Remove</v>
      </c>
    </row>
    <row r="402">
      <c r="A402" s="5" t="s">
        <v>37</v>
      </c>
      <c r="B402" s="6">
        <v>1025.0</v>
      </c>
      <c r="C402" s="6" t="b">
        <v>0</v>
      </c>
      <c r="D402" s="8" t="str">
        <f>IFERROR(__xludf.DUMMYFUNCTION("GOOGLETRANSLATE(A402,""ar"", ""en"")"),"dining chair")</f>
        <v>dining chair</v>
      </c>
      <c r="E402" s="5" t="s">
        <v>2179</v>
      </c>
      <c r="F402" s="9" t="s">
        <v>18</v>
      </c>
      <c r="G402" s="9"/>
      <c r="H402" s="16" t="s">
        <v>39</v>
      </c>
      <c r="I402" s="8"/>
      <c r="J402" s="10">
        <v>129.52</v>
      </c>
      <c r="K402" s="11" t="s">
        <v>40</v>
      </c>
      <c r="L402" s="8"/>
      <c r="M402" s="12">
        <v>6.0</v>
      </c>
      <c r="N402" s="8"/>
      <c r="O402" s="8"/>
      <c r="P402" s="10">
        <v>21.59</v>
      </c>
      <c r="Q402" s="4" t="str">
        <f t="shared" si="2"/>
        <v>Remove</v>
      </c>
    </row>
    <row r="403">
      <c r="A403" s="5" t="s">
        <v>2180</v>
      </c>
      <c r="B403" s="6">
        <v>1033.0</v>
      </c>
      <c r="C403" s="6" t="b">
        <v>0</v>
      </c>
      <c r="D403" s="8" t="str">
        <f>IFERROR(__xludf.DUMMYFUNCTION("GOOGLETRANSLATE(A403,""ar"", ""en"")"),"stair chair")</f>
        <v>stair chair</v>
      </c>
      <c r="E403" s="5" t="s">
        <v>2181</v>
      </c>
      <c r="F403" s="9" t="s">
        <v>18</v>
      </c>
      <c r="G403" s="9"/>
      <c r="H403" s="16" t="s">
        <v>39</v>
      </c>
      <c r="I403" s="8"/>
      <c r="J403" s="10">
        <v>539.81</v>
      </c>
      <c r="K403" s="11" t="s">
        <v>5654</v>
      </c>
      <c r="L403" s="8"/>
      <c r="M403" s="12">
        <v>58.0</v>
      </c>
      <c r="N403" s="8"/>
      <c r="O403" s="8"/>
      <c r="P403" s="10">
        <v>9.31</v>
      </c>
      <c r="Q403" s="4" t="str">
        <f t="shared" si="2"/>
        <v>Remove</v>
      </c>
    </row>
    <row r="404">
      <c r="A404" s="5" t="s">
        <v>2182</v>
      </c>
      <c r="B404" s="6">
        <v>1040.0</v>
      </c>
      <c r="C404" s="6" t="b">
        <v>0</v>
      </c>
      <c r="D404" s="8" t="str">
        <f>IFERROR(__xludf.DUMMYFUNCTION("GOOGLETRANSLATE(A404,""ar"", ""en"")"),"CHAIR SPARE PARTS")</f>
        <v>CHAIR SPARE PARTS</v>
      </c>
      <c r="E404" s="5" t="s">
        <v>2183</v>
      </c>
      <c r="F404" s="30"/>
      <c r="G404" s="30"/>
      <c r="H404" s="8"/>
      <c r="I404" s="8"/>
      <c r="J404" s="10">
        <v>728.18</v>
      </c>
      <c r="K404" s="11" t="s">
        <v>5655</v>
      </c>
      <c r="L404" s="8"/>
      <c r="M404" s="12">
        <v>150.0</v>
      </c>
      <c r="N404" s="8"/>
      <c r="O404" s="8"/>
      <c r="P404" s="10">
        <v>4.85</v>
      </c>
      <c r="Q404" s="4" t="str">
        <f t="shared" si="2"/>
        <v>Remove</v>
      </c>
    </row>
    <row r="405">
      <c r="A405" s="13" t="s">
        <v>2184</v>
      </c>
      <c r="B405" s="6">
        <v>1041.0</v>
      </c>
      <c r="C405" s="6" t="b">
        <v>0</v>
      </c>
      <c r="D405" s="8" t="str">
        <f>IFERROR(__xludf.DUMMYFUNCTION("GOOGLETRANSLATE(A405,""ar"", ""en"")"),"wide dining chair")</f>
        <v>wide dining chair</v>
      </c>
      <c r="E405" s="13" t="s">
        <v>2185</v>
      </c>
      <c r="F405" s="9" t="s">
        <v>18</v>
      </c>
      <c r="G405" s="9"/>
      <c r="H405" s="16" t="s">
        <v>39</v>
      </c>
      <c r="I405" s="8"/>
      <c r="J405" s="14">
        <v>766.12</v>
      </c>
      <c r="K405" s="11" t="s">
        <v>5656</v>
      </c>
      <c r="L405" s="8"/>
      <c r="M405" s="15">
        <v>35.0</v>
      </c>
      <c r="N405" s="8"/>
      <c r="O405" s="8"/>
      <c r="P405" s="14">
        <v>21.89</v>
      </c>
      <c r="Q405" s="4" t="str">
        <f t="shared" si="2"/>
        <v>Remove</v>
      </c>
    </row>
    <row r="406">
      <c r="A406" s="5" t="s">
        <v>2186</v>
      </c>
      <c r="B406" s="6">
        <v>1042.0</v>
      </c>
      <c r="C406" s="6" t="b">
        <v>0</v>
      </c>
      <c r="D406" s="8" t="str">
        <f>IFERROR(__xludf.DUMMYFUNCTION("GOOGLETRANSLATE(A406,""ar"", ""en"")"),"Ghost dining chair")</f>
        <v>Ghost dining chair</v>
      </c>
      <c r="E406" s="5" t="s">
        <v>2187</v>
      </c>
      <c r="F406" s="9" t="s">
        <v>18</v>
      </c>
      <c r="G406" s="9"/>
      <c r="H406" s="16" t="s">
        <v>39</v>
      </c>
      <c r="I406" s="8"/>
      <c r="J406" s="10">
        <v>122.5</v>
      </c>
      <c r="K406" s="11" t="s">
        <v>5657</v>
      </c>
      <c r="L406" s="8"/>
      <c r="M406" s="12">
        <v>10.0</v>
      </c>
      <c r="N406" s="8"/>
      <c r="O406" s="8"/>
      <c r="P406" s="10">
        <v>12.25</v>
      </c>
      <c r="Q406" s="4" t="str">
        <f t="shared" si="2"/>
        <v>Remove</v>
      </c>
    </row>
    <row r="407">
      <c r="A407" s="5" t="s">
        <v>37</v>
      </c>
      <c r="B407" s="6">
        <v>1043.0</v>
      </c>
      <c r="C407" s="6" t="b">
        <v>0</v>
      </c>
      <c r="D407" s="8" t="str">
        <f>IFERROR(__xludf.DUMMYFUNCTION("GOOGLETRANSLATE(A407,""ar"", ""en"")"),"dining chair")</f>
        <v>dining chair</v>
      </c>
      <c r="E407" s="5" t="s">
        <v>2188</v>
      </c>
      <c r="F407" s="9" t="s">
        <v>18</v>
      </c>
      <c r="G407" s="9"/>
      <c r="H407" s="16" t="s">
        <v>39</v>
      </c>
      <c r="I407" s="8"/>
      <c r="J407" s="10">
        <v>662.07</v>
      </c>
      <c r="K407" s="11" t="s">
        <v>40</v>
      </c>
      <c r="L407" s="8"/>
      <c r="M407" s="12">
        <v>24.0</v>
      </c>
      <c r="N407" s="8"/>
      <c r="O407" s="8"/>
      <c r="P407" s="10">
        <v>27.59</v>
      </c>
      <c r="Q407" s="4" t="str">
        <f t="shared" si="2"/>
        <v>Remove</v>
      </c>
    </row>
    <row r="408">
      <c r="A408" s="13" t="s">
        <v>37</v>
      </c>
      <c r="B408" s="6">
        <v>1044.0</v>
      </c>
      <c r="C408" s="6" t="b">
        <v>0</v>
      </c>
      <c r="D408" s="8" t="str">
        <f>IFERROR(__xludf.DUMMYFUNCTION("GOOGLETRANSLATE(A408,""ar"", ""en"")"),"dining chair")</f>
        <v>dining chair</v>
      </c>
      <c r="E408" s="13" t="s">
        <v>2189</v>
      </c>
      <c r="F408" s="9" t="s">
        <v>18</v>
      </c>
      <c r="G408" s="9"/>
      <c r="H408" s="16" t="s">
        <v>39</v>
      </c>
      <c r="I408" s="8"/>
      <c r="J408" s="14">
        <v>22.72</v>
      </c>
      <c r="K408" s="11" t="s">
        <v>40</v>
      </c>
      <c r="L408" s="8"/>
      <c r="M408" s="15">
        <v>2.0</v>
      </c>
      <c r="N408" s="8"/>
      <c r="O408" s="8"/>
      <c r="P408" s="14">
        <v>11.36</v>
      </c>
      <c r="Q408" s="4" t="str">
        <f t="shared" si="2"/>
        <v>Remove</v>
      </c>
    </row>
    <row r="409">
      <c r="A409" s="5" t="s">
        <v>2186</v>
      </c>
      <c r="B409" s="6">
        <v>1045.0</v>
      </c>
      <c r="C409" s="6" t="b">
        <v>0</v>
      </c>
      <c r="D409" s="8" t="str">
        <f>IFERROR(__xludf.DUMMYFUNCTION("GOOGLETRANSLATE(A409,""ar"", ""en"")"),"Ghost dining chair")</f>
        <v>Ghost dining chair</v>
      </c>
      <c r="E409" s="5" t="s">
        <v>2190</v>
      </c>
      <c r="F409" s="9" t="s">
        <v>18</v>
      </c>
      <c r="G409" s="9"/>
      <c r="H409" s="16" t="s">
        <v>39</v>
      </c>
      <c r="I409" s="8"/>
      <c r="J409" s="10">
        <v>213.6</v>
      </c>
      <c r="K409" s="11" t="s">
        <v>5657</v>
      </c>
      <c r="L409" s="8"/>
      <c r="M409" s="12">
        <v>15.0</v>
      </c>
      <c r="N409" s="8"/>
      <c r="O409" s="8"/>
      <c r="P409" s="10">
        <v>14.24</v>
      </c>
      <c r="Q409" s="4" t="str">
        <f t="shared" si="2"/>
        <v>Remove</v>
      </c>
    </row>
    <row r="410">
      <c r="A410" s="13" t="s">
        <v>37</v>
      </c>
      <c r="B410" s="6">
        <v>1059.0</v>
      </c>
      <c r="C410" s="6" t="b">
        <v>0</v>
      </c>
      <c r="D410" s="8" t="str">
        <f>IFERROR(__xludf.DUMMYFUNCTION("GOOGLETRANSLATE(A410,""ar"", ""en"")"),"dining chair")</f>
        <v>dining chair</v>
      </c>
      <c r="E410" s="13" t="s">
        <v>2191</v>
      </c>
      <c r="F410" s="9" t="s">
        <v>18</v>
      </c>
      <c r="G410" s="9"/>
      <c r="H410" s="16" t="s">
        <v>39</v>
      </c>
      <c r="I410" s="8"/>
      <c r="J410" s="14">
        <v>200.94</v>
      </c>
      <c r="K410" s="11" t="s">
        <v>40</v>
      </c>
      <c r="L410" s="8"/>
      <c r="M410" s="15">
        <v>20.0</v>
      </c>
      <c r="N410" s="8"/>
      <c r="O410" s="8"/>
      <c r="P410" s="14">
        <v>10.05</v>
      </c>
      <c r="Q410" s="4" t="str">
        <f t="shared" si="2"/>
        <v>Remove</v>
      </c>
    </row>
    <row r="411">
      <c r="A411" s="5" t="s">
        <v>37</v>
      </c>
      <c r="B411" s="6">
        <v>1069.0</v>
      </c>
      <c r="C411" s="6" t="b">
        <v>0</v>
      </c>
      <c r="D411" s="8" t="str">
        <f>IFERROR(__xludf.DUMMYFUNCTION("GOOGLETRANSLATE(A411,""ar"", ""en"")"),"dining chair")</f>
        <v>dining chair</v>
      </c>
      <c r="E411" s="5" t="s">
        <v>2194</v>
      </c>
      <c r="F411" s="9" t="s">
        <v>18</v>
      </c>
      <c r="G411" s="9"/>
      <c r="H411" s="16" t="s">
        <v>39</v>
      </c>
      <c r="I411" s="8"/>
      <c r="J411" s="10">
        <v>873.65</v>
      </c>
      <c r="K411" s="11" t="s">
        <v>40</v>
      </c>
      <c r="L411" s="8"/>
      <c r="M411" s="12">
        <v>91.0</v>
      </c>
      <c r="N411" s="8"/>
      <c r="O411" s="8"/>
      <c r="P411" s="10">
        <v>9.6</v>
      </c>
      <c r="Q411" s="4" t="str">
        <f t="shared" si="2"/>
        <v>Remove</v>
      </c>
    </row>
    <row r="412">
      <c r="A412" s="5" t="s">
        <v>2206</v>
      </c>
      <c r="B412" s="6">
        <v>1094.0</v>
      </c>
      <c r="C412" s="6" t="b">
        <v>0</v>
      </c>
      <c r="D412" s="8" t="str">
        <f>IFERROR(__xludf.DUMMYFUNCTION("GOOGLETRANSLATE(A412,""ar"", ""en"")"),"Dining chair - Seniora")</f>
        <v>Dining chair - Seniora</v>
      </c>
      <c r="E412" s="5" t="s">
        <v>2207</v>
      </c>
      <c r="F412" s="9" t="s">
        <v>18</v>
      </c>
      <c r="G412" s="9"/>
      <c r="H412" s="8"/>
      <c r="I412" s="8"/>
      <c r="J412" s="10">
        <v>647.76</v>
      </c>
      <c r="K412" s="11" t="s">
        <v>5658</v>
      </c>
      <c r="L412" s="8"/>
      <c r="M412" s="12">
        <v>47.0</v>
      </c>
      <c r="N412" s="8"/>
      <c r="O412" s="8"/>
      <c r="P412" s="10">
        <v>13.78</v>
      </c>
      <c r="Q412" s="4" t="str">
        <f t="shared" si="2"/>
        <v>Remove</v>
      </c>
    </row>
    <row r="413">
      <c r="A413" s="13" t="s">
        <v>2208</v>
      </c>
      <c r="B413" s="6">
        <v>1096.0</v>
      </c>
      <c r="C413" s="6" t="b">
        <v>0</v>
      </c>
      <c r="D413" s="8" t="str">
        <f>IFERROR(__xludf.DUMMYFUNCTION("GOOGLETRANSLATE(A413,""ar"", ""en"")"),"TABLE")</f>
        <v>TABLE</v>
      </c>
      <c r="E413" s="32" t="s">
        <v>2209</v>
      </c>
      <c r="F413" s="9" t="s">
        <v>28</v>
      </c>
      <c r="G413" s="9"/>
      <c r="H413" s="8"/>
      <c r="I413" s="8"/>
      <c r="J413" s="14">
        <v>271.92</v>
      </c>
      <c r="K413" s="11" t="s">
        <v>5659</v>
      </c>
      <c r="L413" s="8"/>
      <c r="M413" s="15">
        <v>37.0</v>
      </c>
      <c r="N413" s="8"/>
      <c r="O413" s="8"/>
      <c r="P413" s="14">
        <v>7.35</v>
      </c>
      <c r="Q413" s="4" t="str">
        <f t="shared" si="2"/>
        <v>Remove</v>
      </c>
    </row>
    <row r="414">
      <c r="A414" s="13" t="s">
        <v>2210</v>
      </c>
      <c r="B414" s="6">
        <v>1098.0</v>
      </c>
      <c r="C414" s="6" t="b">
        <v>0</v>
      </c>
      <c r="D414" s="8" t="str">
        <f>IFERROR(__xludf.DUMMYFUNCTION("GOOGLETRANSLATE(A414,""ar"", ""en"")"),"RECLYNER Leather Rocking Chair")</f>
        <v>RECLYNER Leather Rocking Chair</v>
      </c>
      <c r="E414" s="13" t="s">
        <v>2211</v>
      </c>
      <c r="F414" s="9" t="s">
        <v>18</v>
      </c>
      <c r="G414" s="9"/>
      <c r="H414" s="8"/>
      <c r="I414" s="8"/>
      <c r="J414" s="14">
        <v>340.94</v>
      </c>
      <c r="K414" s="11" t="s">
        <v>5660</v>
      </c>
      <c r="L414" s="8"/>
      <c r="M414" s="15">
        <v>3.0</v>
      </c>
      <c r="N414" s="8"/>
      <c r="O414" s="8"/>
      <c r="P414" s="14">
        <v>113.65</v>
      </c>
      <c r="Q414" s="4" t="str">
        <f t="shared" si="2"/>
        <v>Remove</v>
      </c>
    </row>
    <row r="415">
      <c r="A415" s="5" t="s">
        <v>2210</v>
      </c>
      <c r="B415" s="6">
        <v>1099.0</v>
      </c>
      <c r="C415" s="6" t="b">
        <v>0</v>
      </c>
      <c r="D415" s="8" t="str">
        <f>IFERROR(__xludf.DUMMYFUNCTION("GOOGLETRANSLATE(A415,""ar"", ""en"")"),"RECLYNER Leather Rocking Chair")</f>
        <v>RECLYNER Leather Rocking Chair</v>
      </c>
      <c r="E415" s="5" t="s">
        <v>2212</v>
      </c>
      <c r="F415" s="9" t="s">
        <v>18</v>
      </c>
      <c r="G415" s="9"/>
      <c r="H415" s="8"/>
      <c r="I415" s="8"/>
      <c r="J415" s="10">
        <v>515.05</v>
      </c>
      <c r="K415" s="11" t="s">
        <v>5660</v>
      </c>
      <c r="L415" s="8"/>
      <c r="M415" s="12">
        <v>6.0</v>
      </c>
      <c r="N415" s="8"/>
      <c r="O415" s="8"/>
      <c r="P415" s="10">
        <v>85.84</v>
      </c>
      <c r="Q415" s="4" t="str">
        <f t="shared" si="2"/>
        <v>Remove</v>
      </c>
    </row>
    <row r="416">
      <c r="A416" s="13" t="s">
        <v>2213</v>
      </c>
      <c r="B416" s="6">
        <v>1101.0</v>
      </c>
      <c r="C416" s="6" t="b">
        <v>0</v>
      </c>
      <c r="D416" s="8" t="str">
        <f>IFERROR(__xludf.DUMMYFUNCTION("GOOGLETRANSLATE(A416,""ar"", ""en"")"),"Kwan set 1+2")</f>
        <v>Kwan set 1+2</v>
      </c>
      <c r="E416" s="13" t="s">
        <v>2214</v>
      </c>
      <c r="F416" s="9" t="s">
        <v>18</v>
      </c>
      <c r="G416" s="9"/>
      <c r="H416" s="8"/>
      <c r="I416" s="8"/>
      <c r="J416" s="14">
        <v>747.76</v>
      </c>
      <c r="K416" s="11" t="s">
        <v>5661</v>
      </c>
      <c r="L416" s="8"/>
      <c r="M416" s="15">
        <v>8.0</v>
      </c>
      <c r="N416" s="8"/>
      <c r="O416" s="8"/>
      <c r="P416" s="14">
        <v>93.47</v>
      </c>
      <c r="Q416" s="4" t="str">
        <f t="shared" si="2"/>
        <v>Remove</v>
      </c>
    </row>
    <row r="417">
      <c r="A417" s="5" t="s">
        <v>2215</v>
      </c>
      <c r="B417" s="6">
        <v>1103.0</v>
      </c>
      <c r="C417" s="6" t="b">
        <v>0</v>
      </c>
      <c r="D417" s="8" t="str">
        <f>IFERROR(__xludf.DUMMYFUNCTION("GOOGLETRANSLATE(A417,""ar"", ""en"")"),"Natural text table")</f>
        <v>Natural text table</v>
      </c>
      <c r="E417" s="5" t="s">
        <v>2216</v>
      </c>
      <c r="F417" s="9" t="s">
        <v>18</v>
      </c>
      <c r="G417" s="9"/>
      <c r="H417" s="8"/>
      <c r="I417" s="8"/>
      <c r="J417" s="10">
        <v>100.0</v>
      </c>
      <c r="K417" s="11" t="s">
        <v>5662</v>
      </c>
      <c r="L417" s="8"/>
      <c r="M417" s="12">
        <v>2.0</v>
      </c>
      <c r="N417" s="8"/>
      <c r="O417" s="8"/>
      <c r="P417" s="10">
        <v>50.0</v>
      </c>
      <c r="Q417" s="4" t="str">
        <f t="shared" si="2"/>
        <v>Remove</v>
      </c>
    </row>
    <row r="418">
      <c r="A418" s="5" t="s">
        <v>2215</v>
      </c>
      <c r="B418" s="6">
        <v>1104.0</v>
      </c>
      <c r="C418" s="6" t="b">
        <v>0</v>
      </c>
      <c r="D418" s="8" t="str">
        <f>IFERROR(__xludf.DUMMYFUNCTION("GOOGLETRANSLATE(A418,""ar"", ""en"")"),"Natural text table")</f>
        <v>Natural text table</v>
      </c>
      <c r="E418" s="5" t="s">
        <v>2217</v>
      </c>
      <c r="F418" s="9" t="s">
        <v>18</v>
      </c>
      <c r="G418" s="9"/>
      <c r="H418" s="8"/>
      <c r="I418" s="8"/>
      <c r="J418" s="10">
        <v>80.0</v>
      </c>
      <c r="K418" s="11" t="s">
        <v>5662</v>
      </c>
      <c r="L418" s="8"/>
      <c r="M418" s="12">
        <v>1.0</v>
      </c>
      <c r="N418" s="8"/>
      <c r="O418" s="8"/>
      <c r="P418" s="10">
        <v>80.0</v>
      </c>
      <c r="Q418" s="4" t="str">
        <f t="shared" si="2"/>
        <v>Remove</v>
      </c>
    </row>
    <row r="419">
      <c r="A419" s="5" t="s">
        <v>2218</v>
      </c>
      <c r="B419" s="6">
        <v>1105.0</v>
      </c>
      <c r="C419" s="6" t="b">
        <v>0</v>
      </c>
      <c r="D419" s="8" t="str">
        <f>IFERROR(__xludf.DUMMYFUNCTION("GOOGLETRANSLATE(A419,""ar"", ""en"")"),"computer table")</f>
        <v>computer table</v>
      </c>
      <c r="E419" s="5" t="s">
        <v>2219</v>
      </c>
      <c r="F419" s="9" t="s">
        <v>18</v>
      </c>
      <c r="G419" s="9"/>
      <c r="H419" s="8"/>
      <c r="I419" s="8"/>
      <c r="J419" s="10">
        <v>575.88</v>
      </c>
      <c r="K419" s="11" t="s">
        <v>5663</v>
      </c>
      <c r="L419" s="8"/>
      <c r="M419" s="12">
        <v>14.0</v>
      </c>
      <c r="N419" s="8"/>
      <c r="O419" s="8"/>
      <c r="P419" s="10">
        <v>41.13</v>
      </c>
      <c r="Q419" s="4" t="str">
        <f t="shared" si="2"/>
        <v>Remove</v>
      </c>
    </row>
    <row r="420">
      <c r="A420" s="13" t="s">
        <v>2218</v>
      </c>
      <c r="B420" s="6">
        <v>1106.0</v>
      </c>
      <c r="C420" s="6" t="b">
        <v>0</v>
      </c>
      <c r="D420" s="8" t="str">
        <f>IFERROR(__xludf.DUMMYFUNCTION("GOOGLETRANSLATE(A420,""ar"", ""en"")"),"computer table")</f>
        <v>computer table</v>
      </c>
      <c r="E420" s="13" t="s">
        <v>2220</v>
      </c>
      <c r="F420" s="9" t="s">
        <v>18</v>
      </c>
      <c r="G420" s="9"/>
      <c r="H420" s="8"/>
      <c r="I420" s="8"/>
      <c r="J420" s="14">
        <v>266.39</v>
      </c>
      <c r="K420" s="11" t="s">
        <v>5663</v>
      </c>
      <c r="L420" s="8"/>
      <c r="M420" s="15">
        <v>8.0</v>
      </c>
      <c r="N420" s="8"/>
      <c r="O420" s="8"/>
      <c r="P420" s="14">
        <v>33.3</v>
      </c>
      <c r="Q420" s="4" t="str">
        <f t="shared" si="2"/>
        <v>Remove</v>
      </c>
    </row>
    <row r="421">
      <c r="A421" s="5" t="s">
        <v>2221</v>
      </c>
      <c r="B421" s="6">
        <v>1107.0</v>
      </c>
      <c r="C421" s="6" t="b">
        <v>0</v>
      </c>
      <c r="D421" s="8" t="str">
        <f>IFERROR(__xludf.DUMMYFUNCTION("GOOGLETRANSLATE(A421,""ar"", ""en"")"),"column table")</f>
        <v>column table</v>
      </c>
      <c r="E421" s="5" t="s">
        <v>2222</v>
      </c>
      <c r="F421" s="9" t="s">
        <v>18</v>
      </c>
      <c r="G421" s="9"/>
      <c r="H421" s="8"/>
      <c r="I421" s="8"/>
      <c r="J421" s="10">
        <v>106.39</v>
      </c>
      <c r="K421" s="11" t="s">
        <v>5664</v>
      </c>
      <c r="L421" s="8"/>
      <c r="M421" s="12">
        <v>4.0</v>
      </c>
      <c r="N421" s="8"/>
      <c r="O421" s="8"/>
      <c r="P421" s="10">
        <v>26.6</v>
      </c>
      <c r="Q421" s="4" t="str">
        <f t="shared" si="2"/>
        <v>Remove</v>
      </c>
    </row>
    <row r="422">
      <c r="A422" s="13" t="s">
        <v>2223</v>
      </c>
      <c r="B422" s="6">
        <v>1108.0</v>
      </c>
      <c r="C422" s="6" t="b">
        <v>0</v>
      </c>
      <c r="D422" s="8" t="str">
        <f>IFERROR(__xludf.DUMMYFUNCTION("GOOGLETRANSLATE(A422,""ar"", ""en"")"),"1+4 chair dining set")</f>
        <v>1+4 chair dining set</v>
      </c>
      <c r="E422" s="13" t="s">
        <v>2224</v>
      </c>
      <c r="F422" s="9" t="s">
        <v>18</v>
      </c>
      <c r="G422" s="9"/>
      <c r="H422" s="16" t="s">
        <v>1217</v>
      </c>
      <c r="I422" s="8"/>
      <c r="J422" s="14">
        <v>94.44</v>
      </c>
      <c r="K422" s="11" t="s">
        <v>5665</v>
      </c>
      <c r="L422" s="8"/>
      <c r="M422" s="15">
        <v>1.0</v>
      </c>
      <c r="N422" s="8"/>
      <c r="O422" s="8"/>
      <c r="P422" s="14">
        <v>94.44</v>
      </c>
      <c r="Q422" s="4" t="str">
        <f t="shared" si="2"/>
        <v>Remove</v>
      </c>
    </row>
    <row r="423">
      <c r="A423" s="5" t="s">
        <v>2225</v>
      </c>
      <c r="B423" s="6">
        <v>1110.0</v>
      </c>
      <c r="C423" s="6" t="b">
        <v>0</v>
      </c>
      <c r="D423" s="8" t="str">
        <f>IFERROR(__xludf.DUMMYFUNCTION("GOOGLETRANSLATE(A423,""ar"", ""en"")"),"Dining set: 1 table + 6 chairs")</f>
        <v>Dining set: 1 table + 6 chairs</v>
      </c>
      <c r="E423" s="5" t="s">
        <v>2226</v>
      </c>
      <c r="F423" s="9" t="s">
        <v>18</v>
      </c>
      <c r="G423" s="9"/>
      <c r="H423" s="16" t="s">
        <v>1217</v>
      </c>
      <c r="I423" s="8"/>
      <c r="J423" s="10">
        <v>445.47</v>
      </c>
      <c r="K423" s="11" t="s">
        <v>5666</v>
      </c>
      <c r="L423" s="8"/>
      <c r="M423" s="12">
        <v>5.0</v>
      </c>
      <c r="N423" s="8"/>
      <c r="O423" s="8"/>
      <c r="P423" s="10">
        <v>89.09</v>
      </c>
      <c r="Q423" s="4" t="str">
        <f t="shared" si="2"/>
        <v>Remove</v>
      </c>
    </row>
    <row r="424">
      <c r="A424" s="13" t="s">
        <v>2227</v>
      </c>
      <c r="B424" s="6">
        <v>1111.0</v>
      </c>
      <c r="C424" s="6" t="b">
        <v>0</v>
      </c>
      <c r="D424" s="8" t="str">
        <f>IFERROR(__xludf.DUMMYFUNCTION("GOOGLETRANSLATE(A424,""ar"", ""en"")"),"Digital 10 liter kettle with a hose")</f>
        <v>Digital 10 liter kettle with a hose</v>
      </c>
      <c r="E424" s="13" t="s">
        <v>2228</v>
      </c>
      <c r="F424" s="30"/>
      <c r="G424" s="30"/>
      <c r="H424" s="8"/>
      <c r="I424" s="8"/>
      <c r="J424" s="31"/>
      <c r="K424" s="11" t="s">
        <v>5667</v>
      </c>
      <c r="L424" s="8"/>
      <c r="M424" s="15">
        <v>92.0</v>
      </c>
      <c r="N424" s="8"/>
      <c r="O424" s="8"/>
      <c r="P424" s="31"/>
      <c r="Q424" s="4" t="str">
        <f t="shared" si="2"/>
        <v>Remove</v>
      </c>
    </row>
    <row r="425">
      <c r="A425" s="13" t="s">
        <v>2233</v>
      </c>
      <c r="B425" s="6">
        <v>1114.0</v>
      </c>
      <c r="C425" s="6" t="b">
        <v>0</v>
      </c>
      <c r="D425" s="8" t="str">
        <f>IFERROR(__xludf.DUMMYFUNCTION("GOOGLETRANSLATE(A425,""ar"", ""en"")"),"SIDE AND BAG FOR TENT 10M")</f>
        <v>SIDE AND BAG FOR TENT 10M</v>
      </c>
      <c r="E425" s="32" t="s">
        <v>2234</v>
      </c>
      <c r="F425" s="9"/>
      <c r="G425" s="30"/>
      <c r="H425" s="16" t="s">
        <v>121</v>
      </c>
      <c r="I425" s="8"/>
      <c r="J425" s="14">
        <v>117.32</v>
      </c>
      <c r="K425" s="11" t="s">
        <v>5668</v>
      </c>
      <c r="L425" s="8"/>
      <c r="M425" s="15">
        <v>14.0</v>
      </c>
      <c r="N425" s="8"/>
      <c r="O425" s="8"/>
      <c r="P425" s="14">
        <v>8.38</v>
      </c>
      <c r="Q425" s="4" t="str">
        <f t="shared" si="2"/>
        <v>Remove</v>
      </c>
    </row>
    <row r="426">
      <c r="A426" s="5" t="s">
        <v>2235</v>
      </c>
      <c r="B426" s="6">
        <v>1115.0</v>
      </c>
      <c r="C426" s="6" t="b">
        <v>0</v>
      </c>
      <c r="D426" s="8" t="str">
        <f>IFERROR(__xludf.DUMMYFUNCTION("GOOGLETRANSLATE(A426,""ar"", ""en"")"),"SIDE AND BAG FOR TENT 12M")</f>
        <v>SIDE AND BAG FOR TENT 12M</v>
      </c>
      <c r="E426" s="34" t="s">
        <v>2236</v>
      </c>
      <c r="F426" s="30"/>
      <c r="G426" s="30"/>
      <c r="H426" s="16" t="s">
        <v>121</v>
      </c>
      <c r="I426" s="8"/>
      <c r="J426" s="10">
        <v>154.71</v>
      </c>
      <c r="K426" s="11" t="s">
        <v>5669</v>
      </c>
      <c r="L426" s="8"/>
      <c r="M426" s="12">
        <v>10.0</v>
      </c>
      <c r="N426" s="8"/>
      <c r="O426" s="8"/>
      <c r="P426" s="10">
        <v>15.47</v>
      </c>
      <c r="Q426" s="4" t="str">
        <f t="shared" si="2"/>
        <v>Remove</v>
      </c>
    </row>
    <row r="427">
      <c r="A427" s="13" t="s">
        <v>2235</v>
      </c>
      <c r="B427" s="6">
        <v>1116.0</v>
      </c>
      <c r="C427" s="6" t="b">
        <v>0</v>
      </c>
      <c r="D427" s="8" t="str">
        <f>IFERROR(__xludf.DUMMYFUNCTION("GOOGLETRANSLATE(A427,""ar"", ""en"")"),"SIDE AND BAG FOR TENT 12M")</f>
        <v>SIDE AND BAG FOR TENT 12M</v>
      </c>
      <c r="E427" s="13" t="s">
        <v>2237</v>
      </c>
      <c r="F427" s="30"/>
      <c r="G427" s="30"/>
      <c r="H427" s="16" t="s">
        <v>121</v>
      </c>
      <c r="I427" s="8"/>
      <c r="J427" s="14">
        <v>737.44</v>
      </c>
      <c r="K427" s="11" t="s">
        <v>5669</v>
      </c>
      <c r="L427" s="8"/>
      <c r="M427" s="15">
        <v>88.0</v>
      </c>
      <c r="N427" s="8"/>
      <c r="O427" s="8"/>
      <c r="P427" s="14">
        <v>8.38</v>
      </c>
      <c r="Q427" s="4" t="str">
        <f t="shared" si="2"/>
        <v>Remove</v>
      </c>
    </row>
    <row r="428">
      <c r="A428" s="5" t="s">
        <v>2238</v>
      </c>
      <c r="B428" s="6">
        <v>1117.0</v>
      </c>
      <c r="C428" s="6" t="b">
        <v>0</v>
      </c>
      <c r="D428" s="8" t="str">
        <f>IFERROR(__xludf.DUMMYFUNCTION("GOOGLETRANSLATE(A428,""ar"", ""en"")"),"SIDE AND BAG FOR TENT 15M")</f>
        <v>SIDE AND BAG FOR TENT 15M</v>
      </c>
      <c r="E428" s="33" t="s">
        <v>2239</v>
      </c>
      <c r="F428" s="30"/>
      <c r="G428" s="30"/>
      <c r="H428" s="16" t="s">
        <v>121</v>
      </c>
      <c r="I428" s="8"/>
      <c r="J428" s="10">
        <v>127.63</v>
      </c>
      <c r="K428" s="11" t="s">
        <v>5670</v>
      </c>
      <c r="L428" s="8"/>
      <c r="M428" s="12">
        <v>11.0</v>
      </c>
      <c r="N428" s="8"/>
      <c r="O428" s="8"/>
      <c r="P428" s="10">
        <v>11.6</v>
      </c>
      <c r="Q428" s="4" t="str">
        <f t="shared" si="2"/>
        <v>Remove</v>
      </c>
    </row>
    <row r="429">
      <c r="A429" s="13" t="s">
        <v>2240</v>
      </c>
      <c r="B429" s="6">
        <v>1118.0</v>
      </c>
      <c r="C429" s="6" t="b">
        <v>0</v>
      </c>
      <c r="D429" s="8" t="str">
        <f>IFERROR(__xludf.DUMMYFUNCTION("GOOGLETRANSLATE(A429,""ar"", ""en"")"),"3*2 m aluminum tent")</f>
        <v>3*2 m aluminum tent</v>
      </c>
      <c r="E429" s="13" t="s">
        <v>2241</v>
      </c>
      <c r="F429" s="9" t="s">
        <v>28</v>
      </c>
      <c r="G429" s="9"/>
      <c r="H429" s="16" t="s">
        <v>121</v>
      </c>
      <c r="I429" s="8"/>
      <c r="J429" s="14">
        <v>1636.03</v>
      </c>
      <c r="K429" s="11" t="s">
        <v>5671</v>
      </c>
      <c r="L429" s="8"/>
      <c r="M429" s="15">
        <v>47.0</v>
      </c>
      <c r="N429" s="8"/>
      <c r="O429" s="8"/>
      <c r="P429" s="14">
        <v>34.81</v>
      </c>
      <c r="Q429" s="4" t="str">
        <f t="shared" si="2"/>
        <v>Remove</v>
      </c>
    </row>
    <row r="430">
      <c r="A430" s="13" t="s">
        <v>2242</v>
      </c>
      <c r="B430" s="6">
        <v>1120.0</v>
      </c>
      <c r="C430" s="6" t="b">
        <v>0</v>
      </c>
      <c r="D430" s="8" t="str">
        <f>IFERROR(__xludf.DUMMYFUNCTION("GOOGLETRANSLATE(A430,""ar"", ""en"")"),"glass")</f>
        <v>glass</v>
      </c>
      <c r="E430" s="13" t="s">
        <v>2243</v>
      </c>
      <c r="F430" s="30"/>
      <c r="G430" s="30"/>
      <c r="H430" s="8"/>
      <c r="I430" s="8"/>
      <c r="J430" s="14">
        <v>0.0</v>
      </c>
      <c r="K430" s="11" t="s">
        <v>5672</v>
      </c>
      <c r="L430" s="16" t="s">
        <v>123</v>
      </c>
      <c r="M430" s="15">
        <v>6.0</v>
      </c>
      <c r="N430" s="8"/>
      <c r="O430" s="8"/>
      <c r="P430" s="14">
        <v>0.0</v>
      </c>
      <c r="Q430" s="4" t="str">
        <f t="shared" si="2"/>
        <v>Remove</v>
      </c>
    </row>
    <row r="431">
      <c r="A431" s="13" t="s">
        <v>2244</v>
      </c>
      <c r="B431" s="6">
        <v>1127.0</v>
      </c>
      <c r="C431" s="6" t="b">
        <v>0</v>
      </c>
      <c r="D431" s="8" t="str">
        <f>IFERROR(__xludf.DUMMYFUNCTION("GOOGLETRANSLATE(A431,""ar"", ""en"")"),"3*3 m iron tent")</f>
        <v>3*3 m iron tent</v>
      </c>
      <c r="E431" s="13" t="s">
        <v>2245</v>
      </c>
      <c r="F431" s="9" t="s">
        <v>28</v>
      </c>
      <c r="G431" s="9"/>
      <c r="H431" s="16" t="s">
        <v>121</v>
      </c>
      <c r="I431" s="8"/>
      <c r="J431" s="14">
        <v>80.49</v>
      </c>
      <c r="K431" s="11" t="s">
        <v>5673</v>
      </c>
      <c r="L431" s="8"/>
      <c r="M431" s="15">
        <v>3.0</v>
      </c>
      <c r="N431" s="8"/>
      <c r="O431" s="8"/>
      <c r="P431" s="14">
        <v>26.83</v>
      </c>
      <c r="Q431" s="4" t="str">
        <f t="shared" si="2"/>
        <v>Remove</v>
      </c>
    </row>
    <row r="432">
      <c r="A432" s="5" t="s">
        <v>2246</v>
      </c>
      <c r="B432" s="6">
        <v>1128.0</v>
      </c>
      <c r="C432" s="6" t="b">
        <v>0</v>
      </c>
      <c r="D432" s="8" t="str">
        <f>IFERROR(__xludf.DUMMYFUNCTION("GOOGLETRANSLATE(A432,""ar"", ""en"")"),"3*3 m tent")</f>
        <v>3*3 m tent</v>
      </c>
      <c r="E432" s="5" t="s">
        <v>2247</v>
      </c>
      <c r="F432" s="9" t="s">
        <v>28</v>
      </c>
      <c r="G432" s="9"/>
      <c r="H432" s="16" t="s">
        <v>121</v>
      </c>
      <c r="I432" s="8"/>
      <c r="J432" s="10">
        <v>23.27</v>
      </c>
      <c r="K432" s="11" t="s">
        <v>5674</v>
      </c>
      <c r="L432" s="8"/>
      <c r="M432" s="12">
        <v>2.0</v>
      </c>
      <c r="N432" s="8"/>
      <c r="O432" s="8"/>
      <c r="P432" s="10">
        <v>11.64</v>
      </c>
      <c r="Q432" s="4" t="str">
        <f t="shared" si="2"/>
        <v>Remove</v>
      </c>
    </row>
    <row r="433">
      <c r="A433" s="13" t="s">
        <v>2248</v>
      </c>
      <c r="B433" s="6">
        <v>1131.0</v>
      </c>
      <c r="C433" s="6" t="b">
        <v>0</v>
      </c>
      <c r="D433" s="8" t="str">
        <f>IFERROR(__xludf.DUMMYFUNCTION("GOOGLETRANSLATE(A433,""ar"", ""en"")"),"COVER")</f>
        <v>COVER</v>
      </c>
      <c r="E433" s="13" t="s">
        <v>2249</v>
      </c>
      <c r="F433" s="30"/>
      <c r="G433" s="30"/>
      <c r="H433" s="8"/>
      <c r="I433" s="8"/>
      <c r="J433" s="14">
        <v>62.64</v>
      </c>
      <c r="K433" s="11" t="s">
        <v>5675</v>
      </c>
      <c r="L433" s="8"/>
      <c r="M433" s="15">
        <v>14.0</v>
      </c>
      <c r="N433" s="8"/>
      <c r="O433" s="8"/>
      <c r="P433" s="14">
        <v>4.47</v>
      </c>
      <c r="Q433" s="4" t="str">
        <f t="shared" si="2"/>
        <v>Remove</v>
      </c>
    </row>
    <row r="434">
      <c r="A434" s="5" t="s">
        <v>37</v>
      </c>
      <c r="B434" s="6">
        <v>1132.0</v>
      </c>
      <c r="C434" s="6" t="b">
        <v>0</v>
      </c>
      <c r="D434" s="8" t="str">
        <f>IFERROR(__xludf.DUMMYFUNCTION("GOOGLETRANSLATE(A434,""ar"", ""en"")"),"dining chair")</f>
        <v>dining chair</v>
      </c>
      <c r="E434" s="5" t="s">
        <v>2250</v>
      </c>
      <c r="F434" s="9" t="s">
        <v>18</v>
      </c>
      <c r="G434" s="9"/>
      <c r="H434" s="8"/>
      <c r="I434" s="8"/>
      <c r="J434" s="10">
        <v>385.52</v>
      </c>
      <c r="K434" s="11" t="s">
        <v>40</v>
      </c>
      <c r="L434" s="8"/>
      <c r="M434" s="12">
        <v>23.0</v>
      </c>
      <c r="N434" s="8"/>
      <c r="O434" s="8"/>
      <c r="P434" s="10">
        <v>16.76</v>
      </c>
      <c r="Q434" s="4" t="str">
        <f t="shared" si="2"/>
        <v>Remove</v>
      </c>
    </row>
    <row r="435">
      <c r="A435" s="5" t="s">
        <v>2251</v>
      </c>
      <c r="B435" s="6">
        <v>1133.0</v>
      </c>
      <c r="C435" s="6" t="b">
        <v>0</v>
      </c>
      <c r="D435" s="8" t="str">
        <f>IFERROR(__xludf.DUMMYFUNCTION("GOOGLETRANSLATE(A435,""ar"", ""en"")"),"Dresswar")</f>
        <v>Dresswar</v>
      </c>
      <c r="E435" s="5" t="s">
        <v>2252</v>
      </c>
      <c r="F435" s="9" t="s">
        <v>18</v>
      </c>
      <c r="G435" s="9"/>
      <c r="H435" s="8"/>
      <c r="I435" s="8"/>
      <c r="J435" s="10">
        <v>766.93</v>
      </c>
      <c r="K435" s="11" t="s">
        <v>5676</v>
      </c>
      <c r="L435" s="8"/>
      <c r="M435" s="12">
        <v>8.0</v>
      </c>
      <c r="N435" s="8"/>
      <c r="O435" s="8"/>
      <c r="P435" s="10">
        <v>95.87</v>
      </c>
      <c r="Q435" s="4" t="str">
        <f t="shared" si="2"/>
        <v>Remove</v>
      </c>
    </row>
    <row r="436">
      <c r="A436" s="13" t="s">
        <v>2251</v>
      </c>
      <c r="B436" s="6">
        <v>1134.0</v>
      </c>
      <c r="C436" s="6" t="b">
        <v>0</v>
      </c>
      <c r="D436" s="8" t="str">
        <f>IFERROR(__xludf.DUMMYFUNCTION("GOOGLETRANSLATE(A436,""ar"", ""en"")"),"Dresswar")</f>
        <v>Dresswar</v>
      </c>
      <c r="E436" s="13" t="s">
        <v>2253</v>
      </c>
      <c r="F436" s="9" t="s">
        <v>18</v>
      </c>
      <c r="G436" s="9"/>
      <c r="H436" s="8"/>
      <c r="I436" s="8"/>
      <c r="J436" s="14">
        <v>2149.06</v>
      </c>
      <c r="K436" s="11" t="s">
        <v>5676</v>
      </c>
      <c r="L436" s="8"/>
      <c r="M436" s="15">
        <v>18.0</v>
      </c>
      <c r="N436" s="8"/>
      <c r="O436" s="8"/>
      <c r="P436" s="14">
        <v>119.39</v>
      </c>
      <c r="Q436" s="4" t="str">
        <f t="shared" si="2"/>
        <v>Remove</v>
      </c>
    </row>
    <row r="437">
      <c r="A437" s="13" t="s">
        <v>1554</v>
      </c>
      <c r="B437" s="6">
        <v>1138.0</v>
      </c>
      <c r="C437" s="6" t="b">
        <v>0</v>
      </c>
      <c r="D437" s="8" t="str">
        <f>IFERROR(__xludf.DUMMYFUNCTION("GOOGLETRANSLATE(A437,""ar"", ""en"")"),"heavy dining chair")</f>
        <v>heavy dining chair</v>
      </c>
      <c r="E437" s="13" t="s">
        <v>2254</v>
      </c>
      <c r="F437" s="9" t="s">
        <v>18</v>
      </c>
      <c r="G437" s="9"/>
      <c r="H437" s="8"/>
      <c r="I437" s="8"/>
      <c r="J437" s="14">
        <v>177.23</v>
      </c>
      <c r="K437" s="11" t="s">
        <v>1556</v>
      </c>
      <c r="L437" s="8"/>
      <c r="M437" s="15">
        <v>9.0</v>
      </c>
      <c r="N437" s="8"/>
      <c r="O437" s="8"/>
      <c r="P437" s="14">
        <v>19.69</v>
      </c>
      <c r="Q437" s="4" t="str">
        <f t="shared" si="2"/>
        <v>Remove</v>
      </c>
    </row>
    <row r="438">
      <c r="A438" s="5" t="s">
        <v>49</v>
      </c>
      <c r="B438" s="6">
        <v>1158.0</v>
      </c>
      <c r="C438" s="6" t="b">
        <v>0</v>
      </c>
      <c r="D438" s="8" t="str">
        <f>IFERROR(__xludf.DUMMYFUNCTION("GOOGLETRANSLATE(A438,""ar"", ""en"")"),"bar chair")</f>
        <v>bar chair</v>
      </c>
      <c r="E438" s="5" t="s">
        <v>2255</v>
      </c>
      <c r="F438" s="9" t="s">
        <v>28</v>
      </c>
      <c r="G438" s="9"/>
      <c r="H438" s="16" t="s">
        <v>47</v>
      </c>
      <c r="I438" s="8"/>
      <c r="J438" s="10">
        <v>237.13</v>
      </c>
      <c r="K438" s="11" t="s">
        <v>51</v>
      </c>
      <c r="L438" s="8"/>
      <c r="M438" s="12">
        <v>9.0</v>
      </c>
      <c r="N438" s="8"/>
      <c r="O438" s="8"/>
      <c r="P438" s="10">
        <v>26.35</v>
      </c>
      <c r="Q438" s="4" t="str">
        <f t="shared" si="2"/>
        <v>Remove</v>
      </c>
    </row>
    <row r="439">
      <c r="A439" s="5" t="s">
        <v>2256</v>
      </c>
      <c r="B439" s="6">
        <v>1159.0</v>
      </c>
      <c r="C439" s="6" t="b">
        <v>0</v>
      </c>
      <c r="D439" s="8" t="str">
        <f>IFERROR(__xludf.DUMMYFUNCTION("GOOGLETRANSLATE(A439,""ar"", ""en"")"),"Luna two-seat brushes")</f>
        <v>Luna two-seat brushes</v>
      </c>
      <c r="E439" s="5" t="s">
        <v>2257</v>
      </c>
      <c r="F439" s="9" t="s">
        <v>28</v>
      </c>
      <c r="G439" s="9"/>
      <c r="H439" s="8"/>
      <c r="I439" s="8"/>
      <c r="J439" s="29"/>
      <c r="K439" s="11" t="s">
        <v>5677</v>
      </c>
      <c r="L439" s="8"/>
      <c r="M439" s="12">
        <v>13.0</v>
      </c>
      <c r="N439" s="8"/>
      <c r="O439" s="8"/>
      <c r="P439" s="29"/>
      <c r="Q439" s="4" t="str">
        <f t="shared" si="2"/>
        <v>Remove</v>
      </c>
    </row>
    <row r="440">
      <c r="A440" s="13" t="s">
        <v>2258</v>
      </c>
      <c r="B440" s="6">
        <v>1160.0</v>
      </c>
      <c r="C440" s="6" t="b">
        <v>0</v>
      </c>
      <c r="D440" s="8" t="str">
        <f>IFERROR(__xludf.DUMMYFUNCTION("GOOGLETRANSLATE(A440,""ar"", ""en"")"),"Luna 3-seat brushes")</f>
        <v>Luna 3-seat brushes</v>
      </c>
      <c r="E440" s="13" t="s">
        <v>2259</v>
      </c>
      <c r="F440" s="9" t="s">
        <v>28</v>
      </c>
      <c r="G440" s="9"/>
      <c r="H440" s="8"/>
      <c r="I440" s="8"/>
      <c r="J440" s="31"/>
      <c r="K440" s="11" t="s">
        <v>5678</v>
      </c>
      <c r="L440" s="8"/>
      <c r="M440" s="15">
        <v>9.0</v>
      </c>
      <c r="N440" s="8"/>
      <c r="O440" s="8"/>
      <c r="P440" s="31"/>
      <c r="Q440" s="4" t="str">
        <f t="shared" si="2"/>
        <v>Remove</v>
      </c>
    </row>
    <row r="441">
      <c r="A441" s="13" t="s">
        <v>1565</v>
      </c>
      <c r="B441" s="6">
        <v>1162.0</v>
      </c>
      <c r="C441" s="6" t="b">
        <v>0</v>
      </c>
      <c r="D441" s="8" t="str">
        <f>IFERROR(__xludf.DUMMYFUNCTION("GOOGLETRANSLATE(A441,""ar"", ""en"")"),"oval mirror")</f>
        <v>oval mirror</v>
      </c>
      <c r="E441" s="13" t="s">
        <v>2260</v>
      </c>
      <c r="F441" s="9" t="s">
        <v>18</v>
      </c>
      <c r="G441" s="9"/>
      <c r="H441" s="8"/>
      <c r="I441" s="8"/>
      <c r="J441" s="14">
        <v>194.42</v>
      </c>
      <c r="K441" s="11" t="s">
        <v>1567</v>
      </c>
      <c r="L441" s="8"/>
      <c r="M441" s="15">
        <v>15.0</v>
      </c>
      <c r="N441" s="8"/>
      <c r="O441" s="8"/>
      <c r="P441" s="14">
        <v>12.96</v>
      </c>
      <c r="Q441" s="4" t="str">
        <f t="shared" si="2"/>
        <v>Remove</v>
      </c>
    </row>
    <row r="442">
      <c r="A442" s="13" t="s">
        <v>2261</v>
      </c>
      <c r="B442" s="6">
        <v>1164.0</v>
      </c>
      <c r="C442" s="6" t="b">
        <v>0</v>
      </c>
      <c r="D442" s="8" t="str">
        <f>IFERROR(__xludf.DUMMYFUNCTION("GOOGLETRANSLATE(A442,""ar"", ""en"")"),"70 cm brush")</f>
        <v>70 cm brush</v>
      </c>
      <c r="E442" s="13" t="s">
        <v>2262</v>
      </c>
      <c r="F442" s="30"/>
      <c r="G442" s="30"/>
      <c r="H442" s="8"/>
      <c r="I442" s="8"/>
      <c r="J442" s="14">
        <v>132.0</v>
      </c>
      <c r="K442" s="11" t="s">
        <v>5679</v>
      </c>
      <c r="L442" s="16" t="s">
        <v>123</v>
      </c>
      <c r="M442" s="15">
        <v>12.0</v>
      </c>
      <c r="N442" s="8"/>
      <c r="O442" s="8"/>
      <c r="P442" s="14">
        <v>11.0</v>
      </c>
      <c r="Q442" s="4" t="str">
        <f t="shared" si="2"/>
        <v>Remove</v>
      </c>
    </row>
    <row r="443">
      <c r="A443" s="5" t="s">
        <v>2261</v>
      </c>
      <c r="B443" s="6">
        <v>1165.0</v>
      </c>
      <c r="C443" s="6" t="b">
        <v>0</v>
      </c>
      <c r="D443" s="8" t="str">
        <f>IFERROR(__xludf.DUMMYFUNCTION("GOOGLETRANSLATE(A443,""ar"", ""en"")"),"70 cm brush")</f>
        <v>70 cm brush</v>
      </c>
      <c r="E443" s="5" t="s">
        <v>2263</v>
      </c>
      <c r="F443" s="30"/>
      <c r="G443" s="30"/>
      <c r="H443" s="8"/>
      <c r="I443" s="8"/>
      <c r="J443" s="10">
        <v>261.0</v>
      </c>
      <c r="K443" s="11" t="s">
        <v>5679</v>
      </c>
      <c r="L443" s="16" t="s">
        <v>123</v>
      </c>
      <c r="M443" s="12">
        <v>29.0</v>
      </c>
      <c r="N443" s="8"/>
      <c r="O443" s="8"/>
      <c r="P443" s="10">
        <v>9.0</v>
      </c>
      <c r="Q443" s="4" t="str">
        <f t="shared" si="2"/>
        <v>Remove</v>
      </c>
    </row>
    <row r="444">
      <c r="A444" s="13" t="s">
        <v>2264</v>
      </c>
      <c r="B444" s="6">
        <v>1167.0</v>
      </c>
      <c r="C444" s="6" t="b">
        <v>0</v>
      </c>
      <c r="D444" s="8" t="str">
        <f>IFERROR(__xludf.DUMMYFUNCTION("GOOGLETRANSLATE(A444,""ar"", ""en"")"),"Straw perfume")</f>
        <v>Straw perfume</v>
      </c>
      <c r="E444" s="13" t="s">
        <v>2265</v>
      </c>
      <c r="F444" s="9" t="s">
        <v>18</v>
      </c>
      <c r="G444" s="9"/>
      <c r="H444" s="8"/>
      <c r="I444" s="8"/>
      <c r="J444" s="14">
        <v>151.81</v>
      </c>
      <c r="K444" s="11" t="s">
        <v>5680</v>
      </c>
      <c r="L444" s="8"/>
      <c r="M444" s="15">
        <v>13.0</v>
      </c>
      <c r="N444" s="8"/>
      <c r="O444" s="8"/>
      <c r="P444" s="14">
        <v>11.68</v>
      </c>
      <c r="Q444" s="4" t="str">
        <f t="shared" si="2"/>
        <v>Remove</v>
      </c>
    </row>
    <row r="445">
      <c r="A445" s="13" t="s">
        <v>174</v>
      </c>
      <c r="B445" s="6">
        <v>1184.0</v>
      </c>
      <c r="C445" s="6" t="b">
        <v>0</v>
      </c>
      <c r="D445" s="8" t="str">
        <f>IFERROR(__xludf.DUMMYFUNCTION("GOOGLETRANSLATE(A445,""ar"", ""en"")"),"plastic chair")</f>
        <v>plastic chair</v>
      </c>
      <c r="E445" s="13" t="s">
        <v>2269</v>
      </c>
      <c r="F445" s="9" t="s">
        <v>27</v>
      </c>
      <c r="G445" s="9" t="s">
        <v>28</v>
      </c>
      <c r="H445" s="16" t="s">
        <v>43</v>
      </c>
      <c r="I445" s="8"/>
      <c r="J445" s="14">
        <v>122.44</v>
      </c>
      <c r="K445" s="11" t="s">
        <v>176</v>
      </c>
      <c r="L445" s="8"/>
      <c r="M445" s="15">
        <v>11.0</v>
      </c>
      <c r="N445" s="8"/>
      <c r="O445" s="8"/>
      <c r="P445" s="14">
        <v>11.13</v>
      </c>
      <c r="Q445" s="4" t="str">
        <f t="shared" si="2"/>
        <v>Remove</v>
      </c>
    </row>
    <row r="446">
      <c r="A446" s="13" t="s">
        <v>174</v>
      </c>
      <c r="B446" s="6">
        <v>1185.0</v>
      </c>
      <c r="C446" s="6" t="b">
        <v>0</v>
      </c>
      <c r="D446" s="8" t="str">
        <f>IFERROR(__xludf.DUMMYFUNCTION("GOOGLETRANSLATE(A446,""ar"", ""en"")"),"plastic chair")</f>
        <v>plastic chair</v>
      </c>
      <c r="E446" s="13" t="s">
        <v>2270</v>
      </c>
      <c r="F446" s="9" t="s">
        <v>27</v>
      </c>
      <c r="G446" s="9" t="s">
        <v>28</v>
      </c>
      <c r="H446" s="16" t="s">
        <v>43</v>
      </c>
      <c r="I446" s="8"/>
      <c r="J446" s="14">
        <v>749.48</v>
      </c>
      <c r="K446" s="11" t="s">
        <v>176</v>
      </c>
      <c r="L446" s="8"/>
      <c r="M446" s="15">
        <v>56.0</v>
      </c>
      <c r="N446" s="8"/>
      <c r="O446" s="8"/>
      <c r="P446" s="14">
        <v>13.38</v>
      </c>
      <c r="Q446" s="4" t="str">
        <f t="shared" si="2"/>
        <v>Remove</v>
      </c>
    </row>
    <row r="447">
      <c r="A447" s="13" t="s">
        <v>2271</v>
      </c>
      <c r="B447" s="6">
        <v>1186.0</v>
      </c>
      <c r="C447" s="6" t="b">
        <v>0</v>
      </c>
      <c r="D447" s="8" t="str">
        <f>IFERROR(__xludf.DUMMYFUNCTION("GOOGLETRANSLATE(A447,""ar"", ""en"")"),"white perfume")</f>
        <v>white perfume</v>
      </c>
      <c r="E447" s="13" t="s">
        <v>2272</v>
      </c>
      <c r="F447" s="9" t="s">
        <v>18</v>
      </c>
      <c r="G447" s="30"/>
      <c r="H447" s="8"/>
      <c r="I447" s="8"/>
      <c r="J447" s="31"/>
      <c r="K447" s="11" t="s">
        <v>5681</v>
      </c>
      <c r="L447" s="8"/>
      <c r="M447" s="15">
        <v>6.0</v>
      </c>
      <c r="N447" s="8"/>
      <c r="O447" s="8"/>
      <c r="P447" s="31"/>
      <c r="Q447" s="4" t="str">
        <f t="shared" si="2"/>
        <v>Remove</v>
      </c>
    </row>
    <row r="448">
      <c r="A448" s="13" t="s">
        <v>2273</v>
      </c>
      <c r="B448" s="6">
        <v>1188.0</v>
      </c>
      <c r="C448" s="6" t="b">
        <v>0</v>
      </c>
      <c r="D448" s="8" t="str">
        <f>IFERROR(__xludf.DUMMYFUNCTION("GOOGLETRANSLATE(A448,""ar"", ""en"")"),"Two-seat plastic set")</f>
        <v>Two-seat plastic set</v>
      </c>
      <c r="E448" s="13" t="s">
        <v>2274</v>
      </c>
      <c r="F448" s="9" t="s">
        <v>28</v>
      </c>
      <c r="G448" s="9" t="s">
        <v>28</v>
      </c>
      <c r="H448" s="16" t="s">
        <v>43</v>
      </c>
      <c r="I448" s="8"/>
      <c r="J448" s="14">
        <v>2985.52</v>
      </c>
      <c r="K448" s="11" t="s">
        <v>5682</v>
      </c>
      <c r="L448" s="8"/>
      <c r="M448" s="15">
        <v>47.0</v>
      </c>
      <c r="N448" s="8"/>
      <c r="O448" s="8"/>
      <c r="P448" s="14">
        <v>63.52</v>
      </c>
      <c r="Q448" s="4" t="str">
        <f t="shared" si="2"/>
        <v>Remove</v>
      </c>
    </row>
    <row r="449">
      <c r="A449" s="5" t="s">
        <v>2275</v>
      </c>
      <c r="B449" s="6">
        <v>1189.0</v>
      </c>
      <c r="C449" s="6" t="b">
        <v>0</v>
      </c>
      <c r="D449" s="8" t="str">
        <f>IFERROR(__xludf.DUMMYFUNCTION("GOOGLETRANSLATE(A449,""ar"", ""en"")"),"2-SEAT CHAIR")</f>
        <v>2-SEAT CHAIR</v>
      </c>
      <c r="E449" s="5" t="s">
        <v>2276</v>
      </c>
      <c r="F449" s="9" t="s">
        <v>28</v>
      </c>
      <c r="G449" s="9" t="s">
        <v>28</v>
      </c>
      <c r="H449" s="8"/>
      <c r="I449" s="8"/>
      <c r="J449" s="10">
        <v>1446.8</v>
      </c>
      <c r="K449" s="11" t="s">
        <v>5683</v>
      </c>
      <c r="L449" s="8"/>
      <c r="M449" s="12">
        <v>20.0</v>
      </c>
      <c r="N449" s="8"/>
      <c r="O449" s="8"/>
      <c r="P449" s="10">
        <v>72.34</v>
      </c>
      <c r="Q449" s="4" t="str">
        <f t="shared" si="2"/>
        <v>Remove</v>
      </c>
    </row>
    <row r="450">
      <c r="A450" s="13" t="s">
        <v>2277</v>
      </c>
      <c r="B450" s="6">
        <v>1190.0</v>
      </c>
      <c r="C450" s="6" t="b">
        <v>0</v>
      </c>
      <c r="D450" s="8" t="str">
        <f>IFERROR(__xludf.DUMMYFUNCTION("GOOGLETRANSLATE(A450,""ar"", ""en"")"),"RECT TABLE")</f>
        <v>RECT TABLE</v>
      </c>
      <c r="E450" s="13" t="s">
        <v>2278</v>
      </c>
      <c r="F450" s="9" t="s">
        <v>28</v>
      </c>
      <c r="G450" s="9" t="s">
        <v>28</v>
      </c>
      <c r="H450" s="8"/>
      <c r="I450" s="8"/>
      <c r="J450" s="14">
        <v>499.03</v>
      </c>
      <c r="K450" s="11" t="s">
        <v>5684</v>
      </c>
      <c r="L450" s="8"/>
      <c r="M450" s="15">
        <v>19.0</v>
      </c>
      <c r="N450" s="8"/>
      <c r="O450" s="8"/>
      <c r="P450" s="14">
        <v>26.26</v>
      </c>
      <c r="Q450" s="4" t="str">
        <f t="shared" si="2"/>
        <v>Remove</v>
      </c>
    </row>
    <row r="451">
      <c r="A451" s="5" t="s">
        <v>2279</v>
      </c>
      <c r="B451" s="6">
        <v>1191.0</v>
      </c>
      <c r="C451" s="6" t="b">
        <v>0</v>
      </c>
      <c r="D451" s="8" t="str">
        <f>IFERROR(__xludf.DUMMYFUNCTION("GOOGLETRANSLATE(A451,""ar"", ""en"")"),"SMALL - 2-seat plastic set")</f>
        <v>SMALL - 2-seat plastic set</v>
      </c>
      <c r="E451" s="5" t="s">
        <v>2280</v>
      </c>
      <c r="F451" s="9" t="s">
        <v>28</v>
      </c>
      <c r="G451" s="9" t="s">
        <v>28</v>
      </c>
      <c r="H451" s="16" t="s">
        <v>43</v>
      </c>
      <c r="I451" s="8"/>
      <c r="J451" s="10">
        <v>1355.13</v>
      </c>
      <c r="K451" s="11" t="s">
        <v>5685</v>
      </c>
      <c r="L451" s="8"/>
      <c r="M451" s="12">
        <v>12.0</v>
      </c>
      <c r="N451" s="8"/>
      <c r="O451" s="8"/>
      <c r="P451" s="10">
        <v>112.93</v>
      </c>
      <c r="Q451" s="4" t="str">
        <f t="shared" si="2"/>
        <v>Remove</v>
      </c>
    </row>
    <row r="452">
      <c r="A452" s="13" t="s">
        <v>2281</v>
      </c>
      <c r="B452" s="6">
        <v>1198.0</v>
      </c>
      <c r="C452" s="6" t="b">
        <v>0</v>
      </c>
      <c r="D452" s="8" t="str">
        <f>IFERROR(__xludf.DUMMYFUNCTION("GOOGLETRANSLATE(A452,""ar"", ""en"")"),"RATTAN TABLE 80*80 cm")</f>
        <v>RATTAN TABLE 80*80 cm</v>
      </c>
      <c r="E452" s="13" t="s">
        <v>2282</v>
      </c>
      <c r="F452" s="9" t="s">
        <v>27</v>
      </c>
      <c r="G452" s="9" t="s">
        <v>28</v>
      </c>
      <c r="H452" s="16" t="s">
        <v>98</v>
      </c>
      <c r="I452" s="8"/>
      <c r="J452" s="14">
        <v>172.24</v>
      </c>
      <c r="K452" s="11" t="s">
        <v>5686</v>
      </c>
      <c r="L452" s="8"/>
      <c r="M452" s="15">
        <v>7.0</v>
      </c>
      <c r="N452" s="8"/>
      <c r="O452" s="8"/>
      <c r="P452" s="14">
        <v>24.6</v>
      </c>
      <c r="Q452" s="4" t="str">
        <f t="shared" si="2"/>
        <v>Remove</v>
      </c>
    </row>
    <row r="453">
      <c r="A453" s="5" t="s">
        <v>1637</v>
      </c>
      <c r="B453" s="6">
        <v>1212.0</v>
      </c>
      <c r="C453" s="6" t="b">
        <v>0</v>
      </c>
      <c r="D453" s="8" t="str">
        <f>IFERROR(__xludf.DUMMYFUNCTION("GOOGLETRANSLATE(A453,""ar"", ""en"")"),"CHAIR")</f>
        <v>CHAIR</v>
      </c>
      <c r="E453" s="5" t="s">
        <v>2283</v>
      </c>
      <c r="F453" s="30"/>
      <c r="G453" s="30"/>
      <c r="H453" s="8"/>
      <c r="I453" s="8"/>
      <c r="J453" s="10">
        <v>701.92</v>
      </c>
      <c r="K453" s="11" t="s">
        <v>1639</v>
      </c>
      <c r="L453" s="8"/>
      <c r="M453" s="12">
        <v>29.0</v>
      </c>
      <c r="N453" s="8"/>
      <c r="O453" s="8"/>
      <c r="P453" s="10">
        <v>24.2</v>
      </c>
      <c r="Q453" s="4" t="str">
        <f t="shared" si="2"/>
        <v>Remove</v>
      </c>
    </row>
    <row r="454">
      <c r="A454" s="13" t="s">
        <v>1637</v>
      </c>
      <c r="B454" s="6">
        <v>1213.0</v>
      </c>
      <c r="C454" s="6" t="b">
        <v>0</v>
      </c>
      <c r="D454" s="8" t="str">
        <f>IFERROR(__xludf.DUMMYFUNCTION("GOOGLETRANSLATE(A454,""ar"", ""en"")"),"CHAIR")</f>
        <v>CHAIR</v>
      </c>
      <c r="E454" s="13" t="s">
        <v>2284</v>
      </c>
      <c r="F454" s="30"/>
      <c r="G454" s="30"/>
      <c r="H454" s="8"/>
      <c r="I454" s="8"/>
      <c r="J454" s="14">
        <v>170.62</v>
      </c>
      <c r="K454" s="11" t="s">
        <v>1639</v>
      </c>
      <c r="L454" s="8"/>
      <c r="M454" s="15">
        <v>10.0</v>
      </c>
      <c r="N454" s="8"/>
      <c r="O454" s="8"/>
      <c r="P454" s="14">
        <v>17.06</v>
      </c>
      <c r="Q454" s="4" t="str">
        <f t="shared" si="2"/>
        <v>Remove</v>
      </c>
    </row>
    <row r="455">
      <c r="A455" s="5" t="s">
        <v>527</v>
      </c>
      <c r="B455" s="6">
        <v>1214.0</v>
      </c>
      <c r="C455" s="6" t="b">
        <v>0</v>
      </c>
      <c r="D455" s="8" t="str">
        <f>IFERROR(__xludf.DUMMYFUNCTION("GOOGLETRANSLATE(A455,""ar"", ""en"")"),"solid chair")</f>
        <v>solid chair</v>
      </c>
      <c r="E455" s="5" t="s">
        <v>2285</v>
      </c>
      <c r="F455" s="9" t="s">
        <v>28</v>
      </c>
      <c r="G455" s="9"/>
      <c r="H455" s="16" t="s">
        <v>519</v>
      </c>
      <c r="I455" s="8"/>
      <c r="J455" s="10">
        <v>404.46</v>
      </c>
      <c r="K455" s="11" t="s">
        <v>529</v>
      </c>
      <c r="L455" s="8"/>
      <c r="M455" s="12">
        <v>6.0</v>
      </c>
      <c r="N455" s="8"/>
      <c r="O455" s="8"/>
      <c r="P455" s="10">
        <v>67.41</v>
      </c>
      <c r="Q455" s="4" t="str">
        <f t="shared" si="2"/>
        <v>Remove</v>
      </c>
    </row>
    <row r="456">
      <c r="A456" s="5" t="s">
        <v>527</v>
      </c>
      <c r="B456" s="6">
        <v>1215.0</v>
      </c>
      <c r="C456" s="6" t="b">
        <v>0</v>
      </c>
      <c r="D456" s="8" t="str">
        <f>IFERROR(__xludf.DUMMYFUNCTION("GOOGLETRANSLATE(A456,""ar"", ""en"")"),"solid chair")</f>
        <v>solid chair</v>
      </c>
      <c r="E456" s="5" t="s">
        <v>2286</v>
      </c>
      <c r="F456" s="9" t="s">
        <v>28</v>
      </c>
      <c r="G456" s="9"/>
      <c r="H456" s="16" t="s">
        <v>519</v>
      </c>
      <c r="I456" s="8"/>
      <c r="J456" s="10">
        <v>113.22</v>
      </c>
      <c r="K456" s="11" t="s">
        <v>529</v>
      </c>
      <c r="L456" s="8"/>
      <c r="M456" s="12">
        <v>7.0</v>
      </c>
      <c r="N456" s="8"/>
      <c r="O456" s="8"/>
      <c r="P456" s="10">
        <v>16.17</v>
      </c>
      <c r="Q456" s="4" t="str">
        <f t="shared" si="2"/>
        <v>Remove</v>
      </c>
    </row>
    <row r="457">
      <c r="A457" s="5" t="s">
        <v>527</v>
      </c>
      <c r="B457" s="6">
        <v>1216.0</v>
      </c>
      <c r="C457" s="6" t="b">
        <v>0</v>
      </c>
      <c r="D457" s="8" t="str">
        <f>IFERROR(__xludf.DUMMYFUNCTION("GOOGLETRANSLATE(A457,""ar"", ""en"")"),"solid chair")</f>
        <v>solid chair</v>
      </c>
      <c r="E457" s="5" t="s">
        <v>2287</v>
      </c>
      <c r="F457" s="9" t="s">
        <v>28</v>
      </c>
      <c r="G457" s="9"/>
      <c r="H457" s="16" t="s">
        <v>519</v>
      </c>
      <c r="I457" s="8"/>
      <c r="J457" s="10">
        <v>5063.15</v>
      </c>
      <c r="K457" s="11" t="s">
        <v>529</v>
      </c>
      <c r="L457" s="8"/>
      <c r="M457" s="12">
        <v>206.0</v>
      </c>
      <c r="N457" s="8"/>
      <c r="O457" s="8"/>
      <c r="P457" s="10">
        <v>24.58</v>
      </c>
      <c r="Q457" s="4" t="str">
        <f t="shared" si="2"/>
        <v>Remove</v>
      </c>
    </row>
    <row r="458">
      <c r="A458" s="13" t="s">
        <v>2288</v>
      </c>
      <c r="B458" s="6">
        <v>1217.0</v>
      </c>
      <c r="C458" s="6" t="b">
        <v>0</v>
      </c>
      <c r="D458" s="8" t="str">
        <f>IFERROR(__xludf.DUMMYFUNCTION("GOOGLETRANSLATE(A458,""ar"", ""en"")"),"Resin chair from a set")</f>
        <v>Resin chair from a set</v>
      </c>
      <c r="E458" s="13" t="s">
        <v>2289</v>
      </c>
      <c r="F458" s="9" t="s">
        <v>28</v>
      </c>
      <c r="G458" s="9"/>
      <c r="H458" s="16" t="s">
        <v>519</v>
      </c>
      <c r="I458" s="8"/>
      <c r="J458" s="31"/>
      <c r="K458" s="11" t="s">
        <v>5687</v>
      </c>
      <c r="L458" s="8"/>
      <c r="M458" s="15">
        <v>-2.0</v>
      </c>
      <c r="N458" s="8"/>
      <c r="O458" s="8"/>
      <c r="P458" s="31"/>
      <c r="Q458" s="4" t="str">
        <f t="shared" si="2"/>
        <v>Remove</v>
      </c>
    </row>
    <row r="459">
      <c r="A459" s="5" t="s">
        <v>2290</v>
      </c>
      <c r="B459" s="6">
        <v>1218.0</v>
      </c>
      <c r="C459" s="6" t="b">
        <v>0</v>
      </c>
      <c r="D459" s="8" t="str">
        <f>IFERROR(__xludf.DUMMYFUNCTION("GOOGLETRANSLATE(A459,""ar"", ""en"")"),"RATTAN CHAIR")</f>
        <v>RATTAN CHAIR</v>
      </c>
      <c r="E459" s="5" t="s">
        <v>2291</v>
      </c>
      <c r="F459" s="9" t="s">
        <v>28</v>
      </c>
      <c r="G459" s="9"/>
      <c r="H459" s="16" t="s">
        <v>519</v>
      </c>
      <c r="I459" s="8"/>
      <c r="J459" s="10">
        <v>433.85</v>
      </c>
      <c r="K459" s="11" t="s">
        <v>5688</v>
      </c>
      <c r="L459" s="8"/>
      <c r="M459" s="12">
        <v>21.0</v>
      </c>
      <c r="N459" s="8"/>
      <c r="O459" s="8"/>
      <c r="P459" s="10">
        <v>20.66</v>
      </c>
      <c r="Q459" s="4" t="str">
        <f t="shared" si="2"/>
        <v>Remove</v>
      </c>
    </row>
    <row r="460">
      <c r="A460" s="13" t="s">
        <v>2292</v>
      </c>
      <c r="B460" s="6">
        <v>1219.0</v>
      </c>
      <c r="C460" s="6" t="b">
        <v>0</v>
      </c>
      <c r="D460" s="8" t="str">
        <f>IFERROR(__xludf.DUMMYFUNCTION("GOOGLETRANSLATE(A460,""ar"", ""en"")"),"DINNING TABLE 80*130")</f>
        <v>DINNING TABLE 80*130</v>
      </c>
      <c r="E460" s="13" t="s">
        <v>2293</v>
      </c>
      <c r="F460" s="9" t="s">
        <v>28</v>
      </c>
      <c r="G460" s="9"/>
      <c r="H460" s="16" t="s">
        <v>1217</v>
      </c>
      <c r="I460" s="8"/>
      <c r="J460" s="14">
        <v>762.86</v>
      </c>
      <c r="K460" s="11" t="s">
        <v>5689</v>
      </c>
      <c r="L460" s="8"/>
      <c r="M460" s="15">
        <v>20.0</v>
      </c>
      <c r="N460" s="8"/>
      <c r="O460" s="8"/>
      <c r="P460" s="14">
        <v>38.14</v>
      </c>
      <c r="Q460" s="4" t="str">
        <f t="shared" si="2"/>
        <v>Remove</v>
      </c>
    </row>
    <row r="461">
      <c r="A461" s="5" t="s">
        <v>2294</v>
      </c>
      <c r="B461" s="6">
        <v>1220.0</v>
      </c>
      <c r="C461" s="6" t="b">
        <v>0</v>
      </c>
      <c r="D461" s="8" t="str">
        <f>IFERROR(__xludf.DUMMYFUNCTION("GOOGLETRANSLATE(A461,""ar"", ""en"")"),"DINNING TABLE 80*80")</f>
        <v>DINNING TABLE 80*80</v>
      </c>
      <c r="E461" s="5" t="s">
        <v>2295</v>
      </c>
      <c r="F461" s="9" t="s">
        <v>28</v>
      </c>
      <c r="G461" s="9"/>
      <c r="H461" s="16" t="s">
        <v>1217</v>
      </c>
      <c r="I461" s="8"/>
      <c r="J461" s="10">
        <v>553.52</v>
      </c>
      <c r="K461" s="11" t="s">
        <v>5690</v>
      </c>
      <c r="L461" s="8"/>
      <c r="M461" s="12">
        <v>16.0</v>
      </c>
      <c r="N461" s="8"/>
      <c r="O461" s="8"/>
      <c r="P461" s="10">
        <v>34.6</v>
      </c>
      <c r="Q461" s="4" t="str">
        <f t="shared" si="2"/>
        <v>Remove</v>
      </c>
    </row>
    <row r="462">
      <c r="A462" s="5" t="s">
        <v>2296</v>
      </c>
      <c r="B462" s="6">
        <v>1222.0</v>
      </c>
      <c r="C462" s="6" t="b">
        <v>0</v>
      </c>
      <c r="D462" s="8" t="str">
        <f>IFERROR(__xludf.DUMMYFUNCTION("GOOGLETRANSLATE(A462,""ar"", ""en"")"),"Resin table top 130*80")</f>
        <v>Resin table top 130*80</v>
      </c>
      <c r="E462" s="5" t="s">
        <v>2297</v>
      </c>
      <c r="F462" s="9" t="s">
        <v>28</v>
      </c>
      <c r="G462" s="9"/>
      <c r="H462" s="16" t="s">
        <v>98</v>
      </c>
      <c r="I462" s="8"/>
      <c r="J462" s="10">
        <v>822.18</v>
      </c>
      <c r="K462" s="11" t="s">
        <v>5691</v>
      </c>
      <c r="L462" s="8"/>
      <c r="M462" s="12">
        <v>29.0</v>
      </c>
      <c r="N462" s="8"/>
      <c r="O462" s="8"/>
      <c r="P462" s="10">
        <v>28.35</v>
      </c>
      <c r="Q462" s="4" t="str">
        <f t="shared" si="2"/>
        <v>Remove</v>
      </c>
    </row>
    <row r="463">
      <c r="A463" s="13" t="s">
        <v>527</v>
      </c>
      <c r="B463" s="6">
        <v>1223.0</v>
      </c>
      <c r="C463" s="6" t="b">
        <v>0</v>
      </c>
      <c r="D463" s="8" t="str">
        <f>IFERROR(__xludf.DUMMYFUNCTION("GOOGLETRANSLATE(A463,""ar"", ""en"")"),"solid chair")</f>
        <v>solid chair</v>
      </c>
      <c r="E463" s="13" t="s">
        <v>2298</v>
      </c>
      <c r="F463" s="9" t="s">
        <v>28</v>
      </c>
      <c r="G463" s="9"/>
      <c r="H463" s="16" t="s">
        <v>519</v>
      </c>
      <c r="I463" s="8"/>
      <c r="J463" s="14">
        <v>0.0</v>
      </c>
      <c r="K463" s="11" t="s">
        <v>529</v>
      </c>
      <c r="L463" s="8"/>
      <c r="M463" s="15">
        <v>32.0</v>
      </c>
      <c r="N463" s="8"/>
      <c r="O463" s="8"/>
      <c r="P463" s="14">
        <v>0.0</v>
      </c>
      <c r="Q463" s="4" t="str">
        <f t="shared" si="2"/>
        <v>Remove</v>
      </c>
    </row>
    <row r="464">
      <c r="A464" s="5" t="s">
        <v>2299</v>
      </c>
      <c r="B464" s="6">
        <v>1224.0</v>
      </c>
      <c r="C464" s="6" t="b">
        <v>0</v>
      </c>
      <c r="D464" s="8" t="str">
        <f>IFERROR(__xludf.DUMMYFUNCTION("GOOGLETRANSLATE(A464,""ar"", ""en"")"),"Bamboo table 85")</f>
        <v>Bamboo table 85</v>
      </c>
      <c r="E464" s="5" t="s">
        <v>2300</v>
      </c>
      <c r="F464" s="9" t="s">
        <v>28</v>
      </c>
      <c r="G464" s="9"/>
      <c r="H464" s="16" t="s">
        <v>519</v>
      </c>
      <c r="I464" s="8"/>
      <c r="J464" s="10">
        <v>888.16</v>
      </c>
      <c r="K464" s="11" t="s">
        <v>5692</v>
      </c>
      <c r="L464" s="8"/>
      <c r="M464" s="12">
        <v>14.0</v>
      </c>
      <c r="N464" s="8"/>
      <c r="O464" s="8"/>
      <c r="P464" s="10">
        <v>63.44</v>
      </c>
      <c r="Q464" s="4" t="str">
        <f t="shared" si="2"/>
        <v>Remove</v>
      </c>
    </row>
    <row r="465">
      <c r="A465" s="13" t="s">
        <v>2301</v>
      </c>
      <c r="B465" s="6">
        <v>1225.0</v>
      </c>
      <c r="C465" s="6" t="b">
        <v>0</v>
      </c>
      <c r="D465" s="8" t="str">
        <f>IFERROR(__xludf.DUMMYFUNCTION("GOOGLETRANSLATE(A465,""ar"", ""en"")"),"Astor rattan chair")</f>
        <v>Astor rattan chair</v>
      </c>
      <c r="E465" s="32" t="s">
        <v>2302</v>
      </c>
      <c r="F465" s="9" t="s">
        <v>28</v>
      </c>
      <c r="G465" s="9"/>
      <c r="H465" s="16" t="s">
        <v>519</v>
      </c>
      <c r="I465" s="8"/>
      <c r="J465" s="14">
        <v>237.21</v>
      </c>
      <c r="K465" s="11" t="s">
        <v>5693</v>
      </c>
      <c r="L465" s="8"/>
      <c r="M465" s="15">
        <v>9.0</v>
      </c>
      <c r="N465" s="8"/>
      <c r="O465" s="8"/>
      <c r="P465" s="14">
        <v>26.36</v>
      </c>
      <c r="Q465" s="4" t="str">
        <f t="shared" si="2"/>
        <v>Remove</v>
      </c>
    </row>
    <row r="466">
      <c r="A466" s="13" t="s">
        <v>2303</v>
      </c>
      <c r="B466" s="6">
        <v>1226.0</v>
      </c>
      <c r="C466" s="6" t="b">
        <v>0</v>
      </c>
      <c r="D466" s="8" t="str">
        <f>IFERROR(__xludf.DUMMYFUNCTION("GOOGLETRANSLATE(A466,""ar"", ""en"")"),"Nago rattan rocking chair")</f>
        <v>Nago rattan rocking chair</v>
      </c>
      <c r="E466" s="13" t="s">
        <v>2304</v>
      </c>
      <c r="F466" s="9" t="s">
        <v>28</v>
      </c>
      <c r="G466" s="9"/>
      <c r="H466" s="16" t="s">
        <v>519</v>
      </c>
      <c r="I466" s="8"/>
      <c r="J466" s="14">
        <v>1236.35</v>
      </c>
      <c r="K466" s="11" t="s">
        <v>5694</v>
      </c>
      <c r="L466" s="8"/>
      <c r="M466" s="15">
        <v>16.0</v>
      </c>
      <c r="N466" s="8"/>
      <c r="O466" s="8"/>
      <c r="P466" s="14">
        <v>77.27</v>
      </c>
      <c r="Q466" s="4" t="str">
        <f t="shared" si="2"/>
        <v>Remove</v>
      </c>
    </row>
    <row r="467">
      <c r="A467" s="13" t="s">
        <v>2305</v>
      </c>
      <c r="B467" s="6">
        <v>1228.0</v>
      </c>
      <c r="C467" s="6" t="b">
        <v>0</v>
      </c>
      <c r="D467" s="8" t="str">
        <f>IFERROR(__xludf.DUMMYFUNCTION("GOOGLETRANSLATE(A467,""ar"", ""en"")"),"3-seat swing")</f>
        <v>3-seat swing</v>
      </c>
      <c r="E467" s="13" t="s">
        <v>2306</v>
      </c>
      <c r="F467" s="9" t="s">
        <v>28</v>
      </c>
      <c r="G467" s="9"/>
      <c r="H467" s="8"/>
      <c r="I467" s="8"/>
      <c r="J467" s="14">
        <v>526.33</v>
      </c>
      <c r="K467" s="11" t="s">
        <v>5695</v>
      </c>
      <c r="L467" s="8"/>
      <c r="M467" s="15">
        <v>7.0</v>
      </c>
      <c r="N467" s="8"/>
      <c r="O467" s="8"/>
      <c r="P467" s="14">
        <v>75.19</v>
      </c>
      <c r="Q467" s="4" t="str">
        <f t="shared" si="2"/>
        <v>Remove</v>
      </c>
    </row>
    <row r="468">
      <c r="A468" s="13" t="s">
        <v>2307</v>
      </c>
      <c r="B468" s="6">
        <v>1230.0</v>
      </c>
      <c r="C468" s="6" t="b">
        <v>0</v>
      </c>
      <c r="D468" s="8" t="str">
        <f>IFERROR(__xludf.DUMMYFUNCTION("GOOGLETRANSLATE(A468,""ar"", ""en"")"),"3-seat wooden swing")</f>
        <v>3-seat wooden swing</v>
      </c>
      <c r="E468" s="13" t="s">
        <v>2308</v>
      </c>
      <c r="F468" s="9" t="s">
        <v>28</v>
      </c>
      <c r="G468" s="9"/>
      <c r="H468" s="8"/>
      <c r="I468" s="8"/>
      <c r="J468" s="14">
        <v>1302.97</v>
      </c>
      <c r="K468" s="11" t="s">
        <v>5696</v>
      </c>
      <c r="L468" s="8"/>
      <c r="M468" s="15">
        <v>11.0</v>
      </c>
      <c r="N468" s="8"/>
      <c r="O468" s="8"/>
      <c r="P468" s="14">
        <v>118.45</v>
      </c>
      <c r="Q468" s="4" t="str">
        <f t="shared" si="2"/>
        <v>Remove</v>
      </c>
    </row>
    <row r="469">
      <c r="A469" s="5" t="s">
        <v>204</v>
      </c>
      <c r="B469" s="6">
        <v>1231.0</v>
      </c>
      <c r="C469" s="6" t="b">
        <v>0</v>
      </c>
      <c r="D469" s="8" t="str">
        <f>IFERROR(__xludf.DUMMYFUNCTION("GOOGLETRANSLATE(A469,""ar"", ""en"")"),"Two-seat wooden swing")</f>
        <v>Two-seat wooden swing</v>
      </c>
      <c r="E469" s="5" t="s">
        <v>2309</v>
      </c>
      <c r="F469" s="9" t="s">
        <v>28</v>
      </c>
      <c r="G469" s="9"/>
      <c r="H469" s="8"/>
      <c r="I469" s="8"/>
      <c r="J469" s="10">
        <v>2767.04</v>
      </c>
      <c r="K469" s="11" t="s">
        <v>206</v>
      </c>
      <c r="L469" s="8"/>
      <c r="M469" s="12">
        <v>24.0</v>
      </c>
      <c r="N469" s="8"/>
      <c r="O469" s="8"/>
      <c r="P469" s="10">
        <v>115.29</v>
      </c>
      <c r="Q469" s="4" t="str">
        <f t="shared" si="2"/>
        <v>Remove</v>
      </c>
    </row>
    <row r="470">
      <c r="A470" s="5" t="s">
        <v>2310</v>
      </c>
      <c r="B470" s="6">
        <v>1232.0</v>
      </c>
      <c r="C470" s="6" t="b">
        <v>0</v>
      </c>
      <c r="D470" s="8" t="str">
        <f>IFERROR(__xludf.DUMMYFUNCTION("GOOGLETRANSLATE(A470,""ar"", ""en"")"),"SAMPLE Resin hanging basket")</f>
        <v>SAMPLE Resin hanging basket</v>
      </c>
      <c r="E470" s="112" t="s">
        <v>2311</v>
      </c>
      <c r="F470" s="30"/>
      <c r="G470" s="30"/>
      <c r="H470" s="8"/>
      <c r="I470" s="8"/>
      <c r="J470" s="29"/>
      <c r="K470" s="11" t="s">
        <v>5697</v>
      </c>
      <c r="L470" s="8"/>
      <c r="M470" s="12">
        <v>1.0</v>
      </c>
      <c r="N470" s="8"/>
      <c r="O470" s="8"/>
      <c r="P470" s="29"/>
      <c r="Q470" s="4" t="str">
        <f t="shared" si="2"/>
        <v>Remove</v>
      </c>
    </row>
    <row r="471">
      <c r="A471" s="5" t="s">
        <v>2312</v>
      </c>
      <c r="B471" s="6">
        <v>1233.0</v>
      </c>
      <c r="C471" s="6" t="b">
        <v>0</v>
      </c>
      <c r="D471" s="8" t="str">
        <f>IFERROR(__xludf.DUMMYFUNCTION("GOOGLETRANSLATE(A471,""ar"", ""en"")"),"Iron set 1+4 chairs")</f>
        <v>Iron set 1+4 chairs</v>
      </c>
      <c r="E471" s="5" t="s">
        <v>2313</v>
      </c>
      <c r="F471" s="9" t="s">
        <v>28</v>
      </c>
      <c r="G471" s="9"/>
      <c r="H471" s="8"/>
      <c r="I471" s="8"/>
      <c r="J471" s="10">
        <v>3158.49</v>
      </c>
      <c r="K471" s="11" t="s">
        <v>5698</v>
      </c>
      <c r="L471" s="8"/>
      <c r="M471" s="12">
        <v>55.0</v>
      </c>
      <c r="N471" s="8"/>
      <c r="O471" s="8"/>
      <c r="P471" s="10">
        <v>57.43</v>
      </c>
      <c r="Q471" s="4" t="str">
        <f t="shared" si="2"/>
        <v>Remove</v>
      </c>
    </row>
    <row r="472">
      <c r="A472" s="5" t="s">
        <v>1655</v>
      </c>
      <c r="B472" s="6">
        <v>1246.0</v>
      </c>
      <c r="C472" s="6" t="b">
        <v>0</v>
      </c>
      <c r="D472" s="8" t="str">
        <f>IFERROR(__xludf.DUMMYFUNCTION("GOOGLETRANSLATE(A472,""ar"", ""en"")"),"Plastic and iron two-seat set")</f>
        <v>Plastic and iron two-seat set</v>
      </c>
      <c r="E472" s="5" t="s">
        <v>2316</v>
      </c>
      <c r="F472" s="9" t="s">
        <v>28</v>
      </c>
      <c r="G472" s="9"/>
      <c r="H472" s="8"/>
      <c r="I472" s="8"/>
      <c r="J472" s="29"/>
      <c r="K472" s="11" t="s">
        <v>1657</v>
      </c>
      <c r="L472" s="8"/>
      <c r="M472" s="12">
        <v>35.0</v>
      </c>
      <c r="N472" s="8"/>
      <c r="O472" s="8"/>
      <c r="P472" s="29"/>
      <c r="Q472" s="4" t="str">
        <f t="shared" si="2"/>
        <v>Remove</v>
      </c>
    </row>
    <row r="473">
      <c r="A473" s="13" t="s">
        <v>2317</v>
      </c>
      <c r="B473" s="6">
        <v>1247.0</v>
      </c>
      <c r="C473" s="6" t="b">
        <v>0</v>
      </c>
      <c r="D473" s="8" t="str">
        <f>IFERROR(__xludf.DUMMYFUNCTION("GOOGLETRANSLATE(A473,""ar"", ""en"")"),"SPARE PARTS")</f>
        <v>SPARE PARTS</v>
      </c>
      <c r="E473" s="13" t="s">
        <v>2317</v>
      </c>
      <c r="F473" s="30"/>
      <c r="G473" s="30"/>
      <c r="H473" s="8"/>
      <c r="I473" s="8"/>
      <c r="J473" s="14">
        <v>278.13</v>
      </c>
      <c r="K473" s="11" t="s">
        <v>5699</v>
      </c>
      <c r="L473" s="16" t="s">
        <v>123</v>
      </c>
      <c r="M473" s="15">
        <v>10.0</v>
      </c>
      <c r="N473" s="8"/>
      <c r="O473" s="8"/>
      <c r="P473" s="14">
        <v>27.81</v>
      </c>
      <c r="Q473" s="4" t="str">
        <f t="shared" si="2"/>
        <v>Remove</v>
      </c>
    </row>
    <row r="474">
      <c r="A474" s="13" t="s">
        <v>2318</v>
      </c>
      <c r="B474" s="6">
        <v>1248.0</v>
      </c>
      <c r="C474" s="6" t="b">
        <v>0</v>
      </c>
      <c r="D474" s="8" t="str">
        <f>IFERROR(__xludf.DUMMYFUNCTION("GOOGLETRANSLATE(A474,""ar"", ""en"")"),"Dining table 90*150 cm")</f>
        <v>Dining table 90*150 cm</v>
      </c>
      <c r="E474" s="13" t="s">
        <v>2319</v>
      </c>
      <c r="F474" s="9" t="s">
        <v>18</v>
      </c>
      <c r="G474" s="9"/>
      <c r="H474" s="16" t="s">
        <v>1217</v>
      </c>
      <c r="I474" s="8"/>
      <c r="J474" s="14">
        <v>506.03</v>
      </c>
      <c r="K474" s="11" t="s">
        <v>5700</v>
      </c>
      <c r="L474" s="8"/>
      <c r="M474" s="15">
        <v>8.0</v>
      </c>
      <c r="N474" s="8"/>
      <c r="O474" s="8"/>
      <c r="P474" s="14">
        <v>63.25</v>
      </c>
      <c r="Q474" s="4" t="str">
        <f t="shared" si="2"/>
        <v>Remove</v>
      </c>
    </row>
    <row r="475">
      <c r="A475" s="5" t="s">
        <v>2320</v>
      </c>
      <c r="B475" s="6">
        <v>1249.0</v>
      </c>
      <c r="C475" s="6" t="b">
        <v>0</v>
      </c>
      <c r="D475" s="8" t="str">
        <f>IFERROR(__xludf.DUMMYFUNCTION("GOOGLETRANSLATE(A475,""ar"", ""en"")"),"100*200 cm rectangular table")</f>
        <v>100*200 cm rectangular table</v>
      </c>
      <c r="E475" s="5" t="s">
        <v>2321</v>
      </c>
      <c r="F475" s="9" t="s">
        <v>18</v>
      </c>
      <c r="G475" s="9"/>
      <c r="H475" s="16" t="s">
        <v>1217</v>
      </c>
      <c r="I475" s="8"/>
      <c r="J475" s="10">
        <v>571.66</v>
      </c>
      <c r="K475" s="11" t="s">
        <v>5701</v>
      </c>
      <c r="L475" s="8"/>
      <c r="M475" s="12">
        <v>7.0</v>
      </c>
      <c r="N475" s="8"/>
      <c r="O475" s="8"/>
      <c r="P475" s="10">
        <v>81.67</v>
      </c>
      <c r="Q475" s="4" t="str">
        <f t="shared" si="2"/>
        <v>Remove</v>
      </c>
    </row>
    <row r="476">
      <c r="A476" s="13" t="s">
        <v>2322</v>
      </c>
      <c r="B476" s="6">
        <v>1250.0</v>
      </c>
      <c r="C476" s="6" t="b">
        <v>0</v>
      </c>
      <c r="D476" s="8" t="str">
        <f>IFERROR(__xludf.DUMMYFUNCTION("GOOGLETRANSLATE(A476,""ar"", ""en"")"),"240 cm table")</f>
        <v>240 cm table</v>
      </c>
      <c r="E476" s="13" t="s">
        <v>2323</v>
      </c>
      <c r="F476" s="9" t="s">
        <v>18</v>
      </c>
      <c r="G476" s="9"/>
      <c r="H476" s="16" t="s">
        <v>1217</v>
      </c>
      <c r="I476" s="8"/>
      <c r="J476" s="14">
        <v>2860.18</v>
      </c>
      <c r="K476" s="11" t="s">
        <v>5702</v>
      </c>
      <c r="L476" s="8"/>
      <c r="M476" s="15">
        <v>21.0</v>
      </c>
      <c r="N476" s="8"/>
      <c r="O476" s="8"/>
      <c r="P476" s="14">
        <v>136.2</v>
      </c>
      <c r="Q476" s="4" t="str">
        <f t="shared" si="2"/>
        <v>Remove</v>
      </c>
    </row>
    <row r="477">
      <c r="A477" s="13" t="s">
        <v>2324</v>
      </c>
      <c r="B477" s="6">
        <v>1251.0</v>
      </c>
      <c r="C477" s="6" t="b">
        <v>0</v>
      </c>
      <c r="D477" s="8" t="str">
        <f>IFERROR(__xludf.DUMMYFUNCTION("GOOGLETRANSLATE(A477,""ar"", ""en"")"),"Table 120*160 cm")</f>
        <v>Table 120*160 cm</v>
      </c>
      <c r="E477" s="13" t="s">
        <v>2325</v>
      </c>
      <c r="F477" s="9" t="s">
        <v>18</v>
      </c>
      <c r="G477" s="9"/>
      <c r="H477" s="16" t="s">
        <v>1217</v>
      </c>
      <c r="I477" s="8"/>
      <c r="J477" s="14">
        <v>839.44</v>
      </c>
      <c r="K477" s="11" t="s">
        <v>5703</v>
      </c>
      <c r="L477" s="8"/>
      <c r="M477" s="15">
        <v>9.0</v>
      </c>
      <c r="N477" s="8"/>
      <c r="O477" s="8"/>
      <c r="P477" s="14">
        <v>93.27</v>
      </c>
      <c r="Q477" s="4" t="str">
        <f t="shared" si="2"/>
        <v>Remove</v>
      </c>
    </row>
    <row r="478">
      <c r="A478" s="5" t="s">
        <v>2326</v>
      </c>
      <c r="B478" s="6">
        <v>1252.0</v>
      </c>
      <c r="C478" s="6" t="b">
        <v>0</v>
      </c>
      <c r="D478" s="8" t="str">
        <f>IFERROR(__xludf.DUMMYFUNCTION("GOOGLETRANSLATE(A478,""ar"", ""en"")"),"120*75 cm Konic table")</f>
        <v>120*75 cm Konic table</v>
      </c>
      <c r="E478" s="5" t="s">
        <v>2327</v>
      </c>
      <c r="F478" s="9" t="s">
        <v>18</v>
      </c>
      <c r="G478" s="9"/>
      <c r="H478" s="16" t="s">
        <v>1217</v>
      </c>
      <c r="I478" s="8"/>
      <c r="J478" s="10">
        <v>612.9</v>
      </c>
      <c r="K478" s="11" t="s">
        <v>5704</v>
      </c>
      <c r="L478" s="8"/>
      <c r="M478" s="12">
        <v>18.0</v>
      </c>
      <c r="N478" s="8"/>
      <c r="O478" s="8"/>
      <c r="P478" s="10">
        <v>34.05</v>
      </c>
      <c r="Q478" s="4" t="str">
        <f t="shared" si="2"/>
        <v>Remove</v>
      </c>
    </row>
    <row r="479">
      <c r="A479" s="13" t="s">
        <v>2328</v>
      </c>
      <c r="B479" s="6">
        <v>1253.0</v>
      </c>
      <c r="C479" s="6" t="b">
        <v>0</v>
      </c>
      <c r="D479" s="8" t="str">
        <f>IFERROR(__xludf.DUMMYFUNCTION("GOOGLETRANSLATE(A479,""ar"", ""en"")"),"Dining table 120 cm / part of a set")</f>
        <v>Dining table 120 cm / part of a set</v>
      </c>
      <c r="E479" s="13" t="s">
        <v>2329</v>
      </c>
      <c r="F479" s="9" t="s">
        <v>18</v>
      </c>
      <c r="G479" s="9"/>
      <c r="H479" s="16" t="s">
        <v>1217</v>
      </c>
      <c r="I479" s="8"/>
      <c r="J479" s="31"/>
      <c r="K479" s="11" t="s">
        <v>5705</v>
      </c>
      <c r="L479" s="8"/>
      <c r="M479" s="15">
        <v>87.0</v>
      </c>
      <c r="N479" s="8"/>
      <c r="O479" s="8"/>
      <c r="P479" s="31"/>
      <c r="Q479" s="4" t="str">
        <f t="shared" si="2"/>
        <v>Remove</v>
      </c>
    </row>
    <row r="480">
      <c r="A480" s="5" t="s">
        <v>2330</v>
      </c>
      <c r="B480" s="6">
        <v>1254.0</v>
      </c>
      <c r="C480" s="6" t="b">
        <v>0</v>
      </c>
      <c r="D480" s="8" t="str">
        <f>IFERROR(__xludf.DUMMYFUNCTION("GOOGLETRANSLATE(A480,""ar"", ""en"")"),"Dining table 150*90 cm fixed with two watermelons")</f>
        <v>Dining table 150*90 cm fixed with two watermelons</v>
      </c>
      <c r="E480" s="5" t="s">
        <v>2331</v>
      </c>
      <c r="F480" s="9" t="s">
        <v>18</v>
      </c>
      <c r="G480" s="9"/>
      <c r="H480" s="16" t="s">
        <v>1217</v>
      </c>
      <c r="I480" s="8"/>
      <c r="J480" s="10">
        <v>1718.95</v>
      </c>
      <c r="K480" s="11" t="s">
        <v>5706</v>
      </c>
      <c r="L480" s="8"/>
      <c r="M480" s="12">
        <v>26.0</v>
      </c>
      <c r="N480" s="8"/>
      <c r="O480" s="8"/>
      <c r="P480" s="10">
        <v>66.11</v>
      </c>
      <c r="Q480" s="4" t="str">
        <f t="shared" si="2"/>
        <v>Remove</v>
      </c>
    </row>
    <row r="481">
      <c r="A481" s="5" t="s">
        <v>2332</v>
      </c>
      <c r="B481" s="6">
        <v>1255.0</v>
      </c>
      <c r="C481" s="6" t="b">
        <v>0</v>
      </c>
      <c r="D481" s="8" t="str">
        <f>IFERROR(__xludf.DUMMYFUNCTION("GOOGLETRANSLATE(A481,""ar"", ""en"")"),"Dining table 160*100 cm with two watermelons")</f>
        <v>Dining table 160*100 cm with two watermelons</v>
      </c>
      <c r="E481" s="5" t="s">
        <v>2333</v>
      </c>
      <c r="F481" s="9" t="s">
        <v>18</v>
      </c>
      <c r="G481" s="9"/>
      <c r="H481" s="16" t="s">
        <v>1217</v>
      </c>
      <c r="I481" s="8"/>
      <c r="J481" s="10">
        <v>5881.81</v>
      </c>
      <c r="K481" s="11" t="s">
        <v>5707</v>
      </c>
      <c r="L481" s="8"/>
      <c r="M481" s="12">
        <v>43.0</v>
      </c>
      <c r="N481" s="8"/>
      <c r="O481" s="8"/>
      <c r="P481" s="10">
        <v>136.79</v>
      </c>
      <c r="Q481" s="4" t="str">
        <f t="shared" si="2"/>
        <v>Remove</v>
      </c>
    </row>
    <row r="482">
      <c r="A482" s="5" t="s">
        <v>2334</v>
      </c>
      <c r="B482" s="6">
        <v>1257.0</v>
      </c>
      <c r="C482" s="6" t="b">
        <v>0</v>
      </c>
      <c r="D482" s="8" t="str">
        <f>IFERROR(__xludf.DUMMYFUNCTION("GOOGLETRANSLATE(A482,""ar"", ""en"")"),"165 cm table with two watermelons")</f>
        <v>165 cm table with two watermelons</v>
      </c>
      <c r="E482" s="5" t="s">
        <v>2335</v>
      </c>
      <c r="F482" s="9" t="s">
        <v>18</v>
      </c>
      <c r="G482" s="9"/>
      <c r="H482" s="16" t="s">
        <v>1217</v>
      </c>
      <c r="I482" s="8"/>
      <c r="J482" s="10">
        <v>3207.17</v>
      </c>
      <c r="K482" s="11" t="s">
        <v>5708</v>
      </c>
      <c r="L482" s="8"/>
      <c r="M482" s="12">
        <v>43.0</v>
      </c>
      <c r="N482" s="8"/>
      <c r="O482" s="8"/>
      <c r="P482" s="10">
        <v>74.59</v>
      </c>
      <c r="Q482" s="4" t="str">
        <f t="shared" si="2"/>
        <v>Remove</v>
      </c>
    </row>
    <row r="483">
      <c r="A483" s="5" t="s">
        <v>2336</v>
      </c>
      <c r="B483" s="6">
        <v>1258.0</v>
      </c>
      <c r="C483" s="6" t="b">
        <v>0</v>
      </c>
      <c r="D483" s="8" t="str">
        <f>IFERROR(__xludf.DUMMYFUNCTION("GOOGLETRANSLATE(A483,""ar"", ""en"")"),"120 cm table")</f>
        <v>120 cm table</v>
      </c>
      <c r="E483" s="5" t="s">
        <v>2337</v>
      </c>
      <c r="F483" s="9" t="s">
        <v>18</v>
      </c>
      <c r="G483" s="9"/>
      <c r="H483" s="16" t="s">
        <v>1217</v>
      </c>
      <c r="I483" s="8"/>
      <c r="J483" s="10">
        <v>410.17</v>
      </c>
      <c r="K483" s="11" t="s">
        <v>5709</v>
      </c>
      <c r="L483" s="8"/>
      <c r="M483" s="12">
        <v>11.0</v>
      </c>
      <c r="N483" s="8"/>
      <c r="O483" s="8"/>
      <c r="P483" s="10">
        <v>37.29</v>
      </c>
      <c r="Q483" s="4" t="str">
        <f t="shared" si="2"/>
        <v>Remove</v>
      </c>
    </row>
    <row r="484">
      <c r="A484" s="5" t="s">
        <v>2338</v>
      </c>
      <c r="B484" s="6">
        <v>1269.0</v>
      </c>
      <c r="C484" s="6" t="b">
        <v>0</v>
      </c>
      <c r="D484" s="8" t="str">
        <f>IFERROR(__xludf.DUMMYFUNCTION("GOOGLETRANSLATE(A484,""ar"", ""en"")"),"Brown LCD table")</f>
        <v>Brown LCD table</v>
      </c>
      <c r="E484" s="5" t="s">
        <v>2339</v>
      </c>
      <c r="F484" s="9" t="s">
        <v>18</v>
      </c>
      <c r="G484" s="9"/>
      <c r="H484" s="8"/>
      <c r="I484" s="8"/>
      <c r="J484" s="10">
        <v>1005.0</v>
      </c>
      <c r="K484" s="11" t="s">
        <v>5710</v>
      </c>
      <c r="L484" s="8"/>
      <c r="M484" s="12">
        <v>15.0</v>
      </c>
      <c r="N484" s="8"/>
      <c r="O484" s="8"/>
      <c r="P484" s="10">
        <v>67.0</v>
      </c>
      <c r="Q484" s="4" t="str">
        <f t="shared" si="2"/>
        <v>Remove</v>
      </c>
    </row>
    <row r="485">
      <c r="A485" s="13" t="s">
        <v>2338</v>
      </c>
      <c r="B485" s="6">
        <v>1270.0</v>
      </c>
      <c r="C485" s="6" t="b">
        <v>0</v>
      </c>
      <c r="D485" s="8" t="str">
        <f>IFERROR(__xludf.DUMMYFUNCTION("GOOGLETRANSLATE(A485,""ar"", ""en"")"),"Brown LCD table")</f>
        <v>Brown LCD table</v>
      </c>
      <c r="E485" s="13" t="s">
        <v>2340</v>
      </c>
      <c r="F485" s="9" t="s">
        <v>18</v>
      </c>
      <c r="G485" s="9"/>
      <c r="H485" s="8"/>
      <c r="I485" s="8"/>
      <c r="J485" s="14">
        <v>832.0</v>
      </c>
      <c r="K485" s="11" t="s">
        <v>5710</v>
      </c>
      <c r="L485" s="8"/>
      <c r="M485" s="15">
        <v>13.0</v>
      </c>
      <c r="N485" s="8"/>
      <c r="O485" s="8"/>
      <c r="P485" s="14">
        <v>64.0</v>
      </c>
      <c r="Q485" s="4" t="str">
        <f t="shared" si="2"/>
        <v>Remove</v>
      </c>
    </row>
    <row r="486">
      <c r="A486" s="5" t="s">
        <v>2338</v>
      </c>
      <c r="B486" s="6">
        <v>1271.0</v>
      </c>
      <c r="C486" s="6" t="b">
        <v>0</v>
      </c>
      <c r="D486" s="8" t="str">
        <f>IFERROR(__xludf.DUMMYFUNCTION("GOOGLETRANSLATE(A486,""ar"", ""en"")"),"Brown LCD table")</f>
        <v>Brown LCD table</v>
      </c>
      <c r="E486" s="5" t="s">
        <v>2341</v>
      </c>
      <c r="F486" s="9" t="s">
        <v>18</v>
      </c>
      <c r="G486" s="9"/>
      <c r="H486" s="8"/>
      <c r="I486" s="8"/>
      <c r="J486" s="10">
        <v>630.0</v>
      </c>
      <c r="K486" s="11" t="s">
        <v>5710</v>
      </c>
      <c r="L486" s="8"/>
      <c r="M486" s="12">
        <v>9.0</v>
      </c>
      <c r="N486" s="8"/>
      <c r="O486" s="8"/>
      <c r="P486" s="10">
        <v>70.0</v>
      </c>
      <c r="Q486" s="4" t="str">
        <f t="shared" si="2"/>
        <v>Remove</v>
      </c>
    </row>
    <row r="487">
      <c r="A487" s="5" t="s">
        <v>2342</v>
      </c>
      <c r="B487" s="6">
        <v>1272.0</v>
      </c>
      <c r="C487" s="6" t="b">
        <v>0</v>
      </c>
      <c r="D487" s="8" t="str">
        <f>IFERROR(__xludf.DUMMYFUNCTION("GOOGLETRANSLATE(A487,""ar"", ""en"")"),"Brown without stand LCD table")</f>
        <v>Brown without stand LCD table</v>
      </c>
      <c r="E487" s="5" t="s">
        <v>2343</v>
      </c>
      <c r="F487" s="9" t="s">
        <v>18</v>
      </c>
      <c r="G487" s="9"/>
      <c r="H487" s="8"/>
      <c r="I487" s="8"/>
      <c r="J487" s="10">
        <v>1725.0</v>
      </c>
      <c r="K487" s="11" t="s">
        <v>5711</v>
      </c>
      <c r="L487" s="8"/>
      <c r="M487" s="12">
        <v>23.0</v>
      </c>
      <c r="N487" s="8"/>
      <c r="O487" s="8"/>
      <c r="P487" s="10">
        <v>75.0</v>
      </c>
      <c r="Q487" s="4" t="str">
        <f t="shared" si="2"/>
        <v>Remove</v>
      </c>
    </row>
    <row r="488">
      <c r="A488" s="13" t="s">
        <v>2344</v>
      </c>
      <c r="B488" s="6">
        <v>1273.0</v>
      </c>
      <c r="C488" s="6" t="b">
        <v>0</v>
      </c>
      <c r="D488" s="8" t="str">
        <f>IFERROR(__xludf.DUMMYFUNCTION("GOOGLETRANSLATE(A488,""ar"", ""en"")"),"Brown with LCD stand table")</f>
        <v>Brown with LCD stand table</v>
      </c>
      <c r="E488" s="13" t="s">
        <v>2345</v>
      </c>
      <c r="F488" s="9" t="s">
        <v>18</v>
      </c>
      <c r="G488" s="9"/>
      <c r="H488" s="8"/>
      <c r="I488" s="8"/>
      <c r="J488" s="14">
        <v>1328.0</v>
      </c>
      <c r="K488" s="11" t="s">
        <v>5712</v>
      </c>
      <c r="L488" s="8"/>
      <c r="M488" s="15">
        <v>16.0</v>
      </c>
      <c r="N488" s="8"/>
      <c r="O488" s="8"/>
      <c r="P488" s="14">
        <v>83.0</v>
      </c>
      <c r="Q488" s="4" t="str">
        <f t="shared" si="2"/>
        <v>Remove</v>
      </c>
    </row>
    <row r="489">
      <c r="A489" s="5" t="s">
        <v>2338</v>
      </c>
      <c r="B489" s="6">
        <v>1274.0</v>
      </c>
      <c r="C489" s="6" t="b">
        <v>0</v>
      </c>
      <c r="D489" s="8" t="str">
        <f>IFERROR(__xludf.DUMMYFUNCTION("GOOGLETRANSLATE(A489,""ar"", ""en"")"),"Brown LCD table")</f>
        <v>Brown LCD table</v>
      </c>
      <c r="E489" s="5" t="s">
        <v>2346</v>
      </c>
      <c r="F489" s="9" t="s">
        <v>18</v>
      </c>
      <c r="G489" s="9"/>
      <c r="H489" s="8"/>
      <c r="I489" s="8"/>
      <c r="J489" s="10">
        <v>1376.0</v>
      </c>
      <c r="K489" s="11" t="s">
        <v>5710</v>
      </c>
      <c r="L489" s="8"/>
      <c r="M489" s="12">
        <v>16.0</v>
      </c>
      <c r="N489" s="8"/>
      <c r="O489" s="8"/>
      <c r="P489" s="10">
        <v>86.0</v>
      </c>
      <c r="Q489" s="4" t="str">
        <f t="shared" si="2"/>
        <v>Remove</v>
      </c>
    </row>
    <row r="490">
      <c r="A490" s="5" t="s">
        <v>2338</v>
      </c>
      <c r="B490" s="6">
        <v>1275.0</v>
      </c>
      <c r="C490" s="6" t="b">
        <v>0</v>
      </c>
      <c r="D490" s="8" t="str">
        <f>IFERROR(__xludf.DUMMYFUNCTION("GOOGLETRANSLATE(A490,""ar"", ""en"")"),"Brown LCD table")</f>
        <v>Brown LCD table</v>
      </c>
      <c r="E490" s="5" t="s">
        <v>2347</v>
      </c>
      <c r="F490" s="9" t="s">
        <v>18</v>
      </c>
      <c r="G490" s="9"/>
      <c r="H490" s="8"/>
      <c r="I490" s="8"/>
      <c r="J490" s="10">
        <v>876.0</v>
      </c>
      <c r="K490" s="11" t="s">
        <v>5710</v>
      </c>
      <c r="L490" s="8"/>
      <c r="M490" s="12">
        <v>12.0</v>
      </c>
      <c r="N490" s="8"/>
      <c r="O490" s="8"/>
      <c r="P490" s="10">
        <v>73.0</v>
      </c>
      <c r="Q490" s="4" t="str">
        <f t="shared" si="2"/>
        <v>Remove</v>
      </c>
    </row>
    <row r="491">
      <c r="A491" s="13" t="s">
        <v>2338</v>
      </c>
      <c r="B491" s="6">
        <v>1276.0</v>
      </c>
      <c r="C491" s="6" t="b">
        <v>0</v>
      </c>
      <c r="D491" s="8" t="str">
        <f>IFERROR(__xludf.DUMMYFUNCTION("GOOGLETRANSLATE(A491,""ar"", ""en"")"),"Brown LCD table")</f>
        <v>Brown LCD table</v>
      </c>
      <c r="E491" s="13" t="s">
        <v>2348</v>
      </c>
      <c r="F491" s="9" t="s">
        <v>18</v>
      </c>
      <c r="G491" s="9"/>
      <c r="H491" s="8"/>
      <c r="I491" s="8"/>
      <c r="J491" s="14">
        <v>980.0</v>
      </c>
      <c r="K491" s="11" t="s">
        <v>5710</v>
      </c>
      <c r="L491" s="8"/>
      <c r="M491" s="15">
        <v>14.0</v>
      </c>
      <c r="N491" s="8"/>
      <c r="O491" s="8"/>
      <c r="P491" s="14">
        <v>70.0</v>
      </c>
      <c r="Q491" s="4" t="str">
        <f t="shared" si="2"/>
        <v>Remove</v>
      </c>
    </row>
    <row r="492">
      <c r="A492" s="5" t="s">
        <v>2338</v>
      </c>
      <c r="B492" s="6">
        <v>1277.0</v>
      </c>
      <c r="C492" s="6" t="b">
        <v>0</v>
      </c>
      <c r="D492" s="8" t="str">
        <f>IFERROR(__xludf.DUMMYFUNCTION("GOOGLETRANSLATE(A492,""ar"", ""en"")"),"Brown LCD table")</f>
        <v>Brown LCD table</v>
      </c>
      <c r="E492" s="5" t="s">
        <v>2349</v>
      </c>
      <c r="F492" s="9" t="s">
        <v>18</v>
      </c>
      <c r="G492" s="9"/>
      <c r="H492" s="8"/>
      <c r="I492" s="8"/>
      <c r="J492" s="10">
        <v>1368.0</v>
      </c>
      <c r="K492" s="11" t="s">
        <v>5710</v>
      </c>
      <c r="L492" s="8"/>
      <c r="M492" s="12">
        <v>18.0</v>
      </c>
      <c r="N492" s="8"/>
      <c r="O492" s="8"/>
      <c r="P492" s="10">
        <v>76.0</v>
      </c>
      <c r="Q492" s="4" t="str">
        <f t="shared" si="2"/>
        <v>Remove</v>
      </c>
    </row>
    <row r="493">
      <c r="A493" s="5" t="s">
        <v>2350</v>
      </c>
      <c r="B493" s="6">
        <v>1278.0</v>
      </c>
      <c r="C493" s="6" t="b">
        <v>0</v>
      </c>
      <c r="D493" s="8" t="str">
        <f>IFERROR(__xludf.DUMMYFUNCTION("GOOGLETRANSLATE(A493,""ar"", ""en"")"),"Watermelon table 90*195 cm")</f>
        <v>Watermelon table 90*195 cm</v>
      </c>
      <c r="E493" s="5" t="s">
        <v>2351</v>
      </c>
      <c r="F493" s="9" t="s">
        <v>18</v>
      </c>
      <c r="G493" s="9"/>
      <c r="H493" s="8"/>
      <c r="I493" s="8"/>
      <c r="J493" s="10">
        <v>704.63</v>
      </c>
      <c r="K493" s="11" t="s">
        <v>5713</v>
      </c>
      <c r="L493" s="8"/>
      <c r="M493" s="12">
        <v>10.0</v>
      </c>
      <c r="N493" s="8"/>
      <c r="O493" s="8"/>
      <c r="P493" s="10">
        <v>70.46</v>
      </c>
      <c r="Q493" s="4" t="str">
        <f t="shared" si="2"/>
        <v>Remove</v>
      </c>
    </row>
    <row r="494">
      <c r="A494" s="13" t="s">
        <v>2352</v>
      </c>
      <c r="B494" s="6">
        <v>1279.0</v>
      </c>
      <c r="C494" s="6" t="b">
        <v>0</v>
      </c>
      <c r="D494" s="8" t="str">
        <f>IFERROR(__xludf.DUMMYFUNCTION("GOOGLETRANSLATE(A494,""ar"", ""en"")"),"Colist table 105*150")</f>
        <v>Colist table 105*150</v>
      </c>
      <c r="E494" s="13" t="s">
        <v>2353</v>
      </c>
      <c r="F494" s="9" t="s">
        <v>18</v>
      </c>
      <c r="G494" s="9"/>
      <c r="H494" s="8"/>
      <c r="I494" s="8"/>
      <c r="J494" s="14">
        <v>457.24</v>
      </c>
      <c r="K494" s="11" t="s">
        <v>5714</v>
      </c>
      <c r="L494" s="8"/>
      <c r="M494" s="15">
        <v>6.0</v>
      </c>
      <c r="N494" s="8"/>
      <c r="O494" s="8"/>
      <c r="P494" s="14">
        <v>76.21</v>
      </c>
      <c r="Q494" s="4" t="str">
        <f t="shared" si="2"/>
        <v>Remove</v>
      </c>
    </row>
    <row r="495">
      <c r="A495" s="13" t="s">
        <v>2354</v>
      </c>
      <c r="B495" s="6">
        <v>1280.0</v>
      </c>
      <c r="C495" s="6" t="b">
        <v>0</v>
      </c>
      <c r="D495" s="8" t="str">
        <f>IFERROR(__xludf.DUMMYFUNCTION("GOOGLETRANSLATE(A495,""ar"", ""en"")"),"3-legged font base")</f>
        <v>3-legged font base</v>
      </c>
      <c r="E495" s="13" t="s">
        <v>2355</v>
      </c>
      <c r="F495" s="9" t="s">
        <v>27</v>
      </c>
      <c r="G495" s="9" t="s">
        <v>28</v>
      </c>
      <c r="H495" s="16" t="s">
        <v>186</v>
      </c>
      <c r="I495" s="8"/>
      <c r="J495" s="14">
        <v>15.14</v>
      </c>
      <c r="K495" s="11" t="s">
        <v>5715</v>
      </c>
      <c r="L495" s="8"/>
      <c r="M495" s="15">
        <v>1.0</v>
      </c>
      <c r="N495" s="8"/>
      <c r="O495" s="8"/>
      <c r="P495" s="14">
        <v>15.14</v>
      </c>
      <c r="Q495" s="4" t="str">
        <f t="shared" si="2"/>
        <v>Remove</v>
      </c>
    </row>
    <row r="496">
      <c r="A496" s="5" t="s">
        <v>2356</v>
      </c>
      <c r="B496" s="6">
        <v>1281.0</v>
      </c>
      <c r="C496" s="6" t="b">
        <v>0</v>
      </c>
      <c r="D496" s="8" t="str">
        <f>IFERROR(__xludf.DUMMYFUNCTION("GOOGLETRANSLATE(A496,""ar"", ""en"")"),"CAST IRON BASE-SQUARE")</f>
        <v>CAST IRON BASE-SQUARE</v>
      </c>
      <c r="E496" s="5" t="s">
        <v>2357</v>
      </c>
      <c r="F496" s="9" t="s">
        <v>27</v>
      </c>
      <c r="G496" s="9" t="s">
        <v>28</v>
      </c>
      <c r="H496" s="16" t="s">
        <v>186</v>
      </c>
      <c r="I496" s="8"/>
      <c r="J496" s="10">
        <v>1091.71</v>
      </c>
      <c r="K496" s="11" t="s">
        <v>5716</v>
      </c>
      <c r="L496" s="8"/>
      <c r="M496" s="12">
        <v>47.0</v>
      </c>
      <c r="N496" s="8"/>
      <c r="O496" s="8"/>
      <c r="P496" s="10">
        <v>23.23</v>
      </c>
      <c r="Q496" s="4" t="str">
        <f t="shared" si="2"/>
        <v>Remove</v>
      </c>
    </row>
    <row r="497">
      <c r="A497" s="13" t="s">
        <v>2358</v>
      </c>
      <c r="B497" s="6">
        <v>1283.0</v>
      </c>
      <c r="C497" s="6" t="b">
        <v>0</v>
      </c>
      <c r="D497" s="8" t="str">
        <f>IFERROR(__xludf.DUMMYFUNCTION("GOOGLETRANSLATE(A497,""ar"", ""en"")"),"CAST IRON BASE/X")</f>
        <v>CAST IRON BASE/X</v>
      </c>
      <c r="E497" s="13" t="s">
        <v>2359</v>
      </c>
      <c r="F497" s="9" t="s">
        <v>27</v>
      </c>
      <c r="G497" s="9" t="s">
        <v>28</v>
      </c>
      <c r="H497" s="16" t="s">
        <v>186</v>
      </c>
      <c r="I497" s="8"/>
      <c r="J497" s="14">
        <v>30.28</v>
      </c>
      <c r="K497" s="11" t="s">
        <v>5717</v>
      </c>
      <c r="L497" s="8"/>
      <c r="M497" s="15">
        <v>2.0</v>
      </c>
      <c r="N497" s="8"/>
      <c r="O497" s="8"/>
      <c r="P497" s="14">
        <v>15.14</v>
      </c>
      <c r="Q497" s="4" t="str">
        <f t="shared" si="2"/>
        <v>Remove</v>
      </c>
    </row>
    <row r="498">
      <c r="A498" s="5" t="s">
        <v>2360</v>
      </c>
      <c r="B498" s="6">
        <v>1284.0</v>
      </c>
      <c r="C498" s="6" t="b">
        <v>0</v>
      </c>
      <c r="D498" s="8" t="str">
        <f>IFERROR(__xludf.DUMMYFUNCTION("GOOGLETRANSLATE(A498,""ar"", ""en"")"),"Table base tube")</f>
        <v>Table base tube</v>
      </c>
      <c r="E498" s="5" t="s">
        <v>2361</v>
      </c>
      <c r="F498" s="9" t="s">
        <v>27</v>
      </c>
      <c r="G498" s="9" t="s">
        <v>28</v>
      </c>
      <c r="H498" s="16" t="s">
        <v>186</v>
      </c>
      <c r="I498" s="8"/>
      <c r="J498" s="10">
        <v>105.6</v>
      </c>
      <c r="K498" s="11" t="s">
        <v>5718</v>
      </c>
      <c r="L498" s="8"/>
      <c r="M498" s="12">
        <v>20.0</v>
      </c>
      <c r="N498" s="8"/>
      <c r="O498" s="8"/>
      <c r="P498" s="10">
        <v>5.28</v>
      </c>
      <c r="Q498" s="4" t="str">
        <f t="shared" si="2"/>
        <v>Remove</v>
      </c>
    </row>
    <row r="499">
      <c r="A499" s="13" t="s">
        <v>2362</v>
      </c>
      <c r="B499" s="6">
        <v>1285.0</v>
      </c>
      <c r="C499" s="6" t="b">
        <v>0</v>
      </c>
      <c r="D499" s="8" t="str">
        <f>IFERROR(__xludf.DUMMYFUNCTION("GOOGLETRANSLATE(A499,""ar"", ""en"")"),"CAST IRON BASE/X BIG")</f>
        <v>CAST IRON BASE/X BIG</v>
      </c>
      <c r="E499" s="13" t="s">
        <v>2363</v>
      </c>
      <c r="F499" s="9" t="s">
        <v>27</v>
      </c>
      <c r="G499" s="9" t="s">
        <v>28</v>
      </c>
      <c r="H499" s="16" t="s">
        <v>186</v>
      </c>
      <c r="I499" s="8"/>
      <c r="J499" s="14">
        <v>48.91</v>
      </c>
      <c r="K499" s="11" t="s">
        <v>5719</v>
      </c>
      <c r="L499" s="8"/>
      <c r="M499" s="15">
        <v>3.0</v>
      </c>
      <c r="N499" s="8"/>
      <c r="O499" s="8"/>
      <c r="P499" s="14">
        <v>16.3</v>
      </c>
      <c r="Q499" s="4" t="str">
        <f t="shared" si="2"/>
        <v>Remove</v>
      </c>
    </row>
    <row r="500">
      <c r="A500" s="5" t="s">
        <v>1658</v>
      </c>
      <c r="B500" s="6">
        <v>1286.0</v>
      </c>
      <c r="C500" s="6" t="b">
        <v>0</v>
      </c>
      <c r="D500" s="8" t="str">
        <f>IFERROR(__xludf.DUMMYFUNCTION("GOOGLETRANSLATE(A500,""ar"", ""en"")"),"Table base double")</f>
        <v>Table base double</v>
      </c>
      <c r="E500" s="5" t="s">
        <v>2364</v>
      </c>
      <c r="F500" s="9" t="s">
        <v>27</v>
      </c>
      <c r="G500" s="9" t="s">
        <v>28</v>
      </c>
      <c r="H500" s="16" t="s">
        <v>186</v>
      </c>
      <c r="I500" s="8"/>
      <c r="J500" s="10">
        <v>1144.62</v>
      </c>
      <c r="K500" s="11" t="s">
        <v>1660</v>
      </c>
      <c r="L500" s="8"/>
      <c r="M500" s="12">
        <v>42.0</v>
      </c>
      <c r="N500" s="8"/>
      <c r="O500" s="8"/>
      <c r="P500" s="10">
        <v>27.25</v>
      </c>
      <c r="Q500" s="4" t="str">
        <f t="shared" si="2"/>
        <v>Remove</v>
      </c>
    </row>
    <row r="501">
      <c r="A501" s="13" t="s">
        <v>2365</v>
      </c>
      <c r="B501" s="6">
        <v>1287.0</v>
      </c>
      <c r="C501" s="6" t="b">
        <v>0</v>
      </c>
      <c r="D501" s="8" t="str">
        <f>IFERROR(__xludf.DUMMYFUNCTION("GOOGLETRANSLATE(A501,""ar"", ""en"")"),"CAST IRON BASE/SLM X")</f>
        <v>CAST IRON BASE/SLM X</v>
      </c>
      <c r="E501" s="13" t="s">
        <v>2366</v>
      </c>
      <c r="F501" s="9" t="s">
        <v>27</v>
      </c>
      <c r="G501" s="9" t="s">
        <v>28</v>
      </c>
      <c r="H501" s="16" t="s">
        <v>186</v>
      </c>
      <c r="I501" s="8"/>
      <c r="J501" s="14">
        <v>113.83</v>
      </c>
      <c r="K501" s="11" t="s">
        <v>5720</v>
      </c>
      <c r="L501" s="8"/>
      <c r="M501" s="15">
        <v>7.0</v>
      </c>
      <c r="N501" s="8"/>
      <c r="O501" s="8"/>
      <c r="P501" s="14">
        <v>16.26</v>
      </c>
      <c r="Q501" s="4" t="str">
        <f t="shared" si="2"/>
        <v>Remove</v>
      </c>
    </row>
    <row r="502">
      <c r="A502" s="13" t="s">
        <v>2365</v>
      </c>
      <c r="B502" s="6">
        <v>1288.0</v>
      </c>
      <c r="C502" s="6" t="b">
        <v>0</v>
      </c>
      <c r="D502" s="8" t="str">
        <f>IFERROR(__xludf.DUMMYFUNCTION("GOOGLETRANSLATE(A502,""ar"", ""en"")"),"CAST IRON BASE/SLM X")</f>
        <v>CAST IRON BASE/SLM X</v>
      </c>
      <c r="E502" s="13" t="s">
        <v>2367</v>
      </c>
      <c r="F502" s="9" t="s">
        <v>27</v>
      </c>
      <c r="G502" s="9" t="s">
        <v>28</v>
      </c>
      <c r="H502" s="16" t="s">
        <v>186</v>
      </c>
      <c r="I502" s="8"/>
      <c r="J502" s="14">
        <v>339.15</v>
      </c>
      <c r="K502" s="11" t="s">
        <v>5720</v>
      </c>
      <c r="L502" s="8"/>
      <c r="M502" s="15">
        <v>28.0</v>
      </c>
      <c r="N502" s="8"/>
      <c r="O502" s="8"/>
      <c r="P502" s="14">
        <v>12.11</v>
      </c>
      <c r="Q502" s="4" t="str">
        <f t="shared" si="2"/>
        <v>Remove</v>
      </c>
    </row>
    <row r="503">
      <c r="A503" s="13" t="s">
        <v>2368</v>
      </c>
      <c r="B503" s="6">
        <v>1290.0</v>
      </c>
      <c r="C503" s="6" t="b">
        <v>0</v>
      </c>
      <c r="D503" s="8" t="str">
        <f>IFERROR(__xludf.DUMMYFUNCTION("GOOGLETRANSLATE(A503,""ar"", ""en"")"),"Table Base")</f>
        <v>Table Base</v>
      </c>
      <c r="E503" s="13" t="s">
        <v>2369</v>
      </c>
      <c r="F503" s="9" t="s">
        <v>27</v>
      </c>
      <c r="G503" s="9" t="s">
        <v>28</v>
      </c>
      <c r="H503" s="16" t="s">
        <v>186</v>
      </c>
      <c r="I503" s="8"/>
      <c r="J503" s="14">
        <v>898.29</v>
      </c>
      <c r="K503" s="11" t="s">
        <v>5721</v>
      </c>
      <c r="L503" s="8"/>
      <c r="M503" s="15">
        <v>35.0</v>
      </c>
      <c r="N503" s="8"/>
      <c r="O503" s="8"/>
      <c r="P503" s="14">
        <v>25.67</v>
      </c>
      <c r="Q503" s="4" t="str">
        <f t="shared" si="2"/>
        <v>Remove</v>
      </c>
    </row>
    <row r="504">
      <c r="A504" s="13" t="s">
        <v>2370</v>
      </c>
      <c r="B504" s="6">
        <v>1292.0</v>
      </c>
      <c r="C504" s="6" t="b">
        <v>0</v>
      </c>
      <c r="D504" s="8" t="str">
        <f>IFERROR(__xludf.DUMMYFUNCTION("GOOGLETRANSLATE(A504,""ar"", ""en"")"),"Black square iron base")</f>
        <v>Black square iron base</v>
      </c>
      <c r="E504" s="13" t="s">
        <v>2371</v>
      </c>
      <c r="F504" s="9" t="s">
        <v>27</v>
      </c>
      <c r="G504" s="9" t="s">
        <v>18</v>
      </c>
      <c r="H504" s="16" t="s">
        <v>186</v>
      </c>
      <c r="I504" s="8"/>
      <c r="J504" s="14">
        <v>30.28</v>
      </c>
      <c r="K504" s="11" t="s">
        <v>5722</v>
      </c>
      <c r="L504" s="8"/>
      <c r="M504" s="15">
        <v>2.0</v>
      </c>
      <c r="N504" s="8"/>
      <c r="O504" s="8"/>
      <c r="P504" s="14">
        <v>15.14</v>
      </c>
      <c r="Q504" s="4" t="str">
        <f t="shared" si="2"/>
        <v>Remove</v>
      </c>
    </row>
    <row r="505">
      <c r="A505" s="5" t="s">
        <v>2372</v>
      </c>
      <c r="B505" s="6">
        <v>1309.0</v>
      </c>
      <c r="C505" s="6" t="b">
        <v>0</v>
      </c>
      <c r="D505" s="8" t="str">
        <f>IFERROR(__xludf.DUMMYFUNCTION("GOOGLETRANSLATE(A505,""ar"", ""en"")"),"Table Base / White")</f>
        <v>Table Base / White</v>
      </c>
      <c r="E505" s="5" t="s">
        <v>2373</v>
      </c>
      <c r="F505" s="9" t="s">
        <v>27</v>
      </c>
      <c r="G505" s="9" t="s">
        <v>18</v>
      </c>
      <c r="H505" s="16" t="s">
        <v>186</v>
      </c>
      <c r="I505" s="8"/>
      <c r="J505" s="10">
        <v>68.13</v>
      </c>
      <c r="K505" s="11" t="s">
        <v>5723</v>
      </c>
      <c r="L505" s="8"/>
      <c r="M505" s="12">
        <v>3.0</v>
      </c>
      <c r="N505" s="8"/>
      <c r="O505" s="8"/>
      <c r="P505" s="10">
        <v>22.71</v>
      </c>
      <c r="Q505" s="4" t="str">
        <f t="shared" si="2"/>
        <v>Remove</v>
      </c>
    </row>
    <row r="506">
      <c r="A506" s="5" t="s">
        <v>2374</v>
      </c>
      <c r="B506" s="6">
        <v>1311.0</v>
      </c>
      <c r="C506" s="6" t="b">
        <v>0</v>
      </c>
      <c r="D506" s="8" t="str">
        <f>IFERROR(__xludf.DUMMYFUNCTION("GOOGLETRANSLATE(A506,""ar"", ""en"")"),"Smooth round font base")</f>
        <v>Smooth round font base</v>
      </c>
      <c r="E506" s="5" t="s">
        <v>2375</v>
      </c>
      <c r="F506" s="9" t="s">
        <v>27</v>
      </c>
      <c r="G506" s="9" t="s">
        <v>28</v>
      </c>
      <c r="H506" s="16" t="s">
        <v>186</v>
      </c>
      <c r="I506" s="8"/>
      <c r="J506" s="10">
        <v>45.42</v>
      </c>
      <c r="K506" s="11" t="s">
        <v>5724</v>
      </c>
      <c r="L506" s="8"/>
      <c r="M506" s="12">
        <v>3.0</v>
      </c>
      <c r="N506" s="8"/>
      <c r="O506" s="8"/>
      <c r="P506" s="10">
        <v>15.14</v>
      </c>
      <c r="Q506" s="4" t="str">
        <f t="shared" si="2"/>
        <v>Remove</v>
      </c>
    </row>
    <row r="507">
      <c r="A507" s="13" t="s">
        <v>2376</v>
      </c>
      <c r="B507" s="6">
        <v>1312.0</v>
      </c>
      <c r="C507" s="6" t="b">
        <v>0</v>
      </c>
      <c r="D507" s="8" t="str">
        <f>IFERROR(__xludf.DUMMYFUNCTION("GOOGLETRANSLATE(A507,""ar"", ""en"")"),"Smooth square font base")</f>
        <v>Smooth square font base</v>
      </c>
      <c r="E507" s="13" t="s">
        <v>2377</v>
      </c>
      <c r="F507" s="9" t="s">
        <v>27</v>
      </c>
      <c r="G507" s="9" t="s">
        <v>28</v>
      </c>
      <c r="H507" s="16" t="s">
        <v>186</v>
      </c>
      <c r="I507" s="8"/>
      <c r="J507" s="14">
        <v>393.78</v>
      </c>
      <c r="K507" s="11" t="s">
        <v>1968</v>
      </c>
      <c r="L507" s="8"/>
      <c r="M507" s="15">
        <v>26.0</v>
      </c>
      <c r="N507" s="8"/>
      <c r="O507" s="8"/>
      <c r="P507" s="14">
        <v>15.15</v>
      </c>
      <c r="Q507" s="4" t="str">
        <f t="shared" si="2"/>
        <v>Remove</v>
      </c>
    </row>
    <row r="508">
      <c r="A508" s="5" t="s">
        <v>2378</v>
      </c>
      <c r="B508" s="6">
        <v>1319.0</v>
      </c>
      <c r="C508" s="6" t="b">
        <v>0</v>
      </c>
      <c r="D508" s="8" t="str">
        <f>IFERROR(__xludf.DUMMYFUNCTION("GOOGLETRANSLATE(A508,""ar"", ""en"")"),"PLASTIC TRAY")</f>
        <v>PLASTIC TRAY</v>
      </c>
      <c r="E508" s="5" t="s">
        <v>2379</v>
      </c>
      <c r="F508" s="9" t="s">
        <v>27</v>
      </c>
      <c r="G508" s="9" t="s">
        <v>28</v>
      </c>
      <c r="H508" s="8"/>
      <c r="I508" s="8"/>
      <c r="J508" s="10">
        <v>52.25</v>
      </c>
      <c r="K508" s="11" t="s">
        <v>5725</v>
      </c>
      <c r="L508" s="8"/>
      <c r="M508" s="12">
        <v>2.0</v>
      </c>
      <c r="N508" s="8"/>
      <c r="O508" s="8"/>
      <c r="P508" s="10">
        <v>26.12</v>
      </c>
      <c r="Q508" s="4" t="str">
        <f t="shared" si="2"/>
        <v>Remove</v>
      </c>
    </row>
    <row r="509">
      <c r="A509" s="13" t="s">
        <v>2378</v>
      </c>
      <c r="B509" s="6">
        <v>1320.0</v>
      </c>
      <c r="C509" s="6" t="b">
        <v>0</v>
      </c>
      <c r="D509" s="8" t="str">
        <f>IFERROR(__xludf.DUMMYFUNCTION("GOOGLETRANSLATE(A509,""ar"", ""en"")"),"PLASTIC TRAY")</f>
        <v>PLASTIC TRAY</v>
      </c>
      <c r="E509" s="13" t="s">
        <v>2380</v>
      </c>
      <c r="F509" s="9" t="s">
        <v>27</v>
      </c>
      <c r="G509" s="9" t="s">
        <v>28</v>
      </c>
      <c r="H509" s="8"/>
      <c r="I509" s="8"/>
      <c r="J509" s="14">
        <v>59.44</v>
      </c>
      <c r="K509" s="11" t="s">
        <v>5725</v>
      </c>
      <c r="L509" s="8"/>
      <c r="M509" s="15">
        <v>2.0</v>
      </c>
      <c r="N509" s="8"/>
      <c r="O509" s="8"/>
      <c r="P509" s="14">
        <v>29.72</v>
      </c>
      <c r="Q509" s="4" t="str">
        <f t="shared" si="2"/>
        <v>Remove</v>
      </c>
    </row>
    <row r="510">
      <c r="A510" s="5" t="s">
        <v>2378</v>
      </c>
      <c r="B510" s="6">
        <v>1321.0</v>
      </c>
      <c r="C510" s="6" t="b">
        <v>0</v>
      </c>
      <c r="D510" s="8" t="str">
        <f>IFERROR(__xludf.DUMMYFUNCTION("GOOGLETRANSLATE(A510,""ar"", ""en"")"),"PLASTIC TRAY")</f>
        <v>PLASTIC TRAY</v>
      </c>
      <c r="E510" s="5" t="s">
        <v>2381</v>
      </c>
      <c r="F510" s="9" t="s">
        <v>27</v>
      </c>
      <c r="G510" s="9" t="s">
        <v>28</v>
      </c>
      <c r="H510" s="8"/>
      <c r="I510" s="8"/>
      <c r="J510" s="10">
        <v>516.31</v>
      </c>
      <c r="K510" s="11" t="s">
        <v>5725</v>
      </c>
      <c r="L510" s="8"/>
      <c r="M510" s="12">
        <v>12.0</v>
      </c>
      <c r="N510" s="8"/>
      <c r="O510" s="8"/>
      <c r="P510" s="10">
        <v>43.03</v>
      </c>
      <c r="Q510" s="4" t="str">
        <f t="shared" si="2"/>
        <v>Remove</v>
      </c>
    </row>
    <row r="511">
      <c r="A511" s="13" t="s">
        <v>2378</v>
      </c>
      <c r="B511" s="6">
        <v>1322.0</v>
      </c>
      <c r="C511" s="6" t="b">
        <v>0</v>
      </c>
      <c r="D511" s="8" t="str">
        <f>IFERROR(__xludf.DUMMYFUNCTION("GOOGLETRANSLATE(A511,""ar"", ""en"")"),"PLASTIC TRAY")</f>
        <v>PLASTIC TRAY</v>
      </c>
      <c r="E511" s="13" t="s">
        <v>2382</v>
      </c>
      <c r="F511" s="9" t="s">
        <v>27</v>
      </c>
      <c r="G511" s="9" t="s">
        <v>28</v>
      </c>
      <c r="H511" s="8"/>
      <c r="I511" s="8"/>
      <c r="J511" s="14">
        <v>96.81</v>
      </c>
      <c r="K511" s="11" t="s">
        <v>5725</v>
      </c>
      <c r="L511" s="8"/>
      <c r="M511" s="15">
        <v>9.0</v>
      </c>
      <c r="N511" s="8"/>
      <c r="O511" s="8"/>
      <c r="P511" s="14">
        <v>10.76</v>
      </c>
      <c r="Q511" s="4" t="str">
        <f t="shared" si="2"/>
        <v>Remove</v>
      </c>
    </row>
    <row r="512">
      <c r="A512" s="13" t="s">
        <v>2383</v>
      </c>
      <c r="B512" s="6">
        <v>1324.0</v>
      </c>
      <c r="C512" s="6" t="b">
        <v>0</v>
      </c>
      <c r="D512" s="8" t="str">
        <f>IFERROR(__xludf.DUMMYFUNCTION("GOOGLETRANSLATE(A512,""ar"", ""en"")"),"100 cm wooden table")</f>
        <v>100 cm wooden table</v>
      </c>
      <c r="E512" s="13" t="s">
        <v>2384</v>
      </c>
      <c r="F512" s="9" t="s">
        <v>27</v>
      </c>
      <c r="G512" s="9" t="s">
        <v>18</v>
      </c>
      <c r="H512" s="16"/>
      <c r="I512" s="8"/>
      <c r="J512" s="14">
        <v>383.54</v>
      </c>
      <c r="K512" s="11" t="s">
        <v>5726</v>
      </c>
      <c r="L512" s="8"/>
      <c r="M512" s="15">
        <v>8.0</v>
      </c>
      <c r="N512" s="8"/>
      <c r="O512" s="8"/>
      <c r="P512" s="14">
        <v>47.94</v>
      </c>
      <c r="Q512" s="4" t="str">
        <f t="shared" si="2"/>
        <v>Remove</v>
      </c>
    </row>
    <row r="513">
      <c r="A513" s="5" t="s">
        <v>2385</v>
      </c>
      <c r="B513" s="6">
        <v>1325.0</v>
      </c>
      <c r="C513" s="6" t="b">
        <v>0</v>
      </c>
      <c r="D513" s="8" t="str">
        <f>IFERROR(__xludf.DUMMYFUNCTION("GOOGLETRANSLATE(A513,""ar"", ""en"")"),"250 cm iron elbow umbrella")</f>
        <v>250 cm iron elbow umbrella</v>
      </c>
      <c r="E513" s="5" t="s">
        <v>2386</v>
      </c>
      <c r="F513" s="9" t="s">
        <v>28</v>
      </c>
      <c r="G513" s="9"/>
      <c r="H513" s="16" t="s">
        <v>285</v>
      </c>
      <c r="I513" s="8"/>
      <c r="J513" s="10">
        <v>437.69</v>
      </c>
      <c r="K513" s="11" t="s">
        <v>5727</v>
      </c>
      <c r="L513" s="8"/>
      <c r="M513" s="12">
        <v>23.0</v>
      </c>
      <c r="N513" s="8"/>
      <c r="O513" s="8"/>
      <c r="P513" s="10">
        <v>19.03</v>
      </c>
      <c r="Q513" s="4" t="str">
        <f t="shared" si="2"/>
        <v>Remove</v>
      </c>
    </row>
    <row r="514">
      <c r="A514" s="13" t="s">
        <v>2387</v>
      </c>
      <c r="B514" s="6">
        <v>1326.0</v>
      </c>
      <c r="C514" s="6" t="b">
        <v>0</v>
      </c>
      <c r="D514" s="8" t="str">
        <f>IFERROR(__xludf.DUMMYFUNCTION("GOOGLETRANSLATE(A514,""ar"", ""en"")"),"KG 50 Solar Base")</f>
        <v>KG 50 Solar Base</v>
      </c>
      <c r="E514" s="32" t="s">
        <v>2388</v>
      </c>
      <c r="F514" s="9" t="s">
        <v>28</v>
      </c>
      <c r="G514" s="9"/>
      <c r="H514" s="16" t="s">
        <v>285</v>
      </c>
      <c r="I514" s="8"/>
      <c r="J514" s="14">
        <v>36.39</v>
      </c>
      <c r="K514" s="11" t="s">
        <v>5728</v>
      </c>
      <c r="L514" s="8"/>
      <c r="M514" s="15">
        <v>3.0</v>
      </c>
      <c r="N514" s="8"/>
      <c r="O514" s="8"/>
      <c r="P514" s="14">
        <v>12.13</v>
      </c>
      <c r="Q514" s="4" t="str">
        <f t="shared" si="2"/>
        <v>Remove</v>
      </c>
    </row>
    <row r="515">
      <c r="A515" s="5" t="s">
        <v>2389</v>
      </c>
      <c r="B515" s="6">
        <v>1327.0</v>
      </c>
      <c r="C515" s="6" t="b">
        <v>0</v>
      </c>
      <c r="D515" s="8" t="str">
        <f>IFERROR(__xludf.DUMMYFUNCTION("GOOGLETRANSLATE(A515,""ar"", ""en"")"),"200 cm iron parasol")</f>
        <v>200 cm iron parasol</v>
      </c>
      <c r="E515" s="5" t="s">
        <v>2390</v>
      </c>
      <c r="F515" s="9" t="s">
        <v>28</v>
      </c>
      <c r="G515" s="9"/>
      <c r="H515" s="16" t="s">
        <v>285</v>
      </c>
      <c r="I515" s="8"/>
      <c r="J515" s="10">
        <v>66.68</v>
      </c>
      <c r="K515" s="11" t="s">
        <v>5729</v>
      </c>
      <c r="L515" s="8"/>
      <c r="M515" s="12">
        <v>24.0</v>
      </c>
      <c r="N515" s="8"/>
      <c r="O515" s="8"/>
      <c r="P515" s="10">
        <v>2.78</v>
      </c>
      <c r="Q515" s="4" t="str">
        <f t="shared" si="2"/>
        <v>Remove</v>
      </c>
    </row>
    <row r="516">
      <c r="A516" s="13" t="s">
        <v>2391</v>
      </c>
      <c r="B516" s="6">
        <v>1328.0</v>
      </c>
      <c r="C516" s="6" t="b">
        <v>0</v>
      </c>
      <c r="D516" s="8" t="str">
        <f>IFERROR(__xludf.DUMMYFUNCTION("GOOGLETRANSLATE(A516,""ar"", ""en"")"),"WOODEN UMBRELLA 4*4")</f>
        <v>WOODEN UMBRELLA 4*4</v>
      </c>
      <c r="E516" s="13" t="s">
        <v>2392</v>
      </c>
      <c r="F516" s="9" t="s">
        <v>28</v>
      </c>
      <c r="G516" s="9"/>
      <c r="H516" s="16" t="s">
        <v>285</v>
      </c>
      <c r="I516" s="8"/>
      <c r="J516" s="14">
        <v>1586.75</v>
      </c>
      <c r="K516" s="11" t="s">
        <v>5730</v>
      </c>
      <c r="L516" s="8"/>
      <c r="M516" s="15">
        <v>49.0</v>
      </c>
      <c r="N516" s="8"/>
      <c r="O516" s="8"/>
      <c r="P516" s="14">
        <v>32.38</v>
      </c>
      <c r="Q516" s="4" t="str">
        <f t="shared" si="2"/>
        <v>Remove</v>
      </c>
    </row>
    <row r="517">
      <c r="A517" s="5" t="s">
        <v>2393</v>
      </c>
      <c r="B517" s="6">
        <v>1329.0</v>
      </c>
      <c r="C517" s="6" t="b">
        <v>0</v>
      </c>
      <c r="D517" s="8" t="str">
        <f>IFERROR(__xludf.DUMMYFUNCTION("GOOGLETRANSLATE(A517,""ar"", ""en"")"),"2.5*2.5 m elbow umbrella")</f>
        <v>2.5*2.5 m elbow umbrella</v>
      </c>
      <c r="E517" s="5" t="s">
        <v>2394</v>
      </c>
      <c r="F517" s="9" t="s">
        <v>28</v>
      </c>
      <c r="G517" s="9"/>
      <c r="H517" s="16" t="s">
        <v>285</v>
      </c>
      <c r="I517" s="8"/>
      <c r="J517" s="10">
        <v>329.05</v>
      </c>
      <c r="K517" s="11" t="s">
        <v>5731</v>
      </c>
      <c r="L517" s="8"/>
      <c r="M517" s="12">
        <v>12.0</v>
      </c>
      <c r="N517" s="8"/>
      <c r="O517" s="8"/>
      <c r="P517" s="10">
        <v>27.42</v>
      </c>
      <c r="Q517" s="4" t="str">
        <f t="shared" si="2"/>
        <v>Remove</v>
      </c>
    </row>
    <row r="518">
      <c r="A518" s="13" t="s">
        <v>2395</v>
      </c>
      <c r="B518" s="6">
        <v>1330.0</v>
      </c>
      <c r="C518" s="6" t="b">
        <v>0</v>
      </c>
      <c r="D518" s="8" t="str">
        <f>IFERROR(__xludf.DUMMYFUNCTION("GOOGLETRANSLATE(A518,""ar"", ""en"")"),"200cm round aluminum umbrella")</f>
        <v>200cm round aluminum umbrella</v>
      </c>
      <c r="E518" s="32" t="s">
        <v>2396</v>
      </c>
      <c r="F518" s="9" t="s">
        <v>28</v>
      </c>
      <c r="G518" s="9"/>
      <c r="H518" s="16" t="s">
        <v>285</v>
      </c>
      <c r="I518" s="8"/>
      <c r="J518" s="14">
        <v>60.33</v>
      </c>
      <c r="K518" s="11" t="s">
        <v>5732</v>
      </c>
      <c r="L518" s="8"/>
      <c r="M518" s="15">
        <v>10.0</v>
      </c>
      <c r="N518" s="8"/>
      <c r="O518" s="8"/>
      <c r="P518" s="14">
        <v>6.03</v>
      </c>
      <c r="Q518" s="4" t="str">
        <f t="shared" si="2"/>
        <v>Remove</v>
      </c>
    </row>
    <row r="519">
      <c r="A519" s="5" t="s">
        <v>2397</v>
      </c>
      <c r="B519" s="6">
        <v>1331.0</v>
      </c>
      <c r="C519" s="6" t="b">
        <v>0</v>
      </c>
      <c r="D519" s="8" t="str">
        <f>IFERROR(__xludf.DUMMYFUNCTION("GOOGLETRANSLATE(A519,""ar"", ""en"")"),"200 cm round iron parasol")</f>
        <v>200 cm round iron parasol</v>
      </c>
      <c r="E519" s="5" t="s">
        <v>2398</v>
      </c>
      <c r="F519" s="9" t="s">
        <v>28</v>
      </c>
      <c r="G519" s="9"/>
      <c r="H519" s="16" t="s">
        <v>285</v>
      </c>
      <c r="I519" s="8"/>
      <c r="J519" s="10">
        <v>50.24</v>
      </c>
      <c r="K519" s="11" t="s">
        <v>5733</v>
      </c>
      <c r="L519" s="8"/>
      <c r="M519" s="12">
        <v>13.0</v>
      </c>
      <c r="N519" s="8"/>
      <c r="O519" s="8"/>
      <c r="P519" s="10">
        <v>3.86</v>
      </c>
      <c r="Q519" s="4" t="str">
        <f t="shared" si="2"/>
        <v>Remove</v>
      </c>
    </row>
    <row r="520">
      <c r="A520" s="13" t="s">
        <v>2399</v>
      </c>
      <c r="B520" s="6">
        <v>1332.0</v>
      </c>
      <c r="C520" s="6" t="b">
        <v>0</v>
      </c>
      <c r="D520" s="8" t="str">
        <f>IFERROR(__xludf.DUMMYFUNCTION("GOOGLETRANSLATE(A520,""ar"", ""en"")"),"3*3 m wooden umbrella")</f>
        <v>3*3 m wooden umbrella</v>
      </c>
      <c r="E520" s="13" t="s">
        <v>2400</v>
      </c>
      <c r="F520" s="9" t="s">
        <v>28</v>
      </c>
      <c r="G520" s="9"/>
      <c r="H520" s="16" t="s">
        <v>285</v>
      </c>
      <c r="I520" s="8"/>
      <c r="J520" s="14">
        <v>529.81</v>
      </c>
      <c r="K520" s="11" t="s">
        <v>5734</v>
      </c>
      <c r="L520" s="8"/>
      <c r="M520" s="15">
        <v>29.0</v>
      </c>
      <c r="N520" s="8"/>
      <c r="O520" s="8"/>
      <c r="P520" s="14">
        <v>18.27</v>
      </c>
      <c r="Q520" s="4" t="str">
        <f t="shared" si="2"/>
        <v>Remove</v>
      </c>
    </row>
    <row r="521">
      <c r="A521" s="5" t="s">
        <v>2401</v>
      </c>
      <c r="B521" s="6">
        <v>1333.0</v>
      </c>
      <c r="C521" s="6" t="b">
        <v>0</v>
      </c>
      <c r="D521" s="8" t="str">
        <f>IFERROR(__xludf.DUMMYFUNCTION("GOOGLETRANSLATE(A521,""ar"", ""en"")"),"4*3 m elbow umbrella")</f>
        <v>4*3 m elbow umbrella</v>
      </c>
      <c r="E521" s="5" t="s">
        <v>2402</v>
      </c>
      <c r="F521" s="9" t="s">
        <v>28</v>
      </c>
      <c r="G521" s="9"/>
      <c r="H521" s="16" t="s">
        <v>285</v>
      </c>
      <c r="I521" s="8"/>
      <c r="J521" s="10">
        <v>1044.6</v>
      </c>
      <c r="K521" s="11" t="s">
        <v>5735</v>
      </c>
      <c r="L521" s="8"/>
      <c r="M521" s="12">
        <v>20.0</v>
      </c>
      <c r="N521" s="8"/>
      <c r="O521" s="8"/>
      <c r="P521" s="10">
        <v>52.23</v>
      </c>
      <c r="Q521" s="4" t="str">
        <f t="shared" si="2"/>
        <v>Remove</v>
      </c>
    </row>
    <row r="522">
      <c r="A522" s="13" t="s">
        <v>2403</v>
      </c>
      <c r="B522" s="6">
        <v>1334.0</v>
      </c>
      <c r="C522" s="6" t="b">
        <v>0</v>
      </c>
      <c r="D522" s="8" t="str">
        <f>IFERROR(__xludf.DUMMYFUNCTION("GOOGLETRANSLATE(A522,""ar"", ""en"")"),"4*4 m umbrella")</f>
        <v>4*4 m umbrella</v>
      </c>
      <c r="E522" s="13" t="s">
        <v>2404</v>
      </c>
      <c r="F522" s="9" t="s">
        <v>28</v>
      </c>
      <c r="G522" s="9"/>
      <c r="H522" s="16" t="s">
        <v>285</v>
      </c>
      <c r="I522" s="8"/>
      <c r="J522" s="14">
        <v>2129.28</v>
      </c>
      <c r="K522" s="11" t="s">
        <v>5736</v>
      </c>
      <c r="L522" s="8"/>
      <c r="M522" s="15">
        <v>46.0</v>
      </c>
      <c r="N522" s="8"/>
      <c r="O522" s="8"/>
      <c r="P522" s="14">
        <v>46.29</v>
      </c>
      <c r="Q522" s="4" t="str">
        <f t="shared" si="2"/>
        <v>Remove</v>
      </c>
    </row>
    <row r="523">
      <c r="A523" s="5" t="s">
        <v>2405</v>
      </c>
      <c r="B523" s="6">
        <v>1335.0</v>
      </c>
      <c r="C523" s="6" t="b">
        <v>0</v>
      </c>
      <c r="D523" s="8" t="str">
        <f>IFERROR(__xludf.DUMMYFUNCTION("GOOGLETRANSLATE(A523,""ar"", ""en"")"),"5m Heavy Duty Round Elbow Parasol")</f>
        <v>5m Heavy Duty Round Elbow Parasol</v>
      </c>
      <c r="E523" s="5" t="s">
        <v>2406</v>
      </c>
      <c r="F523" s="9" t="s">
        <v>28</v>
      </c>
      <c r="G523" s="9"/>
      <c r="H523" s="16" t="s">
        <v>285</v>
      </c>
      <c r="I523" s="8"/>
      <c r="J523" s="10">
        <v>563.04</v>
      </c>
      <c r="K523" s="11" t="s">
        <v>5737</v>
      </c>
      <c r="L523" s="8"/>
      <c r="M523" s="12">
        <v>11.0</v>
      </c>
      <c r="N523" s="8"/>
      <c r="O523" s="8"/>
      <c r="P523" s="10">
        <v>51.19</v>
      </c>
      <c r="Q523" s="4" t="str">
        <f t="shared" si="2"/>
        <v>Remove</v>
      </c>
    </row>
    <row r="524">
      <c r="A524" s="5" t="s">
        <v>2407</v>
      </c>
      <c r="B524" s="6">
        <v>1337.0</v>
      </c>
      <c r="C524" s="6" t="b">
        <v>0</v>
      </c>
      <c r="D524" s="8" t="str">
        <f>IFERROR(__xludf.DUMMYFUNCTION("GOOGLETRANSLATE(A524,""ar"", ""en"")"),"KG Granite Sun Base 25")</f>
        <v>KG Granite Sun Base 25</v>
      </c>
      <c r="E524" s="5" t="s">
        <v>2408</v>
      </c>
      <c r="F524" s="9" t="s">
        <v>28</v>
      </c>
      <c r="G524" s="9"/>
      <c r="H524" s="16" t="s">
        <v>285</v>
      </c>
      <c r="I524" s="8"/>
      <c r="J524" s="10">
        <v>45.22</v>
      </c>
      <c r="K524" s="11" t="s">
        <v>5738</v>
      </c>
      <c r="L524" s="8"/>
      <c r="M524" s="12">
        <v>3.0</v>
      </c>
      <c r="N524" s="8"/>
      <c r="O524" s="8"/>
      <c r="P524" s="10">
        <v>15.07</v>
      </c>
      <c r="Q524" s="4" t="str">
        <f t="shared" si="2"/>
        <v>Remove</v>
      </c>
    </row>
    <row r="525">
      <c r="A525" s="13" t="s">
        <v>2409</v>
      </c>
      <c r="B525" s="6">
        <v>1338.0</v>
      </c>
      <c r="C525" s="6" t="b">
        <v>0</v>
      </c>
      <c r="D525" s="8" t="str">
        <f>IFERROR(__xludf.DUMMYFUNCTION("GOOGLETRANSLATE(A525,""ar"", ""en"")"),"KG Concrete Solar Base 35")</f>
        <v>KG Concrete Solar Base 35</v>
      </c>
      <c r="E525" s="13" t="s">
        <v>2410</v>
      </c>
      <c r="F525" s="9" t="s">
        <v>28</v>
      </c>
      <c r="G525" s="9"/>
      <c r="H525" s="16" t="s">
        <v>285</v>
      </c>
      <c r="I525" s="8"/>
      <c r="J525" s="14">
        <v>80.16</v>
      </c>
      <c r="K525" s="11" t="s">
        <v>5739</v>
      </c>
      <c r="L525" s="8"/>
      <c r="M525" s="15">
        <v>4.0</v>
      </c>
      <c r="N525" s="8"/>
      <c r="O525" s="8"/>
      <c r="P525" s="14">
        <v>20.04</v>
      </c>
      <c r="Q525" s="4" t="str">
        <f t="shared" si="2"/>
        <v>Remove</v>
      </c>
    </row>
    <row r="526">
      <c r="A526" s="5" t="s">
        <v>2409</v>
      </c>
      <c r="B526" s="6">
        <v>1339.0</v>
      </c>
      <c r="C526" s="6" t="b">
        <v>0</v>
      </c>
      <c r="D526" s="8" t="str">
        <f>IFERROR(__xludf.DUMMYFUNCTION("GOOGLETRANSLATE(A526,""ar"", ""en"")"),"KG Concrete Solar Base 35")</f>
        <v>KG Concrete Solar Base 35</v>
      </c>
      <c r="E526" s="5" t="s">
        <v>2411</v>
      </c>
      <c r="F526" s="9" t="s">
        <v>28</v>
      </c>
      <c r="G526" s="9"/>
      <c r="H526" s="16" t="s">
        <v>285</v>
      </c>
      <c r="I526" s="8"/>
      <c r="J526" s="10">
        <v>49.54</v>
      </c>
      <c r="K526" s="11" t="s">
        <v>5739</v>
      </c>
      <c r="L526" s="8"/>
      <c r="M526" s="12">
        <v>4.0</v>
      </c>
      <c r="N526" s="8"/>
      <c r="O526" s="8"/>
      <c r="P526" s="10">
        <v>12.38</v>
      </c>
      <c r="Q526" s="4" t="str">
        <f t="shared" si="2"/>
        <v>Remove</v>
      </c>
    </row>
    <row r="527">
      <c r="A527" s="5" t="s">
        <v>2412</v>
      </c>
      <c r="B527" s="6">
        <v>1369.0</v>
      </c>
      <c r="C527" s="6" t="b">
        <v>0</v>
      </c>
      <c r="D527" s="8" t="str">
        <f>IFERROR(__xludf.DUMMYFUNCTION("GOOGLETRANSLATE(A527,""ar"", ""en"")"),"TABLE TOP ORIGINAL 60*60CM")</f>
        <v>TABLE TOP ORIGINAL 60*60CM</v>
      </c>
      <c r="E527" s="5" t="s">
        <v>2413</v>
      </c>
      <c r="F527" s="9" t="s">
        <v>27</v>
      </c>
      <c r="G527" s="9"/>
      <c r="H527" s="16" t="s">
        <v>98</v>
      </c>
      <c r="I527" s="8"/>
      <c r="J527" s="10">
        <v>18.55</v>
      </c>
      <c r="K527" s="11" t="s">
        <v>5740</v>
      </c>
      <c r="L527" s="8"/>
      <c r="M527" s="12">
        <v>2.0</v>
      </c>
      <c r="N527" s="8"/>
      <c r="O527" s="8"/>
      <c r="P527" s="10">
        <v>9.27</v>
      </c>
      <c r="Q527" s="4" t="str">
        <f t="shared" si="2"/>
        <v>Remove</v>
      </c>
    </row>
    <row r="528">
      <c r="A528" s="5" t="s">
        <v>2414</v>
      </c>
      <c r="B528" s="6">
        <v>1370.0</v>
      </c>
      <c r="C528" s="6" t="b">
        <v>0</v>
      </c>
      <c r="D528" s="8" t="str">
        <f>IFERROR(__xludf.DUMMYFUNCTION("GOOGLETRANSLATE(A528,""ar"", ""en"")"),"COFFEE TABLE TOP 70*70")</f>
        <v>COFFEE TABLE TOP 70*70</v>
      </c>
      <c r="E528" s="5" t="s">
        <v>2415</v>
      </c>
      <c r="F528" s="9" t="s">
        <v>27</v>
      </c>
      <c r="G528" s="9"/>
      <c r="H528" s="16" t="s">
        <v>186</v>
      </c>
      <c r="I528" s="8"/>
      <c r="J528" s="10">
        <v>10.12</v>
      </c>
      <c r="K528" s="11" t="s">
        <v>5741</v>
      </c>
      <c r="L528" s="8"/>
      <c r="M528" s="12">
        <v>1.0</v>
      </c>
      <c r="N528" s="8"/>
      <c r="O528" s="8"/>
      <c r="P528" s="10">
        <v>10.12</v>
      </c>
      <c r="Q528" s="4" t="str">
        <f t="shared" si="2"/>
        <v>Remove</v>
      </c>
    </row>
    <row r="529">
      <c r="A529" s="5" t="s">
        <v>2416</v>
      </c>
      <c r="B529" s="6">
        <v>1381.0</v>
      </c>
      <c r="C529" s="6" t="b">
        <v>0</v>
      </c>
      <c r="D529" s="8" t="str">
        <f>IFERROR(__xludf.DUMMYFUNCTION("GOOGLETRANSLATE(A529,""ar"", ""en"")"),"Heavy wood table top 60*60")</f>
        <v>Heavy wood table top 60*60</v>
      </c>
      <c r="E529" s="5" t="s">
        <v>2417</v>
      </c>
      <c r="F529" s="9" t="s">
        <v>27</v>
      </c>
      <c r="G529" s="9" t="s">
        <v>18</v>
      </c>
      <c r="H529" s="27" t="s">
        <v>98</v>
      </c>
      <c r="I529" s="16" t="s">
        <v>5742</v>
      </c>
      <c r="J529" s="10">
        <v>32.9</v>
      </c>
      <c r="K529" s="11" t="s">
        <v>5743</v>
      </c>
      <c r="L529" s="8"/>
      <c r="M529" s="12">
        <v>2.0</v>
      </c>
      <c r="N529" s="8"/>
      <c r="O529" s="8"/>
      <c r="P529" s="10">
        <v>16.45</v>
      </c>
      <c r="Q529" s="4" t="str">
        <f t="shared" si="2"/>
        <v>Remove</v>
      </c>
    </row>
    <row r="530">
      <c r="A530" s="13" t="s">
        <v>2418</v>
      </c>
      <c r="B530" s="6">
        <v>1382.0</v>
      </c>
      <c r="C530" s="6" t="b">
        <v>0</v>
      </c>
      <c r="D530" s="8" t="str">
        <f>IFERROR(__xludf.DUMMYFUNCTION("GOOGLETRANSLATE(A530,""ar"", ""en"")"),"Heavy wood table top 80*80")</f>
        <v>Heavy wood table top 80*80</v>
      </c>
      <c r="E530" s="13" t="s">
        <v>2419</v>
      </c>
      <c r="F530" s="9" t="s">
        <v>27</v>
      </c>
      <c r="G530" s="9" t="s">
        <v>18</v>
      </c>
      <c r="H530" s="27" t="s">
        <v>98</v>
      </c>
      <c r="I530" s="8"/>
      <c r="J530" s="14">
        <v>1041.2</v>
      </c>
      <c r="K530" s="11" t="s">
        <v>5744</v>
      </c>
      <c r="L530" s="8"/>
      <c r="M530" s="15">
        <v>44.0</v>
      </c>
      <c r="N530" s="8"/>
      <c r="O530" s="8"/>
      <c r="P530" s="14">
        <v>23.66</v>
      </c>
      <c r="Q530" s="4" t="str">
        <f t="shared" si="2"/>
        <v>Remove</v>
      </c>
    </row>
    <row r="531">
      <c r="A531" s="5" t="s">
        <v>2420</v>
      </c>
      <c r="B531" s="6">
        <v>1383.0</v>
      </c>
      <c r="C531" s="6" t="b">
        <v>0</v>
      </c>
      <c r="D531" s="8" t="str">
        <f>IFERROR(__xludf.DUMMYFUNCTION("GOOGLETRANSLATE(A531,""ar"", ""en"")"),"80*80 wooden table top")</f>
        <v>80*80 wooden table top</v>
      </c>
      <c r="E531" s="5" t="s">
        <v>2421</v>
      </c>
      <c r="F531" s="9" t="s">
        <v>27</v>
      </c>
      <c r="G531" s="9" t="s">
        <v>18</v>
      </c>
      <c r="H531" s="27" t="s">
        <v>98</v>
      </c>
      <c r="I531" s="8"/>
      <c r="J531" s="10">
        <v>10.0</v>
      </c>
      <c r="K531" s="11" t="s">
        <v>5745</v>
      </c>
      <c r="L531" s="8"/>
      <c r="M531" s="12">
        <v>1.0</v>
      </c>
      <c r="N531" s="8"/>
      <c r="O531" s="8"/>
      <c r="P531" s="10">
        <v>10.0</v>
      </c>
      <c r="Q531" s="4" t="str">
        <f t="shared" si="2"/>
        <v>Remove</v>
      </c>
    </row>
    <row r="532">
      <c r="A532" s="13" t="s">
        <v>2422</v>
      </c>
      <c r="B532" s="6">
        <v>1384.0</v>
      </c>
      <c r="C532" s="6" t="b">
        <v>0</v>
      </c>
      <c r="D532" s="8" t="str">
        <f>IFERROR(__xludf.DUMMYFUNCTION("GOOGLETRANSLATE(A532,""ar"", ""en"")"),"Aluminum table top 60*60")</f>
        <v>Aluminum table top 60*60</v>
      </c>
      <c r="E532" s="13" t="s">
        <v>2423</v>
      </c>
      <c r="F532" s="9" t="s">
        <v>27</v>
      </c>
      <c r="G532" s="9" t="s">
        <v>28</v>
      </c>
      <c r="H532" s="27" t="s">
        <v>98</v>
      </c>
      <c r="I532" s="8"/>
      <c r="J532" s="14">
        <v>175.41</v>
      </c>
      <c r="K532" s="11" t="s">
        <v>809</v>
      </c>
      <c r="L532" s="8"/>
      <c r="M532" s="15">
        <v>22.0</v>
      </c>
      <c r="N532" s="8"/>
      <c r="O532" s="8"/>
      <c r="P532" s="14">
        <v>7.97</v>
      </c>
      <c r="Q532" s="4" t="str">
        <f t="shared" si="2"/>
        <v>Remove</v>
      </c>
    </row>
    <row r="533">
      <c r="A533" s="5" t="s">
        <v>1453</v>
      </c>
      <c r="B533" s="6">
        <v>1387.0</v>
      </c>
      <c r="C533" s="6" t="b">
        <v>0</v>
      </c>
      <c r="D533" s="8" t="str">
        <f>IFERROR(__xludf.DUMMYFUNCTION("GOOGLETRANSLATE(A533,""ar"", ""en"")"),"plastic chair without handles")</f>
        <v>plastic chair without handles</v>
      </c>
      <c r="E533" s="5" t="s">
        <v>2424</v>
      </c>
      <c r="F533" s="9" t="s">
        <v>28</v>
      </c>
      <c r="G533" s="9" t="s">
        <v>18</v>
      </c>
      <c r="H533" s="16" t="s">
        <v>43</v>
      </c>
      <c r="I533" s="8"/>
      <c r="J533" s="10">
        <v>221.84</v>
      </c>
      <c r="K533" s="11" t="s">
        <v>2082</v>
      </c>
      <c r="L533" s="8"/>
      <c r="M533" s="12">
        <v>23.0</v>
      </c>
      <c r="N533" s="8"/>
      <c r="O533" s="8"/>
      <c r="P533" s="10">
        <v>9.65</v>
      </c>
      <c r="Q533" s="4" t="str">
        <f t="shared" si="2"/>
        <v>Remove</v>
      </c>
    </row>
    <row r="534">
      <c r="A534" s="13" t="s">
        <v>174</v>
      </c>
      <c r="B534" s="6">
        <v>1388.0</v>
      </c>
      <c r="C534" s="6" t="b">
        <v>0</v>
      </c>
      <c r="D534" s="8" t="str">
        <f>IFERROR(__xludf.DUMMYFUNCTION("GOOGLETRANSLATE(A534,""ar"", ""en"")"),"plastic chair")</f>
        <v>plastic chair</v>
      </c>
      <c r="E534" s="13" t="s">
        <v>2425</v>
      </c>
      <c r="F534" s="9" t="s">
        <v>28</v>
      </c>
      <c r="G534" s="9" t="s">
        <v>18</v>
      </c>
      <c r="H534" s="16" t="s">
        <v>43</v>
      </c>
      <c r="I534" s="8"/>
      <c r="J534" s="14">
        <v>7.82</v>
      </c>
      <c r="K534" s="11" t="s">
        <v>176</v>
      </c>
      <c r="L534" s="8"/>
      <c r="M534" s="15">
        <v>1.0</v>
      </c>
      <c r="N534" s="8"/>
      <c r="O534" s="8"/>
      <c r="P534" s="14">
        <v>7.82</v>
      </c>
      <c r="Q534" s="4" t="str">
        <f t="shared" si="2"/>
        <v>Remove</v>
      </c>
    </row>
    <row r="535">
      <c r="A535" s="5" t="s">
        <v>1453</v>
      </c>
      <c r="B535" s="6">
        <v>1389.0</v>
      </c>
      <c r="C535" s="6" t="b">
        <v>0</v>
      </c>
      <c r="D535" s="8" t="str">
        <f>IFERROR(__xludf.DUMMYFUNCTION("GOOGLETRANSLATE(A535,""ar"", ""en"")"),"plastic chair without handles")</f>
        <v>plastic chair without handles</v>
      </c>
      <c r="E535" s="5" t="s">
        <v>2426</v>
      </c>
      <c r="F535" s="9" t="s">
        <v>28</v>
      </c>
      <c r="G535" s="9" t="s">
        <v>18</v>
      </c>
      <c r="H535" s="16" t="s">
        <v>43</v>
      </c>
      <c r="I535" s="8"/>
      <c r="J535" s="10">
        <v>50.35</v>
      </c>
      <c r="K535" s="11" t="s">
        <v>2082</v>
      </c>
      <c r="L535" s="8"/>
      <c r="M535" s="12">
        <v>6.0</v>
      </c>
      <c r="N535" s="8"/>
      <c r="O535" s="8"/>
      <c r="P535" s="10">
        <v>8.39</v>
      </c>
      <c r="Q535" s="4" t="str">
        <f t="shared" si="2"/>
        <v>Remove</v>
      </c>
    </row>
    <row r="536">
      <c r="A536" s="13" t="s">
        <v>174</v>
      </c>
      <c r="B536" s="6">
        <v>1390.0</v>
      </c>
      <c r="C536" s="6" t="b">
        <v>0</v>
      </c>
      <c r="D536" s="8" t="str">
        <f>IFERROR(__xludf.DUMMYFUNCTION("GOOGLETRANSLATE(A536,""ar"", ""en"")"),"plastic chair")</f>
        <v>plastic chair</v>
      </c>
      <c r="E536" s="13" t="s">
        <v>2427</v>
      </c>
      <c r="F536" s="9" t="s">
        <v>28</v>
      </c>
      <c r="G536" s="9" t="s">
        <v>18</v>
      </c>
      <c r="H536" s="16" t="s">
        <v>43</v>
      </c>
      <c r="I536" s="8"/>
      <c r="J536" s="14">
        <v>352.9</v>
      </c>
      <c r="K536" s="11" t="s">
        <v>176</v>
      </c>
      <c r="L536" s="8"/>
      <c r="M536" s="15">
        <v>50.0</v>
      </c>
      <c r="N536" s="8"/>
      <c r="O536" s="8"/>
      <c r="P536" s="14">
        <v>7.06</v>
      </c>
      <c r="Q536" s="4" t="str">
        <f t="shared" si="2"/>
        <v>Remove</v>
      </c>
    </row>
    <row r="537">
      <c r="A537" s="5" t="s">
        <v>2428</v>
      </c>
      <c r="B537" s="6">
        <v>1405.0</v>
      </c>
      <c r="C537" s="6" t="b">
        <v>0</v>
      </c>
      <c r="D537" s="8" t="str">
        <f>IFERROR(__xludf.DUMMYFUNCTION("GOOGLETRANSLATE(A537,""ar"", ""en"")"),"GEZON")</f>
        <v>GEZON</v>
      </c>
      <c r="E537" s="5" t="s">
        <v>2429</v>
      </c>
      <c r="F537" s="30"/>
      <c r="G537" s="30"/>
      <c r="H537" s="8"/>
      <c r="I537" s="8"/>
      <c r="J537" s="29"/>
      <c r="K537" s="11" t="s">
        <v>5746</v>
      </c>
      <c r="L537" s="8"/>
      <c r="M537" s="12">
        <v>50.0</v>
      </c>
      <c r="N537" s="8"/>
      <c r="O537" s="8"/>
      <c r="P537" s="29"/>
      <c r="Q537" s="4" t="str">
        <f t="shared" si="2"/>
        <v>Remove</v>
      </c>
    </row>
    <row r="538">
      <c r="A538" s="13" t="s">
        <v>2430</v>
      </c>
      <c r="B538" s="6">
        <v>1406.0</v>
      </c>
      <c r="C538" s="6" t="b">
        <v>0</v>
      </c>
      <c r="D538" s="8" t="str">
        <f>IFERROR(__xludf.DUMMYFUNCTION("GOOGLETRANSLATE(A538,""ar"", ""en"")"),"PILLOWS - Colorful Pillow")</f>
        <v>PILLOWS - Colorful Pillow</v>
      </c>
      <c r="E538" s="13" t="s">
        <v>2431</v>
      </c>
      <c r="F538" s="30"/>
      <c r="G538" s="30"/>
      <c r="H538" s="8"/>
      <c r="I538" s="8"/>
      <c r="J538" s="31"/>
      <c r="K538" s="11" t="s">
        <v>5747</v>
      </c>
      <c r="L538" s="8"/>
      <c r="M538" s="15">
        <v>137.0</v>
      </c>
      <c r="N538" s="8"/>
      <c r="O538" s="8"/>
      <c r="P538" s="31"/>
      <c r="Q538" s="4" t="str">
        <f t="shared" si="2"/>
        <v>Remove</v>
      </c>
    </row>
    <row r="539">
      <c r="A539" s="13" t="s">
        <v>2432</v>
      </c>
      <c r="B539" s="6">
        <v>1407.0</v>
      </c>
      <c r="C539" s="6" t="b">
        <v>0</v>
      </c>
      <c r="D539" s="8" t="str">
        <f>IFERROR(__xludf.DUMMYFUNCTION("GOOGLETRANSLATE(A539,""ar"", ""en"")"),"Heavy Turkish kitchen corner")</f>
        <v>Heavy Turkish kitchen corner</v>
      </c>
      <c r="E539" s="13" t="s">
        <v>2433</v>
      </c>
      <c r="F539" s="9" t="s">
        <v>18</v>
      </c>
      <c r="G539" s="9"/>
      <c r="H539" s="8"/>
      <c r="I539" s="8"/>
      <c r="J539" s="14">
        <v>13500.0</v>
      </c>
      <c r="K539" s="11" t="s">
        <v>5748</v>
      </c>
      <c r="L539" s="8"/>
      <c r="M539" s="15">
        <v>20.0</v>
      </c>
      <c r="N539" s="8"/>
      <c r="O539" s="8"/>
      <c r="P539" s="14">
        <v>675.0</v>
      </c>
      <c r="Q539" s="4" t="str">
        <f t="shared" si="2"/>
        <v>Remove</v>
      </c>
    </row>
    <row r="540">
      <c r="A540" s="5" t="s">
        <v>431</v>
      </c>
      <c r="B540" s="6">
        <v>1410.0</v>
      </c>
      <c r="C540" s="6" t="b">
        <v>0</v>
      </c>
      <c r="D540" s="8" t="str">
        <f>IFERROR(__xludf.DUMMYFUNCTION("GOOGLETRANSLATE(A540,""ar"", ""en"")"),"3-seat aluminum set")</f>
        <v>3-seat aluminum set</v>
      </c>
      <c r="E540" s="5" t="s">
        <v>2434</v>
      </c>
      <c r="F540" s="9" t="s">
        <v>28</v>
      </c>
      <c r="G540" s="30"/>
      <c r="H540" s="16" t="s">
        <v>382</v>
      </c>
      <c r="I540" s="8"/>
      <c r="J540" s="29"/>
      <c r="K540" s="11" t="s">
        <v>433</v>
      </c>
      <c r="L540" s="8"/>
      <c r="M540" s="12">
        <v>1.0</v>
      </c>
      <c r="N540" s="8"/>
      <c r="O540" s="8"/>
      <c r="P540" s="29"/>
      <c r="Q540" s="4" t="str">
        <f t="shared" si="2"/>
        <v>Remove</v>
      </c>
    </row>
    <row r="541">
      <c r="A541" s="13" t="s">
        <v>431</v>
      </c>
      <c r="B541" s="6">
        <v>1411.0</v>
      </c>
      <c r="C541" s="6" t="b">
        <v>0</v>
      </c>
      <c r="D541" s="8" t="str">
        <f>IFERROR(__xludf.DUMMYFUNCTION("GOOGLETRANSLATE(A541,""ar"", ""en"")"),"3-seat aluminum set")</f>
        <v>3-seat aluminum set</v>
      </c>
      <c r="E541" s="32" t="s">
        <v>2435</v>
      </c>
      <c r="F541" s="9" t="s">
        <v>28</v>
      </c>
      <c r="G541" s="30"/>
      <c r="H541" s="16" t="s">
        <v>382</v>
      </c>
      <c r="I541" s="8"/>
      <c r="J541" s="31"/>
      <c r="K541" s="11" t="s">
        <v>433</v>
      </c>
      <c r="L541" s="8"/>
      <c r="M541" s="15">
        <v>1.0</v>
      </c>
      <c r="N541" s="8"/>
      <c r="O541" s="8"/>
      <c r="P541" s="31"/>
      <c r="Q541" s="4" t="str">
        <f t="shared" si="2"/>
        <v>Remove</v>
      </c>
    </row>
    <row r="542">
      <c r="A542" s="5" t="s">
        <v>2436</v>
      </c>
      <c r="B542" s="6">
        <v>1414.0</v>
      </c>
      <c r="C542" s="6" t="b">
        <v>0</v>
      </c>
      <c r="D542" s="8" t="str">
        <f>IFERROR(__xludf.DUMMYFUNCTION("GOOGLETRANSLATE(A542,""ar"", ""en"")"),"Aluminum table 150 cm / Fadar")</f>
        <v>Aluminum table 150 cm / Fadar</v>
      </c>
      <c r="E542" s="5" t="s">
        <v>2437</v>
      </c>
      <c r="F542" s="9" t="s">
        <v>28</v>
      </c>
      <c r="G542" s="30"/>
      <c r="H542" s="16" t="s">
        <v>382</v>
      </c>
      <c r="I542" s="8"/>
      <c r="J542" s="29"/>
      <c r="K542" s="11" t="s">
        <v>5749</v>
      </c>
      <c r="L542" s="8"/>
      <c r="M542" s="12">
        <v>1.0</v>
      </c>
      <c r="N542" s="8"/>
      <c r="O542" s="8"/>
      <c r="P542" s="29"/>
      <c r="Q542" s="4" t="str">
        <f t="shared" si="2"/>
        <v>Remove</v>
      </c>
    </row>
    <row r="543">
      <c r="A543" s="5" t="s">
        <v>431</v>
      </c>
      <c r="B543" s="6">
        <v>1418.0</v>
      </c>
      <c r="C543" s="6" t="b">
        <v>0</v>
      </c>
      <c r="D543" s="8" t="str">
        <f>IFERROR(__xludf.DUMMYFUNCTION("GOOGLETRANSLATE(A543,""ar"", ""en"")"),"3-seat aluminum set")</f>
        <v>3-seat aluminum set</v>
      </c>
      <c r="E543" s="34" t="s">
        <v>2438</v>
      </c>
      <c r="F543" s="9" t="s">
        <v>28</v>
      </c>
      <c r="G543" s="9"/>
      <c r="H543" s="16" t="s">
        <v>382</v>
      </c>
      <c r="I543" s="8"/>
      <c r="J543" s="29"/>
      <c r="K543" s="11" t="s">
        <v>433</v>
      </c>
      <c r="L543" s="8"/>
      <c r="M543" s="12">
        <v>4.0</v>
      </c>
      <c r="N543" s="8"/>
      <c r="O543" s="8"/>
      <c r="P543" s="29"/>
      <c r="Q543" s="4" t="str">
        <f t="shared" si="2"/>
        <v>Remove</v>
      </c>
    </row>
    <row r="544">
      <c r="A544" s="5" t="s">
        <v>2439</v>
      </c>
      <c r="B544" s="6">
        <v>1420.0</v>
      </c>
      <c r="C544" s="6" t="b">
        <v>0</v>
      </c>
      <c r="D544" s="8" t="str">
        <f>IFERROR(__xludf.DUMMYFUNCTION("GOOGLETRANSLATE(A544,""ar"", ""en"")"),"8-seat aluminum set")</f>
        <v>8-seat aluminum set</v>
      </c>
      <c r="E544" s="5" t="s">
        <v>2440</v>
      </c>
      <c r="F544" s="9" t="s">
        <v>28</v>
      </c>
      <c r="G544" s="9"/>
      <c r="H544" s="16" t="s">
        <v>382</v>
      </c>
      <c r="I544" s="8"/>
      <c r="J544" s="29"/>
      <c r="K544" s="11" t="s">
        <v>5750</v>
      </c>
      <c r="L544" s="8"/>
      <c r="M544" s="12">
        <v>1.0</v>
      </c>
      <c r="N544" s="8"/>
      <c r="O544" s="8"/>
      <c r="P544" s="29"/>
      <c r="Q544" s="4" t="str">
        <f t="shared" si="2"/>
        <v>Remove</v>
      </c>
    </row>
    <row r="545">
      <c r="A545" s="5" t="s">
        <v>2441</v>
      </c>
      <c r="B545" s="6">
        <v>1444.0</v>
      </c>
      <c r="C545" s="6" t="b">
        <v>0</v>
      </c>
      <c r="D545" s="8" t="str">
        <f>IFERROR(__xludf.DUMMYFUNCTION("GOOGLETRANSLATE(A545,""ar"", ""en"")"),"ANTRA Iron Set 1+1+3 Bags")</f>
        <v>ANTRA Iron Set 1+1+3 Bags</v>
      </c>
      <c r="E545" s="5" t="s">
        <v>2442</v>
      </c>
      <c r="F545" s="9" t="s">
        <v>28</v>
      </c>
      <c r="G545" s="9"/>
      <c r="H545" s="16" t="s">
        <v>382</v>
      </c>
      <c r="I545" s="8"/>
      <c r="J545" s="29"/>
      <c r="K545" s="11" t="s">
        <v>5751</v>
      </c>
      <c r="L545" s="8"/>
      <c r="M545" s="12">
        <v>7.0</v>
      </c>
      <c r="N545" s="8"/>
      <c r="O545" s="8"/>
      <c r="P545" s="29"/>
      <c r="Q545" s="4" t="str">
        <f t="shared" si="2"/>
        <v>Remove</v>
      </c>
    </row>
    <row r="546">
      <c r="A546" s="5" t="s">
        <v>2443</v>
      </c>
      <c r="B546" s="6">
        <v>1452.0</v>
      </c>
      <c r="C546" s="6" t="b">
        <v>0</v>
      </c>
      <c r="D546" s="8" t="str">
        <f>IFERROR(__xludf.DUMMYFUNCTION("GOOGLETRANSLATE(A546,""ar"", ""en"")"),"Text table")</f>
        <v>Text table</v>
      </c>
      <c r="E546" s="5" t="s">
        <v>2444</v>
      </c>
      <c r="F546" s="9" t="s">
        <v>18</v>
      </c>
      <c r="G546" s="9"/>
      <c r="H546" s="8"/>
      <c r="I546" s="8"/>
      <c r="J546" s="29"/>
      <c r="K546" s="11" t="s">
        <v>5752</v>
      </c>
      <c r="L546" s="8"/>
      <c r="M546" s="12">
        <v>50.0</v>
      </c>
      <c r="N546" s="8"/>
      <c r="O546" s="8"/>
      <c r="P546" s="29"/>
      <c r="Q546" s="4" t="str">
        <f t="shared" si="2"/>
        <v>Remove</v>
      </c>
    </row>
    <row r="547">
      <c r="A547" s="13" t="s">
        <v>2445</v>
      </c>
      <c r="B547" s="6">
        <v>1453.0</v>
      </c>
      <c r="C547" s="6" t="b">
        <v>0</v>
      </c>
      <c r="D547" s="8" t="str">
        <f>IFERROR(__xludf.DUMMYFUNCTION("GOOGLETRANSLATE(A547,""ar"", ""en"")"),"library")</f>
        <v>library</v>
      </c>
      <c r="E547" s="13" t="s">
        <v>2446</v>
      </c>
      <c r="F547" s="9" t="s">
        <v>18</v>
      </c>
      <c r="G547" s="9"/>
      <c r="H547" s="8"/>
      <c r="I547" s="8"/>
      <c r="J547" s="31"/>
      <c r="K547" s="11" t="s">
        <v>5753</v>
      </c>
      <c r="L547" s="8"/>
      <c r="M547" s="15">
        <v>43.0</v>
      </c>
      <c r="N547" s="8"/>
      <c r="O547" s="8"/>
      <c r="P547" s="31"/>
      <c r="Q547" s="4" t="str">
        <f t="shared" si="2"/>
        <v>Remove</v>
      </c>
    </row>
    <row r="548">
      <c r="A548" s="5" t="s">
        <v>2445</v>
      </c>
      <c r="B548" s="6">
        <v>1454.0</v>
      </c>
      <c r="C548" s="6" t="b">
        <v>0</v>
      </c>
      <c r="D548" s="8" t="str">
        <f>IFERROR(__xludf.DUMMYFUNCTION("GOOGLETRANSLATE(A548,""ar"", ""en"")"),"library")</f>
        <v>library</v>
      </c>
      <c r="E548" s="5" t="s">
        <v>2447</v>
      </c>
      <c r="F548" s="9" t="s">
        <v>18</v>
      </c>
      <c r="G548" s="9"/>
      <c r="H548" s="8"/>
      <c r="I548" s="8"/>
      <c r="J548" s="29"/>
      <c r="K548" s="11" t="s">
        <v>5753</v>
      </c>
      <c r="L548" s="8"/>
      <c r="M548" s="12">
        <v>51.0</v>
      </c>
      <c r="N548" s="8"/>
      <c r="O548" s="8"/>
      <c r="P548" s="29"/>
      <c r="Q548" s="4" t="str">
        <f t="shared" si="2"/>
        <v>Remove</v>
      </c>
    </row>
    <row r="549">
      <c r="A549" s="13" t="s">
        <v>2445</v>
      </c>
      <c r="B549" s="6">
        <v>1455.0</v>
      </c>
      <c r="C549" s="6" t="b">
        <v>0</v>
      </c>
      <c r="D549" s="8" t="str">
        <f>IFERROR(__xludf.DUMMYFUNCTION("GOOGLETRANSLATE(A549,""ar"", ""en"")"),"library")</f>
        <v>library</v>
      </c>
      <c r="E549" s="13" t="s">
        <v>2448</v>
      </c>
      <c r="F549" s="9" t="s">
        <v>18</v>
      </c>
      <c r="G549" s="9"/>
      <c r="H549" s="8"/>
      <c r="I549" s="8"/>
      <c r="J549" s="31"/>
      <c r="K549" s="11" t="s">
        <v>5753</v>
      </c>
      <c r="L549" s="8"/>
      <c r="M549" s="15">
        <v>46.0</v>
      </c>
      <c r="N549" s="8"/>
      <c r="O549" s="8"/>
      <c r="P549" s="31"/>
      <c r="Q549" s="4" t="str">
        <f t="shared" si="2"/>
        <v>Remove</v>
      </c>
    </row>
    <row r="550">
      <c r="A550" s="5" t="s">
        <v>2449</v>
      </c>
      <c r="B550" s="6">
        <v>1456.0</v>
      </c>
      <c r="C550" s="6" t="b">
        <v>0</v>
      </c>
      <c r="D550" s="8" t="str">
        <f>IFERROR(__xludf.DUMMYFUNCTION("GOOGLETRANSLATE(A550,""ar"", ""en"")"),"CC Small Corner Library")</f>
        <v>CC Small Corner Library</v>
      </c>
      <c r="E550" s="5" t="s">
        <v>2450</v>
      </c>
      <c r="F550" s="9" t="s">
        <v>18</v>
      </c>
      <c r="G550" s="9"/>
      <c r="H550" s="8"/>
      <c r="I550" s="8"/>
      <c r="J550" s="29"/>
      <c r="K550" s="11" t="s">
        <v>5754</v>
      </c>
      <c r="L550" s="8"/>
      <c r="M550" s="12">
        <v>27.0</v>
      </c>
      <c r="N550" s="8"/>
      <c r="O550" s="8"/>
      <c r="P550" s="29"/>
      <c r="Q550" s="4" t="str">
        <f t="shared" si="2"/>
        <v>Remove</v>
      </c>
    </row>
    <row r="551">
      <c r="A551" s="13" t="s">
        <v>2451</v>
      </c>
      <c r="B551" s="6">
        <v>1466.0</v>
      </c>
      <c r="C551" s="6" t="b">
        <v>0</v>
      </c>
      <c r="D551" s="8" t="str">
        <f>IFERROR(__xludf.DUMMYFUNCTION("GOOGLETRANSLATE(A551,""ar"", ""en"")"),"Jikon Rizin")</f>
        <v>Jikon Rizin</v>
      </c>
      <c r="E551" s="13" t="s">
        <v>2452</v>
      </c>
      <c r="F551" s="9" t="s">
        <v>28</v>
      </c>
      <c r="G551" s="9"/>
      <c r="H551" s="16" t="s">
        <v>519</v>
      </c>
      <c r="I551" s="8"/>
      <c r="J551" s="31"/>
      <c r="K551" s="11" t="s">
        <v>5755</v>
      </c>
      <c r="L551" s="8"/>
      <c r="M551" s="15">
        <v>5.0</v>
      </c>
      <c r="N551" s="8"/>
      <c r="O551" s="8"/>
      <c r="P551" s="31"/>
      <c r="Q551" s="4" t="str">
        <f t="shared" si="2"/>
        <v>Remove</v>
      </c>
    </row>
    <row r="552">
      <c r="A552" s="13" t="s">
        <v>2453</v>
      </c>
      <c r="B552" s="6">
        <v>1472.0</v>
      </c>
      <c r="C552" s="6" t="b">
        <v>0</v>
      </c>
      <c r="D552" s="8" t="str">
        <f>IFERROR(__xludf.DUMMYFUNCTION("GOOGLETRANSLATE(A552,""ar"", ""en"")"),"Resin bar set 1 + 6 chairs gray")</f>
        <v>Resin bar set 1 + 6 chairs gray</v>
      </c>
      <c r="E552" s="13" t="s">
        <v>2454</v>
      </c>
      <c r="F552" s="9" t="s">
        <v>28</v>
      </c>
      <c r="G552" s="9"/>
      <c r="H552" s="16" t="s">
        <v>519</v>
      </c>
      <c r="I552" s="8"/>
      <c r="J552" s="31"/>
      <c r="K552" s="11" t="s">
        <v>5756</v>
      </c>
      <c r="L552" s="8"/>
      <c r="M552" s="15">
        <v>4.0</v>
      </c>
      <c r="N552" s="8"/>
      <c r="O552" s="8"/>
      <c r="P552" s="31"/>
      <c r="Q552" s="4" t="str">
        <f t="shared" si="2"/>
        <v>Remove</v>
      </c>
    </row>
    <row r="553">
      <c r="A553" s="5" t="s">
        <v>2455</v>
      </c>
      <c r="B553" s="6">
        <v>1475.0</v>
      </c>
      <c r="C553" s="6" t="b">
        <v>0</v>
      </c>
      <c r="D553" s="8" t="str">
        <f>IFERROR(__xludf.DUMMYFUNCTION("GOOGLETRANSLATE(A553,""ar"", ""en"")"),"XTRA 3-seat resin set")</f>
        <v>XTRA 3-seat resin set</v>
      </c>
      <c r="E553" s="5" t="s">
        <v>2456</v>
      </c>
      <c r="F553" s="9" t="s">
        <v>28</v>
      </c>
      <c r="G553" s="9"/>
      <c r="H553" s="16" t="s">
        <v>519</v>
      </c>
      <c r="I553" s="8"/>
      <c r="J553" s="29"/>
      <c r="K553" s="11" t="s">
        <v>5757</v>
      </c>
      <c r="L553" s="8"/>
      <c r="M553" s="12">
        <v>1.0</v>
      </c>
      <c r="N553" s="8"/>
      <c r="O553" s="8"/>
      <c r="P553" s="29"/>
      <c r="Q553" s="4" t="str">
        <f t="shared" si="2"/>
        <v>Remove</v>
      </c>
    </row>
    <row r="554">
      <c r="A554" s="13" t="s">
        <v>2458</v>
      </c>
      <c r="B554" s="6">
        <v>1479.0</v>
      </c>
      <c r="C554" s="6" t="b">
        <v>0</v>
      </c>
      <c r="D554" s="8" t="str">
        <f>IFERROR(__xludf.DUMMYFUNCTION("GOOGLETRANSLATE(A554,""ar"", ""en"")"),"Chinese banana basket")</f>
        <v>Chinese banana basket</v>
      </c>
      <c r="E554" s="13" t="s">
        <v>2459</v>
      </c>
      <c r="F554" s="9" t="s">
        <v>28</v>
      </c>
      <c r="G554" s="9"/>
      <c r="H554" s="16" t="s">
        <v>519</v>
      </c>
      <c r="I554" s="8"/>
      <c r="J554" s="31"/>
      <c r="K554" s="11" t="s">
        <v>5758</v>
      </c>
      <c r="L554" s="8"/>
      <c r="M554" s="15">
        <v>15.0</v>
      </c>
      <c r="N554" s="8"/>
      <c r="O554" s="8"/>
      <c r="P554" s="31"/>
      <c r="Q554" s="4" t="str">
        <f t="shared" si="2"/>
        <v>Remove</v>
      </c>
    </row>
    <row r="555">
      <c r="A555" s="13" t="s">
        <v>2460</v>
      </c>
      <c r="B555" s="6">
        <v>1480.0</v>
      </c>
      <c r="C555" s="6" t="b">
        <v>0</v>
      </c>
      <c r="D555" s="8" t="str">
        <f>IFERROR(__xludf.DUMMYFUNCTION("GOOGLETRANSLATE(A555,""ar"", ""en"")"),"Corsica rattan rocking chair")</f>
        <v>Corsica rattan rocking chair</v>
      </c>
      <c r="E555" s="13" t="s">
        <v>2461</v>
      </c>
      <c r="F555" s="9" t="s">
        <v>28</v>
      </c>
      <c r="G555" s="9"/>
      <c r="H555" s="16" t="s">
        <v>519</v>
      </c>
      <c r="I555" s="8"/>
      <c r="J555" s="31"/>
      <c r="K555" s="11" t="s">
        <v>5759</v>
      </c>
      <c r="L555" s="8"/>
      <c r="M555" s="15">
        <v>7.0</v>
      </c>
      <c r="N555" s="8"/>
      <c r="O555" s="8"/>
      <c r="P555" s="31"/>
      <c r="Q555" s="4" t="str">
        <f t="shared" si="2"/>
        <v>Remove</v>
      </c>
    </row>
    <row r="556">
      <c r="A556" s="13" t="s">
        <v>2463</v>
      </c>
      <c r="B556" s="6">
        <v>1484.0</v>
      </c>
      <c r="C556" s="6" t="b">
        <v>0</v>
      </c>
      <c r="D556" s="8" t="str">
        <f>IFERROR(__xludf.DUMMYFUNCTION("GOOGLETRANSLATE(A556,""ar"", ""en"")"),"Canary Rattan Two Seater Set")</f>
        <v>Canary Rattan Two Seater Set</v>
      </c>
      <c r="E556" s="13" t="s">
        <v>2464</v>
      </c>
      <c r="F556" s="9" t="s">
        <v>28</v>
      </c>
      <c r="G556" s="9"/>
      <c r="H556" s="16" t="s">
        <v>519</v>
      </c>
      <c r="I556" s="8"/>
      <c r="J556" s="31"/>
      <c r="K556" s="11" t="s">
        <v>5760</v>
      </c>
      <c r="L556" s="8"/>
      <c r="M556" s="15">
        <v>6.0</v>
      </c>
      <c r="N556" s="8"/>
      <c r="O556" s="8"/>
      <c r="P556" s="31"/>
      <c r="Q556" s="4" t="str">
        <f t="shared" si="2"/>
        <v>Remove</v>
      </c>
    </row>
    <row r="557">
      <c r="A557" s="5" t="s">
        <v>556</v>
      </c>
      <c r="B557" s="6">
        <v>1485.0</v>
      </c>
      <c r="C557" s="6" t="b">
        <v>0</v>
      </c>
      <c r="D557" s="8" t="str">
        <f>IFERROR(__xludf.DUMMYFUNCTION("GOOGLETRANSLATE(A557,""ar"", ""en"")"),"Two-seat rattan set")</f>
        <v>Two-seat rattan set</v>
      </c>
      <c r="E557" s="33" t="s">
        <v>2465</v>
      </c>
      <c r="F557" s="9" t="s">
        <v>28</v>
      </c>
      <c r="G557" s="9"/>
      <c r="H557" s="16" t="s">
        <v>519</v>
      </c>
      <c r="I557" s="8"/>
      <c r="J557" s="29"/>
      <c r="K557" s="11" t="s">
        <v>558</v>
      </c>
      <c r="L557" s="8"/>
      <c r="M557" s="12">
        <v>24.0</v>
      </c>
      <c r="N557" s="8"/>
      <c r="O557" s="8"/>
      <c r="P557" s="29"/>
      <c r="Q557" s="4" t="str">
        <f t="shared" si="2"/>
        <v>Remove</v>
      </c>
    </row>
    <row r="558">
      <c r="A558" s="13" t="s">
        <v>556</v>
      </c>
      <c r="B558" s="6">
        <v>1486.0</v>
      </c>
      <c r="C558" s="6" t="b">
        <v>0</v>
      </c>
      <c r="D558" s="8" t="str">
        <f>IFERROR(__xludf.DUMMYFUNCTION("GOOGLETRANSLATE(A558,""ar"", ""en"")"),"Two-seat rattan set")</f>
        <v>Two-seat rattan set</v>
      </c>
      <c r="E558" s="32" t="s">
        <v>2466</v>
      </c>
      <c r="F558" s="9" t="s">
        <v>28</v>
      </c>
      <c r="G558" s="9"/>
      <c r="H558" s="16" t="s">
        <v>519</v>
      </c>
      <c r="I558" s="8"/>
      <c r="J558" s="31"/>
      <c r="K558" s="11" t="s">
        <v>558</v>
      </c>
      <c r="L558" s="8"/>
      <c r="M558" s="15">
        <v>29.0</v>
      </c>
      <c r="N558" s="8"/>
      <c r="O558" s="8"/>
      <c r="P558" s="31"/>
      <c r="Q558" s="4" t="str">
        <f t="shared" si="2"/>
        <v>Remove</v>
      </c>
    </row>
    <row r="559">
      <c r="A559" s="13" t="s">
        <v>2467</v>
      </c>
      <c r="B559" s="6">
        <v>1488.0</v>
      </c>
      <c r="C559" s="6" t="b">
        <v>0</v>
      </c>
      <c r="D559" s="8" t="str">
        <f>IFERROR(__xludf.DUMMYFUNCTION("GOOGLETRANSLATE(A559,""ar"", ""en"")"),"3-seat rattan set")</f>
        <v>3-seat rattan set</v>
      </c>
      <c r="E559" s="13" t="s">
        <v>2468</v>
      </c>
      <c r="F559" s="9" t="s">
        <v>28</v>
      </c>
      <c r="G559" s="9"/>
      <c r="H559" s="16" t="s">
        <v>519</v>
      </c>
      <c r="I559" s="8"/>
      <c r="J559" s="31"/>
      <c r="K559" s="11" t="s">
        <v>5761</v>
      </c>
      <c r="L559" s="8"/>
      <c r="M559" s="15">
        <v>5.0</v>
      </c>
      <c r="N559" s="8"/>
      <c r="O559" s="8"/>
      <c r="P559" s="31"/>
      <c r="Q559" s="4" t="str">
        <f t="shared" si="2"/>
        <v>Remove</v>
      </c>
    </row>
    <row r="560">
      <c r="A560" s="13" t="s">
        <v>2469</v>
      </c>
      <c r="B560" s="6">
        <v>1496.0</v>
      </c>
      <c r="C560" s="6" t="b">
        <v>0</v>
      </c>
      <c r="D560" s="8" t="str">
        <f>IFERROR(__xludf.DUMMYFUNCTION("GOOGLETRANSLATE(A560,""ar"", ""en"")"),"40 cm / smooth round inflatable iron base")</f>
        <v>40 cm / smooth round inflatable iron base</v>
      </c>
      <c r="E560" s="13" t="s">
        <v>2470</v>
      </c>
      <c r="F560" s="9" t="s">
        <v>27</v>
      </c>
      <c r="G560" s="9" t="s">
        <v>18</v>
      </c>
      <c r="H560" s="16" t="s">
        <v>186</v>
      </c>
      <c r="I560" s="8"/>
      <c r="J560" s="31"/>
      <c r="K560" s="11" t="s">
        <v>5762</v>
      </c>
      <c r="L560" s="8"/>
      <c r="M560" s="15">
        <v>1.0</v>
      </c>
      <c r="N560" s="8"/>
      <c r="O560" s="8"/>
      <c r="P560" s="31"/>
      <c r="Q560" s="4" t="str">
        <f t="shared" si="2"/>
        <v>Remove</v>
      </c>
    </row>
    <row r="561">
      <c r="A561" s="5" t="s">
        <v>2471</v>
      </c>
      <c r="B561" s="6">
        <v>1499.0</v>
      </c>
      <c r="C561" s="6" t="b">
        <v>0</v>
      </c>
      <c r="D561" s="8" t="str">
        <f>IFERROR(__xludf.DUMMYFUNCTION("GOOGLETRANSLATE(A561,""ar"", ""en"")"),"Grey square iron base")</f>
        <v>Grey square iron base</v>
      </c>
      <c r="E561" s="5" t="s">
        <v>2472</v>
      </c>
      <c r="F561" s="9" t="s">
        <v>27</v>
      </c>
      <c r="G561" s="9" t="s">
        <v>18</v>
      </c>
      <c r="H561" s="16" t="s">
        <v>186</v>
      </c>
      <c r="I561" s="8"/>
      <c r="J561" s="29"/>
      <c r="K561" s="11" t="s">
        <v>5763</v>
      </c>
      <c r="L561" s="8"/>
      <c r="M561" s="12">
        <v>2.0</v>
      </c>
      <c r="N561" s="8"/>
      <c r="O561" s="8"/>
      <c r="P561" s="29"/>
      <c r="Q561" s="4" t="str">
        <f t="shared" si="2"/>
        <v>Remove</v>
      </c>
    </row>
    <row r="562">
      <c r="A562" s="5" t="s">
        <v>2473</v>
      </c>
      <c r="B562" s="6">
        <v>1501.0</v>
      </c>
      <c r="C562" s="6" t="b">
        <v>0</v>
      </c>
      <c r="D562" s="8" t="str">
        <f>IFERROR(__xludf.DUMMYFUNCTION("GOOGLETRANSLATE(A562,""ar"", ""en"")"),"65cm high nut inflatable iron base")</f>
        <v>65cm high nut inflatable iron base</v>
      </c>
      <c r="E562" s="5" t="s">
        <v>2474</v>
      </c>
      <c r="F562" s="9" t="s">
        <v>27</v>
      </c>
      <c r="G562" s="9" t="s">
        <v>18</v>
      </c>
      <c r="H562" s="16" t="s">
        <v>186</v>
      </c>
      <c r="I562" s="8"/>
      <c r="J562" s="29"/>
      <c r="K562" s="11" t="s">
        <v>5764</v>
      </c>
      <c r="L562" s="8"/>
      <c r="M562" s="12">
        <v>6.0</v>
      </c>
      <c r="N562" s="8"/>
      <c r="O562" s="8"/>
      <c r="P562" s="29"/>
      <c r="Q562" s="4" t="str">
        <f t="shared" si="2"/>
        <v>Remove</v>
      </c>
    </row>
    <row r="563">
      <c r="A563" s="13" t="s">
        <v>2475</v>
      </c>
      <c r="B563" s="6">
        <v>1502.0</v>
      </c>
      <c r="C563" s="6" t="b">
        <v>0</v>
      </c>
      <c r="D563" s="8" t="str">
        <f>IFERROR(__xludf.DUMMYFUNCTION("GOOGLETRANSLATE(A563,""ar"", ""en"")"),"High quality inflatable iron base 72*40")</f>
        <v>High quality inflatable iron base 72*40</v>
      </c>
      <c r="E563" s="13" t="s">
        <v>2476</v>
      </c>
      <c r="F563" s="9" t="s">
        <v>27</v>
      </c>
      <c r="G563" s="9" t="s">
        <v>18</v>
      </c>
      <c r="H563" s="16" t="s">
        <v>186</v>
      </c>
      <c r="I563" s="8"/>
      <c r="J563" s="31"/>
      <c r="K563" s="11" t="s">
        <v>5765</v>
      </c>
      <c r="L563" s="8"/>
      <c r="M563" s="15">
        <v>32.0</v>
      </c>
      <c r="N563" s="8"/>
      <c r="O563" s="8"/>
      <c r="P563" s="31"/>
      <c r="Q563" s="4" t="str">
        <f t="shared" si="2"/>
        <v>Remove</v>
      </c>
    </row>
    <row r="564">
      <c r="A564" s="5" t="s">
        <v>2475</v>
      </c>
      <c r="B564" s="6">
        <v>1503.0</v>
      </c>
      <c r="C564" s="6" t="b">
        <v>0</v>
      </c>
      <c r="D564" s="8" t="str">
        <f>IFERROR(__xludf.DUMMYFUNCTION("GOOGLETRANSLATE(A564,""ar"", ""en"")"),"High quality inflatable iron base 72*40")</f>
        <v>High quality inflatable iron base 72*40</v>
      </c>
      <c r="E564" s="5" t="s">
        <v>2477</v>
      </c>
      <c r="F564" s="9" t="s">
        <v>27</v>
      </c>
      <c r="G564" s="9" t="s">
        <v>18</v>
      </c>
      <c r="H564" s="16" t="s">
        <v>186</v>
      </c>
      <c r="I564" s="8"/>
      <c r="J564" s="29"/>
      <c r="K564" s="11" t="s">
        <v>5765</v>
      </c>
      <c r="L564" s="8"/>
      <c r="M564" s="12">
        <v>10.0</v>
      </c>
      <c r="N564" s="8"/>
      <c r="O564" s="8"/>
      <c r="P564" s="29"/>
      <c r="Q564" s="4" t="str">
        <f t="shared" si="2"/>
        <v>Remove</v>
      </c>
    </row>
    <row r="565">
      <c r="A565" s="13" t="s">
        <v>2478</v>
      </c>
      <c r="B565" s="6">
        <v>1506.0</v>
      </c>
      <c r="C565" s="6" t="b">
        <v>0</v>
      </c>
      <c r="D565" s="8" t="str">
        <f>IFERROR(__xludf.DUMMYFUNCTION("GOOGLETRANSLATE(A565,""ar"", ""en"")"),"40cm Black Square Iron Press Base")</f>
        <v>40cm Black Square Iron Press Base</v>
      </c>
      <c r="E565" s="13" t="s">
        <v>2479</v>
      </c>
      <c r="F565" s="9" t="s">
        <v>27</v>
      </c>
      <c r="G565" s="9" t="s">
        <v>18</v>
      </c>
      <c r="H565" s="16" t="s">
        <v>186</v>
      </c>
      <c r="I565" s="8"/>
      <c r="J565" s="31"/>
      <c r="K565" s="11" t="s">
        <v>5766</v>
      </c>
      <c r="L565" s="8"/>
      <c r="M565" s="15">
        <v>3.0</v>
      </c>
      <c r="N565" s="8"/>
      <c r="O565" s="8"/>
      <c r="P565" s="31"/>
      <c r="Q565" s="4" t="str">
        <f t="shared" si="2"/>
        <v>Remove</v>
      </c>
    </row>
    <row r="566">
      <c r="A566" s="5" t="s">
        <v>1762</v>
      </c>
      <c r="B566" s="6">
        <v>1507.0</v>
      </c>
      <c r="C566" s="6" t="b">
        <v>0</v>
      </c>
      <c r="D566" s="8" t="str">
        <f>IFERROR(__xludf.DUMMYFUNCTION("GOOGLETRANSLATE(A566,""ar"", ""en"")"),"Rectangular iron base")</f>
        <v>Rectangular iron base</v>
      </c>
      <c r="E566" s="5" t="s">
        <v>2480</v>
      </c>
      <c r="F566" s="9" t="s">
        <v>27</v>
      </c>
      <c r="G566" s="9" t="s">
        <v>18</v>
      </c>
      <c r="H566" s="16" t="s">
        <v>186</v>
      </c>
      <c r="I566" s="8"/>
      <c r="J566" s="29"/>
      <c r="K566" s="11" t="s">
        <v>1764</v>
      </c>
      <c r="L566" s="8"/>
      <c r="M566" s="12">
        <v>41.0</v>
      </c>
      <c r="N566" s="8"/>
      <c r="O566" s="8"/>
      <c r="P566" s="29"/>
      <c r="Q566" s="4" t="str">
        <f t="shared" si="2"/>
        <v>Remove</v>
      </c>
    </row>
    <row r="567">
      <c r="A567" s="5" t="s">
        <v>2481</v>
      </c>
      <c r="B567" s="6">
        <v>1509.0</v>
      </c>
      <c r="C567" s="6" t="b">
        <v>0</v>
      </c>
      <c r="D567" s="8" t="str">
        <f>IFERROR(__xludf.DUMMYFUNCTION("GOOGLETRANSLATE(A567,""ar"", ""en"")"),"CROSS - X BASE")</f>
        <v>CROSS - X BASE</v>
      </c>
      <c r="E567" s="5" t="s">
        <v>2482</v>
      </c>
      <c r="F567" s="9" t="s">
        <v>27</v>
      </c>
      <c r="G567" s="9" t="s">
        <v>28</v>
      </c>
      <c r="H567" s="16" t="s">
        <v>186</v>
      </c>
      <c r="I567" s="8"/>
      <c r="J567" s="29"/>
      <c r="K567" s="11" t="s">
        <v>5767</v>
      </c>
      <c r="L567" s="8"/>
      <c r="M567" s="12">
        <v>40.0</v>
      </c>
      <c r="N567" s="8"/>
      <c r="O567" s="8"/>
      <c r="P567" s="29"/>
      <c r="Q567" s="4" t="str">
        <f t="shared" si="2"/>
        <v>Remove</v>
      </c>
    </row>
    <row r="568">
      <c r="A568" s="13" t="s">
        <v>2483</v>
      </c>
      <c r="B568" s="6">
        <v>1514.0</v>
      </c>
      <c r="C568" s="6" t="b">
        <v>0</v>
      </c>
      <c r="D568" s="8" t="str">
        <f>IFERROR(__xludf.DUMMYFUNCTION("GOOGLETRANSLATE(A568,""ar"", ""en"")"),"Stainless steel base with screws")</f>
        <v>Stainless steel base with screws</v>
      </c>
      <c r="E568" s="13" t="s">
        <v>2484</v>
      </c>
      <c r="F568" s="9" t="s">
        <v>27</v>
      </c>
      <c r="G568" s="9" t="s">
        <v>28</v>
      </c>
      <c r="H568" s="16" t="s">
        <v>186</v>
      </c>
      <c r="I568" s="8"/>
      <c r="J568" s="31"/>
      <c r="K568" s="11" t="s">
        <v>5768</v>
      </c>
      <c r="L568" s="8"/>
      <c r="M568" s="15">
        <v>30.0</v>
      </c>
      <c r="N568" s="8"/>
      <c r="O568" s="8"/>
      <c r="P568" s="31"/>
      <c r="Q568" s="4" t="str">
        <f t="shared" si="2"/>
        <v>Remove</v>
      </c>
    </row>
    <row r="569">
      <c r="A569" s="5" t="s">
        <v>1237</v>
      </c>
      <c r="B569" s="6">
        <v>1515.0</v>
      </c>
      <c r="C569" s="6" t="b">
        <v>0</v>
      </c>
      <c r="D569" s="8" t="str">
        <f>IFERROR(__xludf.DUMMYFUNCTION("GOOGLETRANSLATE(A569,""ar"", ""en"")"),"Stainless steel base")</f>
        <v>Stainless steel base</v>
      </c>
      <c r="E569" s="5" t="s">
        <v>2485</v>
      </c>
      <c r="F569" s="9" t="s">
        <v>27</v>
      </c>
      <c r="G569" s="9" t="s">
        <v>28</v>
      </c>
      <c r="H569" s="16" t="s">
        <v>186</v>
      </c>
      <c r="I569" s="8"/>
      <c r="J569" s="29"/>
      <c r="K569" s="11" t="s">
        <v>1239</v>
      </c>
      <c r="L569" s="8"/>
      <c r="M569" s="12">
        <v>25.0</v>
      </c>
      <c r="N569" s="8"/>
      <c r="O569" s="8"/>
      <c r="P569" s="29"/>
      <c r="Q569" s="4" t="str">
        <f t="shared" si="2"/>
        <v>Remove</v>
      </c>
    </row>
    <row r="570">
      <c r="A570" s="13" t="s">
        <v>577</v>
      </c>
      <c r="B570" s="6">
        <v>1518.0</v>
      </c>
      <c r="C570" s="6" t="b">
        <v>0</v>
      </c>
      <c r="D570" s="8" t="str">
        <f>IFERROR(__xludf.DUMMYFUNCTION("GOOGLETRANSLATE(A570,""ar"", ""en"")"),"square stainless steel base")</f>
        <v>square stainless steel base</v>
      </c>
      <c r="E570" s="13" t="s">
        <v>2486</v>
      </c>
      <c r="F570" s="9" t="s">
        <v>27</v>
      </c>
      <c r="G570" s="9" t="s">
        <v>28</v>
      </c>
      <c r="H570" s="16" t="s">
        <v>186</v>
      </c>
      <c r="I570" s="8"/>
      <c r="J570" s="31"/>
      <c r="K570" s="11" t="s">
        <v>579</v>
      </c>
      <c r="L570" s="8"/>
      <c r="M570" s="15">
        <v>2.0</v>
      </c>
      <c r="N570" s="8"/>
      <c r="O570" s="8"/>
      <c r="P570" s="31"/>
      <c r="Q570" s="4" t="str">
        <f t="shared" si="2"/>
        <v>Remove</v>
      </c>
    </row>
    <row r="571">
      <c r="A571" s="13" t="s">
        <v>2487</v>
      </c>
      <c r="B571" s="6">
        <v>1522.0</v>
      </c>
      <c r="C571" s="6" t="b">
        <v>0</v>
      </c>
      <c r="D571" s="8" t="str">
        <f>IFERROR(__xludf.DUMMYFUNCTION("GOOGLETRANSLATE(A571,""ar"", ""en"")"),"Dark beige recliner chair")</f>
        <v>Dark beige recliner chair</v>
      </c>
      <c r="E571" s="13" t="s">
        <v>2488</v>
      </c>
      <c r="F571" s="9" t="s">
        <v>18</v>
      </c>
      <c r="G571" s="9"/>
      <c r="H571" s="8"/>
      <c r="I571" s="8"/>
      <c r="J571" s="31"/>
      <c r="K571" s="11" t="s">
        <v>5769</v>
      </c>
      <c r="L571" s="8"/>
      <c r="M571" s="15">
        <v>7.0</v>
      </c>
      <c r="N571" s="8"/>
      <c r="O571" s="8"/>
      <c r="P571" s="31"/>
      <c r="Q571" s="4" t="str">
        <f t="shared" si="2"/>
        <v>Remove</v>
      </c>
    </row>
    <row r="572">
      <c r="A572" s="13" t="s">
        <v>2213</v>
      </c>
      <c r="B572" s="6">
        <v>1530.0</v>
      </c>
      <c r="C572" s="6" t="b">
        <v>0</v>
      </c>
      <c r="D572" s="8" t="str">
        <f>IFERROR(__xludf.DUMMYFUNCTION("GOOGLETRANSLATE(A572,""ar"", ""en"")"),"Kwan set 1+2")</f>
        <v>Kwan set 1+2</v>
      </c>
      <c r="E572" s="13" t="s">
        <v>2489</v>
      </c>
      <c r="F572" s="9" t="s">
        <v>18</v>
      </c>
      <c r="G572" s="9"/>
      <c r="H572" s="8"/>
      <c r="I572" s="8"/>
      <c r="J572" s="31"/>
      <c r="K572" s="11" t="s">
        <v>5661</v>
      </c>
      <c r="L572" s="8"/>
      <c r="M572" s="15">
        <v>23.0</v>
      </c>
      <c r="N572" s="8"/>
      <c r="O572" s="8"/>
      <c r="P572" s="31"/>
      <c r="Q572" s="4" t="str">
        <f t="shared" si="2"/>
        <v>Remove</v>
      </c>
    </row>
    <row r="573">
      <c r="A573" s="5" t="s">
        <v>2213</v>
      </c>
      <c r="B573" s="6">
        <v>1531.0</v>
      </c>
      <c r="C573" s="6" t="b">
        <v>0</v>
      </c>
      <c r="D573" s="8" t="str">
        <f>IFERROR(__xludf.DUMMYFUNCTION("GOOGLETRANSLATE(A573,""ar"", ""en"")"),"Kwan set 1+2")</f>
        <v>Kwan set 1+2</v>
      </c>
      <c r="E573" s="5" t="s">
        <v>2490</v>
      </c>
      <c r="F573" s="9" t="s">
        <v>18</v>
      </c>
      <c r="G573" s="9"/>
      <c r="H573" s="8"/>
      <c r="I573" s="8"/>
      <c r="J573" s="29"/>
      <c r="K573" s="11" t="s">
        <v>5661</v>
      </c>
      <c r="L573" s="8"/>
      <c r="M573" s="12">
        <v>21.0</v>
      </c>
      <c r="N573" s="8"/>
      <c r="O573" s="8"/>
      <c r="P573" s="29"/>
      <c r="Q573" s="4" t="str">
        <f t="shared" si="2"/>
        <v>Remove</v>
      </c>
    </row>
    <row r="574">
      <c r="A574" s="13" t="s">
        <v>2213</v>
      </c>
      <c r="B574" s="6">
        <v>1532.0</v>
      </c>
      <c r="C574" s="6" t="b">
        <v>0</v>
      </c>
      <c r="D574" s="8" t="str">
        <f>IFERROR(__xludf.DUMMYFUNCTION("GOOGLETRANSLATE(A574,""ar"", ""en"")"),"Kwan set 1+2")</f>
        <v>Kwan set 1+2</v>
      </c>
      <c r="E574" s="13" t="s">
        <v>2491</v>
      </c>
      <c r="F574" s="9" t="s">
        <v>18</v>
      </c>
      <c r="G574" s="9"/>
      <c r="H574" s="8"/>
      <c r="I574" s="8"/>
      <c r="J574" s="31"/>
      <c r="K574" s="11" t="s">
        <v>5661</v>
      </c>
      <c r="L574" s="8"/>
      <c r="M574" s="15">
        <v>22.0</v>
      </c>
      <c r="N574" s="8"/>
      <c r="O574" s="8"/>
      <c r="P574" s="31"/>
      <c r="Q574" s="4" t="str">
        <f t="shared" si="2"/>
        <v>Remove</v>
      </c>
    </row>
    <row r="575">
      <c r="A575" s="5" t="s">
        <v>2213</v>
      </c>
      <c r="B575" s="6">
        <v>1533.0</v>
      </c>
      <c r="C575" s="6" t="b">
        <v>0</v>
      </c>
      <c r="D575" s="8" t="str">
        <f>IFERROR(__xludf.DUMMYFUNCTION("GOOGLETRANSLATE(A575,""ar"", ""en"")"),"Kwan set 1+2")</f>
        <v>Kwan set 1+2</v>
      </c>
      <c r="E575" s="5" t="s">
        <v>2492</v>
      </c>
      <c r="F575" s="9" t="s">
        <v>18</v>
      </c>
      <c r="G575" s="9"/>
      <c r="H575" s="8"/>
      <c r="I575" s="8"/>
      <c r="J575" s="29"/>
      <c r="K575" s="11" t="s">
        <v>5661</v>
      </c>
      <c r="L575" s="8"/>
      <c r="M575" s="12">
        <v>17.0</v>
      </c>
      <c r="N575" s="8"/>
      <c r="O575" s="8"/>
      <c r="P575" s="29"/>
      <c r="Q575" s="4" t="str">
        <f t="shared" si="2"/>
        <v>Remove</v>
      </c>
    </row>
    <row r="576">
      <c r="A576" s="13" t="s">
        <v>2493</v>
      </c>
      <c r="B576" s="6">
        <v>1534.0</v>
      </c>
      <c r="C576" s="6" t="b">
        <v>0</v>
      </c>
      <c r="D576" s="8" t="str">
        <f>IFERROR(__xludf.DUMMYFUNCTION("GOOGLETRANSLATE(A576,""ar"", ""en"")"),"Kwan Fadar chair")</f>
        <v>Kwan Fadar chair</v>
      </c>
      <c r="E576" s="13" t="s">
        <v>2494</v>
      </c>
      <c r="F576" s="9" t="s">
        <v>18</v>
      </c>
      <c r="G576" s="9"/>
      <c r="H576" s="8"/>
      <c r="I576" s="8"/>
      <c r="J576" s="31"/>
      <c r="K576" s="11" t="s">
        <v>5770</v>
      </c>
      <c r="L576" s="8"/>
      <c r="M576" s="15">
        <v>16.0</v>
      </c>
      <c r="N576" s="8"/>
      <c r="O576" s="8"/>
      <c r="P576" s="31"/>
      <c r="Q576" s="4" t="str">
        <f t="shared" si="2"/>
        <v>Remove</v>
      </c>
    </row>
    <row r="577">
      <c r="A577" s="13" t="s">
        <v>2495</v>
      </c>
      <c r="B577" s="6">
        <v>1536.0</v>
      </c>
      <c r="C577" s="6" t="b">
        <v>0</v>
      </c>
      <c r="D577" s="8" t="str">
        <f>IFERROR(__xludf.DUMMYFUNCTION("GOOGLETRANSLATE(A577,""ar"", ""en"")"),"60 cm glass table")</f>
        <v>60 cm glass table</v>
      </c>
      <c r="E577" s="13" t="s">
        <v>2496</v>
      </c>
      <c r="F577" s="9" t="s">
        <v>18</v>
      </c>
      <c r="G577" s="9"/>
      <c r="H577" s="8"/>
      <c r="I577" s="8"/>
      <c r="J577" s="31"/>
      <c r="K577" s="11" t="s">
        <v>5771</v>
      </c>
      <c r="L577" s="8"/>
      <c r="M577" s="15">
        <v>24.0</v>
      </c>
      <c r="N577" s="8"/>
      <c r="O577" s="8"/>
      <c r="P577" s="31"/>
      <c r="Q577" s="4" t="str">
        <f t="shared" si="2"/>
        <v>Remove</v>
      </c>
    </row>
    <row r="578">
      <c r="A578" s="5" t="s">
        <v>2497</v>
      </c>
      <c r="B578" s="6">
        <v>1537.0</v>
      </c>
      <c r="C578" s="6" t="b">
        <v>0</v>
      </c>
      <c r="D578" s="8" t="str">
        <f>IFERROR(__xludf.DUMMYFUNCTION("GOOGLETRANSLATE(A578,""ar"", ""en"")"),"1+4 chair set")</f>
        <v>1+4 chair set</v>
      </c>
      <c r="E578" s="5" t="s">
        <v>2498</v>
      </c>
      <c r="F578" s="9" t="s">
        <v>18</v>
      </c>
      <c r="G578" s="9"/>
      <c r="H578" s="8"/>
      <c r="I578" s="8"/>
      <c r="J578" s="29"/>
      <c r="K578" s="11" t="s">
        <v>5772</v>
      </c>
      <c r="L578" s="8"/>
      <c r="M578" s="12">
        <v>121.0</v>
      </c>
      <c r="N578" s="8"/>
      <c r="O578" s="8"/>
      <c r="P578" s="29"/>
      <c r="Q578" s="4" t="str">
        <f t="shared" si="2"/>
        <v>Remove</v>
      </c>
    </row>
    <row r="579">
      <c r="A579" s="5" t="s">
        <v>1804</v>
      </c>
      <c r="B579" s="6">
        <v>1549.0</v>
      </c>
      <c r="C579" s="6" t="b">
        <v>0</v>
      </c>
      <c r="D579" s="8" t="str">
        <f>IFERROR(__xludf.DUMMYFUNCTION("GOOGLETRANSLATE(A579,""ar"", ""en"")"),"Font Bank Two Seats with 120cm Handrail")</f>
        <v>Font Bank Two Seats with 120cm Handrail</v>
      </c>
      <c r="E579" s="5" t="s">
        <v>2499</v>
      </c>
      <c r="F579" s="9" t="s">
        <v>28</v>
      </c>
      <c r="G579" s="9"/>
      <c r="H579" s="8"/>
      <c r="I579" s="8"/>
      <c r="J579" s="29"/>
      <c r="K579" s="11" t="s">
        <v>1806</v>
      </c>
      <c r="L579" s="8"/>
      <c r="M579" s="12">
        <v>20.0</v>
      </c>
      <c r="N579" s="8"/>
      <c r="O579" s="8"/>
      <c r="P579" s="29"/>
      <c r="Q579" s="4" t="str">
        <f t="shared" si="2"/>
        <v>Remove</v>
      </c>
    </row>
    <row r="580">
      <c r="A580" s="13" t="s">
        <v>2500</v>
      </c>
      <c r="B580" s="6">
        <v>1550.0</v>
      </c>
      <c r="C580" s="6" t="b">
        <v>0</v>
      </c>
      <c r="D580" s="8" t="str">
        <f>IFERROR(__xludf.DUMMYFUNCTION("GOOGLETRANSLATE(A580,""ar"", ""en"")"),"Bank Font Two Seats Without Backs")</f>
        <v>Bank Font Two Seats Without Backs</v>
      </c>
      <c r="E580" s="13" t="s">
        <v>2501</v>
      </c>
      <c r="F580" s="9" t="s">
        <v>28</v>
      </c>
      <c r="G580" s="9"/>
      <c r="H580" s="8"/>
      <c r="I580" s="8"/>
      <c r="J580" s="31"/>
      <c r="K580" s="11" t="s">
        <v>5773</v>
      </c>
      <c r="L580" s="8"/>
      <c r="M580" s="15">
        <v>3.0</v>
      </c>
      <c r="N580" s="8"/>
      <c r="O580" s="8"/>
      <c r="P580" s="31"/>
      <c r="Q580" s="4" t="str">
        <f t="shared" si="2"/>
        <v>Remove</v>
      </c>
    </row>
    <row r="581">
      <c r="A581" s="13" t="s">
        <v>2506</v>
      </c>
      <c r="B581" s="6">
        <v>1587.0</v>
      </c>
      <c r="C581" s="6" t="b">
        <v>0</v>
      </c>
      <c r="D581" s="8" t="str">
        <f>IFERROR(__xludf.DUMMYFUNCTION("GOOGLETRANSLATE(A581,""ar"", ""en"")"),"TECKNO two-door wardrobe")</f>
        <v>TECKNO two-door wardrobe</v>
      </c>
      <c r="E581" s="13" t="s">
        <v>2507</v>
      </c>
      <c r="F581" s="9" t="s">
        <v>18</v>
      </c>
      <c r="G581" s="9"/>
      <c r="H581" s="8"/>
      <c r="I581" s="8"/>
      <c r="J581" s="31"/>
      <c r="K581" s="11" t="s">
        <v>5774</v>
      </c>
      <c r="L581" s="8"/>
      <c r="M581" s="15">
        <v>24.0</v>
      </c>
      <c r="N581" s="8"/>
      <c r="O581" s="8"/>
      <c r="P581" s="31"/>
      <c r="Q581" s="4" t="str">
        <f t="shared" si="2"/>
        <v>Remove</v>
      </c>
    </row>
    <row r="582">
      <c r="A582" s="5" t="s">
        <v>2508</v>
      </c>
      <c r="B582" s="6">
        <v>1588.0</v>
      </c>
      <c r="C582" s="6" t="b">
        <v>0</v>
      </c>
      <c r="D582" s="8" t="str">
        <f>IFERROR(__xludf.DUMMYFUNCTION("GOOGLETRANSLATE(A582,""ar"", ""en"")"),"TECKNO 90 cm two-door wardrobe")</f>
        <v>TECKNO 90 cm two-door wardrobe</v>
      </c>
      <c r="E582" s="5" t="s">
        <v>2509</v>
      </c>
      <c r="F582" s="9" t="s">
        <v>18</v>
      </c>
      <c r="G582" s="9"/>
      <c r="H582" s="8"/>
      <c r="I582" s="8"/>
      <c r="J582" s="29"/>
      <c r="K582" s="11" t="s">
        <v>5775</v>
      </c>
      <c r="L582" s="8"/>
      <c r="M582" s="12">
        <v>81.0</v>
      </c>
      <c r="N582" s="8"/>
      <c r="O582" s="8"/>
      <c r="P582" s="29"/>
      <c r="Q582" s="4" t="str">
        <f t="shared" si="2"/>
        <v>Remove</v>
      </c>
    </row>
    <row r="583">
      <c r="A583" s="5" t="s">
        <v>2506</v>
      </c>
      <c r="B583" s="6">
        <v>1589.0</v>
      </c>
      <c r="C583" s="6" t="b">
        <v>0</v>
      </c>
      <c r="D583" s="8" t="str">
        <f>IFERROR(__xludf.DUMMYFUNCTION("GOOGLETRANSLATE(A583,""ar"", ""en"")"),"TECKNO two-door wardrobe")</f>
        <v>TECKNO two-door wardrobe</v>
      </c>
      <c r="E583" s="5" t="s">
        <v>2510</v>
      </c>
      <c r="F583" s="9" t="s">
        <v>18</v>
      </c>
      <c r="G583" s="9"/>
      <c r="H583" s="8"/>
      <c r="I583" s="8"/>
      <c r="J583" s="29"/>
      <c r="K583" s="11" t="s">
        <v>5774</v>
      </c>
      <c r="L583" s="8"/>
      <c r="M583" s="12">
        <v>19.0</v>
      </c>
      <c r="N583" s="8"/>
      <c r="O583" s="8"/>
      <c r="P583" s="29"/>
      <c r="Q583" s="4" t="str">
        <f t="shared" si="2"/>
        <v>Remove</v>
      </c>
    </row>
    <row r="584">
      <c r="A584" s="13" t="s">
        <v>2506</v>
      </c>
      <c r="B584" s="6">
        <v>1590.0</v>
      </c>
      <c r="C584" s="6" t="b">
        <v>0</v>
      </c>
      <c r="D584" s="8" t="str">
        <f>IFERROR(__xludf.DUMMYFUNCTION("GOOGLETRANSLATE(A584,""ar"", ""en"")"),"TECKNO two-door wardrobe")</f>
        <v>TECKNO two-door wardrobe</v>
      </c>
      <c r="E584" s="13" t="s">
        <v>2511</v>
      </c>
      <c r="F584" s="9" t="s">
        <v>18</v>
      </c>
      <c r="G584" s="9"/>
      <c r="H584" s="8"/>
      <c r="I584" s="8"/>
      <c r="J584" s="31"/>
      <c r="K584" s="11" t="s">
        <v>5774</v>
      </c>
      <c r="L584" s="8"/>
      <c r="M584" s="15">
        <v>28.0</v>
      </c>
      <c r="N584" s="8"/>
      <c r="O584" s="8"/>
      <c r="P584" s="31"/>
      <c r="Q584" s="4" t="str">
        <f t="shared" si="2"/>
        <v>Remove</v>
      </c>
    </row>
    <row r="585">
      <c r="A585" s="5" t="s">
        <v>2512</v>
      </c>
      <c r="B585" s="6">
        <v>1591.0</v>
      </c>
      <c r="C585" s="6" t="b">
        <v>0</v>
      </c>
      <c r="D585" s="8" t="str">
        <f>IFERROR(__xludf.DUMMYFUNCTION("GOOGLETRANSLATE(A585,""ar"", ""en"")"),"PANTRY CLOSET 60cm two-door wardrobe")</f>
        <v>PANTRY CLOSET 60cm two-door wardrobe</v>
      </c>
      <c r="E585" s="5" t="s">
        <v>2513</v>
      </c>
      <c r="F585" s="9" t="s">
        <v>18</v>
      </c>
      <c r="G585" s="9"/>
      <c r="H585" s="8"/>
      <c r="I585" s="8"/>
      <c r="J585" s="29"/>
      <c r="K585" s="11" t="s">
        <v>5776</v>
      </c>
      <c r="L585" s="8"/>
      <c r="M585" s="12">
        <v>10.0</v>
      </c>
      <c r="N585" s="8"/>
      <c r="O585" s="8"/>
      <c r="P585" s="29"/>
      <c r="Q585" s="4" t="str">
        <f t="shared" si="2"/>
        <v>Remove</v>
      </c>
    </row>
    <row r="586">
      <c r="A586" s="13" t="s">
        <v>1059</v>
      </c>
      <c r="B586" s="6">
        <v>1593.0</v>
      </c>
      <c r="C586" s="6" t="b">
        <v>0</v>
      </c>
      <c r="D586" s="8" t="str">
        <f>IFERROR(__xludf.DUMMYFUNCTION("GOOGLETRANSLATE(A586,""ar"", ""en"")"),"35 kg marble base")</f>
        <v>35 kg marble base</v>
      </c>
      <c r="E586" s="13" t="s">
        <v>2514</v>
      </c>
      <c r="F586" s="9" t="s">
        <v>28</v>
      </c>
      <c r="G586" s="9"/>
      <c r="H586" s="16" t="s">
        <v>285</v>
      </c>
      <c r="I586" s="8"/>
      <c r="J586" s="14">
        <v>0.0</v>
      </c>
      <c r="K586" s="11" t="s">
        <v>1061</v>
      </c>
      <c r="L586" s="8"/>
      <c r="M586" s="15">
        <v>27.0</v>
      </c>
      <c r="N586" s="8"/>
      <c r="O586" s="8"/>
      <c r="P586" s="14">
        <v>0.0</v>
      </c>
      <c r="Q586" s="4" t="str">
        <f t="shared" si="2"/>
        <v>Remove</v>
      </c>
    </row>
    <row r="587">
      <c r="A587" s="13" t="s">
        <v>2515</v>
      </c>
      <c r="B587" s="6">
        <v>1594.0</v>
      </c>
      <c r="C587" s="6" t="b">
        <v>0</v>
      </c>
      <c r="D587" s="8" t="str">
        <f>IFERROR(__xludf.DUMMYFUNCTION("GOOGLETRANSLATE(A587,""ar"", ""en"")"),"Dark grey sofa")</f>
        <v>Dark grey sofa</v>
      </c>
      <c r="E587" s="13" t="s">
        <v>2516</v>
      </c>
      <c r="F587" s="9" t="s">
        <v>18</v>
      </c>
      <c r="G587" s="9"/>
      <c r="H587" s="8"/>
      <c r="I587" s="16"/>
      <c r="J587" s="31"/>
      <c r="K587" s="11" t="s">
        <v>5777</v>
      </c>
      <c r="L587" s="8"/>
      <c r="M587" s="15">
        <v>6.0</v>
      </c>
      <c r="N587" s="8"/>
      <c r="O587" s="8"/>
      <c r="P587" s="31"/>
      <c r="Q587" s="4" t="str">
        <f t="shared" si="2"/>
        <v>Remove</v>
      </c>
    </row>
    <row r="588">
      <c r="A588" s="5" t="s">
        <v>2517</v>
      </c>
      <c r="B588" s="6">
        <v>1595.0</v>
      </c>
      <c r="C588" s="6" t="b">
        <v>0</v>
      </c>
      <c r="D588" s="8" t="str">
        <f>IFERROR(__xludf.DUMMYFUNCTION("GOOGLETRANSLATE(A588,""ar"", ""en"")"),"Sofa bed")</f>
        <v>Sofa bed</v>
      </c>
      <c r="E588" s="5" t="s">
        <v>2518</v>
      </c>
      <c r="F588" s="9" t="s">
        <v>18</v>
      </c>
      <c r="G588" s="9"/>
      <c r="H588" s="8"/>
      <c r="I588" s="8"/>
      <c r="J588" s="29"/>
      <c r="K588" s="11" t="s">
        <v>5778</v>
      </c>
      <c r="L588" s="8"/>
      <c r="M588" s="12">
        <v>23.0</v>
      </c>
      <c r="N588" s="8"/>
      <c r="O588" s="8"/>
      <c r="P588" s="29"/>
      <c r="Q588" s="4" t="str">
        <f t="shared" si="2"/>
        <v>Remove</v>
      </c>
    </row>
    <row r="589">
      <c r="A589" s="5" t="s">
        <v>2519</v>
      </c>
      <c r="B589" s="6">
        <v>1597.0</v>
      </c>
      <c r="C589" s="6" t="b">
        <v>0</v>
      </c>
      <c r="D589" s="8" t="str">
        <f>IFERROR(__xludf.DUMMYFUNCTION("GOOGLETRANSLATE(A589,""ar"", ""en"")"),"Light gray sofa bed")</f>
        <v>Light gray sofa bed</v>
      </c>
      <c r="E589" s="5" t="s">
        <v>2520</v>
      </c>
      <c r="F589" s="9" t="s">
        <v>18</v>
      </c>
      <c r="G589" s="9"/>
      <c r="H589" s="8"/>
      <c r="I589" s="8"/>
      <c r="J589" s="29"/>
      <c r="K589" s="11" t="s">
        <v>5779</v>
      </c>
      <c r="L589" s="8"/>
      <c r="M589" s="12">
        <v>16.0</v>
      </c>
      <c r="N589" s="8"/>
      <c r="O589" s="8"/>
      <c r="P589" s="29"/>
      <c r="Q589" s="4" t="str">
        <f t="shared" si="2"/>
        <v>Remove</v>
      </c>
    </row>
    <row r="590">
      <c r="A590" s="5" t="s">
        <v>2523</v>
      </c>
      <c r="B590" s="6">
        <v>1599.0</v>
      </c>
      <c r="C590" s="6" t="b">
        <v>0</v>
      </c>
      <c r="D590" s="8" t="str">
        <f>IFERROR(__xludf.DUMMYFUNCTION("GOOGLETRANSLATE(A590,""ar"", ""en"")"),"Turkish table set 1+2")</f>
        <v>Turkish table set 1+2</v>
      </c>
      <c r="E590" s="5" t="s">
        <v>2524</v>
      </c>
      <c r="F590" s="9" t="s">
        <v>18</v>
      </c>
      <c r="G590" s="9"/>
      <c r="H590" s="8"/>
      <c r="I590" s="8"/>
      <c r="J590" s="29"/>
      <c r="K590" s="11" t="s">
        <v>5780</v>
      </c>
      <c r="L590" s="8"/>
      <c r="M590" s="12">
        <v>23.0</v>
      </c>
      <c r="N590" s="8"/>
      <c r="O590" s="8"/>
      <c r="P590" s="29"/>
      <c r="Q590" s="4" t="str">
        <f t="shared" si="2"/>
        <v>Remove</v>
      </c>
    </row>
    <row r="591">
      <c r="A591" s="5" t="s">
        <v>2525</v>
      </c>
      <c r="B591" s="6">
        <v>1600.0</v>
      </c>
      <c r="C591" s="6" t="b">
        <v>0</v>
      </c>
      <c r="D591" s="8" t="str">
        <f>IFERROR(__xludf.DUMMYFUNCTION("GOOGLETRANSLATE(A591,""ar"", ""en"")"),"Table 100*200 cm")</f>
        <v>Table 100*200 cm</v>
      </c>
      <c r="E591" s="5" t="s">
        <v>2526</v>
      </c>
      <c r="F591" s="9" t="s">
        <v>18</v>
      </c>
      <c r="G591" s="9"/>
      <c r="H591" s="16" t="s">
        <v>1217</v>
      </c>
      <c r="I591" s="8"/>
      <c r="J591" s="29"/>
      <c r="K591" s="11" t="s">
        <v>5781</v>
      </c>
      <c r="L591" s="8"/>
      <c r="M591" s="12">
        <v>8.0</v>
      </c>
      <c r="N591" s="8"/>
      <c r="O591" s="8"/>
      <c r="P591" s="29"/>
      <c r="Q591" s="4" t="str">
        <f t="shared" si="2"/>
        <v>Remove</v>
      </c>
    </row>
    <row r="592">
      <c r="A592" s="5" t="s">
        <v>2527</v>
      </c>
      <c r="B592" s="6">
        <v>1601.0</v>
      </c>
      <c r="C592" s="6" t="b">
        <v>0</v>
      </c>
      <c r="D592" s="8" t="str">
        <f>IFERROR(__xludf.DUMMYFUNCTION("GOOGLETRANSLATE(A592,""ar"", ""en"")"),"100 cm table")</f>
        <v>100 cm table</v>
      </c>
      <c r="E592" s="5" t="s">
        <v>2528</v>
      </c>
      <c r="F592" s="9" t="s">
        <v>18</v>
      </c>
      <c r="G592" s="9"/>
      <c r="H592" s="16"/>
      <c r="I592" s="8"/>
      <c r="J592" s="29"/>
      <c r="K592" s="11" t="s">
        <v>5782</v>
      </c>
      <c r="L592" s="8"/>
      <c r="M592" s="12">
        <v>21.0</v>
      </c>
      <c r="N592" s="8"/>
      <c r="O592" s="8"/>
      <c r="P592" s="29"/>
      <c r="Q592" s="4" t="str">
        <f t="shared" si="2"/>
        <v>Remove</v>
      </c>
    </row>
    <row r="593">
      <c r="A593" s="13" t="s">
        <v>2529</v>
      </c>
      <c r="B593" s="6">
        <v>1605.0</v>
      </c>
      <c r="C593" s="6" t="b">
        <v>0</v>
      </c>
      <c r="D593" s="8" t="str">
        <f>IFERROR(__xludf.DUMMYFUNCTION("GOOGLETRANSLATE(A593,""ar"", ""en"")"),"treasury")</f>
        <v>treasury</v>
      </c>
      <c r="E593" s="13" t="s">
        <v>2530</v>
      </c>
      <c r="F593" s="9" t="s">
        <v>18</v>
      </c>
      <c r="G593" s="9"/>
      <c r="H593" s="8"/>
      <c r="I593" s="8"/>
      <c r="J593" s="31"/>
      <c r="K593" s="11" t="s">
        <v>5783</v>
      </c>
      <c r="L593" s="8"/>
      <c r="M593" s="15">
        <v>33.0</v>
      </c>
      <c r="N593" s="8"/>
      <c r="O593" s="8"/>
      <c r="P593" s="31"/>
      <c r="Q593" s="4" t="str">
        <f t="shared" si="2"/>
        <v>Remove</v>
      </c>
    </row>
    <row r="594">
      <c r="A594" s="5" t="s">
        <v>2531</v>
      </c>
      <c r="B594" s="6">
        <v>1606.0</v>
      </c>
      <c r="C594" s="6" t="b">
        <v>0</v>
      </c>
      <c r="D594" s="8" t="str">
        <f>IFERROR(__xludf.DUMMYFUNCTION("GOOGLETRANSLATE(A594,""ar"", ""en"")"),"Single bed 90 cm")</f>
        <v>Single bed 90 cm</v>
      </c>
      <c r="E594" s="5" t="s">
        <v>2532</v>
      </c>
      <c r="F594" s="9" t="s">
        <v>18</v>
      </c>
      <c r="G594" s="9"/>
      <c r="H594" s="8"/>
      <c r="I594" s="8"/>
      <c r="J594" s="10">
        <v>2550.0</v>
      </c>
      <c r="K594" s="11" t="s">
        <v>5784</v>
      </c>
      <c r="L594" s="8"/>
      <c r="M594" s="12">
        <v>30.0</v>
      </c>
      <c r="N594" s="8"/>
      <c r="O594" s="8"/>
      <c r="P594" s="10">
        <v>85.0</v>
      </c>
      <c r="Q594" s="4" t="str">
        <f t="shared" si="2"/>
        <v>Remove</v>
      </c>
    </row>
    <row r="595">
      <c r="A595" s="5" t="s">
        <v>2533</v>
      </c>
      <c r="B595" s="6">
        <v>1610.0</v>
      </c>
      <c r="C595" s="6" t="b">
        <v>0</v>
      </c>
      <c r="D595" s="8" t="str">
        <f>IFERROR(__xludf.DUMMYFUNCTION("GOOGLETRANSLATE(A595,""ar"", ""en"")"),"safe")</f>
        <v>safe</v>
      </c>
      <c r="E595" s="5" t="s">
        <v>2534</v>
      </c>
      <c r="F595" s="9" t="s">
        <v>18</v>
      </c>
      <c r="G595" s="9"/>
      <c r="H595" s="8"/>
      <c r="I595" s="8"/>
      <c r="J595" s="29"/>
      <c r="K595" s="11" t="s">
        <v>5785</v>
      </c>
      <c r="L595" s="8"/>
      <c r="M595" s="12">
        <v>17.0</v>
      </c>
      <c r="N595" s="8"/>
      <c r="O595" s="8"/>
      <c r="P595" s="29"/>
      <c r="Q595" s="4" t="str">
        <f t="shared" si="2"/>
        <v>Remove</v>
      </c>
    </row>
    <row r="596">
      <c r="A596" s="5" t="s">
        <v>1074</v>
      </c>
      <c r="B596" s="6">
        <v>1612.0</v>
      </c>
      <c r="C596" s="6" t="b">
        <v>0</v>
      </c>
      <c r="D596" s="8" t="str">
        <f>IFERROR(__xludf.DUMMYFUNCTION("GOOGLETRANSLATE(A596,""ar"", ""en"")"),"solar base")</f>
        <v>solar base</v>
      </c>
      <c r="E596" s="5" t="s">
        <v>2535</v>
      </c>
      <c r="F596" s="9" t="s">
        <v>28</v>
      </c>
      <c r="G596" s="9"/>
      <c r="H596" s="16" t="s">
        <v>285</v>
      </c>
      <c r="I596" s="8"/>
      <c r="J596" s="10">
        <v>0.0</v>
      </c>
      <c r="K596" s="11" t="s">
        <v>1076</v>
      </c>
      <c r="L596" s="8"/>
      <c r="M596" s="12">
        <v>2.0</v>
      </c>
      <c r="N596" s="8"/>
      <c r="O596" s="8"/>
      <c r="P596" s="10">
        <v>0.0</v>
      </c>
      <c r="Q596" s="4" t="str">
        <f t="shared" si="2"/>
        <v>Remove</v>
      </c>
    </row>
    <row r="597">
      <c r="A597" s="13" t="s">
        <v>1074</v>
      </c>
      <c r="B597" s="6">
        <v>1613.0</v>
      </c>
      <c r="C597" s="6" t="b">
        <v>0</v>
      </c>
      <c r="D597" s="8" t="str">
        <f>IFERROR(__xludf.DUMMYFUNCTION("GOOGLETRANSLATE(A597,""ar"", ""en"")"),"solar base")</f>
        <v>solar base</v>
      </c>
      <c r="E597" s="13" t="s">
        <v>2536</v>
      </c>
      <c r="F597" s="9" t="s">
        <v>28</v>
      </c>
      <c r="G597" s="9"/>
      <c r="H597" s="16" t="s">
        <v>285</v>
      </c>
      <c r="I597" s="8"/>
      <c r="J597" s="14">
        <v>0.0</v>
      </c>
      <c r="K597" s="11" t="s">
        <v>1076</v>
      </c>
      <c r="L597" s="8"/>
      <c r="M597" s="15">
        <v>2.0</v>
      </c>
      <c r="N597" s="8"/>
      <c r="O597" s="8"/>
      <c r="P597" s="14">
        <v>0.0</v>
      </c>
      <c r="Q597" s="4" t="str">
        <f t="shared" si="2"/>
        <v>Remove</v>
      </c>
    </row>
    <row r="598">
      <c r="A598" s="5" t="s">
        <v>1074</v>
      </c>
      <c r="B598" s="6">
        <v>1614.0</v>
      </c>
      <c r="C598" s="6" t="b">
        <v>0</v>
      </c>
      <c r="D598" s="8" t="str">
        <f>IFERROR(__xludf.DUMMYFUNCTION("GOOGLETRANSLATE(A598,""ar"", ""en"")"),"solar base")</f>
        <v>solar base</v>
      </c>
      <c r="E598" s="5" t="s">
        <v>2537</v>
      </c>
      <c r="F598" s="9" t="s">
        <v>28</v>
      </c>
      <c r="G598" s="9"/>
      <c r="H598" s="16" t="s">
        <v>285</v>
      </c>
      <c r="I598" s="8"/>
      <c r="J598" s="10">
        <v>0.0</v>
      </c>
      <c r="K598" s="11" t="s">
        <v>1076</v>
      </c>
      <c r="L598" s="8"/>
      <c r="M598" s="12">
        <v>2.0</v>
      </c>
      <c r="N598" s="8"/>
      <c r="O598" s="8"/>
      <c r="P598" s="10">
        <v>0.0</v>
      </c>
      <c r="Q598" s="4" t="str">
        <f t="shared" si="2"/>
        <v>Remove</v>
      </c>
    </row>
    <row r="599">
      <c r="A599" s="5" t="s">
        <v>2538</v>
      </c>
      <c r="B599" s="6">
        <v>1654.0</v>
      </c>
      <c r="C599" s="6" t="b">
        <v>0</v>
      </c>
      <c r="D599" s="8" t="str">
        <f>IFERROR(__xludf.DUMMYFUNCTION("GOOGLETRANSLATE(A599,""ar"", ""en"")"),"240 cm plastic table with bag")</f>
        <v>240 cm plastic table with bag</v>
      </c>
      <c r="E599" s="5" t="s">
        <v>2539</v>
      </c>
      <c r="F599" s="9" t="s">
        <v>28</v>
      </c>
      <c r="G599" s="9"/>
      <c r="H599" s="8"/>
      <c r="I599" s="8"/>
      <c r="J599" s="29"/>
      <c r="K599" s="11" t="s">
        <v>5786</v>
      </c>
      <c r="L599" s="8"/>
      <c r="M599" s="12">
        <v>68.0</v>
      </c>
      <c r="N599" s="8"/>
      <c r="O599" s="8"/>
      <c r="P599" s="29"/>
      <c r="Q599" s="4" t="str">
        <f t="shared" si="2"/>
        <v>Remove</v>
      </c>
    </row>
    <row r="600">
      <c r="A600" s="13" t="s">
        <v>2443</v>
      </c>
      <c r="B600" s="6">
        <v>1655.0</v>
      </c>
      <c r="C600" s="6" t="b">
        <v>0</v>
      </c>
      <c r="D600" s="8" t="str">
        <f>IFERROR(__xludf.DUMMYFUNCTION("GOOGLETRANSLATE(A600,""ar"", ""en"")"),"Text table")</f>
        <v>Text table</v>
      </c>
      <c r="E600" s="13" t="s">
        <v>2540</v>
      </c>
      <c r="F600" s="9" t="s">
        <v>18</v>
      </c>
      <c r="G600" s="9"/>
      <c r="H600" s="8"/>
      <c r="I600" s="8"/>
      <c r="J600" s="31"/>
      <c r="K600" s="11" t="s">
        <v>5752</v>
      </c>
      <c r="L600" s="8"/>
      <c r="M600" s="15">
        <v>12.0</v>
      </c>
      <c r="N600" s="8"/>
      <c r="O600" s="8"/>
      <c r="P600" s="31"/>
      <c r="Q600" s="4" t="str">
        <f t="shared" si="2"/>
        <v>Remove</v>
      </c>
    </row>
    <row r="601">
      <c r="A601" s="13" t="s">
        <v>2443</v>
      </c>
      <c r="B601" s="6">
        <v>1657.0</v>
      </c>
      <c r="C601" s="6" t="b">
        <v>0</v>
      </c>
      <c r="D601" s="8" t="str">
        <f>IFERROR(__xludf.DUMMYFUNCTION("GOOGLETRANSLATE(A601,""ar"", ""en"")"),"Text table")</f>
        <v>Text table</v>
      </c>
      <c r="E601" s="13" t="s">
        <v>2541</v>
      </c>
      <c r="F601" s="9" t="s">
        <v>18</v>
      </c>
      <c r="G601" s="9"/>
      <c r="H601" s="8"/>
      <c r="I601" s="8"/>
      <c r="J601" s="31"/>
      <c r="K601" s="11" t="s">
        <v>5752</v>
      </c>
      <c r="L601" s="8"/>
      <c r="M601" s="15">
        <v>9.0</v>
      </c>
      <c r="N601" s="8"/>
      <c r="O601" s="8"/>
      <c r="P601" s="31"/>
      <c r="Q601" s="4" t="str">
        <f t="shared" si="2"/>
        <v>Remove</v>
      </c>
    </row>
    <row r="602">
      <c r="A602" s="5" t="s">
        <v>2443</v>
      </c>
      <c r="B602" s="6">
        <v>1658.0</v>
      </c>
      <c r="C602" s="6" t="b">
        <v>0</v>
      </c>
      <c r="D602" s="8" t="str">
        <f>IFERROR(__xludf.DUMMYFUNCTION("GOOGLETRANSLATE(A602,""ar"", ""en"")"),"Text table")</f>
        <v>Text table</v>
      </c>
      <c r="E602" s="5" t="s">
        <v>2542</v>
      </c>
      <c r="F602" s="9" t="s">
        <v>18</v>
      </c>
      <c r="G602" s="9"/>
      <c r="H602" s="8"/>
      <c r="I602" s="8"/>
      <c r="J602" s="29"/>
      <c r="K602" s="11" t="s">
        <v>5752</v>
      </c>
      <c r="L602" s="8"/>
      <c r="M602" s="12">
        <v>7.0</v>
      </c>
      <c r="N602" s="8"/>
      <c r="O602" s="8"/>
      <c r="P602" s="29"/>
      <c r="Q602" s="4" t="str">
        <f t="shared" si="2"/>
        <v>Remove</v>
      </c>
    </row>
    <row r="603">
      <c r="A603" s="13" t="s">
        <v>2443</v>
      </c>
      <c r="B603" s="6">
        <v>1659.0</v>
      </c>
      <c r="C603" s="6" t="b">
        <v>0</v>
      </c>
      <c r="D603" s="8" t="str">
        <f>IFERROR(__xludf.DUMMYFUNCTION("GOOGLETRANSLATE(A603,""ar"", ""en"")"),"Text table")</f>
        <v>Text table</v>
      </c>
      <c r="E603" s="13" t="s">
        <v>2543</v>
      </c>
      <c r="F603" s="9" t="s">
        <v>18</v>
      </c>
      <c r="G603" s="9"/>
      <c r="H603" s="8"/>
      <c r="I603" s="8"/>
      <c r="J603" s="31"/>
      <c r="K603" s="11" t="s">
        <v>5752</v>
      </c>
      <c r="L603" s="8"/>
      <c r="M603" s="15">
        <v>3.0</v>
      </c>
      <c r="N603" s="8"/>
      <c r="O603" s="8"/>
      <c r="P603" s="31"/>
      <c r="Q603" s="4" t="str">
        <f t="shared" si="2"/>
        <v>Remove</v>
      </c>
    </row>
    <row r="604">
      <c r="A604" s="5" t="s">
        <v>2443</v>
      </c>
      <c r="B604" s="6">
        <v>1660.0</v>
      </c>
      <c r="C604" s="6" t="b">
        <v>0</v>
      </c>
      <c r="D604" s="8" t="str">
        <f>IFERROR(__xludf.DUMMYFUNCTION("GOOGLETRANSLATE(A604,""ar"", ""en"")"),"Text table")</f>
        <v>Text table</v>
      </c>
      <c r="E604" s="5" t="s">
        <v>2544</v>
      </c>
      <c r="F604" s="9" t="s">
        <v>18</v>
      </c>
      <c r="G604" s="9"/>
      <c r="H604" s="8"/>
      <c r="I604" s="8"/>
      <c r="J604" s="29"/>
      <c r="K604" s="11" t="s">
        <v>5752</v>
      </c>
      <c r="L604" s="8"/>
      <c r="M604" s="12">
        <v>6.0</v>
      </c>
      <c r="N604" s="8"/>
      <c r="O604" s="8"/>
      <c r="P604" s="29"/>
      <c r="Q604" s="4" t="str">
        <f t="shared" si="2"/>
        <v>Remove</v>
      </c>
    </row>
    <row r="605">
      <c r="A605" s="5" t="s">
        <v>2545</v>
      </c>
      <c r="B605" s="6">
        <v>1661.0</v>
      </c>
      <c r="C605" s="6" t="b">
        <v>0</v>
      </c>
      <c r="D605" s="8" t="str">
        <f>IFERROR(__xludf.DUMMYFUNCTION("GOOGLETRANSLATE(A605,""ar"", ""en"")"),"TEAK sofa")</f>
        <v>TEAK sofa</v>
      </c>
      <c r="E605" s="5" t="s">
        <v>2546</v>
      </c>
      <c r="F605" s="9" t="s">
        <v>28</v>
      </c>
      <c r="G605" s="9"/>
      <c r="H605" s="8"/>
      <c r="I605" s="8"/>
      <c r="J605" s="29"/>
      <c r="K605" s="11" t="s">
        <v>5787</v>
      </c>
      <c r="L605" s="8"/>
      <c r="M605" s="12">
        <v>7.0</v>
      </c>
      <c r="N605" s="8"/>
      <c r="O605" s="8"/>
      <c r="P605" s="29"/>
      <c r="Q605" s="4" t="str">
        <f t="shared" si="2"/>
        <v>Remove</v>
      </c>
    </row>
    <row r="606">
      <c r="A606" s="13" t="s">
        <v>2547</v>
      </c>
      <c r="B606" s="6">
        <v>1663.0</v>
      </c>
      <c r="C606" s="6" t="b">
        <v>0</v>
      </c>
      <c r="D606" s="8" t="str">
        <f>IFERROR(__xludf.DUMMYFUNCTION("GOOGLETRANSLATE(A606,""ar"", ""en"")"),"tall mesh office chair")</f>
        <v>tall mesh office chair</v>
      </c>
      <c r="E606" s="13" t="s">
        <v>2548</v>
      </c>
      <c r="F606" s="9" t="s">
        <v>18</v>
      </c>
      <c r="G606" s="9"/>
      <c r="H606" s="16" t="s">
        <v>1151</v>
      </c>
      <c r="I606" s="8"/>
      <c r="J606" s="31"/>
      <c r="K606" s="11" t="s">
        <v>5788</v>
      </c>
      <c r="L606" s="8"/>
      <c r="M606" s="15">
        <v>1.0</v>
      </c>
      <c r="N606" s="8"/>
      <c r="O606" s="8"/>
      <c r="P606" s="31"/>
      <c r="Q606" s="4" t="str">
        <f t="shared" si="2"/>
        <v>Remove</v>
      </c>
    </row>
    <row r="607">
      <c r="A607" s="5" t="s">
        <v>1186</v>
      </c>
      <c r="B607" s="6">
        <v>1664.0</v>
      </c>
      <c r="C607" s="6" t="b">
        <v>0</v>
      </c>
      <c r="D607" s="8" t="str">
        <f>IFERROR(__xludf.DUMMYFUNCTION("GOOGLETRANSLATE(A607,""ar"", ""en"")"),"office chair")</f>
        <v>office chair</v>
      </c>
      <c r="E607" s="5" t="s">
        <v>2549</v>
      </c>
      <c r="F607" s="9" t="s">
        <v>18</v>
      </c>
      <c r="G607" s="9"/>
      <c r="H607" s="16" t="s">
        <v>1151</v>
      </c>
      <c r="I607" s="8"/>
      <c r="J607" s="29"/>
      <c r="K607" s="11" t="s">
        <v>1188</v>
      </c>
      <c r="L607" s="8"/>
      <c r="M607" s="12">
        <v>2.0</v>
      </c>
      <c r="N607" s="8"/>
      <c r="O607" s="8"/>
      <c r="P607" s="29"/>
      <c r="Q607" s="4" t="str">
        <f t="shared" si="2"/>
        <v>Remove</v>
      </c>
    </row>
    <row r="608">
      <c r="A608" s="13" t="s">
        <v>1186</v>
      </c>
      <c r="B608" s="6">
        <v>1665.0</v>
      </c>
      <c r="C608" s="6" t="b">
        <v>0</v>
      </c>
      <c r="D608" s="8" t="str">
        <f>IFERROR(__xludf.DUMMYFUNCTION("GOOGLETRANSLATE(A608,""ar"", ""en"")"),"office chair")</f>
        <v>office chair</v>
      </c>
      <c r="E608" s="13" t="s">
        <v>2550</v>
      </c>
      <c r="F608" s="9" t="s">
        <v>18</v>
      </c>
      <c r="G608" s="9"/>
      <c r="H608" s="16" t="s">
        <v>1151</v>
      </c>
      <c r="I608" s="8"/>
      <c r="J608" s="31"/>
      <c r="K608" s="11" t="s">
        <v>1188</v>
      </c>
      <c r="L608" s="8"/>
      <c r="M608" s="15">
        <v>2.0</v>
      </c>
      <c r="N608" s="8"/>
      <c r="O608" s="8"/>
      <c r="P608" s="31"/>
      <c r="Q608" s="4" t="str">
        <f t="shared" si="2"/>
        <v>Remove</v>
      </c>
    </row>
    <row r="609">
      <c r="A609" s="5" t="s">
        <v>1186</v>
      </c>
      <c r="B609" s="6">
        <v>1666.0</v>
      </c>
      <c r="C609" s="6" t="b">
        <v>0</v>
      </c>
      <c r="D609" s="8" t="str">
        <f>IFERROR(__xludf.DUMMYFUNCTION("GOOGLETRANSLATE(A609,""ar"", ""en"")"),"office chair")</f>
        <v>office chair</v>
      </c>
      <c r="E609" s="5" t="s">
        <v>2551</v>
      </c>
      <c r="F609" s="9" t="s">
        <v>18</v>
      </c>
      <c r="G609" s="9"/>
      <c r="H609" s="16" t="s">
        <v>1151</v>
      </c>
      <c r="I609" s="8"/>
      <c r="J609" s="29"/>
      <c r="K609" s="11" t="s">
        <v>1188</v>
      </c>
      <c r="L609" s="8"/>
      <c r="M609" s="12">
        <v>17.0</v>
      </c>
      <c r="N609" s="8"/>
      <c r="O609" s="8"/>
      <c r="P609" s="29"/>
      <c r="Q609" s="4" t="str">
        <f t="shared" si="2"/>
        <v>Remove</v>
      </c>
    </row>
    <row r="610">
      <c r="A610" s="13" t="s">
        <v>1186</v>
      </c>
      <c r="B610" s="6">
        <v>1667.0</v>
      </c>
      <c r="C610" s="6" t="b">
        <v>0</v>
      </c>
      <c r="D610" s="8" t="str">
        <f>IFERROR(__xludf.DUMMYFUNCTION("GOOGLETRANSLATE(A610,""ar"", ""en"")"),"office chair")</f>
        <v>office chair</v>
      </c>
      <c r="E610" s="13" t="s">
        <v>2552</v>
      </c>
      <c r="F610" s="9" t="s">
        <v>18</v>
      </c>
      <c r="G610" s="9"/>
      <c r="H610" s="16" t="s">
        <v>1151</v>
      </c>
      <c r="I610" s="8"/>
      <c r="J610" s="31"/>
      <c r="K610" s="11" t="s">
        <v>1188</v>
      </c>
      <c r="L610" s="8"/>
      <c r="M610" s="15">
        <v>19.0</v>
      </c>
      <c r="N610" s="8"/>
      <c r="O610" s="8"/>
      <c r="P610" s="31"/>
      <c r="Q610" s="4" t="str">
        <f t="shared" si="2"/>
        <v>Remove</v>
      </c>
    </row>
    <row r="611">
      <c r="A611" s="13" t="s">
        <v>2445</v>
      </c>
      <c r="B611" s="6">
        <v>1668.0</v>
      </c>
      <c r="C611" s="6" t="b">
        <v>0</v>
      </c>
      <c r="D611" s="8" t="str">
        <f>IFERROR(__xludf.DUMMYFUNCTION("GOOGLETRANSLATE(A611,""ar"", ""en"")"),"library")</f>
        <v>library</v>
      </c>
      <c r="E611" s="13" t="s">
        <v>2553</v>
      </c>
      <c r="F611" s="9" t="s">
        <v>18</v>
      </c>
      <c r="G611" s="9"/>
      <c r="H611" s="8"/>
      <c r="I611" s="8"/>
      <c r="J611" s="31"/>
      <c r="K611" s="11" t="s">
        <v>5753</v>
      </c>
      <c r="L611" s="8"/>
      <c r="M611" s="15">
        <v>31.0</v>
      </c>
      <c r="N611" s="8"/>
      <c r="O611" s="8"/>
      <c r="P611" s="31"/>
      <c r="Q611" s="4" t="str">
        <f t="shared" si="2"/>
        <v>Remove</v>
      </c>
    </row>
    <row r="612">
      <c r="A612" s="5" t="s">
        <v>2554</v>
      </c>
      <c r="B612" s="6">
        <v>1669.0</v>
      </c>
      <c r="C612" s="6" t="b">
        <v>0</v>
      </c>
      <c r="D612" s="8" t="str">
        <f>IFERROR(__xludf.DUMMYFUNCTION("GOOGLETRANSLATE(A612,""ar"", ""en"")"),"BC Little Library")</f>
        <v>BC Little Library</v>
      </c>
      <c r="E612" s="5" t="s">
        <v>2555</v>
      </c>
      <c r="F612" s="9" t="s">
        <v>18</v>
      </c>
      <c r="G612" s="9"/>
      <c r="H612" s="8"/>
      <c r="I612" s="8"/>
      <c r="J612" s="29"/>
      <c r="K612" s="11" t="s">
        <v>5789</v>
      </c>
      <c r="L612" s="8"/>
      <c r="M612" s="12">
        <v>69.0</v>
      </c>
      <c r="N612" s="8"/>
      <c r="O612" s="8"/>
      <c r="P612" s="29"/>
      <c r="Q612" s="4" t="str">
        <f t="shared" si="2"/>
        <v>Remove</v>
      </c>
    </row>
    <row r="613">
      <c r="A613" s="5" t="s">
        <v>2556</v>
      </c>
      <c r="B613" s="6">
        <v>1672.0</v>
      </c>
      <c r="C613" s="6" t="b">
        <v>0</v>
      </c>
      <c r="D613" s="8" t="str">
        <f>IFERROR(__xludf.DUMMYFUNCTION("GOOGLETRANSLATE(A613,""ar"", ""en"")"),"colorful plastic chair")</f>
        <v>colorful plastic chair</v>
      </c>
      <c r="E613" s="5" t="s">
        <v>2557</v>
      </c>
      <c r="F613" s="9" t="s">
        <v>28</v>
      </c>
      <c r="G613" s="9"/>
      <c r="H613" s="16" t="s">
        <v>43</v>
      </c>
      <c r="I613" s="8"/>
      <c r="J613" s="10">
        <v>0.0</v>
      </c>
      <c r="K613" s="11" t="s">
        <v>5790</v>
      </c>
      <c r="L613" s="8"/>
      <c r="M613" s="12">
        <v>6.0</v>
      </c>
      <c r="N613" s="8"/>
      <c r="O613" s="8"/>
      <c r="P613" s="10">
        <v>0.0</v>
      </c>
      <c r="Q613" s="4" t="str">
        <f t="shared" si="2"/>
        <v>Remove</v>
      </c>
    </row>
    <row r="614">
      <c r="A614" s="13" t="s">
        <v>2558</v>
      </c>
      <c r="B614" s="6">
        <v>1675.0</v>
      </c>
      <c r="C614" s="6" t="b">
        <v>0</v>
      </c>
      <c r="D614" s="8" t="str">
        <f>IFERROR(__xludf.DUMMYFUNCTION("GOOGLETRANSLATE(A614,""ar"", ""en"")"),"Bamboo tray set")</f>
        <v>Bamboo tray set</v>
      </c>
      <c r="E614" s="13" t="s">
        <v>2559</v>
      </c>
      <c r="F614" s="9" t="s">
        <v>28</v>
      </c>
      <c r="G614" s="9"/>
      <c r="H614" s="8"/>
      <c r="I614" s="8"/>
      <c r="J614" s="14">
        <v>0.0</v>
      </c>
      <c r="K614" s="11" t="s">
        <v>5791</v>
      </c>
      <c r="L614" s="8"/>
      <c r="M614" s="15">
        <v>27.0</v>
      </c>
      <c r="N614" s="8"/>
      <c r="O614" s="8"/>
      <c r="P614" s="14">
        <v>0.0</v>
      </c>
      <c r="Q614" s="4" t="str">
        <f t="shared" si="2"/>
        <v>Remove</v>
      </c>
    </row>
    <row r="615">
      <c r="A615" s="5" t="s">
        <v>70</v>
      </c>
      <c r="B615" s="6">
        <v>1697.0</v>
      </c>
      <c r="C615" s="6" t="b">
        <v>0</v>
      </c>
      <c r="D615" s="8" t="str">
        <f>IFERROR(__xludf.DUMMYFUNCTION("GOOGLETRANSLATE(A615,""ar"", ""en"")"),"iron chair with handle")</f>
        <v>iron chair with handle</v>
      </c>
      <c r="E615" s="5" t="s">
        <v>2572</v>
      </c>
      <c r="F615" s="9" t="s">
        <v>18</v>
      </c>
      <c r="G615" s="9"/>
      <c r="H615" s="16" t="s">
        <v>72</v>
      </c>
      <c r="I615" s="8"/>
      <c r="J615" s="29"/>
      <c r="K615" s="11" t="s">
        <v>73</v>
      </c>
      <c r="L615" s="8"/>
      <c r="M615" s="12">
        <v>1.0</v>
      </c>
      <c r="N615" s="8"/>
      <c r="O615" s="8"/>
      <c r="P615" s="29"/>
      <c r="Q615" s="4" t="str">
        <f t="shared" si="2"/>
        <v>Remove</v>
      </c>
    </row>
    <row r="616">
      <c r="A616" s="13" t="s">
        <v>2583</v>
      </c>
      <c r="B616" s="6">
        <v>1722.0</v>
      </c>
      <c r="C616" s="6" t="b">
        <v>0</v>
      </c>
      <c r="D616" s="8" t="str">
        <f>IFERROR(__xludf.DUMMYFUNCTION("GOOGLETRANSLATE(A616,""ar"", ""en"")"),"V iron chair with handle")</f>
        <v>V iron chair with handle</v>
      </c>
      <c r="E616" s="13" t="s">
        <v>2584</v>
      </c>
      <c r="F616" s="9" t="s">
        <v>27</v>
      </c>
      <c r="G616" s="9" t="s">
        <v>18</v>
      </c>
      <c r="H616" s="16" t="s">
        <v>72</v>
      </c>
      <c r="I616" s="8"/>
      <c r="J616" s="31"/>
      <c r="K616" s="11" t="s">
        <v>5792</v>
      </c>
      <c r="L616" s="8"/>
      <c r="M616" s="15">
        <v>19.0</v>
      </c>
      <c r="N616" s="8"/>
      <c r="O616" s="8"/>
      <c r="P616" s="31"/>
      <c r="Q616" s="4" t="str">
        <f t="shared" si="2"/>
        <v>Remove</v>
      </c>
    </row>
    <row r="617">
      <c r="A617" s="5" t="s">
        <v>1735</v>
      </c>
      <c r="B617" s="6">
        <v>1753.0</v>
      </c>
      <c r="C617" s="6" t="b">
        <v>0</v>
      </c>
      <c r="D617" s="8" t="str">
        <f>IFERROR(__xludf.DUMMYFUNCTION("GOOGLETRANSLATE(A617,""ar"", ""en"")"),"Two-seat resin set")</f>
        <v>Two-seat resin set</v>
      </c>
      <c r="E617" s="5" t="s">
        <v>2612</v>
      </c>
      <c r="F617" s="9" t="s">
        <v>28</v>
      </c>
      <c r="G617" s="9"/>
      <c r="H617" s="16" t="s">
        <v>519</v>
      </c>
      <c r="I617" s="8"/>
      <c r="J617" s="10">
        <v>0.0</v>
      </c>
      <c r="K617" s="11" t="s">
        <v>1737</v>
      </c>
      <c r="L617" s="8"/>
      <c r="M617" s="12">
        <v>15.0</v>
      </c>
      <c r="N617" s="8"/>
      <c r="O617" s="8"/>
      <c r="P617" s="10">
        <v>0.0</v>
      </c>
      <c r="Q617" s="4" t="str">
        <f t="shared" si="2"/>
        <v>Remove</v>
      </c>
    </row>
    <row r="618">
      <c r="A618" s="13" t="s">
        <v>2613</v>
      </c>
      <c r="B618" s="6">
        <v>1754.0</v>
      </c>
      <c r="C618" s="6" t="b">
        <v>0</v>
      </c>
      <c r="D618" s="8" t="str">
        <f>IFERROR(__xludf.DUMMYFUNCTION("GOOGLETRANSLATE(A618,""ar"", ""en"")"),"Resin set 1+4")</f>
        <v>Resin set 1+4</v>
      </c>
      <c r="E618" s="13" t="s">
        <v>2614</v>
      </c>
      <c r="F618" s="9" t="s">
        <v>28</v>
      </c>
      <c r="G618" s="9"/>
      <c r="H618" s="16" t="s">
        <v>519</v>
      </c>
      <c r="I618" s="8"/>
      <c r="J618" s="14">
        <v>0.0</v>
      </c>
      <c r="K618" s="11" t="s">
        <v>5793</v>
      </c>
      <c r="L618" s="8"/>
      <c r="M618" s="15">
        <v>15.0</v>
      </c>
      <c r="N618" s="8"/>
      <c r="O618" s="8"/>
      <c r="P618" s="14">
        <v>0.0</v>
      </c>
      <c r="Q618" s="4" t="str">
        <f t="shared" si="2"/>
        <v>Remove</v>
      </c>
    </row>
    <row r="619">
      <c r="A619" s="5" t="s">
        <v>2615</v>
      </c>
      <c r="B619" s="6">
        <v>1755.0</v>
      </c>
      <c r="C619" s="6" t="b">
        <v>0</v>
      </c>
      <c r="D619" s="8" t="str">
        <f>IFERROR(__xludf.DUMMYFUNCTION("GOOGLETRANSLATE(A619,""ar"", ""en"")"),"Resin chair in Fadar")</f>
        <v>Resin chair in Fadar</v>
      </c>
      <c r="E619" s="5" t="s">
        <v>2616</v>
      </c>
      <c r="F619" s="9" t="s">
        <v>28</v>
      </c>
      <c r="G619" s="9"/>
      <c r="H619" s="8"/>
      <c r="I619" s="8"/>
      <c r="J619" s="29"/>
      <c r="K619" s="11" t="s">
        <v>5794</v>
      </c>
      <c r="L619" s="8"/>
      <c r="M619" s="12">
        <v>17.0</v>
      </c>
      <c r="N619" s="8"/>
      <c r="O619" s="8"/>
      <c r="P619" s="29"/>
      <c r="Q619" s="4" t="str">
        <f t="shared" si="2"/>
        <v>Remove</v>
      </c>
    </row>
    <row r="620">
      <c r="A620" s="13" t="s">
        <v>2617</v>
      </c>
      <c r="B620" s="6">
        <v>1756.0</v>
      </c>
      <c r="C620" s="6" t="b">
        <v>0</v>
      </c>
      <c r="D620" s="8" t="str">
        <f>IFERROR(__xludf.DUMMYFUNCTION("GOOGLETRANSLATE(A620,""ar"", ""en"")"),"Resin table in the house")</f>
        <v>Resin table in the house</v>
      </c>
      <c r="E620" s="13" t="s">
        <v>2618</v>
      </c>
      <c r="F620" s="9" t="s">
        <v>28</v>
      </c>
      <c r="G620" s="9"/>
      <c r="H620" s="8"/>
      <c r="I620" s="8"/>
      <c r="J620" s="14">
        <v>0.0</v>
      </c>
      <c r="K620" s="11" t="s">
        <v>5795</v>
      </c>
      <c r="L620" s="8"/>
      <c r="M620" s="15">
        <v>39.0</v>
      </c>
      <c r="N620" s="8"/>
      <c r="O620" s="8"/>
      <c r="P620" s="14">
        <v>0.0</v>
      </c>
      <c r="Q620" s="4" t="str">
        <f t="shared" si="2"/>
        <v>Remove</v>
      </c>
    </row>
    <row r="621">
      <c r="A621" s="13" t="s">
        <v>2621</v>
      </c>
      <c r="B621" s="6">
        <v>1762.0</v>
      </c>
      <c r="C621" s="6" t="b">
        <v>0</v>
      </c>
      <c r="D621" s="8" t="str">
        <f>IFERROR(__xludf.DUMMYFUNCTION("GOOGLETRANSLATE(A621,""ar"", ""en"")"),"VS Two-door shoe cabinet with drawer")</f>
        <v>VS Two-door shoe cabinet with drawer</v>
      </c>
      <c r="E621" s="13" t="s">
        <v>2622</v>
      </c>
      <c r="F621" s="9" t="s">
        <v>18</v>
      </c>
      <c r="G621" s="9"/>
      <c r="H621" s="16" t="s">
        <v>1303</v>
      </c>
      <c r="I621" s="8"/>
      <c r="J621" s="31"/>
      <c r="K621" s="11" t="s">
        <v>5796</v>
      </c>
      <c r="L621" s="8"/>
      <c r="M621" s="15">
        <v>7.0</v>
      </c>
      <c r="N621" s="8"/>
      <c r="O621" s="8"/>
      <c r="P621" s="31"/>
      <c r="Q621" s="4" t="str">
        <f t="shared" si="2"/>
        <v>Remove</v>
      </c>
    </row>
    <row r="622">
      <c r="A622" s="5" t="s">
        <v>2623</v>
      </c>
      <c r="B622" s="6">
        <v>1769.0</v>
      </c>
      <c r="C622" s="6" t="b">
        <v>0</v>
      </c>
      <c r="D622" s="8" t="str">
        <f>IFERROR(__xludf.DUMMYFUNCTION("GOOGLETRANSLATE(A622,""ar"", ""en"")"),"Two-door tall leather shoe cabinet")</f>
        <v>Two-door tall leather shoe cabinet</v>
      </c>
      <c r="E622" s="5" t="s">
        <v>2624</v>
      </c>
      <c r="F622" s="9" t="s">
        <v>18</v>
      </c>
      <c r="G622" s="9"/>
      <c r="H622" s="16" t="s">
        <v>1303</v>
      </c>
      <c r="I622" s="8"/>
      <c r="J622" s="29"/>
      <c r="K622" s="11" t="s">
        <v>5797</v>
      </c>
      <c r="L622" s="8"/>
      <c r="M622" s="12">
        <v>15.0</v>
      </c>
      <c r="N622" s="8"/>
      <c r="O622" s="8"/>
      <c r="P622" s="29"/>
      <c r="Q622" s="4" t="str">
        <f t="shared" si="2"/>
        <v>Remove</v>
      </c>
    </row>
    <row r="623">
      <c r="A623" s="13" t="s">
        <v>2625</v>
      </c>
      <c r="B623" s="6">
        <v>1770.0</v>
      </c>
      <c r="C623" s="6" t="b">
        <v>0</v>
      </c>
      <c r="D623" s="8" t="str">
        <f>IFERROR(__xludf.DUMMYFUNCTION("GOOGLETRANSLATE(A623,""ar"", ""en"")"),"Leather two-seater shoes")</f>
        <v>Leather two-seater shoes</v>
      </c>
      <c r="E623" s="13" t="s">
        <v>2626</v>
      </c>
      <c r="F623" s="9" t="s">
        <v>18</v>
      </c>
      <c r="G623" s="9"/>
      <c r="H623" s="16" t="s">
        <v>1303</v>
      </c>
      <c r="I623" s="8"/>
      <c r="J623" s="14">
        <v>0.0</v>
      </c>
      <c r="K623" s="11" t="s">
        <v>5798</v>
      </c>
      <c r="L623" s="8"/>
      <c r="M623" s="15">
        <v>83.0</v>
      </c>
      <c r="N623" s="8"/>
      <c r="O623" s="8"/>
      <c r="P623" s="14">
        <v>0.0</v>
      </c>
      <c r="Q623" s="4" t="str">
        <f t="shared" si="2"/>
        <v>Remove</v>
      </c>
    </row>
    <row r="624">
      <c r="A624" s="5" t="s">
        <v>2627</v>
      </c>
      <c r="B624" s="6">
        <v>1773.0</v>
      </c>
      <c r="C624" s="6" t="b">
        <v>0</v>
      </c>
      <c r="D624" s="8" t="str">
        <f>IFERROR(__xludf.DUMMYFUNCTION("GOOGLETRANSLATE(A624,""ar"", ""en"")"),"Two-tone checkered shoes")</f>
        <v>Two-tone checkered shoes</v>
      </c>
      <c r="E624" s="5" t="s">
        <v>2628</v>
      </c>
      <c r="F624" s="9" t="s">
        <v>18</v>
      </c>
      <c r="G624" s="9"/>
      <c r="H624" s="16" t="s">
        <v>1303</v>
      </c>
      <c r="I624" s="8"/>
      <c r="J624" s="10">
        <v>0.0</v>
      </c>
      <c r="K624" s="11" t="s">
        <v>5799</v>
      </c>
      <c r="L624" s="8"/>
      <c r="M624" s="12">
        <v>3.0</v>
      </c>
      <c r="N624" s="8"/>
      <c r="O624" s="8"/>
      <c r="P624" s="10">
        <v>0.0</v>
      </c>
      <c r="Q624" s="4" t="str">
        <f t="shared" si="2"/>
        <v>Remove</v>
      </c>
    </row>
    <row r="625">
      <c r="A625" s="13" t="s">
        <v>2629</v>
      </c>
      <c r="B625" s="6">
        <v>1774.0</v>
      </c>
      <c r="C625" s="6" t="b">
        <v>0</v>
      </c>
      <c r="D625" s="8" t="str">
        <f>IFERROR(__xludf.DUMMYFUNCTION("GOOGLETRANSLATE(A625,""ar"", ""en"")"),"3-drawer shoe cabinet")</f>
        <v>3-drawer shoe cabinet</v>
      </c>
      <c r="E625" s="13" t="s">
        <v>2630</v>
      </c>
      <c r="F625" s="9" t="s">
        <v>18</v>
      </c>
      <c r="G625" s="9"/>
      <c r="H625" s="16" t="s">
        <v>1303</v>
      </c>
      <c r="I625" s="8"/>
      <c r="J625" s="31"/>
      <c r="K625" s="11" t="s">
        <v>1946</v>
      </c>
      <c r="L625" s="8"/>
      <c r="M625" s="15">
        <v>2.0</v>
      </c>
      <c r="N625" s="8"/>
      <c r="O625" s="8"/>
      <c r="P625" s="31"/>
      <c r="Q625" s="4" t="str">
        <f t="shared" si="2"/>
        <v>Remove</v>
      </c>
    </row>
    <row r="626">
      <c r="A626" s="13" t="s">
        <v>2631</v>
      </c>
      <c r="B626" s="6">
        <v>1776.0</v>
      </c>
      <c r="C626" s="6" t="b">
        <v>0</v>
      </c>
      <c r="D626" s="8" t="str">
        <f>IFERROR(__xludf.DUMMYFUNCTION("GOOGLETRANSLATE(A626,""ar"", ""en"")"),"4-drawer leather shoe cabinet")</f>
        <v>4-drawer leather shoe cabinet</v>
      </c>
      <c r="E626" s="13" t="s">
        <v>2632</v>
      </c>
      <c r="F626" s="9" t="s">
        <v>18</v>
      </c>
      <c r="G626" s="9"/>
      <c r="H626" s="16" t="s">
        <v>1303</v>
      </c>
      <c r="I626" s="8"/>
      <c r="J626" s="31"/>
      <c r="K626" s="11" t="s">
        <v>5800</v>
      </c>
      <c r="L626" s="8"/>
      <c r="M626" s="15">
        <v>67.0</v>
      </c>
      <c r="N626" s="8"/>
      <c r="O626" s="8"/>
      <c r="P626" s="31"/>
      <c r="Q626" s="4" t="str">
        <f t="shared" si="2"/>
        <v>Remove</v>
      </c>
    </row>
    <row r="627">
      <c r="A627" s="5" t="s">
        <v>2633</v>
      </c>
      <c r="B627" s="6">
        <v>1777.0</v>
      </c>
      <c r="C627" s="6" t="b">
        <v>0</v>
      </c>
      <c r="D627" s="8" t="str">
        <f>IFERROR(__xludf.DUMMYFUNCTION("GOOGLETRANSLATE(A627,""ar"", ""en"")"),"Long checkered boots")</f>
        <v>Long checkered boots</v>
      </c>
      <c r="E627" s="5" t="s">
        <v>2634</v>
      </c>
      <c r="F627" s="9" t="s">
        <v>18</v>
      </c>
      <c r="G627" s="9"/>
      <c r="H627" s="16" t="s">
        <v>1303</v>
      </c>
      <c r="I627" s="8"/>
      <c r="J627" s="29"/>
      <c r="K627" s="11" t="s">
        <v>5801</v>
      </c>
      <c r="L627" s="8"/>
      <c r="M627" s="12">
        <v>72.0</v>
      </c>
      <c r="N627" s="8"/>
      <c r="O627" s="8"/>
      <c r="P627" s="29"/>
      <c r="Q627" s="4" t="str">
        <f t="shared" si="2"/>
        <v>Remove</v>
      </c>
    </row>
    <row r="628">
      <c r="A628" s="13" t="s">
        <v>2635</v>
      </c>
      <c r="B628" s="6">
        <v>1779.0</v>
      </c>
      <c r="C628" s="6" t="b">
        <v>0</v>
      </c>
      <c r="D628" s="8" t="str">
        <f>IFERROR(__xludf.DUMMYFUNCTION("GOOGLETRANSLATE(A628,""ar"", ""en"")"),"Long leather two-story shoes")</f>
        <v>Long leather two-story shoes</v>
      </c>
      <c r="E628" s="13" t="s">
        <v>2636</v>
      </c>
      <c r="F628" s="9" t="s">
        <v>18</v>
      </c>
      <c r="G628" s="9"/>
      <c r="H628" s="16" t="s">
        <v>1303</v>
      </c>
      <c r="I628" s="8"/>
      <c r="J628" s="31"/>
      <c r="K628" s="11" t="s">
        <v>5802</v>
      </c>
      <c r="L628" s="8"/>
      <c r="M628" s="15">
        <v>39.0</v>
      </c>
      <c r="N628" s="8"/>
      <c r="O628" s="8"/>
      <c r="P628" s="31"/>
      <c r="Q628" s="4" t="str">
        <f t="shared" si="2"/>
        <v>Remove</v>
      </c>
    </row>
    <row r="629">
      <c r="A629" s="5" t="s">
        <v>1947</v>
      </c>
      <c r="B629" s="6">
        <v>1780.0</v>
      </c>
      <c r="C629" s="6" t="b">
        <v>0</v>
      </c>
      <c r="D629" s="8" t="str">
        <f>IFERROR(__xludf.DUMMYFUNCTION("GOOGLETRANSLATE(A629,""ar"", ""en"")"),"Long two-story shoes")</f>
        <v>Long two-story shoes</v>
      </c>
      <c r="E629" s="5" t="s">
        <v>2637</v>
      </c>
      <c r="F629" s="9" t="s">
        <v>18</v>
      </c>
      <c r="G629" s="9"/>
      <c r="H629" s="16" t="s">
        <v>1303</v>
      </c>
      <c r="I629" s="8"/>
      <c r="J629" s="10">
        <v>0.0</v>
      </c>
      <c r="K629" s="11" t="s">
        <v>1949</v>
      </c>
      <c r="L629" s="8"/>
      <c r="M629" s="12">
        <v>78.0</v>
      </c>
      <c r="N629" s="8"/>
      <c r="O629" s="8"/>
      <c r="P629" s="10">
        <v>0.0</v>
      </c>
      <c r="Q629" s="4" t="str">
        <f t="shared" si="2"/>
        <v>Remove</v>
      </c>
    </row>
    <row r="630">
      <c r="A630" s="13" t="s">
        <v>2638</v>
      </c>
      <c r="B630" s="6">
        <v>1782.0</v>
      </c>
      <c r="C630" s="6" t="b">
        <v>0</v>
      </c>
      <c r="D630" s="8" t="str">
        <f>IFERROR(__xludf.DUMMYFUNCTION("GOOGLETRANSLATE(A630,""ar"", ""en"")"),"Ribbed ankle boots")</f>
        <v>Ribbed ankle boots</v>
      </c>
      <c r="E630" s="13" t="s">
        <v>2639</v>
      </c>
      <c r="F630" s="9" t="s">
        <v>18</v>
      </c>
      <c r="G630" s="9"/>
      <c r="H630" s="16" t="s">
        <v>1303</v>
      </c>
      <c r="I630" s="8"/>
      <c r="J630" s="14">
        <v>0.0</v>
      </c>
      <c r="K630" s="11" t="s">
        <v>5803</v>
      </c>
      <c r="L630" s="8"/>
      <c r="M630" s="15">
        <v>30.0</v>
      </c>
      <c r="N630" s="8"/>
      <c r="O630" s="8"/>
      <c r="P630" s="14">
        <v>0.0</v>
      </c>
      <c r="Q630" s="4" t="str">
        <f t="shared" si="2"/>
        <v>Remove</v>
      </c>
    </row>
    <row r="631">
      <c r="A631" s="5" t="s">
        <v>2640</v>
      </c>
      <c r="B631" s="6">
        <v>1783.0</v>
      </c>
      <c r="C631" s="6" t="b">
        <v>0</v>
      </c>
      <c r="D631" s="8" t="str">
        <f>IFERROR(__xludf.DUMMYFUNCTION("GOOGLETRANSLATE(A631,""ar"", ""en"")"),"6-door leather shoes")</f>
        <v>6-door leather shoes</v>
      </c>
      <c r="E631" s="5" t="s">
        <v>2641</v>
      </c>
      <c r="F631" s="9" t="s">
        <v>18</v>
      </c>
      <c r="G631" s="9"/>
      <c r="H631" s="16" t="s">
        <v>1303</v>
      </c>
      <c r="I631" s="8"/>
      <c r="J631" s="29"/>
      <c r="K631" s="11" t="s">
        <v>5804</v>
      </c>
      <c r="L631" s="8"/>
      <c r="M631" s="12">
        <v>72.0</v>
      </c>
      <c r="N631" s="8"/>
      <c r="O631" s="8"/>
      <c r="P631" s="29"/>
      <c r="Q631" s="4" t="str">
        <f t="shared" si="2"/>
        <v>Remove</v>
      </c>
    </row>
    <row r="632">
      <c r="A632" s="13" t="s">
        <v>2642</v>
      </c>
      <c r="B632" s="6">
        <v>1784.0</v>
      </c>
      <c r="C632" s="6" t="b">
        <v>0</v>
      </c>
      <c r="D632" s="8" t="str">
        <f>IFERROR(__xludf.DUMMYFUNCTION("GOOGLETRANSLATE(A632,""ar"", ""en"")"),"6-drawer shoe cabinet")</f>
        <v>6-drawer shoe cabinet</v>
      </c>
      <c r="E632" s="13" t="s">
        <v>2643</v>
      </c>
      <c r="F632" s="9" t="s">
        <v>18</v>
      </c>
      <c r="G632" s="9"/>
      <c r="H632" s="16" t="s">
        <v>1303</v>
      </c>
      <c r="I632" s="8"/>
      <c r="J632" s="31"/>
      <c r="K632" s="11" t="s">
        <v>5805</v>
      </c>
      <c r="L632" s="8"/>
      <c r="M632" s="15">
        <v>72.0</v>
      </c>
      <c r="N632" s="8"/>
      <c r="O632" s="8"/>
      <c r="P632" s="31"/>
      <c r="Q632" s="4" t="str">
        <f t="shared" si="2"/>
        <v>Remove</v>
      </c>
    </row>
    <row r="633">
      <c r="A633" s="5" t="s">
        <v>2644</v>
      </c>
      <c r="B633" s="6">
        <v>1785.0</v>
      </c>
      <c r="C633" s="6" t="b">
        <v>0</v>
      </c>
      <c r="D633" s="8" t="str">
        <f>IFERROR(__xludf.DUMMYFUNCTION("GOOGLETRANSLATE(A633,""ar"", ""en"")"),"Two-door leather shoe cabinet")</f>
        <v>Two-door leather shoe cabinet</v>
      </c>
      <c r="E633" s="5" t="s">
        <v>2645</v>
      </c>
      <c r="F633" s="9" t="s">
        <v>18</v>
      </c>
      <c r="G633" s="9"/>
      <c r="H633" s="16" t="s">
        <v>1303</v>
      </c>
      <c r="I633" s="8"/>
      <c r="J633" s="29"/>
      <c r="K633" s="11" t="s">
        <v>5806</v>
      </c>
      <c r="L633" s="8"/>
      <c r="M633" s="12">
        <v>142.0</v>
      </c>
      <c r="N633" s="8"/>
      <c r="O633" s="8"/>
      <c r="P633" s="29"/>
      <c r="Q633" s="4" t="str">
        <f t="shared" si="2"/>
        <v>Remove</v>
      </c>
    </row>
    <row r="634">
      <c r="A634" s="5" t="s">
        <v>2646</v>
      </c>
      <c r="B634" s="6">
        <v>1787.0</v>
      </c>
      <c r="C634" s="6" t="b">
        <v>0</v>
      </c>
      <c r="D634" s="8" t="str">
        <f>IFERROR(__xludf.DUMMYFUNCTION("GOOGLETRANSLATE(A634,""ar"", ""en"")"),"BIG Round Fabric Basket")</f>
        <v>BIG Round Fabric Basket</v>
      </c>
      <c r="E634" s="5" t="s">
        <v>2647</v>
      </c>
      <c r="F634" s="9" t="s">
        <v>28</v>
      </c>
      <c r="G634" s="9"/>
      <c r="H634" s="16" t="s">
        <v>519</v>
      </c>
      <c r="I634" s="8"/>
      <c r="J634" s="29"/>
      <c r="K634" s="11" t="s">
        <v>5807</v>
      </c>
      <c r="L634" s="8"/>
      <c r="M634" s="12">
        <v>10.0</v>
      </c>
      <c r="N634" s="8"/>
      <c r="O634" s="8"/>
      <c r="P634" s="29"/>
      <c r="Q634" s="4" t="str">
        <f t="shared" si="2"/>
        <v>Remove</v>
      </c>
    </row>
    <row r="635">
      <c r="A635" s="13" t="s">
        <v>2648</v>
      </c>
      <c r="B635" s="6">
        <v>1788.0</v>
      </c>
      <c r="C635" s="6" t="b">
        <v>0</v>
      </c>
      <c r="D635" s="8" t="str">
        <f>IFERROR(__xludf.DUMMYFUNCTION("GOOGLETRANSLATE(A635,""ar"", ""en"")"),"MED Round Fabric Basket")</f>
        <v>MED Round Fabric Basket</v>
      </c>
      <c r="E635" s="13" t="s">
        <v>2649</v>
      </c>
      <c r="F635" s="9" t="s">
        <v>28</v>
      </c>
      <c r="G635" s="9"/>
      <c r="H635" s="16" t="s">
        <v>519</v>
      </c>
      <c r="I635" s="8"/>
      <c r="J635" s="31"/>
      <c r="K635" s="11" t="s">
        <v>5808</v>
      </c>
      <c r="L635" s="8"/>
      <c r="M635" s="15">
        <v>10.0</v>
      </c>
      <c r="N635" s="8"/>
      <c r="O635" s="8"/>
      <c r="P635" s="31"/>
      <c r="Q635" s="4" t="str">
        <f t="shared" si="2"/>
        <v>Remove</v>
      </c>
    </row>
    <row r="636">
      <c r="A636" s="5" t="s">
        <v>2650</v>
      </c>
      <c r="B636" s="6">
        <v>1789.0</v>
      </c>
      <c r="C636" s="6" t="b">
        <v>0</v>
      </c>
      <c r="D636" s="8" t="str">
        <f>IFERROR(__xludf.DUMMYFUNCTION("GOOGLETRANSLATE(A636,""ar"", ""en"")"),"SMALL ROUND FABRIC BASKET")</f>
        <v>SMALL ROUND FABRIC BASKET</v>
      </c>
      <c r="E636" s="5" t="s">
        <v>2651</v>
      </c>
      <c r="F636" s="9" t="s">
        <v>28</v>
      </c>
      <c r="G636" s="9"/>
      <c r="H636" s="16" t="s">
        <v>519</v>
      </c>
      <c r="I636" s="8"/>
      <c r="J636" s="29"/>
      <c r="K636" s="11" t="s">
        <v>5809</v>
      </c>
      <c r="L636" s="8"/>
      <c r="M636" s="12">
        <v>12.0</v>
      </c>
      <c r="N636" s="8"/>
      <c r="O636" s="8"/>
      <c r="P636" s="29"/>
      <c r="Q636" s="4" t="str">
        <f t="shared" si="2"/>
        <v>Remove</v>
      </c>
    </row>
    <row r="637">
      <c r="A637" s="13" t="s">
        <v>2652</v>
      </c>
      <c r="B637" s="6">
        <v>1790.0</v>
      </c>
      <c r="C637" s="6" t="b">
        <v>0</v>
      </c>
      <c r="D637" s="8" t="str">
        <f>IFERROR(__xludf.DUMMYFUNCTION("GOOGLETRANSLATE(A637,""ar"", ""en"")"),"BIG Oval Open Fabric Basket")</f>
        <v>BIG Oval Open Fabric Basket</v>
      </c>
      <c r="E637" s="13" t="s">
        <v>2653</v>
      </c>
      <c r="F637" s="9" t="s">
        <v>28</v>
      </c>
      <c r="G637" s="9"/>
      <c r="H637" s="16" t="s">
        <v>519</v>
      </c>
      <c r="I637" s="8"/>
      <c r="J637" s="31"/>
      <c r="K637" s="11" t="s">
        <v>5810</v>
      </c>
      <c r="L637" s="8"/>
      <c r="M637" s="15">
        <v>20.0</v>
      </c>
      <c r="N637" s="8"/>
      <c r="O637" s="8"/>
      <c r="P637" s="31"/>
      <c r="Q637" s="4" t="str">
        <f t="shared" si="2"/>
        <v>Remove</v>
      </c>
    </row>
    <row r="638">
      <c r="A638" s="5" t="s">
        <v>2654</v>
      </c>
      <c r="B638" s="6">
        <v>1791.0</v>
      </c>
      <c r="C638" s="6" t="b">
        <v>0</v>
      </c>
      <c r="D638" s="8" t="str">
        <f>IFERROR(__xludf.DUMMYFUNCTION("GOOGLETRANSLATE(A638,""ar"", ""en"")"),"MED Open Oval Fabric Basket")</f>
        <v>MED Open Oval Fabric Basket</v>
      </c>
      <c r="E638" s="5" t="s">
        <v>2655</v>
      </c>
      <c r="F638" s="9" t="s">
        <v>28</v>
      </c>
      <c r="G638" s="9"/>
      <c r="H638" s="16" t="s">
        <v>519</v>
      </c>
      <c r="I638" s="8"/>
      <c r="J638" s="29"/>
      <c r="K638" s="11" t="s">
        <v>5811</v>
      </c>
      <c r="L638" s="8"/>
      <c r="M638" s="12">
        <v>20.0</v>
      </c>
      <c r="N638" s="8"/>
      <c r="O638" s="8"/>
      <c r="P638" s="29"/>
      <c r="Q638" s="4" t="str">
        <f t="shared" si="2"/>
        <v>Remove</v>
      </c>
    </row>
    <row r="639">
      <c r="A639" s="13" t="s">
        <v>2656</v>
      </c>
      <c r="B639" s="6">
        <v>1792.0</v>
      </c>
      <c r="C639" s="6" t="b">
        <v>0</v>
      </c>
      <c r="D639" s="8" t="str">
        <f>IFERROR(__xludf.DUMMYFUNCTION("GOOGLETRANSLATE(A639,""ar"", ""en"")"),"SML Open Oval Fabric Basket")</f>
        <v>SML Open Oval Fabric Basket</v>
      </c>
      <c r="E639" s="13" t="s">
        <v>2657</v>
      </c>
      <c r="F639" s="9" t="s">
        <v>28</v>
      </c>
      <c r="G639" s="9"/>
      <c r="H639" s="16" t="s">
        <v>519</v>
      </c>
      <c r="I639" s="8"/>
      <c r="J639" s="31"/>
      <c r="K639" s="11" t="s">
        <v>5812</v>
      </c>
      <c r="L639" s="8"/>
      <c r="M639" s="15">
        <v>20.0</v>
      </c>
      <c r="N639" s="8"/>
      <c r="O639" s="8"/>
      <c r="P639" s="31"/>
      <c r="Q639" s="4" t="str">
        <f t="shared" si="2"/>
        <v>Remove</v>
      </c>
    </row>
    <row r="640">
      <c r="A640" s="5" t="s">
        <v>2658</v>
      </c>
      <c r="B640" s="6">
        <v>1793.0</v>
      </c>
      <c r="C640" s="6" t="b">
        <v>0</v>
      </c>
      <c r="D640" s="8" t="str">
        <f>IFERROR(__xludf.DUMMYFUNCTION("GOOGLETRANSLATE(A640,""ar"", ""en"")"),"BIG Round Resin Basket")</f>
        <v>BIG Round Resin Basket</v>
      </c>
      <c r="E640" s="5" t="s">
        <v>2659</v>
      </c>
      <c r="F640" s="9" t="s">
        <v>28</v>
      </c>
      <c r="G640" s="9"/>
      <c r="H640" s="16" t="s">
        <v>519</v>
      </c>
      <c r="I640" s="8"/>
      <c r="J640" s="29"/>
      <c r="K640" s="11" t="s">
        <v>5813</v>
      </c>
      <c r="L640" s="8"/>
      <c r="M640" s="12">
        <v>24.0</v>
      </c>
      <c r="N640" s="8"/>
      <c r="O640" s="8"/>
      <c r="P640" s="29"/>
      <c r="Q640" s="4" t="str">
        <f t="shared" si="2"/>
        <v>Remove</v>
      </c>
    </row>
    <row r="641">
      <c r="A641" s="13" t="s">
        <v>2660</v>
      </c>
      <c r="B641" s="6">
        <v>1794.0</v>
      </c>
      <c r="C641" s="6" t="b">
        <v>0</v>
      </c>
      <c r="D641" s="8" t="str">
        <f>IFERROR(__xludf.DUMMYFUNCTION("GOOGLETRANSLATE(A641,""ar"", ""en"")"),"MED Round Resin Basket")</f>
        <v>MED Round Resin Basket</v>
      </c>
      <c r="E641" s="13" t="s">
        <v>2661</v>
      </c>
      <c r="F641" s="9" t="s">
        <v>28</v>
      </c>
      <c r="G641" s="9"/>
      <c r="H641" s="16" t="s">
        <v>519</v>
      </c>
      <c r="I641" s="8"/>
      <c r="J641" s="31"/>
      <c r="K641" s="11" t="s">
        <v>5814</v>
      </c>
      <c r="L641" s="8"/>
      <c r="M641" s="15">
        <v>22.0</v>
      </c>
      <c r="N641" s="8"/>
      <c r="O641" s="8"/>
      <c r="P641" s="31"/>
      <c r="Q641" s="4" t="str">
        <f t="shared" si="2"/>
        <v>Remove</v>
      </c>
    </row>
    <row r="642">
      <c r="A642" s="5" t="s">
        <v>2662</v>
      </c>
      <c r="B642" s="6">
        <v>1795.0</v>
      </c>
      <c r="C642" s="6" t="b">
        <v>0</v>
      </c>
      <c r="D642" s="8" t="str">
        <f>IFERROR(__xludf.DUMMYFUNCTION("GOOGLETRANSLATE(A642,""ar"", ""en"")"),"SMALL round resin basket")</f>
        <v>SMALL round resin basket</v>
      </c>
      <c r="E642" s="5" t="s">
        <v>2663</v>
      </c>
      <c r="F642" s="9" t="s">
        <v>28</v>
      </c>
      <c r="G642" s="9"/>
      <c r="H642" s="16" t="s">
        <v>519</v>
      </c>
      <c r="I642" s="8"/>
      <c r="J642" s="29"/>
      <c r="K642" s="11" t="s">
        <v>5815</v>
      </c>
      <c r="L642" s="8"/>
      <c r="M642" s="12">
        <v>23.0</v>
      </c>
      <c r="N642" s="8"/>
      <c r="O642" s="8"/>
      <c r="P642" s="29"/>
      <c r="Q642" s="4" t="str">
        <f t="shared" si="2"/>
        <v>Remove</v>
      </c>
    </row>
    <row r="643">
      <c r="A643" s="5" t="s">
        <v>2664</v>
      </c>
      <c r="B643" s="6">
        <v>1797.0</v>
      </c>
      <c r="C643" s="6" t="b">
        <v>0</v>
      </c>
      <c r="D643" s="8" t="str">
        <f>IFERROR(__xludf.DUMMYFUNCTION("GOOGLETRANSLATE(A643,""ar"", ""en"")"),"3-seat resin decor set")</f>
        <v>3-seat resin decor set</v>
      </c>
      <c r="E643" s="5" t="s">
        <v>2665</v>
      </c>
      <c r="F643" s="9" t="s">
        <v>28</v>
      </c>
      <c r="G643" s="9"/>
      <c r="H643" s="16" t="s">
        <v>519</v>
      </c>
      <c r="I643" s="8"/>
      <c r="J643" s="29"/>
      <c r="K643" s="11" t="s">
        <v>5816</v>
      </c>
      <c r="L643" s="8"/>
      <c r="M643" s="12">
        <v>3.0</v>
      </c>
      <c r="N643" s="8"/>
      <c r="O643" s="8"/>
      <c r="P643" s="29"/>
      <c r="Q643" s="4" t="str">
        <f t="shared" si="2"/>
        <v>Remove</v>
      </c>
    </row>
    <row r="644">
      <c r="A644" s="13" t="s">
        <v>2666</v>
      </c>
      <c r="B644" s="6">
        <v>1798.0</v>
      </c>
      <c r="C644" s="6" t="b">
        <v>0</v>
      </c>
      <c r="D644" s="8" t="str">
        <f>IFERROR(__xludf.DUMMYFUNCTION("GOOGLETRANSLATE(A644,""ar"", ""en"")"),"Turkish fabric corner")</f>
        <v>Turkish fabric corner</v>
      </c>
      <c r="E644" s="13" t="s">
        <v>2667</v>
      </c>
      <c r="F644" s="9" t="s">
        <v>18</v>
      </c>
      <c r="G644" s="9"/>
      <c r="H644" s="8"/>
      <c r="I644" s="8"/>
      <c r="J644" s="31"/>
      <c r="K644" s="11" t="s">
        <v>5817</v>
      </c>
      <c r="L644" s="8"/>
      <c r="M644" s="15">
        <v>18.0</v>
      </c>
      <c r="N644" s="8"/>
      <c r="O644" s="8"/>
      <c r="P644" s="31"/>
      <c r="Q644" s="4" t="str">
        <f t="shared" si="2"/>
        <v>Remove</v>
      </c>
    </row>
    <row r="645">
      <c r="A645" s="5" t="s">
        <v>2668</v>
      </c>
      <c r="B645" s="6">
        <v>1800.0</v>
      </c>
      <c r="C645" s="6" t="b">
        <v>0</v>
      </c>
      <c r="D645" s="8" t="str">
        <f>IFERROR(__xludf.DUMMYFUNCTION("GOOGLETRANSLATE(A645,""ar"", ""en"")"),"plastic shoe cabinet")</f>
        <v>plastic shoe cabinet</v>
      </c>
      <c r="E645" s="5" t="s">
        <v>2669</v>
      </c>
      <c r="F645" s="9" t="s">
        <v>18</v>
      </c>
      <c r="G645" s="9"/>
      <c r="H645" s="8"/>
      <c r="I645" s="8"/>
      <c r="J645" s="29"/>
      <c r="K645" s="11" t="s">
        <v>5818</v>
      </c>
      <c r="L645" s="8"/>
      <c r="M645" s="12">
        <v>38.0</v>
      </c>
      <c r="N645" s="8"/>
      <c r="O645" s="8"/>
      <c r="P645" s="29"/>
      <c r="Q645" s="4" t="str">
        <f t="shared" si="2"/>
        <v>Remove</v>
      </c>
    </row>
    <row r="646">
      <c r="A646" s="13" t="s">
        <v>2670</v>
      </c>
      <c r="B646" s="6">
        <v>1801.0</v>
      </c>
      <c r="C646" s="6" t="b">
        <v>0</v>
      </c>
      <c r="D646" s="8" t="str">
        <f>IFERROR(__xludf.DUMMYFUNCTION("GOOGLETRANSLATE(A646,""ar"", ""en"")"),"Heavy Duty 3 Seater Plastic Set")</f>
        <v>Heavy Duty 3 Seater Plastic Set</v>
      </c>
      <c r="E646" s="13" t="s">
        <v>2671</v>
      </c>
      <c r="F646" s="9" t="s">
        <v>28</v>
      </c>
      <c r="G646" s="9"/>
      <c r="H646" s="16" t="s">
        <v>43</v>
      </c>
      <c r="I646" s="8"/>
      <c r="J646" s="31"/>
      <c r="K646" s="11" t="s">
        <v>5819</v>
      </c>
      <c r="L646" s="8"/>
      <c r="M646" s="15">
        <v>1.0</v>
      </c>
      <c r="N646" s="8"/>
      <c r="O646" s="8"/>
      <c r="P646" s="31"/>
      <c r="Q646" s="4" t="str">
        <f t="shared" si="2"/>
        <v>Remove</v>
      </c>
    </row>
    <row r="647">
      <c r="A647" s="13" t="s">
        <v>1956</v>
      </c>
      <c r="B647" s="6">
        <v>1803.0</v>
      </c>
      <c r="C647" s="6" t="b">
        <v>0</v>
      </c>
      <c r="D647" s="8" t="str">
        <f>IFERROR(__xludf.DUMMYFUNCTION("GOOGLETRANSLATE(A647,""ar"", ""en"")"),"Turkish plastic chair with handle")</f>
        <v>Turkish plastic chair with handle</v>
      </c>
      <c r="E647" s="13" t="s">
        <v>2672</v>
      </c>
      <c r="F647" s="9" t="s">
        <v>28</v>
      </c>
      <c r="G647" s="9"/>
      <c r="H647" s="16" t="s">
        <v>43</v>
      </c>
      <c r="I647" s="8"/>
      <c r="J647" s="31"/>
      <c r="K647" s="11" t="s">
        <v>1959</v>
      </c>
      <c r="L647" s="8"/>
      <c r="M647" s="15">
        <v>31.0</v>
      </c>
      <c r="N647" s="8"/>
      <c r="O647" s="8"/>
      <c r="P647" s="31"/>
      <c r="Q647" s="4" t="str">
        <f t="shared" si="2"/>
        <v>Remove</v>
      </c>
    </row>
    <row r="648">
      <c r="A648" s="13" t="s">
        <v>1990</v>
      </c>
      <c r="B648" s="6">
        <v>1831.0</v>
      </c>
      <c r="C648" s="6" t="b">
        <v>0</v>
      </c>
      <c r="D648" s="8" t="str">
        <f>IFERROR(__xludf.DUMMYFUNCTION("GOOGLETRANSLATE(A648,""ar"", ""en"")"),"Rectangular font base")</f>
        <v>Rectangular font base</v>
      </c>
      <c r="E648" s="13" t="s">
        <v>2675</v>
      </c>
      <c r="F648" s="9" t="s">
        <v>27</v>
      </c>
      <c r="G648" s="9" t="s">
        <v>28</v>
      </c>
      <c r="H648" s="16" t="s">
        <v>186</v>
      </c>
      <c r="I648" s="8"/>
      <c r="J648" s="14">
        <v>0.0</v>
      </c>
      <c r="K648" s="11" t="s">
        <v>1992</v>
      </c>
      <c r="L648" s="16"/>
      <c r="M648" s="15">
        <v>1.0</v>
      </c>
      <c r="N648" s="8"/>
      <c r="O648" s="8"/>
      <c r="P648" s="14">
        <v>0.0</v>
      </c>
      <c r="Q648" s="4" t="str">
        <f t="shared" si="2"/>
        <v>Remove</v>
      </c>
    </row>
    <row r="649">
      <c r="A649" s="5" t="s">
        <v>2676</v>
      </c>
      <c r="B649" s="6">
        <v>1833.0</v>
      </c>
      <c r="C649" s="6" t="b">
        <v>0</v>
      </c>
      <c r="D649" s="8" t="str">
        <f>IFERROR(__xludf.DUMMYFUNCTION("GOOGLETRANSLATE(A649,""ar"", ""en"")"),"Font base")</f>
        <v>Font base</v>
      </c>
      <c r="E649" s="5" t="s">
        <v>2677</v>
      </c>
      <c r="F649" s="9" t="s">
        <v>27</v>
      </c>
      <c r="G649" s="9" t="s">
        <v>28</v>
      </c>
      <c r="H649" s="16" t="s">
        <v>186</v>
      </c>
      <c r="I649" s="8"/>
      <c r="J649" s="10">
        <v>0.0</v>
      </c>
      <c r="K649" s="11" t="s">
        <v>5820</v>
      </c>
      <c r="L649" s="8"/>
      <c r="M649" s="12">
        <v>3.0</v>
      </c>
      <c r="N649" s="8"/>
      <c r="O649" s="8"/>
      <c r="P649" s="10">
        <v>0.0</v>
      </c>
      <c r="Q649" s="4" t="str">
        <f t="shared" si="2"/>
        <v>Remove</v>
      </c>
    </row>
    <row r="650">
      <c r="A650" s="13" t="s">
        <v>844</v>
      </c>
      <c r="B650" s="6">
        <v>1836.0</v>
      </c>
      <c r="C650" s="6" t="b">
        <v>0</v>
      </c>
      <c r="D650" s="8" t="str">
        <f>IFERROR(__xludf.DUMMYFUNCTION("GOOGLETRANSLATE(A650,""ar"", ""en"")"),"Font base is allowed")</f>
        <v>Font base is allowed</v>
      </c>
      <c r="E650" s="13" t="s">
        <v>2678</v>
      </c>
      <c r="F650" s="9" t="s">
        <v>27</v>
      </c>
      <c r="G650" s="9" t="s">
        <v>28</v>
      </c>
      <c r="H650" s="16" t="s">
        <v>186</v>
      </c>
      <c r="I650" s="8"/>
      <c r="J650" s="31"/>
      <c r="K650" s="11" t="s">
        <v>846</v>
      </c>
      <c r="L650" s="8"/>
      <c r="M650" s="15">
        <v>1.0</v>
      </c>
      <c r="N650" s="8"/>
      <c r="O650" s="8"/>
      <c r="P650" s="31"/>
      <c r="Q650" s="4" t="str">
        <f t="shared" si="2"/>
        <v>Remove</v>
      </c>
    </row>
    <row r="651">
      <c r="A651" s="13" t="s">
        <v>2679</v>
      </c>
      <c r="B651" s="6">
        <v>1840.0</v>
      </c>
      <c r="C651" s="6" t="b">
        <v>0</v>
      </c>
      <c r="D651" s="8" t="str">
        <f>IFERROR(__xludf.DUMMYFUNCTION("GOOGLETRANSLATE(A651,""ar"", ""en"")"),"Wide X-Base Font")</f>
        <v>Wide X-Base Font</v>
      </c>
      <c r="E651" s="13" t="s">
        <v>2680</v>
      </c>
      <c r="F651" s="9" t="s">
        <v>27</v>
      </c>
      <c r="G651" s="9" t="s">
        <v>28</v>
      </c>
      <c r="H651" s="16" t="s">
        <v>186</v>
      </c>
      <c r="I651" s="8"/>
      <c r="J651" s="31"/>
      <c r="K651" s="11" t="s">
        <v>5821</v>
      </c>
      <c r="L651" s="8"/>
      <c r="M651" s="15">
        <v>3.0</v>
      </c>
      <c r="N651" s="8"/>
      <c r="O651" s="8"/>
      <c r="P651" s="31"/>
      <c r="Q651" s="4" t="str">
        <f t="shared" si="2"/>
        <v>Remove</v>
      </c>
    </row>
    <row r="652">
      <c r="A652" s="13" t="s">
        <v>2681</v>
      </c>
      <c r="B652" s="6">
        <v>1844.0</v>
      </c>
      <c r="C652" s="6" t="b">
        <v>0</v>
      </c>
      <c r="D652" s="8" t="str">
        <f>IFERROR(__xludf.DUMMYFUNCTION("GOOGLETRANSLATE(A652,""ar"", ""en"")"),"Black stainless steel base 38 cm")</f>
        <v>Black stainless steel base 38 cm</v>
      </c>
      <c r="E652" s="13" t="s">
        <v>2682</v>
      </c>
      <c r="F652" s="9" t="s">
        <v>27</v>
      </c>
      <c r="G652" s="9" t="s">
        <v>28</v>
      </c>
      <c r="H652" s="16" t="s">
        <v>186</v>
      </c>
      <c r="I652" s="8"/>
      <c r="J652" s="31"/>
      <c r="K652" s="11" t="s">
        <v>5822</v>
      </c>
      <c r="L652" s="8"/>
      <c r="M652" s="15">
        <v>5.0</v>
      </c>
      <c r="N652" s="8"/>
      <c r="O652" s="8"/>
      <c r="P652" s="31"/>
      <c r="Q652" s="4" t="str">
        <f t="shared" si="2"/>
        <v>Remove</v>
      </c>
    </row>
    <row r="653">
      <c r="A653" s="13" t="s">
        <v>820</v>
      </c>
      <c r="B653" s="6">
        <v>1848.0</v>
      </c>
      <c r="C653" s="6" t="b">
        <v>0</v>
      </c>
      <c r="D653" s="8" t="str">
        <f>IFERROR(__xludf.DUMMYFUNCTION("GOOGLETRANSLATE(A653,""ar"", ""en"")"),"Aluminum tipper base")</f>
        <v>Aluminum tipper base</v>
      </c>
      <c r="E653" s="13" t="s">
        <v>2683</v>
      </c>
      <c r="F653" s="9" t="s">
        <v>27</v>
      </c>
      <c r="G653" s="9" t="s">
        <v>28</v>
      </c>
      <c r="H653" s="16" t="s">
        <v>186</v>
      </c>
      <c r="I653" s="8"/>
      <c r="J653" s="31"/>
      <c r="K653" s="11" t="s">
        <v>822</v>
      </c>
      <c r="L653" s="8"/>
      <c r="M653" s="15">
        <v>2.0</v>
      </c>
      <c r="N653" s="8"/>
      <c r="O653" s="8"/>
      <c r="P653" s="31"/>
      <c r="Q653" s="4" t="str">
        <f t="shared" si="2"/>
        <v>Remove</v>
      </c>
    </row>
    <row r="654">
      <c r="A654" s="13" t="s">
        <v>2443</v>
      </c>
      <c r="B654" s="6">
        <v>1933.0</v>
      </c>
      <c r="C654" s="6" t="b">
        <v>0</v>
      </c>
      <c r="D654" s="8" t="str">
        <f>IFERROR(__xludf.DUMMYFUNCTION("GOOGLETRANSLATE(A654,""ar"", ""en"")"),"Text table")</f>
        <v>Text table</v>
      </c>
      <c r="E654" s="13" t="s">
        <v>2684</v>
      </c>
      <c r="F654" s="9" t="s">
        <v>18</v>
      </c>
      <c r="G654" s="30"/>
      <c r="H654" s="8"/>
      <c r="I654" s="8"/>
      <c r="J654" s="31"/>
      <c r="K654" s="11" t="s">
        <v>5752</v>
      </c>
      <c r="L654" s="8"/>
      <c r="M654" s="15">
        <v>1.0</v>
      </c>
      <c r="N654" s="8"/>
      <c r="O654" s="8"/>
      <c r="P654" s="31"/>
      <c r="Q654" s="4" t="str">
        <f t="shared" si="2"/>
        <v>Remove</v>
      </c>
    </row>
    <row r="655">
      <c r="A655" s="5" t="s">
        <v>2443</v>
      </c>
      <c r="B655" s="6">
        <v>1934.0</v>
      </c>
      <c r="C655" s="6" t="b">
        <v>0</v>
      </c>
      <c r="D655" s="8" t="str">
        <f>IFERROR(__xludf.DUMMYFUNCTION("GOOGLETRANSLATE(A655,""ar"", ""en"")"),"Text table")</f>
        <v>Text table</v>
      </c>
      <c r="E655" s="5" t="s">
        <v>2685</v>
      </c>
      <c r="F655" s="9" t="s">
        <v>18</v>
      </c>
      <c r="G655" s="9"/>
      <c r="H655" s="8"/>
      <c r="I655" s="8"/>
      <c r="J655" s="29"/>
      <c r="K655" s="11" t="s">
        <v>5752</v>
      </c>
      <c r="L655" s="8"/>
      <c r="M655" s="12">
        <v>1.0</v>
      </c>
      <c r="N655" s="8"/>
      <c r="O655" s="8"/>
      <c r="P655" s="29"/>
      <c r="Q655" s="4" t="str">
        <f t="shared" si="2"/>
        <v>Remove</v>
      </c>
    </row>
    <row r="656">
      <c r="A656" s="13" t="s">
        <v>2443</v>
      </c>
      <c r="B656" s="6">
        <v>1935.0</v>
      </c>
      <c r="C656" s="6" t="b">
        <v>0</v>
      </c>
      <c r="D656" s="8" t="str">
        <f>IFERROR(__xludf.DUMMYFUNCTION("GOOGLETRANSLATE(A656,""ar"", ""en"")"),"Text table")</f>
        <v>Text table</v>
      </c>
      <c r="E656" s="13" t="s">
        <v>2686</v>
      </c>
      <c r="F656" s="9" t="s">
        <v>18</v>
      </c>
      <c r="G656" s="9"/>
      <c r="H656" s="8"/>
      <c r="I656" s="8"/>
      <c r="J656" s="31"/>
      <c r="K656" s="11" t="s">
        <v>5752</v>
      </c>
      <c r="L656" s="8"/>
      <c r="M656" s="15">
        <v>2.0</v>
      </c>
      <c r="N656" s="8"/>
      <c r="O656" s="8"/>
      <c r="P656" s="31"/>
      <c r="Q656" s="4" t="str">
        <f t="shared" si="2"/>
        <v>Remove</v>
      </c>
    </row>
    <row r="657">
      <c r="A657" s="5" t="s">
        <v>2687</v>
      </c>
      <c r="B657" s="6">
        <v>1936.0</v>
      </c>
      <c r="C657" s="6" t="b">
        <v>0</v>
      </c>
      <c r="D657" s="8" t="str">
        <f>IFERROR(__xludf.DUMMYFUNCTION("GOOGLETRANSLATE(A657,""ar"", ""en"")"),"TV table")</f>
        <v>TV table</v>
      </c>
      <c r="E657" s="5" t="s">
        <v>2688</v>
      </c>
      <c r="F657" s="9" t="s">
        <v>18</v>
      </c>
      <c r="G657" s="9"/>
      <c r="H657" s="8"/>
      <c r="I657" s="8"/>
      <c r="J657" s="29"/>
      <c r="K657" s="11" t="s">
        <v>5823</v>
      </c>
      <c r="L657" s="8"/>
      <c r="M657" s="12">
        <v>1.0</v>
      </c>
      <c r="N657" s="8"/>
      <c r="O657" s="8"/>
      <c r="P657" s="29"/>
      <c r="Q657" s="4" t="str">
        <f t="shared" si="2"/>
        <v>Remove</v>
      </c>
    </row>
    <row r="658">
      <c r="A658" s="13" t="s">
        <v>2443</v>
      </c>
      <c r="B658" s="6">
        <v>1937.0</v>
      </c>
      <c r="C658" s="6" t="b">
        <v>0</v>
      </c>
      <c r="D658" s="8" t="str">
        <f>IFERROR(__xludf.DUMMYFUNCTION("GOOGLETRANSLATE(A658,""ar"", ""en"")"),"Text table")</f>
        <v>Text table</v>
      </c>
      <c r="E658" s="13" t="s">
        <v>2689</v>
      </c>
      <c r="F658" s="9" t="s">
        <v>18</v>
      </c>
      <c r="G658" s="9"/>
      <c r="H658" s="8"/>
      <c r="I658" s="8"/>
      <c r="J658" s="31"/>
      <c r="K658" s="11" t="s">
        <v>5752</v>
      </c>
      <c r="L658" s="8"/>
      <c r="M658" s="15">
        <v>2.0</v>
      </c>
      <c r="N658" s="8"/>
      <c r="O658" s="8"/>
      <c r="P658" s="31"/>
      <c r="Q658" s="4" t="str">
        <f t="shared" si="2"/>
        <v>Remove</v>
      </c>
    </row>
    <row r="659">
      <c r="A659" s="5" t="s">
        <v>2443</v>
      </c>
      <c r="B659" s="6">
        <v>1938.0</v>
      </c>
      <c r="C659" s="6" t="b">
        <v>0</v>
      </c>
      <c r="D659" s="8" t="str">
        <f>IFERROR(__xludf.DUMMYFUNCTION("GOOGLETRANSLATE(A659,""ar"", ""en"")"),"Text table")</f>
        <v>Text table</v>
      </c>
      <c r="E659" s="5" t="s">
        <v>2690</v>
      </c>
      <c r="F659" s="9" t="s">
        <v>18</v>
      </c>
      <c r="G659" s="9"/>
      <c r="H659" s="8"/>
      <c r="I659" s="8"/>
      <c r="J659" s="29"/>
      <c r="K659" s="11" t="s">
        <v>5752</v>
      </c>
      <c r="L659" s="8"/>
      <c r="M659" s="12">
        <v>2.0</v>
      </c>
      <c r="N659" s="8"/>
      <c r="O659" s="8"/>
      <c r="P659" s="29"/>
      <c r="Q659" s="4" t="str">
        <f t="shared" si="2"/>
        <v>Remove</v>
      </c>
    </row>
    <row r="660">
      <c r="A660" s="13" t="s">
        <v>2687</v>
      </c>
      <c r="B660" s="6">
        <v>1939.0</v>
      </c>
      <c r="C660" s="6" t="b">
        <v>0</v>
      </c>
      <c r="D660" s="8" t="str">
        <f>IFERROR(__xludf.DUMMYFUNCTION("GOOGLETRANSLATE(A660,""ar"", ""en"")"),"TV table")</f>
        <v>TV table</v>
      </c>
      <c r="E660" s="13" t="s">
        <v>2691</v>
      </c>
      <c r="F660" s="9" t="s">
        <v>18</v>
      </c>
      <c r="G660" s="9"/>
      <c r="H660" s="8"/>
      <c r="I660" s="8"/>
      <c r="J660" s="31"/>
      <c r="K660" s="11" t="s">
        <v>5823</v>
      </c>
      <c r="L660" s="8"/>
      <c r="M660" s="15">
        <v>4.0</v>
      </c>
      <c r="N660" s="8"/>
      <c r="O660" s="8"/>
      <c r="P660" s="31"/>
      <c r="Q660" s="4" t="str">
        <f t="shared" si="2"/>
        <v>Remove</v>
      </c>
    </row>
    <row r="661">
      <c r="A661" s="5" t="s">
        <v>2443</v>
      </c>
      <c r="B661" s="6">
        <v>1940.0</v>
      </c>
      <c r="C661" s="6" t="b">
        <v>0</v>
      </c>
      <c r="D661" s="8" t="str">
        <f>IFERROR(__xludf.DUMMYFUNCTION("GOOGLETRANSLATE(A661,""ar"", ""en"")"),"Text table")</f>
        <v>Text table</v>
      </c>
      <c r="E661" s="5" t="s">
        <v>2692</v>
      </c>
      <c r="F661" s="9" t="s">
        <v>18</v>
      </c>
      <c r="G661" s="9"/>
      <c r="H661" s="8"/>
      <c r="I661" s="8"/>
      <c r="J661" s="29"/>
      <c r="K661" s="11" t="s">
        <v>5752</v>
      </c>
      <c r="L661" s="8"/>
      <c r="M661" s="12">
        <v>3.0</v>
      </c>
      <c r="N661" s="8"/>
      <c r="O661" s="8"/>
      <c r="P661" s="29"/>
      <c r="Q661" s="4" t="str">
        <f t="shared" si="2"/>
        <v>Remove</v>
      </c>
    </row>
    <row r="662">
      <c r="A662" s="13" t="s">
        <v>2687</v>
      </c>
      <c r="B662" s="6">
        <v>1941.0</v>
      </c>
      <c r="C662" s="6" t="b">
        <v>0</v>
      </c>
      <c r="D662" s="8" t="str">
        <f>IFERROR(__xludf.DUMMYFUNCTION("GOOGLETRANSLATE(A662,""ar"", ""en"")"),"TV table")</f>
        <v>TV table</v>
      </c>
      <c r="E662" s="13" t="s">
        <v>2693</v>
      </c>
      <c r="F662" s="9" t="s">
        <v>18</v>
      </c>
      <c r="G662" s="9"/>
      <c r="H662" s="8"/>
      <c r="I662" s="8"/>
      <c r="J662" s="31"/>
      <c r="K662" s="11" t="s">
        <v>5823</v>
      </c>
      <c r="L662" s="8"/>
      <c r="M662" s="15">
        <v>3.0</v>
      </c>
      <c r="N662" s="8"/>
      <c r="O662" s="8"/>
      <c r="P662" s="31"/>
      <c r="Q662" s="4" t="str">
        <f t="shared" si="2"/>
        <v>Remove</v>
      </c>
    </row>
    <row r="663">
      <c r="A663" s="5" t="s">
        <v>2687</v>
      </c>
      <c r="B663" s="6">
        <v>1942.0</v>
      </c>
      <c r="C663" s="6" t="b">
        <v>0</v>
      </c>
      <c r="D663" s="8" t="str">
        <f>IFERROR(__xludf.DUMMYFUNCTION("GOOGLETRANSLATE(A663,""ar"", ""en"")"),"TV table")</f>
        <v>TV table</v>
      </c>
      <c r="E663" s="5" t="s">
        <v>2694</v>
      </c>
      <c r="F663" s="9" t="s">
        <v>18</v>
      </c>
      <c r="G663" s="9"/>
      <c r="H663" s="8"/>
      <c r="I663" s="8"/>
      <c r="J663" s="29"/>
      <c r="K663" s="11" t="s">
        <v>5823</v>
      </c>
      <c r="L663" s="8"/>
      <c r="M663" s="12">
        <v>2.0</v>
      </c>
      <c r="N663" s="8"/>
      <c r="O663" s="8"/>
      <c r="P663" s="29"/>
      <c r="Q663" s="4" t="str">
        <f t="shared" si="2"/>
        <v>Remove</v>
      </c>
    </row>
    <row r="664">
      <c r="A664" s="5" t="s">
        <v>2695</v>
      </c>
      <c r="B664" s="6">
        <v>1944.0</v>
      </c>
      <c r="C664" s="6" t="b">
        <v>0</v>
      </c>
      <c r="D664" s="8" t="str">
        <f>IFERROR(__xludf.DUMMYFUNCTION("GOOGLETRANSLATE(A664,""ar"", ""en"")"),"60cm round broken glass table")</f>
        <v>60cm round broken glass table</v>
      </c>
      <c r="E664" s="5" t="s">
        <v>2696</v>
      </c>
      <c r="F664" s="9" t="s">
        <v>18</v>
      </c>
      <c r="G664" s="9"/>
      <c r="H664" s="8"/>
      <c r="I664" s="8"/>
      <c r="J664" s="29"/>
      <c r="K664" s="11" t="s">
        <v>5824</v>
      </c>
      <c r="L664" s="8"/>
      <c r="M664" s="12">
        <v>5.0</v>
      </c>
      <c r="N664" s="8"/>
      <c r="O664" s="8"/>
      <c r="P664" s="29"/>
      <c r="Q664" s="4" t="str">
        <f t="shared" si="2"/>
        <v>Remove</v>
      </c>
    </row>
    <row r="665">
      <c r="A665" s="13" t="s">
        <v>2687</v>
      </c>
      <c r="B665" s="6">
        <v>1945.0</v>
      </c>
      <c r="C665" s="6" t="b">
        <v>0</v>
      </c>
      <c r="D665" s="8" t="str">
        <f>IFERROR(__xludf.DUMMYFUNCTION("GOOGLETRANSLATE(A665,""ar"", ""en"")"),"TV table")</f>
        <v>TV table</v>
      </c>
      <c r="E665" s="13" t="s">
        <v>2697</v>
      </c>
      <c r="F665" s="9" t="s">
        <v>18</v>
      </c>
      <c r="G665" s="9"/>
      <c r="H665" s="8"/>
      <c r="I665" s="8"/>
      <c r="J665" s="31"/>
      <c r="K665" s="11" t="s">
        <v>5823</v>
      </c>
      <c r="L665" s="8"/>
      <c r="M665" s="15">
        <v>5.0</v>
      </c>
      <c r="N665" s="8"/>
      <c r="O665" s="8"/>
      <c r="P665" s="31"/>
      <c r="Q665" s="4" t="str">
        <f t="shared" si="2"/>
        <v>Remove</v>
      </c>
    </row>
    <row r="666">
      <c r="A666" s="5" t="s">
        <v>2698</v>
      </c>
      <c r="B666" s="6">
        <v>1946.0</v>
      </c>
      <c r="C666" s="6" t="b">
        <v>0</v>
      </c>
      <c r="D666" s="8" t="str">
        <f>IFERROR(__xludf.DUMMYFUNCTION("GOOGLETRANSLATE(A666,""ar"", ""en"")"),"BLK Arabic Square Plastic Drink")</f>
        <v>BLK Arabic Square Plastic Drink</v>
      </c>
      <c r="E666" s="5" t="s">
        <v>2699</v>
      </c>
      <c r="F666" s="9" t="s">
        <v>18</v>
      </c>
      <c r="G666" s="9"/>
      <c r="H666" s="8"/>
      <c r="I666" s="8"/>
      <c r="J666" s="29"/>
      <c r="K666" s="11" t="s">
        <v>5825</v>
      </c>
      <c r="L666" s="8"/>
      <c r="M666" s="12">
        <v>21.0</v>
      </c>
      <c r="N666" s="8"/>
      <c r="O666" s="8"/>
      <c r="P666" s="29"/>
      <c r="Q666" s="4" t="str">
        <f t="shared" si="2"/>
        <v>Remove</v>
      </c>
    </row>
    <row r="667">
      <c r="A667" s="13" t="s">
        <v>2700</v>
      </c>
      <c r="B667" s="6">
        <v>1947.0</v>
      </c>
      <c r="C667" s="6" t="b">
        <v>0</v>
      </c>
      <c r="D667" s="8" t="str">
        <f>IFERROR(__xludf.DUMMYFUNCTION("GOOGLETRANSLATE(A667,""ar"", ""en"")"),"WHITE ARABIC PLASTIC SQUARE DRINK")</f>
        <v>WHITE ARABIC PLASTIC SQUARE DRINK</v>
      </c>
      <c r="E667" s="13" t="s">
        <v>2701</v>
      </c>
      <c r="F667" s="9" t="s">
        <v>18</v>
      </c>
      <c r="G667" s="9"/>
      <c r="H667" s="8"/>
      <c r="I667" s="8"/>
      <c r="J667" s="31"/>
      <c r="K667" s="11" t="s">
        <v>5826</v>
      </c>
      <c r="L667" s="8"/>
      <c r="M667" s="15">
        <v>4.0</v>
      </c>
      <c r="N667" s="8"/>
      <c r="O667" s="8"/>
      <c r="P667" s="31"/>
      <c r="Q667" s="4" t="str">
        <f t="shared" si="2"/>
        <v>Remove</v>
      </c>
    </row>
    <row r="668">
      <c r="A668" s="5" t="s">
        <v>2702</v>
      </c>
      <c r="B668" s="6">
        <v>1948.0</v>
      </c>
      <c r="C668" s="6" t="b">
        <v>0</v>
      </c>
      <c r="D668" s="8" t="str">
        <f>IFERROR(__xludf.DUMMYFUNCTION("GOOGLETRANSLATE(A668,""ar"", ""en"")"),"BLK Arabic round plastic drink")</f>
        <v>BLK Arabic round plastic drink</v>
      </c>
      <c r="E668" s="5" t="s">
        <v>2703</v>
      </c>
      <c r="F668" s="9" t="s">
        <v>18</v>
      </c>
      <c r="G668" s="9"/>
      <c r="H668" s="8"/>
      <c r="I668" s="8"/>
      <c r="J668" s="29"/>
      <c r="K668" s="11" t="s">
        <v>5827</v>
      </c>
      <c r="L668" s="8"/>
      <c r="M668" s="12">
        <v>22.0</v>
      </c>
      <c r="N668" s="8"/>
      <c r="O668" s="8"/>
      <c r="P668" s="29"/>
      <c r="Q668" s="4" t="str">
        <f t="shared" si="2"/>
        <v>Remove</v>
      </c>
    </row>
    <row r="669">
      <c r="A669" s="13" t="s">
        <v>2704</v>
      </c>
      <c r="B669" s="6">
        <v>1949.0</v>
      </c>
      <c r="C669" s="6" t="b">
        <v>0</v>
      </c>
      <c r="D669" s="8" t="str">
        <f>IFERROR(__xludf.DUMMYFUNCTION("GOOGLETRANSLATE(A669,""ar"", ""en"")"),"WHITE ARABIC ROUND PLASTIC DRINK")</f>
        <v>WHITE ARABIC ROUND PLASTIC DRINK</v>
      </c>
      <c r="E669" s="13" t="s">
        <v>2705</v>
      </c>
      <c r="F669" s="9" t="s">
        <v>18</v>
      </c>
      <c r="G669" s="9"/>
      <c r="H669" s="8"/>
      <c r="I669" s="8"/>
      <c r="J669" s="31"/>
      <c r="K669" s="11" t="s">
        <v>5828</v>
      </c>
      <c r="L669" s="8"/>
      <c r="M669" s="15">
        <v>4.0</v>
      </c>
      <c r="N669" s="8"/>
      <c r="O669" s="8"/>
      <c r="P669" s="31"/>
      <c r="Q669" s="4" t="str">
        <f t="shared" si="2"/>
        <v>Remove</v>
      </c>
    </row>
    <row r="670">
      <c r="A670" s="5" t="s">
        <v>2687</v>
      </c>
      <c r="B670" s="6">
        <v>1950.0</v>
      </c>
      <c r="C670" s="6" t="b">
        <v>0</v>
      </c>
      <c r="D670" s="8" t="str">
        <f>IFERROR(__xludf.DUMMYFUNCTION("GOOGLETRANSLATE(A670,""ar"", ""en"")"),"TV table")</f>
        <v>TV table</v>
      </c>
      <c r="E670" s="5" t="s">
        <v>2706</v>
      </c>
      <c r="F670" s="9" t="s">
        <v>18</v>
      </c>
      <c r="G670" s="9"/>
      <c r="H670" s="8"/>
      <c r="I670" s="8"/>
      <c r="J670" s="29"/>
      <c r="K670" s="11" t="s">
        <v>5823</v>
      </c>
      <c r="L670" s="8"/>
      <c r="M670" s="12">
        <v>4.0</v>
      </c>
      <c r="N670" s="8"/>
      <c r="O670" s="8"/>
      <c r="P670" s="29"/>
      <c r="Q670" s="4" t="str">
        <f t="shared" si="2"/>
        <v>Remove</v>
      </c>
    </row>
    <row r="671">
      <c r="A671" s="13" t="s">
        <v>2687</v>
      </c>
      <c r="B671" s="6">
        <v>1951.0</v>
      </c>
      <c r="C671" s="6" t="b">
        <v>0</v>
      </c>
      <c r="D671" s="8" t="str">
        <f>IFERROR(__xludf.DUMMYFUNCTION("GOOGLETRANSLATE(A671,""ar"", ""en"")"),"TV table")</f>
        <v>TV table</v>
      </c>
      <c r="E671" s="13" t="s">
        <v>2707</v>
      </c>
      <c r="F671" s="9" t="s">
        <v>18</v>
      </c>
      <c r="G671" s="9"/>
      <c r="H671" s="16"/>
      <c r="I671" s="8"/>
      <c r="J671" s="31"/>
      <c r="K671" s="11" t="s">
        <v>5823</v>
      </c>
      <c r="L671" s="8"/>
      <c r="M671" s="15">
        <v>8.0</v>
      </c>
      <c r="N671" s="8"/>
      <c r="O671" s="8"/>
      <c r="P671" s="31"/>
      <c r="Q671" s="4" t="str">
        <f t="shared" si="2"/>
        <v>Remove</v>
      </c>
    </row>
    <row r="672">
      <c r="A672" s="13" t="s">
        <v>2708</v>
      </c>
      <c r="B672" s="6">
        <v>1953.0</v>
      </c>
      <c r="C672" s="6" t="b">
        <v>0</v>
      </c>
      <c r="D672" s="8" t="str">
        <f>IFERROR(__xludf.DUMMYFUNCTION("GOOGLETRANSLATE(A672,""ar"", ""en"")"),"2*2 umbrella")</f>
        <v>2*2 umbrella</v>
      </c>
      <c r="E672" s="13" t="s">
        <v>2709</v>
      </c>
      <c r="F672" s="9" t="s">
        <v>28</v>
      </c>
      <c r="G672" s="9"/>
      <c r="H672" s="16" t="s">
        <v>285</v>
      </c>
      <c r="I672" s="8"/>
      <c r="J672" s="14">
        <v>0.0</v>
      </c>
      <c r="K672" s="11" t="s">
        <v>5829</v>
      </c>
      <c r="L672" s="8"/>
      <c r="M672" s="15">
        <v>2.0</v>
      </c>
      <c r="N672" s="8"/>
      <c r="O672" s="8"/>
      <c r="P672" s="14">
        <v>0.0</v>
      </c>
      <c r="Q672" s="4" t="str">
        <f t="shared" si="2"/>
        <v>Remove</v>
      </c>
    </row>
    <row r="673">
      <c r="A673" s="5" t="s">
        <v>2710</v>
      </c>
      <c r="B673" s="6">
        <v>1954.0</v>
      </c>
      <c r="C673" s="6" t="b">
        <v>0</v>
      </c>
      <c r="D673" s="8" t="str">
        <f>IFERROR(__xludf.DUMMYFUNCTION("GOOGLETRANSLATE(A673,""ar"", ""en"")"),"3*2 umbrella")</f>
        <v>3*2 umbrella</v>
      </c>
      <c r="E673" s="5" t="s">
        <v>2711</v>
      </c>
      <c r="F673" s="9" t="s">
        <v>28</v>
      </c>
      <c r="G673" s="9"/>
      <c r="H673" s="16" t="s">
        <v>285</v>
      </c>
      <c r="I673" s="8"/>
      <c r="J673" s="10">
        <v>0.0</v>
      </c>
      <c r="K673" s="11" t="s">
        <v>5830</v>
      </c>
      <c r="L673" s="8"/>
      <c r="M673" s="12">
        <v>11.0</v>
      </c>
      <c r="N673" s="8"/>
      <c r="O673" s="8"/>
      <c r="P673" s="10">
        <v>0.0</v>
      </c>
      <c r="Q673" s="4" t="str">
        <f t="shared" si="2"/>
        <v>Remove</v>
      </c>
    </row>
    <row r="674">
      <c r="A674" s="13" t="s">
        <v>2712</v>
      </c>
      <c r="B674" s="6">
        <v>1955.0</v>
      </c>
      <c r="C674" s="6" t="b">
        <v>0</v>
      </c>
      <c r="D674" s="8" t="str">
        <f>IFERROR(__xludf.DUMMYFUNCTION("GOOGLETRANSLATE(A674,""ar"", ""en"")"),"3*3 m umbrella")</f>
        <v>3*3 m umbrella</v>
      </c>
      <c r="E674" s="13" t="s">
        <v>2713</v>
      </c>
      <c r="F674" s="9" t="s">
        <v>28</v>
      </c>
      <c r="G674" s="9"/>
      <c r="H674" s="16" t="s">
        <v>285</v>
      </c>
      <c r="I674" s="8"/>
      <c r="J674" s="14">
        <v>0.0</v>
      </c>
      <c r="K674" s="11" t="s">
        <v>5831</v>
      </c>
      <c r="L674" s="8"/>
      <c r="M674" s="15">
        <v>6.0</v>
      </c>
      <c r="N674" s="8"/>
      <c r="O674" s="8"/>
      <c r="P674" s="14">
        <v>0.0</v>
      </c>
      <c r="Q674" s="4" t="str">
        <f t="shared" si="2"/>
        <v>Remove</v>
      </c>
    </row>
    <row r="675">
      <c r="A675" s="5" t="s">
        <v>2714</v>
      </c>
      <c r="B675" s="6">
        <v>1966.0</v>
      </c>
      <c r="C675" s="6" t="b">
        <v>0</v>
      </c>
      <c r="D675" s="8" t="str">
        <f>IFERROR(__xludf.DUMMYFUNCTION("GOOGLETRANSLATE(A675,""ar"", ""en"")"),"3*3 elbow umbrella")</f>
        <v>3*3 elbow umbrella</v>
      </c>
      <c r="E675" s="5" t="s">
        <v>2715</v>
      </c>
      <c r="F675" s="9" t="s">
        <v>28</v>
      </c>
      <c r="G675" s="9"/>
      <c r="H675" s="16" t="s">
        <v>285</v>
      </c>
      <c r="I675" s="8"/>
      <c r="J675" s="29"/>
      <c r="K675" s="11" t="s">
        <v>5832</v>
      </c>
      <c r="L675" s="8"/>
      <c r="M675" s="12">
        <v>3.0</v>
      </c>
      <c r="N675" s="8"/>
      <c r="O675" s="8"/>
      <c r="P675" s="29"/>
      <c r="Q675" s="4" t="str">
        <f t="shared" si="2"/>
        <v>Remove</v>
      </c>
    </row>
    <row r="676">
      <c r="A676" s="13" t="s">
        <v>2716</v>
      </c>
      <c r="B676" s="6">
        <v>1967.0</v>
      </c>
      <c r="C676" s="6" t="b">
        <v>0</v>
      </c>
      <c r="D676" s="8" t="str">
        <f>IFERROR(__xludf.DUMMYFUNCTION("GOOGLETRANSLATE(A676,""ar"", ""en"")"),"Solar base - 2001")</f>
        <v>Solar base - 2001</v>
      </c>
      <c r="E676" s="13" t="s">
        <v>2717</v>
      </c>
      <c r="F676" s="9" t="s">
        <v>28</v>
      </c>
      <c r="G676" s="9"/>
      <c r="H676" s="16" t="s">
        <v>285</v>
      </c>
      <c r="I676" s="8"/>
      <c r="J676" s="31"/>
      <c r="K676" s="11" t="s">
        <v>5833</v>
      </c>
      <c r="L676" s="8"/>
      <c r="M676" s="15">
        <v>354.0</v>
      </c>
      <c r="N676" s="8"/>
      <c r="O676" s="8"/>
      <c r="P676" s="31"/>
      <c r="Q676" s="4" t="str">
        <f t="shared" si="2"/>
        <v>Remove</v>
      </c>
    </row>
    <row r="677">
      <c r="A677" s="5" t="s">
        <v>2718</v>
      </c>
      <c r="B677" s="6">
        <v>1968.0</v>
      </c>
      <c r="C677" s="6" t="b">
        <v>0</v>
      </c>
      <c r="D677" s="8" t="str">
        <f>IFERROR(__xludf.DUMMYFUNCTION("GOOGLETRANSLATE(A677,""ar"", ""en"")"),"270 elbow umbrella with iron plate")</f>
        <v>270 elbow umbrella with iron plate</v>
      </c>
      <c r="E677" s="5" t="s">
        <v>2719</v>
      </c>
      <c r="F677" s="9" t="s">
        <v>28</v>
      </c>
      <c r="G677" s="9"/>
      <c r="H677" s="16" t="s">
        <v>285</v>
      </c>
      <c r="I677" s="8"/>
      <c r="J677" s="29"/>
      <c r="K677" s="11" t="s">
        <v>5834</v>
      </c>
      <c r="L677" s="8"/>
      <c r="M677" s="12">
        <v>1.0</v>
      </c>
      <c r="N677" s="8"/>
      <c r="O677" s="8"/>
      <c r="P677" s="29"/>
      <c r="Q677" s="4" t="str">
        <f t="shared" si="2"/>
        <v>Remove</v>
      </c>
    </row>
    <row r="678">
      <c r="A678" s="13" t="s">
        <v>2720</v>
      </c>
      <c r="B678" s="6">
        <v>1969.0</v>
      </c>
      <c r="C678" s="6" t="b">
        <v>0</v>
      </c>
      <c r="D678" s="8" t="str">
        <f>IFERROR(__xludf.DUMMYFUNCTION("GOOGLETRANSLATE(A678,""ar"", ""en"")"),"270 elbow umbrella with aluminum plate")</f>
        <v>270 elbow umbrella with aluminum plate</v>
      </c>
      <c r="E678" s="13" t="s">
        <v>2721</v>
      </c>
      <c r="F678" s="9" t="s">
        <v>28</v>
      </c>
      <c r="G678" s="9"/>
      <c r="H678" s="16" t="s">
        <v>285</v>
      </c>
      <c r="I678" s="8"/>
      <c r="J678" s="31"/>
      <c r="K678" s="11" t="s">
        <v>5835</v>
      </c>
      <c r="L678" s="8"/>
      <c r="M678" s="15">
        <v>2.0</v>
      </c>
      <c r="N678" s="8"/>
      <c r="O678" s="8"/>
      <c r="P678" s="31"/>
      <c r="Q678" s="4" t="str">
        <f t="shared" si="2"/>
        <v>Remove</v>
      </c>
    </row>
    <row r="679">
      <c r="A679" s="5" t="s">
        <v>2722</v>
      </c>
      <c r="B679" s="6">
        <v>1970.0</v>
      </c>
      <c r="C679" s="6" t="b">
        <v>0</v>
      </c>
      <c r="D679" s="8" t="str">
        <f>IFERROR(__xludf.DUMMYFUNCTION("GOOGLETRANSLATE(A679,""ar"", ""en"")"),"3*3 Heavy Duty Elbow Parasol/Break")</f>
        <v>3*3 Heavy Duty Elbow Parasol/Break</v>
      </c>
      <c r="E679" s="5" t="s">
        <v>2723</v>
      </c>
      <c r="F679" s="9" t="s">
        <v>28</v>
      </c>
      <c r="G679" s="9"/>
      <c r="H679" s="16" t="s">
        <v>285</v>
      </c>
      <c r="I679" s="8"/>
      <c r="J679" s="29"/>
      <c r="K679" s="11" t="s">
        <v>5836</v>
      </c>
      <c r="L679" s="8"/>
      <c r="M679" s="12">
        <v>-2.0</v>
      </c>
      <c r="N679" s="8"/>
      <c r="O679" s="8"/>
      <c r="P679" s="29"/>
      <c r="Q679" s="4" t="str">
        <f t="shared" si="2"/>
        <v>Remove</v>
      </c>
    </row>
    <row r="680">
      <c r="A680" s="13" t="s">
        <v>2724</v>
      </c>
      <c r="B680" s="6">
        <v>1971.0</v>
      </c>
      <c r="C680" s="6" t="b">
        <v>0</v>
      </c>
      <c r="D680" s="8" t="str">
        <f>IFERROR(__xludf.DUMMYFUNCTION("GOOGLETRANSLATE(A680,""ar"", ""en"")"),"270cm elbow umbrella + tile")</f>
        <v>270cm elbow umbrella + tile</v>
      </c>
      <c r="E680" s="13" t="s">
        <v>2725</v>
      </c>
      <c r="F680" s="9" t="s">
        <v>28</v>
      </c>
      <c r="G680" s="9"/>
      <c r="H680" s="16" t="s">
        <v>285</v>
      </c>
      <c r="I680" s="8"/>
      <c r="J680" s="31"/>
      <c r="K680" s="11" t="s">
        <v>5837</v>
      </c>
      <c r="L680" s="8"/>
      <c r="M680" s="15">
        <v>11.0</v>
      </c>
      <c r="N680" s="8"/>
      <c r="O680" s="8"/>
      <c r="P680" s="31"/>
      <c r="Q680" s="4" t="str">
        <f t="shared" si="2"/>
        <v>Remove</v>
      </c>
    </row>
    <row r="681">
      <c r="A681" s="5" t="s">
        <v>1074</v>
      </c>
      <c r="B681" s="6">
        <v>1972.0</v>
      </c>
      <c r="C681" s="6" t="b">
        <v>0</v>
      </c>
      <c r="D681" s="8" t="str">
        <f>IFERROR(__xludf.DUMMYFUNCTION("GOOGLETRANSLATE(A681,""ar"", ""en"")"),"solar base")</f>
        <v>solar base</v>
      </c>
      <c r="E681" s="5" t="s">
        <v>2726</v>
      </c>
      <c r="F681" s="9" t="s">
        <v>28</v>
      </c>
      <c r="G681" s="9"/>
      <c r="H681" s="16" t="s">
        <v>285</v>
      </c>
      <c r="I681" s="8"/>
      <c r="J681" s="29"/>
      <c r="K681" s="11" t="s">
        <v>1076</v>
      </c>
      <c r="L681" s="8"/>
      <c r="M681" s="12">
        <v>112.0</v>
      </c>
      <c r="N681" s="8"/>
      <c r="O681" s="8"/>
      <c r="P681" s="29"/>
      <c r="Q681" s="4" t="str">
        <f t="shared" si="2"/>
        <v>Remove</v>
      </c>
    </row>
    <row r="682">
      <c r="A682" s="13" t="s">
        <v>2727</v>
      </c>
      <c r="B682" s="6">
        <v>1973.0</v>
      </c>
      <c r="C682" s="6" t="b">
        <v>0</v>
      </c>
      <c r="D682" s="8" t="str">
        <f>IFERROR(__xludf.DUMMYFUNCTION("GOOGLETRANSLATE(A682,""ar"", ""en"")"),"ACCACIA dining table 180 cm")</f>
        <v>ACCACIA dining table 180 cm</v>
      </c>
      <c r="E682" s="13" t="s">
        <v>2728</v>
      </c>
      <c r="F682" s="9" t="s">
        <v>18</v>
      </c>
      <c r="G682" s="9"/>
      <c r="H682" s="16" t="s">
        <v>1217</v>
      </c>
      <c r="I682" s="8"/>
      <c r="J682" s="31"/>
      <c r="K682" s="11" t="s">
        <v>5838</v>
      </c>
      <c r="L682" s="8"/>
      <c r="M682" s="15">
        <v>3.0</v>
      </c>
      <c r="N682" s="8"/>
      <c r="O682" s="8"/>
      <c r="P682" s="31"/>
      <c r="Q682" s="4" t="str">
        <f t="shared" si="2"/>
        <v>Remove</v>
      </c>
    </row>
    <row r="683">
      <c r="A683" s="5" t="s">
        <v>2729</v>
      </c>
      <c r="B683" s="6">
        <v>1974.0</v>
      </c>
      <c r="C683" s="6" t="b">
        <v>0</v>
      </c>
      <c r="D683" s="8" t="str">
        <f>IFERROR(__xludf.DUMMYFUNCTION("GOOGLETRANSLATE(A683,""ar"", ""en"")"),"ACCACIA dining table 160 cm")</f>
        <v>ACCACIA dining table 160 cm</v>
      </c>
      <c r="E683" s="5" t="s">
        <v>2730</v>
      </c>
      <c r="F683" s="9" t="s">
        <v>18</v>
      </c>
      <c r="G683" s="9"/>
      <c r="H683" s="16" t="s">
        <v>1217</v>
      </c>
      <c r="I683" s="8"/>
      <c r="J683" s="29"/>
      <c r="K683" s="11" t="s">
        <v>5839</v>
      </c>
      <c r="L683" s="8"/>
      <c r="M683" s="12">
        <v>4.0</v>
      </c>
      <c r="N683" s="8"/>
      <c r="O683" s="8"/>
      <c r="P683" s="29"/>
      <c r="Q683" s="4" t="str">
        <f t="shared" si="2"/>
        <v>Remove</v>
      </c>
    </row>
    <row r="684">
      <c r="A684" s="13" t="s">
        <v>2731</v>
      </c>
      <c r="B684" s="6">
        <v>1975.0</v>
      </c>
      <c r="C684" s="6" t="b">
        <v>0</v>
      </c>
      <c r="D684" s="8" t="str">
        <f>IFERROR(__xludf.DUMMYFUNCTION("GOOGLETRANSLATE(A684,""ar"", ""en"")"),"ACCACIA chest of drawers")</f>
        <v>ACCACIA chest of drawers</v>
      </c>
      <c r="E684" s="13" t="s">
        <v>2732</v>
      </c>
      <c r="F684" s="9" t="s">
        <v>18</v>
      </c>
      <c r="G684" s="9"/>
      <c r="H684" s="8"/>
      <c r="I684" s="8"/>
      <c r="J684" s="31"/>
      <c r="K684" s="11" t="s">
        <v>5840</v>
      </c>
      <c r="L684" s="8"/>
      <c r="M684" s="15">
        <v>45.0</v>
      </c>
      <c r="N684" s="8"/>
      <c r="O684" s="8"/>
      <c r="P684" s="31"/>
      <c r="Q684" s="4" t="str">
        <f t="shared" si="2"/>
        <v>Remove</v>
      </c>
    </row>
    <row r="685">
      <c r="A685" s="5" t="s">
        <v>2733</v>
      </c>
      <c r="B685" s="6">
        <v>1976.0</v>
      </c>
      <c r="C685" s="6" t="b">
        <v>0</v>
      </c>
      <c r="D685" s="8" t="str">
        <f>IFERROR(__xludf.DUMMYFUNCTION("GOOGLETRANSLATE(A685,""ar"", ""en"")"),"RALPH Corner Table")</f>
        <v>RALPH Corner Table</v>
      </c>
      <c r="E685" s="5" t="s">
        <v>2734</v>
      </c>
      <c r="F685" s="9" t="s">
        <v>18</v>
      </c>
      <c r="G685" s="9"/>
      <c r="H685" s="8"/>
      <c r="I685" s="8"/>
      <c r="J685" s="29"/>
      <c r="K685" s="11" t="s">
        <v>5841</v>
      </c>
      <c r="L685" s="8"/>
      <c r="M685" s="12">
        <v>13.0</v>
      </c>
      <c r="N685" s="8"/>
      <c r="O685" s="8"/>
      <c r="P685" s="29"/>
      <c r="Q685" s="4" t="str">
        <f t="shared" si="2"/>
        <v>Remove</v>
      </c>
    </row>
    <row r="686">
      <c r="A686" s="13" t="s">
        <v>2735</v>
      </c>
      <c r="B686" s="6">
        <v>1977.0</v>
      </c>
      <c r="C686" s="6" t="b">
        <v>0</v>
      </c>
      <c r="D686" s="8" t="str">
        <f>IFERROR(__xludf.DUMMYFUNCTION("GOOGLETRANSLATE(A686,""ar"", ""en"")"),"RALPH T.V.")</f>
        <v>RALPH T.V.</v>
      </c>
      <c r="E686" s="13" t="s">
        <v>2736</v>
      </c>
      <c r="F686" s="9" t="s">
        <v>18</v>
      </c>
      <c r="G686" s="9"/>
      <c r="H686" s="8"/>
      <c r="I686" s="8"/>
      <c r="J686" s="31"/>
      <c r="K686" s="11" t="s">
        <v>5842</v>
      </c>
      <c r="L686" s="8"/>
      <c r="M686" s="15">
        <v>6.0</v>
      </c>
      <c r="N686" s="8"/>
      <c r="O686" s="8"/>
      <c r="P686" s="31"/>
      <c r="Q686" s="4" t="str">
        <f t="shared" si="2"/>
        <v>Remove</v>
      </c>
    </row>
    <row r="687">
      <c r="A687" s="5" t="s">
        <v>2737</v>
      </c>
      <c r="B687" s="6">
        <v>1978.0</v>
      </c>
      <c r="C687" s="6" t="b">
        <v>0</v>
      </c>
      <c r="D687" s="8" t="str">
        <f>IFERROR(__xludf.DUMMYFUNCTION("GOOGLETRANSLATE(A687,""ar"", ""en"")"),"RALPH bed 160 cm")</f>
        <v>RALPH bed 160 cm</v>
      </c>
      <c r="E687" s="5" t="s">
        <v>2738</v>
      </c>
      <c r="F687" s="9" t="s">
        <v>18</v>
      </c>
      <c r="G687" s="9"/>
      <c r="H687" s="8"/>
      <c r="I687" s="8"/>
      <c r="J687" s="29"/>
      <c r="K687" s="11" t="s">
        <v>5843</v>
      </c>
      <c r="L687" s="8"/>
      <c r="M687" s="12">
        <v>6.0</v>
      </c>
      <c r="N687" s="8"/>
      <c r="O687" s="8"/>
      <c r="P687" s="29"/>
      <c r="Q687" s="4" t="str">
        <f t="shared" si="2"/>
        <v>Remove</v>
      </c>
    </row>
    <row r="688">
      <c r="A688" s="13" t="s">
        <v>2739</v>
      </c>
      <c r="B688" s="6">
        <v>1979.0</v>
      </c>
      <c r="C688" s="6" t="b">
        <v>0</v>
      </c>
      <c r="D688" s="8" t="str">
        <f>IFERROR(__xludf.DUMMYFUNCTION("GOOGLETRANSLATE(A688,""ar"", ""en"")"),"RALPH bed 180 cm")</f>
        <v>RALPH bed 180 cm</v>
      </c>
      <c r="E688" s="13" t="s">
        <v>2740</v>
      </c>
      <c r="F688" s="9" t="s">
        <v>18</v>
      </c>
      <c r="G688" s="9"/>
      <c r="H688" s="8"/>
      <c r="I688" s="8"/>
      <c r="J688" s="31"/>
      <c r="K688" s="11" t="s">
        <v>5844</v>
      </c>
      <c r="L688" s="8"/>
      <c r="M688" s="15">
        <v>4.0</v>
      </c>
      <c r="N688" s="8"/>
      <c r="O688" s="8"/>
      <c r="P688" s="31"/>
      <c r="Q688" s="4" t="str">
        <f t="shared" si="2"/>
        <v>Remove</v>
      </c>
    </row>
    <row r="689">
      <c r="A689" s="5" t="s">
        <v>2741</v>
      </c>
      <c r="B689" s="6">
        <v>1980.0</v>
      </c>
      <c r="C689" s="6" t="b">
        <v>0</v>
      </c>
      <c r="D689" s="8" t="str">
        <f>IFERROR(__xludf.DUMMYFUNCTION("GOOGLETRANSLATE(A689,""ar"", ""en"")"),"RALPH bed 110 cm")</f>
        <v>RALPH bed 110 cm</v>
      </c>
      <c r="E689" s="5" t="s">
        <v>2742</v>
      </c>
      <c r="F689" s="9" t="s">
        <v>18</v>
      </c>
      <c r="G689" s="9"/>
      <c r="H689" s="8"/>
      <c r="I689" s="8"/>
      <c r="J689" s="29"/>
      <c r="K689" s="11" t="s">
        <v>5845</v>
      </c>
      <c r="L689" s="8"/>
      <c r="M689" s="12">
        <v>21.0</v>
      </c>
      <c r="N689" s="8"/>
      <c r="O689" s="8"/>
      <c r="P689" s="29"/>
      <c r="Q689" s="4" t="str">
        <f t="shared" si="2"/>
        <v>Remove</v>
      </c>
    </row>
    <row r="690">
      <c r="A690" s="13" t="s">
        <v>2743</v>
      </c>
      <c r="B690" s="6">
        <v>1981.0</v>
      </c>
      <c r="C690" s="6" t="b">
        <v>0</v>
      </c>
      <c r="D690" s="8" t="str">
        <f>IFERROR(__xludf.DUMMYFUNCTION("GOOGLETRANSLATE(A690,""ar"", ""en"")"),"RALPH Chauvinière")</f>
        <v>RALPH Chauvinière</v>
      </c>
      <c r="E690" s="13" t="s">
        <v>2744</v>
      </c>
      <c r="F690" s="9" t="s">
        <v>18</v>
      </c>
      <c r="G690" s="9"/>
      <c r="H690" s="8"/>
      <c r="I690" s="8"/>
      <c r="J690" s="31"/>
      <c r="K690" s="11" t="s">
        <v>5846</v>
      </c>
      <c r="L690" s="8"/>
      <c r="M690" s="15">
        <v>11.0</v>
      </c>
      <c r="N690" s="8"/>
      <c r="O690" s="8"/>
      <c r="P690" s="31"/>
      <c r="Q690" s="4" t="str">
        <f t="shared" si="2"/>
        <v>Remove</v>
      </c>
    </row>
    <row r="691">
      <c r="A691" s="5" t="s">
        <v>2745</v>
      </c>
      <c r="B691" s="6">
        <v>1982.0</v>
      </c>
      <c r="C691" s="6" t="b">
        <v>0</v>
      </c>
      <c r="D691" s="8" t="str">
        <f>IFERROR(__xludf.DUMMYFUNCTION("GOOGLETRANSLATE(A691,""ar"", ""en"")"),"RALPH Mirror")</f>
        <v>RALPH Mirror</v>
      </c>
      <c r="E691" s="5" t="s">
        <v>2746</v>
      </c>
      <c r="F691" s="9" t="s">
        <v>18</v>
      </c>
      <c r="G691" s="9"/>
      <c r="H691" s="8"/>
      <c r="I691" s="8"/>
      <c r="J691" s="29"/>
      <c r="K691" s="11" t="s">
        <v>5847</v>
      </c>
      <c r="L691" s="8"/>
      <c r="M691" s="12">
        <v>14.0</v>
      </c>
      <c r="N691" s="8"/>
      <c r="O691" s="8"/>
      <c r="P691" s="29"/>
      <c r="Q691" s="4" t="str">
        <f t="shared" si="2"/>
        <v>Remove</v>
      </c>
    </row>
    <row r="692">
      <c r="A692" s="13" t="s">
        <v>2747</v>
      </c>
      <c r="B692" s="6">
        <v>1983.0</v>
      </c>
      <c r="C692" s="6" t="b">
        <v>0</v>
      </c>
      <c r="D692" s="8" t="str">
        <f>IFERROR(__xludf.DUMMYFUNCTION("GOOGLETRANSLATE(A692,""ar"", ""en"")"),"RALPH Commode")</f>
        <v>RALPH Commode</v>
      </c>
      <c r="E692" s="13" t="s">
        <v>2748</v>
      </c>
      <c r="F692" s="9" t="s">
        <v>18</v>
      </c>
      <c r="G692" s="9"/>
      <c r="H692" s="8"/>
      <c r="I692" s="8"/>
      <c r="J692" s="31"/>
      <c r="K692" s="11" t="s">
        <v>5848</v>
      </c>
      <c r="L692" s="8"/>
      <c r="M692" s="15">
        <v>38.0</v>
      </c>
      <c r="N692" s="8"/>
      <c r="O692" s="8"/>
      <c r="P692" s="31"/>
      <c r="Q692" s="4" t="str">
        <f t="shared" si="2"/>
        <v>Remove</v>
      </c>
    </row>
    <row r="693">
      <c r="A693" s="5" t="s">
        <v>2749</v>
      </c>
      <c r="B693" s="6">
        <v>1984.0</v>
      </c>
      <c r="C693" s="6" t="b">
        <v>0</v>
      </c>
      <c r="D693" s="8" t="str">
        <f>IFERROR(__xludf.DUMMYFUNCTION("GOOGLETRANSLATE(A693,""ar"", ""en"")"),"Set 1+4")</f>
        <v>Set 1+4</v>
      </c>
      <c r="E693" s="5" t="s">
        <v>2750</v>
      </c>
      <c r="F693" s="9" t="s">
        <v>18</v>
      </c>
      <c r="G693" s="9"/>
      <c r="H693" s="8"/>
      <c r="I693" s="8"/>
      <c r="J693" s="29"/>
      <c r="K693" s="11" t="s">
        <v>5849</v>
      </c>
      <c r="L693" s="8"/>
      <c r="M693" s="12">
        <v>5.0</v>
      </c>
      <c r="N693" s="8"/>
      <c r="O693" s="8"/>
      <c r="P693" s="29"/>
      <c r="Q693" s="4" t="str">
        <f t="shared" si="2"/>
        <v>Remove</v>
      </c>
    </row>
    <row r="694">
      <c r="A694" s="13" t="s">
        <v>2751</v>
      </c>
      <c r="B694" s="6">
        <v>1985.0</v>
      </c>
      <c r="C694" s="6" t="b">
        <v>0</v>
      </c>
      <c r="D694" s="8" t="str">
        <f>IFERROR(__xludf.DUMMYFUNCTION("GOOGLETRANSLATE(A694,""ar"", ""en"")"),"ROMAN Heavy Duty Aluminum Elbow Umbrella 3*3")</f>
        <v>ROMAN Heavy Duty Aluminum Elbow Umbrella 3*3</v>
      </c>
      <c r="E694" s="13" t="s">
        <v>2752</v>
      </c>
      <c r="F694" s="9" t="s">
        <v>28</v>
      </c>
      <c r="G694" s="9"/>
      <c r="H694" s="16" t="s">
        <v>285</v>
      </c>
      <c r="I694" s="8"/>
      <c r="J694" s="31"/>
      <c r="K694" s="11" t="s">
        <v>5850</v>
      </c>
      <c r="L694" s="8"/>
      <c r="M694" s="15">
        <v>31.0</v>
      </c>
      <c r="N694" s="8"/>
      <c r="O694" s="8"/>
      <c r="P694" s="31"/>
      <c r="Q694" s="4" t="str">
        <f t="shared" si="2"/>
        <v>Remove</v>
      </c>
    </row>
    <row r="695">
      <c r="A695" s="5" t="s">
        <v>2753</v>
      </c>
      <c r="B695" s="6">
        <v>1986.0</v>
      </c>
      <c r="C695" s="6" t="b">
        <v>0</v>
      </c>
      <c r="D695" s="8" t="str">
        <f>IFERROR(__xludf.DUMMYFUNCTION("GOOGLETRANSLATE(A695,""ar"", ""en"")"),"BANANA 3m Round Iron Elbow Parasol")</f>
        <v>BANANA 3m Round Iron Elbow Parasol</v>
      </c>
      <c r="E695" s="5" t="s">
        <v>2754</v>
      </c>
      <c r="F695" s="9" t="s">
        <v>28</v>
      </c>
      <c r="G695" s="9"/>
      <c r="H695" s="16" t="s">
        <v>285</v>
      </c>
      <c r="I695" s="8"/>
      <c r="J695" s="29"/>
      <c r="K695" s="11" t="s">
        <v>5851</v>
      </c>
      <c r="L695" s="8"/>
      <c r="M695" s="12">
        <v>6.0</v>
      </c>
      <c r="N695" s="8"/>
      <c r="O695" s="8"/>
      <c r="P695" s="29"/>
      <c r="Q695" s="4" t="str">
        <f t="shared" si="2"/>
        <v>Remove</v>
      </c>
    </row>
    <row r="696">
      <c r="A696" s="13" t="s">
        <v>2755</v>
      </c>
      <c r="B696" s="6">
        <v>1987.0</v>
      </c>
      <c r="C696" s="6" t="b">
        <v>0</v>
      </c>
      <c r="D696" s="8" t="str">
        <f>IFERROR(__xludf.DUMMYFUNCTION("GOOGLETRANSLATE(A696,""ar"", ""en"")"),"BANANA Iron Elbow Parasol 270 cm")</f>
        <v>BANANA Iron Elbow Parasol 270 cm</v>
      </c>
      <c r="E696" s="13" t="s">
        <v>2756</v>
      </c>
      <c r="F696" s="9" t="s">
        <v>28</v>
      </c>
      <c r="G696" s="9"/>
      <c r="H696" s="16" t="s">
        <v>285</v>
      </c>
      <c r="I696" s="8"/>
      <c r="J696" s="31"/>
      <c r="K696" s="11" t="s">
        <v>5852</v>
      </c>
      <c r="L696" s="8"/>
      <c r="M696" s="15">
        <v>6.0</v>
      </c>
      <c r="N696" s="8"/>
      <c r="O696" s="8"/>
      <c r="P696" s="31"/>
      <c r="Q696" s="4" t="str">
        <f t="shared" si="2"/>
        <v>Remove</v>
      </c>
    </row>
    <row r="697">
      <c r="A697" s="13" t="s">
        <v>2757</v>
      </c>
      <c r="B697" s="6">
        <v>1989.0</v>
      </c>
      <c r="C697" s="6" t="b">
        <v>0</v>
      </c>
      <c r="D697" s="8" t="str">
        <f>IFERROR(__xludf.DUMMYFUNCTION("GOOGLETRANSLATE(A697,""ar"", ""en"")"),"270 cm iron parasol Manivelle")</f>
        <v>270 cm iron parasol Manivelle</v>
      </c>
      <c r="E697" s="13" t="s">
        <v>2758</v>
      </c>
      <c r="F697" s="9" t="s">
        <v>28</v>
      </c>
      <c r="G697" s="9"/>
      <c r="H697" s="16" t="s">
        <v>285</v>
      </c>
      <c r="I697" s="8"/>
      <c r="J697" s="31"/>
      <c r="K697" s="11" t="s">
        <v>5853</v>
      </c>
      <c r="L697" s="8"/>
      <c r="M697" s="15">
        <v>6.0</v>
      </c>
      <c r="N697" s="8"/>
      <c r="O697" s="8"/>
      <c r="P697" s="31"/>
      <c r="Q697" s="4" t="str">
        <f t="shared" si="2"/>
        <v>Remove</v>
      </c>
    </row>
    <row r="698">
      <c r="A698" s="13" t="s">
        <v>2759</v>
      </c>
      <c r="B698" s="6">
        <v>1991.0</v>
      </c>
      <c r="C698" s="6" t="b">
        <v>0</v>
      </c>
      <c r="D698" s="8" t="str">
        <f>IFERROR(__xludf.DUMMYFUNCTION("GOOGLETRANSLATE(A698,""ar"", ""en"")"),"2.5 * 2.5 Elbow Parasol Without Base")</f>
        <v>2.5 * 2.5 Elbow Parasol Without Base</v>
      </c>
      <c r="E698" s="13" t="s">
        <v>2760</v>
      </c>
      <c r="F698" s="9" t="s">
        <v>28</v>
      </c>
      <c r="G698" s="9"/>
      <c r="H698" s="16" t="s">
        <v>285</v>
      </c>
      <c r="I698" s="8"/>
      <c r="J698" s="31"/>
      <c r="K698" s="11" t="s">
        <v>5854</v>
      </c>
      <c r="L698" s="8"/>
      <c r="M698" s="15">
        <v>13.0</v>
      </c>
      <c r="N698" s="8"/>
      <c r="O698" s="8"/>
      <c r="P698" s="31"/>
      <c r="Q698" s="4" t="str">
        <f t="shared" si="2"/>
        <v>Remove</v>
      </c>
    </row>
    <row r="699">
      <c r="A699" s="13" t="s">
        <v>2761</v>
      </c>
      <c r="B699" s="6">
        <v>1993.0</v>
      </c>
      <c r="C699" s="6" t="b">
        <v>0</v>
      </c>
      <c r="D699" s="8" t="str">
        <f>IFERROR(__xludf.DUMMYFUNCTION("GOOGLETRANSLATE(A699,""ar"", ""en"")"),"WATER TANK Solar Water Base")</f>
        <v>WATER TANK Solar Water Base</v>
      </c>
      <c r="E699" s="13" t="s">
        <v>2762</v>
      </c>
      <c r="F699" s="9" t="s">
        <v>28</v>
      </c>
      <c r="G699" s="9"/>
      <c r="H699" s="16" t="s">
        <v>285</v>
      </c>
      <c r="I699" s="8"/>
      <c r="J699" s="31"/>
      <c r="K699" s="11" t="s">
        <v>5855</v>
      </c>
      <c r="L699" s="8"/>
      <c r="M699" s="15">
        <v>3.0</v>
      </c>
      <c r="N699" s="8"/>
      <c r="O699" s="8"/>
      <c r="P699" s="31"/>
      <c r="Q699" s="4" t="str">
        <f t="shared" si="2"/>
        <v>Remove</v>
      </c>
    </row>
    <row r="700">
      <c r="A700" s="13" t="s">
        <v>1077</v>
      </c>
      <c r="B700" s="6">
        <v>2001.0</v>
      </c>
      <c r="C700" s="6" t="b">
        <v>0</v>
      </c>
      <c r="D700" s="8" t="str">
        <f>IFERROR(__xludf.DUMMYFUNCTION("GOOGLETRANSLATE(A700,""ar"", ""en"")"),"Rectangular sun base")</f>
        <v>Rectangular sun base</v>
      </c>
      <c r="E700" s="13" t="s">
        <v>2763</v>
      </c>
      <c r="F700" s="9" t="s">
        <v>28</v>
      </c>
      <c r="G700" s="9"/>
      <c r="H700" s="16" t="s">
        <v>285</v>
      </c>
      <c r="I700" s="8"/>
      <c r="J700" s="31"/>
      <c r="K700" s="11" t="s">
        <v>1079</v>
      </c>
      <c r="L700" s="8"/>
      <c r="M700" s="15">
        <v>30.0</v>
      </c>
      <c r="N700" s="8"/>
      <c r="O700" s="8"/>
      <c r="P700" s="31"/>
      <c r="Q700" s="4" t="str">
        <f t="shared" si="2"/>
        <v>Remove</v>
      </c>
    </row>
    <row r="701">
      <c r="A701" s="5" t="s">
        <v>2764</v>
      </c>
      <c r="B701" s="6">
        <v>2004.0</v>
      </c>
      <c r="C701" s="6" t="b">
        <v>0</v>
      </c>
      <c r="D701" s="8" t="str">
        <f>IFERROR(__xludf.DUMMYFUNCTION("GOOGLETRANSLATE(A701,""ar"", ""en"")"),"SILVER Stainless Steel Waiting Bank")</f>
        <v>SILVER Stainless Steel Waiting Bank</v>
      </c>
      <c r="E701" s="5" t="s">
        <v>2765</v>
      </c>
      <c r="F701" s="9" t="s">
        <v>18</v>
      </c>
      <c r="G701" s="9"/>
      <c r="H701" s="16" t="s">
        <v>1151</v>
      </c>
      <c r="I701" s="8"/>
      <c r="J701" s="29"/>
      <c r="K701" s="11" t="s">
        <v>5856</v>
      </c>
      <c r="L701" s="8"/>
      <c r="M701" s="12">
        <v>12.0</v>
      </c>
      <c r="N701" s="8"/>
      <c r="O701" s="8"/>
      <c r="P701" s="29"/>
      <c r="Q701" s="4" t="str">
        <f t="shared" si="2"/>
        <v>Remove</v>
      </c>
    </row>
    <row r="702">
      <c r="A702" s="5" t="s">
        <v>2766</v>
      </c>
      <c r="B702" s="6">
        <v>2020.0</v>
      </c>
      <c r="C702" s="6" t="b">
        <v>0</v>
      </c>
      <c r="D702" s="8" t="str">
        <f>IFERROR(__xludf.DUMMYFUNCTION("GOOGLETRANSLATE(A702,""ar"", ""en"")"),"solid chair with a footstool")</f>
        <v>solid chair with a footstool</v>
      </c>
      <c r="E702" s="5" t="s">
        <v>2767</v>
      </c>
      <c r="F702" s="9" t="s">
        <v>28</v>
      </c>
      <c r="G702" s="9"/>
      <c r="H702" s="16" t="s">
        <v>29</v>
      </c>
      <c r="I702" s="8"/>
      <c r="J702" s="29"/>
      <c r="K702" s="11" t="s">
        <v>5857</v>
      </c>
      <c r="L702" s="8"/>
      <c r="M702" s="12">
        <v>22.0</v>
      </c>
      <c r="N702" s="8"/>
      <c r="O702" s="8"/>
      <c r="P702" s="29"/>
      <c r="Q702" s="4" t="str">
        <f t="shared" si="2"/>
        <v>Remove</v>
      </c>
    </row>
    <row r="703">
      <c r="A703" s="5" t="s">
        <v>2777</v>
      </c>
      <c r="B703" s="6">
        <v>2038.0</v>
      </c>
      <c r="C703" s="6" t="b">
        <v>0</v>
      </c>
      <c r="D703" s="8" t="str">
        <f>IFERROR(__xludf.DUMMYFUNCTION("GOOGLETRANSLATE(A703,""ar"", ""en"")"),"summer fabric")</f>
        <v>summer fabric</v>
      </c>
      <c r="E703" s="5" t="s">
        <v>2778</v>
      </c>
      <c r="F703" s="9" t="s">
        <v>18</v>
      </c>
      <c r="G703" s="9"/>
      <c r="H703" s="8"/>
      <c r="I703" s="8"/>
      <c r="J703" s="29"/>
      <c r="K703" s="11" t="s">
        <v>5858</v>
      </c>
      <c r="L703" s="8"/>
      <c r="M703" s="12">
        <v>857.0</v>
      </c>
      <c r="N703" s="8"/>
      <c r="O703" s="8"/>
      <c r="P703" s="29"/>
      <c r="Q703" s="4" t="str">
        <f t="shared" si="2"/>
        <v>Remove</v>
      </c>
    </row>
    <row r="704">
      <c r="A704" s="5" t="s">
        <v>1186</v>
      </c>
      <c r="B704" s="6">
        <v>2040.0</v>
      </c>
      <c r="C704" s="6" t="b">
        <v>0</v>
      </c>
      <c r="D704" s="8" t="str">
        <f>IFERROR(__xludf.DUMMYFUNCTION("GOOGLETRANSLATE(A704,""ar"", ""en"")"),"office chair")</f>
        <v>office chair</v>
      </c>
      <c r="E704" s="5" t="s">
        <v>2779</v>
      </c>
      <c r="F704" s="9" t="s">
        <v>18</v>
      </c>
      <c r="G704" s="9"/>
      <c r="H704" s="16" t="s">
        <v>1151</v>
      </c>
      <c r="I704" s="8"/>
      <c r="J704" s="29"/>
      <c r="K704" s="11" t="s">
        <v>1188</v>
      </c>
      <c r="L704" s="8"/>
      <c r="M704" s="12">
        <v>11.0</v>
      </c>
      <c r="N704" s="8"/>
      <c r="O704" s="8"/>
      <c r="P704" s="29"/>
      <c r="Q704" s="4" t="str">
        <f t="shared" si="2"/>
        <v>Remove</v>
      </c>
    </row>
    <row r="705">
      <c r="A705" s="13" t="s">
        <v>1186</v>
      </c>
      <c r="B705" s="6">
        <v>2041.0</v>
      </c>
      <c r="C705" s="6" t="b">
        <v>0</v>
      </c>
      <c r="D705" s="8" t="str">
        <f>IFERROR(__xludf.DUMMYFUNCTION("GOOGLETRANSLATE(A705,""ar"", ""en"")"),"office chair")</f>
        <v>office chair</v>
      </c>
      <c r="E705" s="13" t="s">
        <v>2780</v>
      </c>
      <c r="F705" s="9" t="s">
        <v>18</v>
      </c>
      <c r="G705" s="9"/>
      <c r="H705" s="16" t="s">
        <v>1151</v>
      </c>
      <c r="I705" s="8"/>
      <c r="J705" s="31"/>
      <c r="K705" s="11" t="s">
        <v>1188</v>
      </c>
      <c r="L705" s="8"/>
      <c r="M705" s="15">
        <v>1.0</v>
      </c>
      <c r="N705" s="8"/>
      <c r="O705" s="8"/>
      <c r="P705" s="31"/>
      <c r="Q705" s="4" t="str">
        <f t="shared" si="2"/>
        <v>Remove</v>
      </c>
    </row>
    <row r="706">
      <c r="A706" s="5" t="s">
        <v>1186</v>
      </c>
      <c r="B706" s="6">
        <v>2042.0</v>
      </c>
      <c r="C706" s="6" t="b">
        <v>0</v>
      </c>
      <c r="D706" s="8" t="str">
        <f>IFERROR(__xludf.DUMMYFUNCTION("GOOGLETRANSLATE(A706,""ar"", ""en"")"),"office chair")</f>
        <v>office chair</v>
      </c>
      <c r="E706" s="5" t="s">
        <v>2781</v>
      </c>
      <c r="F706" s="9" t="s">
        <v>18</v>
      </c>
      <c r="G706" s="9"/>
      <c r="H706" s="16" t="s">
        <v>1151</v>
      </c>
      <c r="I706" s="8"/>
      <c r="J706" s="29"/>
      <c r="K706" s="11" t="s">
        <v>1188</v>
      </c>
      <c r="L706" s="8"/>
      <c r="M706" s="12">
        <v>7.0</v>
      </c>
      <c r="N706" s="8"/>
      <c r="O706" s="8"/>
      <c r="P706" s="29"/>
      <c r="Q706" s="4" t="str">
        <f t="shared" si="2"/>
        <v>Remove</v>
      </c>
    </row>
    <row r="707">
      <c r="A707" s="5" t="s">
        <v>1186</v>
      </c>
      <c r="B707" s="6">
        <v>2053.0</v>
      </c>
      <c r="C707" s="6" t="b">
        <v>0</v>
      </c>
      <c r="D707" s="8" t="str">
        <f>IFERROR(__xludf.DUMMYFUNCTION("GOOGLETRANSLATE(A707,""ar"", ""en"")"),"office chair")</f>
        <v>office chair</v>
      </c>
      <c r="E707" s="5" t="s">
        <v>2782</v>
      </c>
      <c r="F707" s="9" t="s">
        <v>18</v>
      </c>
      <c r="G707" s="9"/>
      <c r="H707" s="16" t="s">
        <v>1151</v>
      </c>
      <c r="I707" s="8"/>
      <c r="J707" s="29"/>
      <c r="K707" s="11" t="s">
        <v>1188</v>
      </c>
      <c r="L707" s="8"/>
      <c r="M707" s="12">
        <v>24.0</v>
      </c>
      <c r="N707" s="8"/>
      <c r="O707" s="8"/>
      <c r="P707" s="29"/>
      <c r="Q707" s="4" t="str">
        <f t="shared" si="2"/>
        <v>Remove</v>
      </c>
    </row>
    <row r="708">
      <c r="A708" s="13" t="s">
        <v>1186</v>
      </c>
      <c r="B708" s="6">
        <v>2054.0</v>
      </c>
      <c r="C708" s="6" t="b">
        <v>0</v>
      </c>
      <c r="D708" s="8" t="str">
        <f>IFERROR(__xludf.DUMMYFUNCTION("GOOGLETRANSLATE(A708,""ar"", ""en"")"),"office chair")</f>
        <v>office chair</v>
      </c>
      <c r="E708" s="13" t="s">
        <v>2783</v>
      </c>
      <c r="F708" s="9" t="s">
        <v>18</v>
      </c>
      <c r="G708" s="9"/>
      <c r="H708" s="16" t="s">
        <v>1151</v>
      </c>
      <c r="I708" s="8"/>
      <c r="J708" s="31"/>
      <c r="K708" s="11" t="s">
        <v>1188</v>
      </c>
      <c r="L708" s="8"/>
      <c r="M708" s="15">
        <v>2.0</v>
      </c>
      <c r="N708" s="8"/>
      <c r="O708" s="8"/>
      <c r="P708" s="31"/>
      <c r="Q708" s="4" t="str">
        <f t="shared" si="2"/>
        <v>Remove</v>
      </c>
    </row>
    <row r="709">
      <c r="A709" s="5" t="s">
        <v>2784</v>
      </c>
      <c r="B709" s="6">
        <v>2056.0</v>
      </c>
      <c r="C709" s="6" t="b">
        <v>0</v>
      </c>
      <c r="D709" s="8" t="str">
        <f>IFERROR(__xludf.DUMMYFUNCTION("GOOGLETRANSLATE(A709,""ar"", ""en"")"),"GREY Office Chair Wheelchair")</f>
        <v>GREY Office Chair Wheelchair</v>
      </c>
      <c r="E709" s="5" t="s">
        <v>2785</v>
      </c>
      <c r="F709" s="9" t="s">
        <v>18</v>
      </c>
      <c r="G709" s="9"/>
      <c r="H709" s="16" t="s">
        <v>1151</v>
      </c>
      <c r="I709" s="8"/>
      <c r="J709" s="29"/>
      <c r="K709" s="11" t="s">
        <v>5859</v>
      </c>
      <c r="L709" s="8"/>
      <c r="M709" s="12">
        <v>4.0</v>
      </c>
      <c r="N709" s="8"/>
      <c r="O709" s="8"/>
      <c r="P709" s="29"/>
      <c r="Q709" s="4" t="str">
        <f t="shared" si="2"/>
        <v>Remove</v>
      </c>
    </row>
    <row r="710">
      <c r="A710" s="5" t="s">
        <v>2786</v>
      </c>
      <c r="B710" s="6">
        <v>2058.0</v>
      </c>
      <c r="C710" s="6" t="b">
        <v>0</v>
      </c>
      <c r="D710" s="8" t="str">
        <f>IFERROR(__xludf.DUMMYFUNCTION("GOOGLETRANSLATE(A710,""ar"", ""en"")"),"Leather and wood chair with plastic")</f>
        <v>Leather and wood chair with plastic</v>
      </c>
      <c r="E710" s="5" t="s">
        <v>2787</v>
      </c>
      <c r="F710" s="9" t="s">
        <v>18</v>
      </c>
      <c r="G710" s="9"/>
      <c r="H710" s="16" t="s">
        <v>43</v>
      </c>
      <c r="I710" s="16" t="s">
        <v>5860</v>
      </c>
      <c r="J710" s="29"/>
      <c r="K710" s="11" t="s">
        <v>5861</v>
      </c>
      <c r="L710" s="8"/>
      <c r="M710" s="12">
        <v>12.0</v>
      </c>
      <c r="N710" s="8"/>
      <c r="O710" s="8"/>
      <c r="P710" s="29"/>
      <c r="Q710" s="4" t="str">
        <f t="shared" si="2"/>
        <v>Remove</v>
      </c>
    </row>
    <row r="711">
      <c r="A711" s="13" t="s">
        <v>2786</v>
      </c>
      <c r="B711" s="6">
        <v>2059.0</v>
      </c>
      <c r="C711" s="6" t="b">
        <v>0</v>
      </c>
      <c r="D711" s="8" t="str">
        <f>IFERROR(__xludf.DUMMYFUNCTION("GOOGLETRANSLATE(A711,""ar"", ""en"")"),"Leather and wood chair with plastic")</f>
        <v>Leather and wood chair with plastic</v>
      </c>
      <c r="E711" s="13" t="s">
        <v>2788</v>
      </c>
      <c r="F711" s="9" t="s">
        <v>18</v>
      </c>
      <c r="G711" s="9"/>
      <c r="H711" s="16" t="s">
        <v>43</v>
      </c>
      <c r="I711" s="8"/>
      <c r="J711" s="31"/>
      <c r="K711" s="11" t="s">
        <v>5861</v>
      </c>
      <c r="L711" s="8"/>
      <c r="M711" s="15">
        <v>10.0</v>
      </c>
      <c r="N711" s="8"/>
      <c r="O711" s="8"/>
      <c r="P711" s="31"/>
      <c r="Q711" s="4" t="str">
        <f t="shared" si="2"/>
        <v>Remove</v>
      </c>
    </row>
    <row r="712">
      <c r="A712" s="5" t="s">
        <v>2786</v>
      </c>
      <c r="B712" s="6">
        <v>2060.0</v>
      </c>
      <c r="C712" s="6" t="b">
        <v>0</v>
      </c>
      <c r="D712" s="8" t="str">
        <f>IFERROR(__xludf.DUMMYFUNCTION("GOOGLETRANSLATE(A712,""ar"", ""en"")"),"Leather and wood chair with plastic")</f>
        <v>Leather and wood chair with plastic</v>
      </c>
      <c r="E712" s="5" t="s">
        <v>2789</v>
      </c>
      <c r="F712" s="9" t="s">
        <v>18</v>
      </c>
      <c r="G712" s="9"/>
      <c r="H712" s="16" t="s">
        <v>43</v>
      </c>
      <c r="I712" s="8"/>
      <c r="J712" s="29"/>
      <c r="K712" s="11" t="s">
        <v>5861</v>
      </c>
      <c r="L712" s="8"/>
      <c r="M712" s="12">
        <v>2.0</v>
      </c>
      <c r="N712" s="8"/>
      <c r="O712" s="8"/>
      <c r="P712" s="29"/>
      <c r="Q712" s="4" t="str">
        <f t="shared" si="2"/>
        <v>Remove</v>
      </c>
    </row>
    <row r="713">
      <c r="A713" s="13" t="s">
        <v>1186</v>
      </c>
      <c r="B713" s="6">
        <v>2065.0</v>
      </c>
      <c r="C713" s="6" t="b">
        <v>0</v>
      </c>
      <c r="D713" s="8" t="str">
        <f>IFERROR(__xludf.DUMMYFUNCTION("GOOGLETRANSLATE(A713,""ar"", ""en"")"),"office chair")</f>
        <v>office chair</v>
      </c>
      <c r="E713" s="13" t="s">
        <v>2791</v>
      </c>
      <c r="F713" s="9" t="s">
        <v>28</v>
      </c>
      <c r="G713" s="9"/>
      <c r="H713" s="16" t="s">
        <v>1151</v>
      </c>
      <c r="I713" s="8"/>
      <c r="J713" s="31"/>
      <c r="K713" s="11" t="s">
        <v>1188</v>
      </c>
      <c r="L713" s="8"/>
      <c r="M713" s="15">
        <v>13.0</v>
      </c>
      <c r="N713" s="8"/>
      <c r="O713" s="8"/>
      <c r="P713" s="31"/>
      <c r="Q713" s="4" t="str">
        <f t="shared" si="2"/>
        <v>Remove</v>
      </c>
    </row>
    <row r="714">
      <c r="A714" s="13" t="s">
        <v>1186</v>
      </c>
      <c r="B714" s="6">
        <v>2068.0</v>
      </c>
      <c r="C714" s="6" t="b">
        <v>0</v>
      </c>
      <c r="D714" s="8" t="str">
        <f>IFERROR(__xludf.DUMMYFUNCTION("GOOGLETRANSLATE(A714,""ar"", ""en"")"),"office chair")</f>
        <v>office chair</v>
      </c>
      <c r="E714" s="13" t="s">
        <v>2792</v>
      </c>
      <c r="F714" s="9" t="s">
        <v>18</v>
      </c>
      <c r="G714" s="9"/>
      <c r="H714" s="16" t="s">
        <v>1151</v>
      </c>
      <c r="I714" s="8"/>
      <c r="J714" s="31"/>
      <c r="K714" s="11" t="s">
        <v>1188</v>
      </c>
      <c r="L714" s="8"/>
      <c r="M714" s="15">
        <v>3.0</v>
      </c>
      <c r="N714" s="8"/>
      <c r="O714" s="8"/>
      <c r="P714" s="31"/>
      <c r="Q714" s="4" t="str">
        <f t="shared" si="2"/>
        <v>Remove</v>
      </c>
    </row>
    <row r="715">
      <c r="A715" s="5" t="s">
        <v>1186</v>
      </c>
      <c r="B715" s="6">
        <v>2069.0</v>
      </c>
      <c r="C715" s="6" t="b">
        <v>0</v>
      </c>
      <c r="D715" s="8" t="str">
        <f>IFERROR(__xludf.DUMMYFUNCTION("GOOGLETRANSLATE(A715,""ar"", ""en"")"),"office chair")</f>
        <v>office chair</v>
      </c>
      <c r="E715" s="5" t="s">
        <v>2793</v>
      </c>
      <c r="F715" s="9" t="s">
        <v>18</v>
      </c>
      <c r="G715" s="9"/>
      <c r="H715" s="16" t="s">
        <v>1151</v>
      </c>
      <c r="I715" s="8"/>
      <c r="J715" s="29"/>
      <c r="K715" s="11" t="s">
        <v>1188</v>
      </c>
      <c r="L715" s="8"/>
      <c r="M715" s="12">
        <v>15.0</v>
      </c>
      <c r="N715" s="8"/>
      <c r="O715" s="8"/>
      <c r="P715" s="29"/>
      <c r="Q715" s="4" t="str">
        <f t="shared" si="2"/>
        <v>Remove</v>
      </c>
    </row>
    <row r="716">
      <c r="A716" s="13" t="s">
        <v>1186</v>
      </c>
      <c r="B716" s="6">
        <v>2076.0</v>
      </c>
      <c r="C716" s="6" t="b">
        <v>0</v>
      </c>
      <c r="D716" s="8" t="str">
        <f>IFERROR(__xludf.DUMMYFUNCTION("GOOGLETRANSLATE(A716,""ar"", ""en"")"),"office chair")</f>
        <v>office chair</v>
      </c>
      <c r="E716" s="13" t="s">
        <v>2797</v>
      </c>
      <c r="F716" s="9" t="s">
        <v>18</v>
      </c>
      <c r="G716" s="9"/>
      <c r="H716" s="16" t="s">
        <v>1151</v>
      </c>
      <c r="I716" s="8"/>
      <c r="J716" s="31"/>
      <c r="K716" s="11" t="s">
        <v>1188</v>
      </c>
      <c r="L716" s="8"/>
      <c r="M716" s="15">
        <v>4.0</v>
      </c>
      <c r="N716" s="8"/>
      <c r="O716" s="8"/>
      <c r="P716" s="31"/>
      <c r="Q716" s="4" t="str">
        <f t="shared" si="2"/>
        <v>Remove</v>
      </c>
    </row>
    <row r="717">
      <c r="A717" s="5" t="s">
        <v>1186</v>
      </c>
      <c r="B717" s="6">
        <v>2085.0</v>
      </c>
      <c r="C717" s="6" t="b">
        <v>0</v>
      </c>
      <c r="D717" s="8" t="str">
        <f>IFERROR(__xludf.DUMMYFUNCTION("GOOGLETRANSLATE(A717,""ar"", ""en"")"),"office chair")</f>
        <v>office chair</v>
      </c>
      <c r="E717" s="5" t="s">
        <v>2799</v>
      </c>
      <c r="F717" s="9" t="s">
        <v>18</v>
      </c>
      <c r="G717" s="9"/>
      <c r="H717" s="16" t="s">
        <v>1151</v>
      </c>
      <c r="I717" s="8"/>
      <c r="J717" s="29"/>
      <c r="K717" s="11" t="s">
        <v>1188</v>
      </c>
      <c r="L717" s="8"/>
      <c r="M717" s="12">
        <v>9.0</v>
      </c>
      <c r="N717" s="8"/>
      <c r="O717" s="8"/>
      <c r="P717" s="29"/>
      <c r="Q717" s="4" t="str">
        <f t="shared" si="2"/>
        <v>Remove</v>
      </c>
    </row>
    <row r="718">
      <c r="A718" s="13" t="s">
        <v>1186</v>
      </c>
      <c r="B718" s="6">
        <v>2090.0</v>
      </c>
      <c r="C718" s="6" t="b">
        <v>0</v>
      </c>
      <c r="D718" s="8" t="str">
        <f>IFERROR(__xludf.DUMMYFUNCTION("GOOGLETRANSLATE(A718,""ar"", ""en"")"),"office chair")</f>
        <v>office chair</v>
      </c>
      <c r="E718" s="13" t="s">
        <v>2801</v>
      </c>
      <c r="F718" s="9" t="s">
        <v>18</v>
      </c>
      <c r="G718" s="9"/>
      <c r="H718" s="16" t="s">
        <v>1151</v>
      </c>
      <c r="I718" s="8"/>
      <c r="J718" s="31"/>
      <c r="K718" s="11" t="s">
        <v>1188</v>
      </c>
      <c r="L718" s="8"/>
      <c r="M718" s="15">
        <v>5.0</v>
      </c>
      <c r="N718" s="8"/>
      <c r="O718" s="8"/>
      <c r="P718" s="31"/>
      <c r="Q718" s="4" t="str">
        <f t="shared" si="2"/>
        <v>Remove</v>
      </c>
    </row>
    <row r="719">
      <c r="A719" s="13" t="s">
        <v>1186</v>
      </c>
      <c r="B719" s="6">
        <v>2092.0</v>
      </c>
      <c r="C719" s="6" t="b">
        <v>0</v>
      </c>
      <c r="D719" s="8" t="str">
        <f>IFERROR(__xludf.DUMMYFUNCTION("GOOGLETRANSLATE(A719,""ar"", ""en"")"),"office chair")</f>
        <v>office chair</v>
      </c>
      <c r="E719" s="13" t="s">
        <v>2802</v>
      </c>
      <c r="F719" s="9" t="s">
        <v>18</v>
      </c>
      <c r="G719" s="9"/>
      <c r="H719" s="16" t="s">
        <v>1151</v>
      </c>
      <c r="I719" s="8"/>
      <c r="J719" s="31"/>
      <c r="K719" s="11" t="s">
        <v>1188</v>
      </c>
      <c r="L719" s="8"/>
      <c r="M719" s="15">
        <v>4.0</v>
      </c>
      <c r="N719" s="8"/>
      <c r="O719" s="8"/>
      <c r="P719" s="31"/>
      <c r="Q719" s="4" t="str">
        <f t="shared" si="2"/>
        <v>Remove</v>
      </c>
    </row>
    <row r="720">
      <c r="A720" s="5" t="s">
        <v>2803</v>
      </c>
      <c r="B720" s="6">
        <v>2093.0</v>
      </c>
      <c r="C720" s="6" t="b">
        <v>0</v>
      </c>
      <c r="D720" s="8" t="str">
        <f>IFERROR(__xludf.DUMMYFUNCTION("GOOGLETRANSLATE(A720,""ar"", ""en"")"),"Iron bar chair with plastic")</f>
        <v>Iron bar chair with plastic</v>
      </c>
      <c r="E720" s="5" t="s">
        <v>2804</v>
      </c>
      <c r="F720" s="9" t="s">
        <v>27</v>
      </c>
      <c r="G720" s="9" t="s">
        <v>18</v>
      </c>
      <c r="H720" s="16" t="s">
        <v>47</v>
      </c>
      <c r="I720" s="8"/>
      <c r="J720" s="29"/>
      <c r="K720" s="11" t="s">
        <v>5862</v>
      </c>
      <c r="L720" s="8"/>
      <c r="M720" s="12">
        <v>2.0</v>
      </c>
      <c r="N720" s="8"/>
      <c r="O720" s="8"/>
      <c r="P720" s="29"/>
      <c r="Q720" s="4" t="str">
        <f t="shared" si="2"/>
        <v>Remove</v>
      </c>
    </row>
    <row r="721">
      <c r="A721" s="13" t="s">
        <v>2803</v>
      </c>
      <c r="B721" s="6">
        <v>2094.0</v>
      </c>
      <c r="C721" s="6" t="b">
        <v>0</v>
      </c>
      <c r="D721" s="8" t="str">
        <f>IFERROR(__xludf.DUMMYFUNCTION("GOOGLETRANSLATE(A721,""ar"", ""en"")"),"Iron bar chair with plastic")</f>
        <v>Iron bar chair with plastic</v>
      </c>
      <c r="E721" s="13" t="s">
        <v>2805</v>
      </c>
      <c r="F721" s="9" t="s">
        <v>27</v>
      </c>
      <c r="G721" s="9" t="s">
        <v>18</v>
      </c>
      <c r="H721" s="16" t="s">
        <v>47</v>
      </c>
      <c r="I721" s="8"/>
      <c r="J721" s="31"/>
      <c r="K721" s="11" t="s">
        <v>5862</v>
      </c>
      <c r="L721" s="8"/>
      <c r="M721" s="15">
        <v>2.0</v>
      </c>
      <c r="N721" s="8"/>
      <c r="O721" s="8"/>
      <c r="P721" s="31"/>
      <c r="Q721" s="4" t="str">
        <f t="shared" si="2"/>
        <v>Remove</v>
      </c>
    </row>
    <row r="722">
      <c r="A722" s="13" t="s">
        <v>2806</v>
      </c>
      <c r="B722" s="6">
        <v>2096.0</v>
      </c>
      <c r="C722" s="6" t="b">
        <v>0</v>
      </c>
      <c r="D722" s="8" t="str">
        <f>IFERROR(__xludf.DUMMYFUNCTION("GOOGLETRANSLATE(A722,""ar"", ""en"")"),"Leather wood bar stool")</f>
        <v>Leather wood bar stool</v>
      </c>
      <c r="E722" s="13" t="s">
        <v>2807</v>
      </c>
      <c r="F722" s="9" t="s">
        <v>18</v>
      </c>
      <c r="G722" s="9"/>
      <c r="H722" s="16" t="s">
        <v>47</v>
      </c>
      <c r="I722" s="8"/>
      <c r="J722" s="31"/>
      <c r="K722" s="11" t="s">
        <v>5863</v>
      </c>
      <c r="L722" s="8"/>
      <c r="M722" s="15">
        <v>12.0</v>
      </c>
      <c r="N722" s="8"/>
      <c r="O722" s="8"/>
      <c r="P722" s="31"/>
      <c r="Q722" s="4" t="str">
        <f t="shared" si="2"/>
        <v>Remove</v>
      </c>
    </row>
    <row r="723">
      <c r="A723" s="5" t="s">
        <v>1186</v>
      </c>
      <c r="B723" s="6">
        <v>2097.0</v>
      </c>
      <c r="C723" s="6" t="b">
        <v>0</v>
      </c>
      <c r="D723" s="8" t="str">
        <f>IFERROR(__xludf.DUMMYFUNCTION("GOOGLETRANSLATE(A723,""ar"", ""en"")"),"office chair")</f>
        <v>office chair</v>
      </c>
      <c r="E723" s="5" t="s">
        <v>2808</v>
      </c>
      <c r="F723" s="9" t="s">
        <v>18</v>
      </c>
      <c r="G723" s="9"/>
      <c r="H723" s="16" t="s">
        <v>1151</v>
      </c>
      <c r="I723" s="8"/>
      <c r="J723" s="29"/>
      <c r="K723" s="11" t="s">
        <v>1188</v>
      </c>
      <c r="L723" s="8"/>
      <c r="M723" s="12">
        <v>11.0</v>
      </c>
      <c r="N723" s="8"/>
      <c r="O723" s="8"/>
      <c r="P723" s="29"/>
      <c r="Q723" s="4" t="str">
        <f t="shared" si="2"/>
        <v>Remove</v>
      </c>
    </row>
    <row r="724">
      <c r="A724" s="13" t="s">
        <v>1186</v>
      </c>
      <c r="B724" s="6">
        <v>2098.0</v>
      </c>
      <c r="C724" s="6" t="b">
        <v>0</v>
      </c>
      <c r="D724" s="8" t="str">
        <f>IFERROR(__xludf.DUMMYFUNCTION("GOOGLETRANSLATE(A724,""ar"", ""en"")"),"office chair")</f>
        <v>office chair</v>
      </c>
      <c r="E724" s="13" t="s">
        <v>2809</v>
      </c>
      <c r="F724" s="9" t="s">
        <v>18</v>
      </c>
      <c r="G724" s="9"/>
      <c r="H724" s="16" t="s">
        <v>1151</v>
      </c>
      <c r="I724" s="8"/>
      <c r="J724" s="31"/>
      <c r="K724" s="11" t="s">
        <v>1188</v>
      </c>
      <c r="L724" s="8"/>
      <c r="M724" s="15">
        <v>6.0</v>
      </c>
      <c r="N724" s="8"/>
      <c r="O724" s="8"/>
      <c r="P724" s="31"/>
      <c r="Q724" s="4" t="str">
        <f t="shared" si="2"/>
        <v>Remove</v>
      </c>
    </row>
    <row r="725">
      <c r="A725" s="5" t="s">
        <v>2810</v>
      </c>
      <c r="B725" s="6">
        <v>2099.0</v>
      </c>
      <c r="C725" s="6" t="b">
        <v>0</v>
      </c>
      <c r="D725" s="8" t="str">
        <f>IFERROR(__xludf.DUMMYFUNCTION("GOOGLETRANSLATE(A725,""ar"", ""en"")"),"Office chair with backrest")</f>
        <v>Office chair with backrest</v>
      </c>
      <c r="E725" s="5" t="s">
        <v>2811</v>
      </c>
      <c r="F725" s="9" t="s">
        <v>18</v>
      </c>
      <c r="G725" s="9"/>
      <c r="H725" s="16" t="s">
        <v>1151</v>
      </c>
      <c r="I725" s="8"/>
      <c r="J725" s="29"/>
      <c r="K725" s="11" t="s">
        <v>5864</v>
      </c>
      <c r="L725" s="8"/>
      <c r="M725" s="12">
        <v>3.0</v>
      </c>
      <c r="N725" s="8"/>
      <c r="O725" s="8"/>
      <c r="P725" s="29"/>
      <c r="Q725" s="4" t="str">
        <f t="shared" si="2"/>
        <v>Remove</v>
      </c>
    </row>
    <row r="726">
      <c r="A726" s="13" t="s">
        <v>2842</v>
      </c>
      <c r="B726" s="6">
        <v>2142.0</v>
      </c>
      <c r="C726" s="6" t="b">
        <v>0</v>
      </c>
      <c r="D726" s="8" t="str">
        <f>IFERROR(__xludf.DUMMYFUNCTION("GOOGLETRANSLATE(A726,""ar"", ""en"")"),"WHITE 60cm Round Bar Table")</f>
        <v>WHITE 60cm Round Bar Table</v>
      </c>
      <c r="E726" s="32" t="s">
        <v>2843</v>
      </c>
      <c r="F726" s="9" t="s">
        <v>27</v>
      </c>
      <c r="G726" s="9" t="s">
        <v>28</v>
      </c>
      <c r="H726" s="16" t="s">
        <v>62</v>
      </c>
      <c r="I726" s="8"/>
      <c r="J726" s="31"/>
      <c r="K726" s="11" t="s">
        <v>5865</v>
      </c>
      <c r="L726" s="8"/>
      <c r="M726" s="15">
        <v>11.0</v>
      </c>
      <c r="N726" s="8"/>
      <c r="O726" s="8"/>
      <c r="P726" s="31"/>
      <c r="Q726" s="4" t="str">
        <f t="shared" si="2"/>
        <v>Remove</v>
      </c>
    </row>
    <row r="727">
      <c r="A727" s="13" t="s">
        <v>2844</v>
      </c>
      <c r="B727" s="6">
        <v>2146.0</v>
      </c>
      <c r="C727" s="6" t="b">
        <v>0</v>
      </c>
      <c r="D727" s="8" t="str">
        <f>IFERROR(__xludf.DUMMYFUNCTION("GOOGLETRANSLATE(A727,""ar"", ""en"")"),"Wood fabric chair with handle")</f>
        <v>Wood fabric chair with handle</v>
      </c>
      <c r="E727" s="13" t="s">
        <v>2845</v>
      </c>
      <c r="F727" s="9" t="s">
        <v>18</v>
      </c>
      <c r="G727" s="9"/>
      <c r="H727" s="16" t="s">
        <v>1169</v>
      </c>
      <c r="I727" s="8"/>
      <c r="J727" s="31"/>
      <c r="K727" s="11" t="s">
        <v>5866</v>
      </c>
      <c r="L727" s="8"/>
      <c r="M727" s="15">
        <v>6.0</v>
      </c>
      <c r="N727" s="8"/>
      <c r="O727" s="8"/>
      <c r="P727" s="31"/>
      <c r="Q727" s="4" t="str">
        <f t="shared" si="2"/>
        <v>Remove</v>
      </c>
    </row>
    <row r="728">
      <c r="A728" s="13" t="s">
        <v>2846</v>
      </c>
      <c r="B728" s="6">
        <v>2148.0</v>
      </c>
      <c r="C728" s="6" t="b">
        <v>0</v>
      </c>
      <c r="D728" s="8" t="str">
        <f>IFERROR(__xludf.DUMMYFUNCTION("GOOGLETRANSLATE(A728,""ar"", ""en"")"),"plastic mesh chair")</f>
        <v>plastic mesh chair</v>
      </c>
      <c r="E728" s="13" t="s">
        <v>2847</v>
      </c>
      <c r="F728" s="9" t="s">
        <v>27</v>
      </c>
      <c r="G728" s="9" t="s">
        <v>28</v>
      </c>
      <c r="H728" s="16" t="s">
        <v>43</v>
      </c>
      <c r="I728" s="8"/>
      <c r="J728" s="31"/>
      <c r="K728" s="11" t="s">
        <v>1599</v>
      </c>
      <c r="L728" s="8"/>
      <c r="M728" s="15">
        <v>6.0</v>
      </c>
      <c r="N728" s="8"/>
      <c r="O728" s="8"/>
      <c r="P728" s="31"/>
      <c r="Q728" s="4" t="str">
        <f t="shared" si="2"/>
        <v>Remove</v>
      </c>
    </row>
    <row r="729">
      <c r="A729" s="13" t="s">
        <v>2849</v>
      </c>
      <c r="B729" s="6">
        <v>2152.0</v>
      </c>
      <c r="C729" s="6" t="b">
        <v>0</v>
      </c>
      <c r="D729" s="8" t="str">
        <f>IFERROR(__xludf.DUMMYFUNCTION("GOOGLETRANSLATE(A729,""ar"", ""en"")"),"Square hanging mirror")</f>
        <v>Square hanging mirror</v>
      </c>
      <c r="E729" s="13" t="s">
        <v>2850</v>
      </c>
      <c r="F729" s="9" t="s">
        <v>18</v>
      </c>
      <c r="G729" s="9"/>
      <c r="H729" s="8"/>
      <c r="I729" s="8"/>
      <c r="J729" s="31"/>
      <c r="K729" s="11" t="s">
        <v>5867</v>
      </c>
      <c r="L729" s="8"/>
      <c r="M729" s="15">
        <v>30.0</v>
      </c>
      <c r="N729" s="8"/>
      <c r="O729" s="8"/>
      <c r="P729" s="31"/>
      <c r="Q729" s="4" t="str">
        <f t="shared" si="2"/>
        <v>Remove</v>
      </c>
    </row>
    <row r="730">
      <c r="A730" s="5" t="s">
        <v>2851</v>
      </c>
      <c r="B730" s="6">
        <v>2153.0</v>
      </c>
      <c r="C730" s="6" t="b">
        <v>0</v>
      </c>
      <c r="D730" s="8" t="str">
        <f>IFERROR(__xludf.DUMMYFUNCTION("GOOGLETRANSLATE(A730,""ar"", ""en"")"),"Round hanging mirror")</f>
        <v>Round hanging mirror</v>
      </c>
      <c r="E730" s="5" t="s">
        <v>2852</v>
      </c>
      <c r="F730" s="9" t="s">
        <v>18</v>
      </c>
      <c r="G730" s="9"/>
      <c r="H730" s="8"/>
      <c r="I730" s="8"/>
      <c r="J730" s="29"/>
      <c r="K730" s="11" t="s">
        <v>5868</v>
      </c>
      <c r="L730" s="8"/>
      <c r="M730" s="12">
        <v>17.0</v>
      </c>
      <c r="N730" s="8"/>
      <c r="O730" s="8"/>
      <c r="P730" s="29"/>
      <c r="Q730" s="4" t="str">
        <f t="shared" si="2"/>
        <v>Remove</v>
      </c>
    </row>
    <row r="731">
      <c r="A731" s="13" t="s">
        <v>2853</v>
      </c>
      <c r="B731" s="6">
        <v>2154.0</v>
      </c>
      <c r="C731" s="6" t="b">
        <v>0</v>
      </c>
      <c r="D731" s="8" t="str">
        <f>IFERROR(__xludf.DUMMYFUNCTION("GOOGLETRANSLATE(A731,""ar"", ""en"")"),"BLK Round Stand Mirror")</f>
        <v>BLK Round Stand Mirror</v>
      </c>
      <c r="E731" s="13" t="s">
        <v>2854</v>
      </c>
      <c r="F731" s="9" t="s">
        <v>18</v>
      </c>
      <c r="G731" s="9"/>
      <c r="H731" s="8"/>
      <c r="I731" s="8"/>
      <c r="J731" s="31"/>
      <c r="K731" s="11" t="s">
        <v>5869</v>
      </c>
      <c r="L731" s="8"/>
      <c r="M731" s="15">
        <v>18.0</v>
      </c>
      <c r="N731" s="8"/>
      <c r="O731" s="8"/>
      <c r="P731" s="31"/>
      <c r="Q731" s="4" t="str">
        <f t="shared" si="2"/>
        <v>Remove</v>
      </c>
    </row>
    <row r="732">
      <c r="A732" s="5" t="s">
        <v>2855</v>
      </c>
      <c r="B732" s="6">
        <v>2155.0</v>
      </c>
      <c r="C732" s="6" t="b">
        <v>0</v>
      </c>
      <c r="D732" s="8" t="str">
        <f>IFERROR(__xludf.DUMMYFUNCTION("GOOGLETRANSLATE(A732,""ar"", ""en"")"),"Round stand mirror")</f>
        <v>Round stand mirror</v>
      </c>
      <c r="E732" s="5" t="s">
        <v>2856</v>
      </c>
      <c r="F732" s="9" t="s">
        <v>18</v>
      </c>
      <c r="G732" s="9"/>
      <c r="H732" s="8"/>
      <c r="I732" s="8"/>
      <c r="J732" s="29"/>
      <c r="K732" s="11" t="s">
        <v>5870</v>
      </c>
      <c r="L732" s="8"/>
      <c r="M732" s="12">
        <v>41.0</v>
      </c>
      <c r="N732" s="8"/>
      <c r="O732" s="8"/>
      <c r="P732" s="29"/>
      <c r="Q732" s="4" t="str">
        <f t="shared" si="2"/>
        <v>Remove</v>
      </c>
    </row>
    <row r="733">
      <c r="A733" s="5" t="s">
        <v>2857</v>
      </c>
      <c r="B733" s="6">
        <v>2156.0</v>
      </c>
      <c r="C733" s="6" t="b">
        <v>0</v>
      </c>
      <c r="D733" s="8" t="str">
        <f>IFERROR(__xludf.DUMMYFUNCTION("GOOGLETRANSLATE(A733,""ar"", ""en"")"),"Rectangular mirror 50*160 cm")</f>
        <v>Rectangular mirror 50*160 cm</v>
      </c>
      <c r="E733" s="5" t="s">
        <v>2858</v>
      </c>
      <c r="F733" s="9" t="s">
        <v>18</v>
      </c>
      <c r="G733" s="9"/>
      <c r="H733" s="8"/>
      <c r="I733" s="8"/>
      <c r="J733" s="29"/>
      <c r="K733" s="11" t="s">
        <v>5871</v>
      </c>
      <c r="L733" s="8"/>
      <c r="M733" s="12">
        <v>8.0</v>
      </c>
      <c r="N733" s="8"/>
      <c r="O733" s="8"/>
      <c r="P733" s="29"/>
      <c r="Q733" s="4" t="str">
        <f t="shared" si="2"/>
        <v>Remove</v>
      </c>
    </row>
    <row r="734">
      <c r="A734" s="13" t="s">
        <v>2859</v>
      </c>
      <c r="B734" s="6">
        <v>2157.0</v>
      </c>
      <c r="C734" s="6" t="b">
        <v>0</v>
      </c>
      <c r="D734" s="8" t="str">
        <f>IFERROR(__xludf.DUMMYFUNCTION("GOOGLETRANSLATE(A734,""ar"", ""en"")"),"LED Rectangle Mirror")</f>
        <v>LED Rectangle Mirror</v>
      </c>
      <c r="E734" s="13" t="s">
        <v>2860</v>
      </c>
      <c r="F734" s="9" t="s">
        <v>18</v>
      </c>
      <c r="G734" s="9"/>
      <c r="H734" s="8"/>
      <c r="I734" s="8"/>
      <c r="J734" s="31"/>
      <c r="K734" s="11" t="s">
        <v>5872</v>
      </c>
      <c r="L734" s="8"/>
      <c r="M734" s="15">
        <v>37.0</v>
      </c>
      <c r="N734" s="8"/>
      <c r="O734" s="8"/>
      <c r="P734" s="31"/>
      <c r="Q734" s="4" t="str">
        <f t="shared" si="2"/>
        <v>Remove</v>
      </c>
    </row>
    <row r="735">
      <c r="A735" s="13" t="s">
        <v>2861</v>
      </c>
      <c r="B735" s="6">
        <v>2160.0</v>
      </c>
      <c r="C735" s="6" t="b">
        <v>0</v>
      </c>
      <c r="D735" s="8" t="str">
        <f>IFERROR(__xludf.DUMMYFUNCTION("GOOGLETRANSLATE(A735,""ar"", ""en"")"),"Large X Single Base")</f>
        <v>Large X Single Base</v>
      </c>
      <c r="E735" s="13" t="s">
        <v>2862</v>
      </c>
      <c r="F735" s="9" t="s">
        <v>27</v>
      </c>
      <c r="G735" s="9" t="s">
        <v>28</v>
      </c>
      <c r="H735" s="16" t="s">
        <v>186</v>
      </c>
      <c r="I735" s="8"/>
      <c r="J735" s="14">
        <v>0.0</v>
      </c>
      <c r="K735" s="11" t="s">
        <v>5873</v>
      </c>
      <c r="L735" s="8"/>
      <c r="M735" s="15">
        <v>4.0</v>
      </c>
      <c r="N735" s="8"/>
      <c r="O735" s="8"/>
      <c r="P735" s="14">
        <v>0.0</v>
      </c>
      <c r="Q735" s="4" t="str">
        <f t="shared" si="2"/>
        <v>Remove</v>
      </c>
    </row>
    <row r="736">
      <c r="A736" s="5" t="s">
        <v>2863</v>
      </c>
      <c r="B736" s="6">
        <v>2163.0</v>
      </c>
      <c r="C736" s="6" t="b">
        <v>0</v>
      </c>
      <c r="D736" s="8" t="str">
        <f>IFERROR(__xludf.DUMMYFUNCTION("GOOGLETRANSLATE(A736,""ar"", ""en"")"),"Bar base")</f>
        <v>Bar base</v>
      </c>
      <c r="E736" s="5" t="s">
        <v>2864</v>
      </c>
      <c r="F736" s="9" t="s">
        <v>27</v>
      </c>
      <c r="G736" s="9" t="s">
        <v>28</v>
      </c>
      <c r="H736" s="16" t="s">
        <v>186</v>
      </c>
      <c r="I736" s="8"/>
      <c r="J736" s="10">
        <v>0.0</v>
      </c>
      <c r="K736" s="11" t="s">
        <v>5874</v>
      </c>
      <c r="L736" s="8"/>
      <c r="M736" s="12">
        <v>3.0</v>
      </c>
      <c r="N736" s="8"/>
      <c r="O736" s="8"/>
      <c r="P736" s="10">
        <v>0.0</v>
      </c>
      <c r="Q736" s="4" t="str">
        <f t="shared" si="2"/>
        <v>Remove</v>
      </c>
    </row>
    <row r="737">
      <c r="A737" s="13" t="s">
        <v>2865</v>
      </c>
      <c r="B737" s="6">
        <v>2164.0</v>
      </c>
      <c r="C737" s="6" t="b">
        <v>0</v>
      </c>
      <c r="D737" s="8" t="str">
        <f>IFERROR(__xludf.DUMMYFUNCTION("GOOGLETRANSLATE(A737,""ar"", ""en"")"),"Table top 110*70")</f>
        <v>Table top 110*70</v>
      </c>
      <c r="E737" s="13" t="s">
        <v>2866</v>
      </c>
      <c r="F737" s="9" t="s">
        <v>27</v>
      </c>
      <c r="G737" s="9" t="s">
        <v>28</v>
      </c>
      <c r="H737" s="27" t="s">
        <v>98</v>
      </c>
      <c r="I737" s="16" t="s">
        <v>5875</v>
      </c>
      <c r="J737" s="14">
        <v>0.0</v>
      </c>
      <c r="K737" s="11" t="s">
        <v>5876</v>
      </c>
      <c r="L737" s="8"/>
      <c r="M737" s="15">
        <v>3.0</v>
      </c>
      <c r="N737" s="8"/>
      <c r="O737" s="8"/>
      <c r="P737" s="14">
        <v>0.0</v>
      </c>
      <c r="Q737" s="4" t="str">
        <f t="shared" si="2"/>
        <v>Remove</v>
      </c>
    </row>
    <row r="738">
      <c r="A738" s="5" t="s">
        <v>625</v>
      </c>
      <c r="B738" s="6">
        <v>2167.0</v>
      </c>
      <c r="C738" s="6" t="b">
        <v>0</v>
      </c>
      <c r="D738" s="8" t="str">
        <f>IFERROR(__xludf.DUMMYFUNCTION("GOOGLETRANSLATE(A738,""ar"", ""en"")"),"70*70 table top")</f>
        <v>70*70 table top</v>
      </c>
      <c r="E738" s="5" t="s">
        <v>2867</v>
      </c>
      <c r="F738" s="9" t="s">
        <v>27</v>
      </c>
      <c r="G738" s="9" t="s">
        <v>28</v>
      </c>
      <c r="H738" s="27" t="s">
        <v>98</v>
      </c>
      <c r="I738" s="8"/>
      <c r="J738" s="10">
        <v>0.0</v>
      </c>
      <c r="K738" s="11" t="s">
        <v>1252</v>
      </c>
      <c r="L738" s="8"/>
      <c r="M738" s="12">
        <v>1.0</v>
      </c>
      <c r="N738" s="8"/>
      <c r="O738" s="8"/>
      <c r="P738" s="10">
        <v>0.0</v>
      </c>
      <c r="Q738" s="4" t="str">
        <f t="shared" si="2"/>
        <v>Remove</v>
      </c>
    </row>
    <row r="739">
      <c r="A739" s="13" t="s">
        <v>2868</v>
      </c>
      <c r="B739" s="6">
        <v>2182.0</v>
      </c>
      <c r="C739" s="6" t="b">
        <v>0</v>
      </c>
      <c r="D739" s="8" t="str">
        <f>IFERROR(__xludf.DUMMYFUNCTION("GOOGLETRANSLATE(A739,""ar"", ""en"")"),"Aluminum resin chair")</f>
        <v>Aluminum resin chair</v>
      </c>
      <c r="E739" s="13" t="s">
        <v>2869</v>
      </c>
      <c r="F739" s="9" t="s">
        <v>27</v>
      </c>
      <c r="G739" s="9" t="s">
        <v>28</v>
      </c>
      <c r="H739" s="16" t="s">
        <v>382</v>
      </c>
      <c r="I739" s="8"/>
      <c r="J739" s="31"/>
      <c r="K739" s="11" t="s">
        <v>5877</v>
      </c>
      <c r="L739" s="8"/>
      <c r="M739" s="15">
        <v>2.0</v>
      </c>
      <c r="N739" s="8"/>
      <c r="O739" s="8"/>
      <c r="P739" s="31"/>
      <c r="Q739" s="4" t="str">
        <f t="shared" si="2"/>
        <v>Remove</v>
      </c>
    </row>
    <row r="740">
      <c r="A740" s="5" t="s">
        <v>2870</v>
      </c>
      <c r="B740" s="6">
        <v>2184.0</v>
      </c>
      <c r="C740" s="6" t="b">
        <v>0</v>
      </c>
      <c r="D740" s="8" t="str">
        <f>IFERROR(__xludf.DUMMYFUNCTION("GOOGLETRANSLATE(A740,""ar"", ""en"")"),"Walker chair")</f>
        <v>Walker chair</v>
      </c>
      <c r="E740" s="5" t="s">
        <v>2871</v>
      </c>
      <c r="F740" s="9" t="s">
        <v>28</v>
      </c>
      <c r="G740" s="9"/>
      <c r="H740" s="8"/>
      <c r="I740" s="8"/>
      <c r="J740" s="29"/>
      <c r="K740" s="11" t="s">
        <v>5878</v>
      </c>
      <c r="L740" s="8"/>
      <c r="M740" s="12">
        <v>6.0</v>
      </c>
      <c r="N740" s="8"/>
      <c r="O740" s="8"/>
      <c r="P740" s="29"/>
      <c r="Q740" s="4" t="str">
        <f t="shared" si="2"/>
        <v>Remove</v>
      </c>
    </row>
    <row r="741">
      <c r="A741" s="13" t="s">
        <v>2872</v>
      </c>
      <c r="B741" s="6">
        <v>2189.0</v>
      </c>
      <c r="C741" s="6" t="b">
        <v>0</v>
      </c>
      <c r="D741" s="8" t="str">
        <f>IFERROR(__xludf.DUMMYFUNCTION("GOOGLETRANSLATE(A741,""ar"", ""en"")"),"Two-story shoes")</f>
        <v>Two-story shoes</v>
      </c>
      <c r="E741" s="13" t="s">
        <v>2873</v>
      </c>
      <c r="F741" s="9" t="s">
        <v>18</v>
      </c>
      <c r="G741" s="9"/>
      <c r="H741" s="16" t="s">
        <v>1303</v>
      </c>
      <c r="I741" s="8"/>
      <c r="J741" s="14">
        <v>0.0</v>
      </c>
      <c r="K741" s="11" t="s">
        <v>5879</v>
      </c>
      <c r="L741" s="8"/>
      <c r="M741" s="15">
        <v>11.0</v>
      </c>
      <c r="N741" s="8"/>
      <c r="O741" s="8"/>
      <c r="P741" s="14">
        <v>0.0</v>
      </c>
      <c r="Q741" s="4" t="str">
        <f t="shared" si="2"/>
        <v>Remove</v>
      </c>
    </row>
    <row r="742">
      <c r="A742" s="13" t="s">
        <v>2874</v>
      </c>
      <c r="B742" s="6">
        <v>2191.0</v>
      </c>
      <c r="C742" s="6" t="b">
        <v>0</v>
      </c>
      <c r="D742" s="8" t="str">
        <f>IFERROR(__xludf.DUMMYFUNCTION("GOOGLETRANSLATE(A742,""ar"", ""en"")"),"Round iron base, 40 cm")</f>
        <v>Round iron base, 40 cm</v>
      </c>
      <c r="E742" s="13" t="s">
        <v>2875</v>
      </c>
      <c r="F742" s="9" t="s">
        <v>27</v>
      </c>
      <c r="G742" s="9" t="s">
        <v>18</v>
      </c>
      <c r="H742" s="16" t="s">
        <v>186</v>
      </c>
      <c r="I742" s="8"/>
      <c r="J742" s="31"/>
      <c r="K742" s="11" t="s">
        <v>5880</v>
      </c>
      <c r="L742" s="8"/>
      <c r="M742" s="15">
        <v>8.0</v>
      </c>
      <c r="N742" s="8"/>
      <c r="O742" s="8"/>
      <c r="P742" s="31"/>
      <c r="Q742" s="4" t="str">
        <f t="shared" si="2"/>
        <v>Remove</v>
      </c>
    </row>
    <row r="743">
      <c r="A743" s="13" t="s">
        <v>2876</v>
      </c>
      <c r="B743" s="6">
        <v>2199.0</v>
      </c>
      <c r="C743" s="6" t="b">
        <v>0</v>
      </c>
      <c r="D743" s="8" t="str">
        <f>IFERROR(__xludf.DUMMYFUNCTION("GOOGLETRANSLATE(A743,""ar"", ""en"")"),"3-door glass shoe rack")</f>
        <v>3-door glass shoe rack</v>
      </c>
      <c r="E743" s="13" t="s">
        <v>2877</v>
      </c>
      <c r="F743" s="9" t="s">
        <v>18</v>
      </c>
      <c r="G743" s="9"/>
      <c r="H743" s="16" t="s">
        <v>1303</v>
      </c>
      <c r="I743" s="8"/>
      <c r="J743" s="14">
        <v>0.0</v>
      </c>
      <c r="K743" s="11" t="s">
        <v>5881</v>
      </c>
      <c r="L743" s="8"/>
      <c r="M743" s="15">
        <v>18.0</v>
      </c>
      <c r="N743" s="8"/>
      <c r="O743" s="8"/>
      <c r="P743" s="14">
        <v>0.0</v>
      </c>
      <c r="Q743" s="4" t="str">
        <f t="shared" si="2"/>
        <v>Remove</v>
      </c>
    </row>
    <row r="744">
      <c r="A744" s="5" t="s">
        <v>2878</v>
      </c>
      <c r="B744" s="6">
        <v>2200.0</v>
      </c>
      <c r="C744" s="6" t="b">
        <v>0</v>
      </c>
      <c r="D744" s="8" t="str">
        <f>IFERROR(__xludf.DUMMYFUNCTION("GOOGLETRANSLATE(A744,""ar"", ""en"")"),"6-door shoes")</f>
        <v>6-door shoes</v>
      </c>
      <c r="E744" s="5" t="s">
        <v>2879</v>
      </c>
      <c r="F744" s="9" t="s">
        <v>18</v>
      </c>
      <c r="G744" s="9"/>
      <c r="H744" s="16" t="s">
        <v>1303</v>
      </c>
      <c r="I744" s="8"/>
      <c r="J744" s="10">
        <v>0.0</v>
      </c>
      <c r="K744" s="11" t="s">
        <v>5882</v>
      </c>
      <c r="L744" s="8"/>
      <c r="M744" s="12">
        <v>274.0</v>
      </c>
      <c r="N744" s="8"/>
      <c r="O744" s="8"/>
      <c r="P744" s="10">
        <v>0.0</v>
      </c>
      <c r="Q744" s="4" t="str">
        <f t="shared" si="2"/>
        <v>Remove</v>
      </c>
    </row>
    <row r="745">
      <c r="A745" s="5" t="s">
        <v>2880</v>
      </c>
      <c r="B745" s="6">
        <v>2204.0</v>
      </c>
      <c r="C745" s="6" t="b">
        <v>0</v>
      </c>
      <c r="D745" s="8" t="str">
        <f>IFERROR(__xludf.DUMMYFUNCTION("GOOGLETRANSLATE(A745,""ar"", ""en"")"),"Aluminum base")</f>
        <v>Aluminum base</v>
      </c>
      <c r="E745" s="5" t="s">
        <v>2881</v>
      </c>
      <c r="F745" s="9" t="s">
        <v>27</v>
      </c>
      <c r="G745" s="9" t="s">
        <v>28</v>
      </c>
      <c r="H745" s="16" t="s">
        <v>186</v>
      </c>
      <c r="I745" s="8"/>
      <c r="J745" s="29"/>
      <c r="K745" s="11" t="s">
        <v>5883</v>
      </c>
      <c r="L745" s="8"/>
      <c r="M745" s="12">
        <v>2.0</v>
      </c>
      <c r="N745" s="8"/>
      <c r="O745" s="8"/>
      <c r="P745" s="29"/>
      <c r="Q745" s="4" t="str">
        <f t="shared" si="2"/>
        <v>Remove</v>
      </c>
    </row>
    <row r="746">
      <c r="A746" s="5" t="s">
        <v>2443</v>
      </c>
      <c r="B746" s="6">
        <v>2212.0</v>
      </c>
      <c r="C746" s="6" t="b">
        <v>0</v>
      </c>
      <c r="D746" s="8" t="str">
        <f>IFERROR(__xludf.DUMMYFUNCTION("GOOGLETRANSLATE(A746,""ar"", ""en"")"),"Text table")</f>
        <v>Text table</v>
      </c>
      <c r="E746" s="5" t="s">
        <v>2883</v>
      </c>
      <c r="F746" s="9" t="s">
        <v>18</v>
      </c>
      <c r="G746" s="9"/>
      <c r="H746" s="8"/>
      <c r="I746" s="8"/>
      <c r="J746" s="29"/>
      <c r="K746" s="11" t="s">
        <v>5752</v>
      </c>
      <c r="L746" s="8"/>
      <c r="M746" s="12">
        <v>1.0</v>
      </c>
      <c r="N746" s="8"/>
      <c r="O746" s="8"/>
      <c r="P746" s="29"/>
      <c r="Q746" s="4" t="str">
        <f t="shared" si="2"/>
        <v>Remove</v>
      </c>
    </row>
    <row r="747">
      <c r="A747" s="13" t="s">
        <v>2884</v>
      </c>
      <c r="B747" s="6">
        <v>2215.0</v>
      </c>
      <c r="C747" s="6" t="b">
        <v>0</v>
      </c>
      <c r="D747" s="8" t="str">
        <f>IFERROR(__xludf.DUMMYFUNCTION("GOOGLETRANSLATE(A747,""ar"", ""en"")"),"Heavy wood face 70*70")</f>
        <v>Heavy wood face 70*70</v>
      </c>
      <c r="E747" s="13" t="s">
        <v>2885</v>
      </c>
      <c r="F747" s="9" t="s">
        <v>27</v>
      </c>
      <c r="G747" s="9" t="s">
        <v>18</v>
      </c>
      <c r="H747" s="27" t="s">
        <v>98</v>
      </c>
      <c r="I747" s="8"/>
      <c r="J747" s="31"/>
      <c r="K747" s="11" t="s">
        <v>5884</v>
      </c>
      <c r="L747" s="8"/>
      <c r="M747" s="15">
        <v>3.0</v>
      </c>
      <c r="N747" s="8"/>
      <c r="O747" s="8"/>
      <c r="P747" s="31"/>
      <c r="Q747" s="4" t="str">
        <f t="shared" si="2"/>
        <v>Remove</v>
      </c>
    </row>
    <row r="748">
      <c r="A748" s="5" t="s">
        <v>2886</v>
      </c>
      <c r="B748" s="6">
        <v>2216.0</v>
      </c>
      <c r="C748" s="6" t="b">
        <v>0</v>
      </c>
      <c r="D748" s="8" t="str">
        <f>IFERROR(__xludf.DUMMYFUNCTION("GOOGLETRANSLATE(A748,""ar"", ""en"")"),"Heavy wood face 80*80")</f>
        <v>Heavy wood face 80*80</v>
      </c>
      <c r="E748" s="5" t="s">
        <v>2887</v>
      </c>
      <c r="F748" s="9" t="s">
        <v>27</v>
      </c>
      <c r="G748" s="9" t="s">
        <v>18</v>
      </c>
      <c r="H748" s="27" t="s">
        <v>98</v>
      </c>
      <c r="I748" s="8"/>
      <c r="J748" s="29"/>
      <c r="K748" s="11" t="s">
        <v>5885</v>
      </c>
      <c r="L748" s="8"/>
      <c r="M748" s="12">
        <v>3.0</v>
      </c>
      <c r="N748" s="8"/>
      <c r="O748" s="8"/>
      <c r="P748" s="29"/>
      <c r="Q748" s="4" t="str">
        <f t="shared" si="2"/>
        <v>Remove</v>
      </c>
    </row>
    <row r="749">
      <c r="A749" s="5" t="s">
        <v>2888</v>
      </c>
      <c r="B749" s="6">
        <v>2218.0</v>
      </c>
      <c r="C749" s="6" t="b">
        <v>0</v>
      </c>
      <c r="D749" s="8" t="str">
        <f>IFERROR(__xludf.DUMMYFUNCTION("GOOGLETRANSLATE(A749,""ar"", ""en"")"),"Heavy wood face 120*70")</f>
        <v>Heavy wood face 120*70</v>
      </c>
      <c r="E749" s="5" t="s">
        <v>2889</v>
      </c>
      <c r="F749" s="9" t="s">
        <v>27</v>
      </c>
      <c r="G749" s="9" t="s">
        <v>18</v>
      </c>
      <c r="H749" s="27" t="s">
        <v>98</v>
      </c>
      <c r="I749" s="8"/>
      <c r="J749" s="29"/>
      <c r="K749" s="11" t="s">
        <v>5886</v>
      </c>
      <c r="L749" s="8"/>
      <c r="M749" s="12">
        <v>9.0</v>
      </c>
      <c r="N749" s="8"/>
      <c r="O749" s="8"/>
      <c r="P749" s="29"/>
      <c r="Q749" s="4" t="str">
        <f t="shared" si="2"/>
        <v>Remove</v>
      </c>
    </row>
    <row r="750">
      <c r="A750" s="13" t="s">
        <v>2890</v>
      </c>
      <c r="B750" s="6">
        <v>2219.0</v>
      </c>
      <c r="C750" s="6" t="b">
        <v>0</v>
      </c>
      <c r="D750" s="8" t="str">
        <f>IFERROR(__xludf.DUMMYFUNCTION("GOOGLETRANSLATE(A750,""ar"", ""en"")"),"Heavy wood face 130*80")</f>
        <v>Heavy wood face 130*80</v>
      </c>
      <c r="E750" s="13" t="s">
        <v>2891</v>
      </c>
      <c r="F750" s="9" t="s">
        <v>27</v>
      </c>
      <c r="G750" s="9" t="s">
        <v>18</v>
      </c>
      <c r="H750" s="27" t="s">
        <v>98</v>
      </c>
      <c r="I750" s="8"/>
      <c r="J750" s="31"/>
      <c r="K750" s="11" t="s">
        <v>5887</v>
      </c>
      <c r="L750" s="8"/>
      <c r="M750" s="15">
        <v>1.0</v>
      </c>
      <c r="N750" s="8"/>
      <c r="O750" s="8"/>
      <c r="P750" s="31"/>
      <c r="Q750" s="4" t="str">
        <f t="shared" si="2"/>
        <v>Remove</v>
      </c>
    </row>
    <row r="751">
      <c r="A751" s="5" t="s">
        <v>2892</v>
      </c>
      <c r="B751" s="6">
        <v>2222.0</v>
      </c>
      <c r="C751" s="6" t="b">
        <v>0</v>
      </c>
      <c r="D751" s="8" t="str">
        <f>IFERROR(__xludf.DUMMYFUNCTION("GOOGLETRANSLATE(A751,""ar"", ""en"")"),"Granite table top 80*80")</f>
        <v>Granite table top 80*80</v>
      </c>
      <c r="E751" s="5" t="s">
        <v>2893</v>
      </c>
      <c r="F751" s="9" t="s">
        <v>27</v>
      </c>
      <c r="G751" s="9" t="s">
        <v>28</v>
      </c>
      <c r="H751" s="27" t="s">
        <v>98</v>
      </c>
      <c r="I751" s="8"/>
      <c r="J751" s="29"/>
      <c r="K751" s="11" t="s">
        <v>5888</v>
      </c>
      <c r="L751" s="8"/>
      <c r="M751" s="12">
        <v>1.0</v>
      </c>
      <c r="N751" s="8"/>
      <c r="O751" s="8"/>
      <c r="P751" s="29"/>
      <c r="Q751" s="4" t="str">
        <f t="shared" si="2"/>
        <v>Remove</v>
      </c>
    </row>
    <row r="752">
      <c r="A752" s="5" t="s">
        <v>2894</v>
      </c>
      <c r="B752" s="6">
        <v>2224.0</v>
      </c>
      <c r="C752" s="6" t="b">
        <v>0</v>
      </c>
      <c r="D752" s="8" t="str">
        <f>IFERROR(__xludf.DUMMYFUNCTION("GOOGLETRANSLATE(A752,""ar"", ""en"")"),"Versalite 80 round table top")</f>
        <v>Versalite 80 round table top</v>
      </c>
      <c r="E752" s="5" t="s">
        <v>2895</v>
      </c>
      <c r="F752" s="9" t="s">
        <v>27</v>
      </c>
      <c r="G752" s="9" t="s">
        <v>28</v>
      </c>
      <c r="H752" s="27" t="s">
        <v>98</v>
      </c>
      <c r="I752" s="8"/>
      <c r="J752" s="29"/>
      <c r="K752" s="11" t="s">
        <v>5889</v>
      </c>
      <c r="L752" s="8"/>
      <c r="M752" s="12">
        <v>2.0</v>
      </c>
      <c r="N752" s="8"/>
      <c r="O752" s="8"/>
      <c r="P752" s="29"/>
      <c r="Q752" s="4" t="str">
        <f t="shared" si="2"/>
        <v>Remove</v>
      </c>
    </row>
    <row r="753">
      <c r="A753" s="13" t="s">
        <v>1340</v>
      </c>
      <c r="B753" s="6">
        <v>2226.0</v>
      </c>
      <c r="C753" s="6" t="b">
        <v>0</v>
      </c>
      <c r="D753" s="8" t="str">
        <f>IFERROR(__xludf.DUMMYFUNCTION("GOOGLETRANSLATE(A753,""ar"", ""en"")"),"Wood perfume")</f>
        <v>Wood perfume</v>
      </c>
      <c r="E753" s="13" t="s">
        <v>2896</v>
      </c>
      <c r="F753" s="9" t="s">
        <v>18</v>
      </c>
      <c r="G753" s="9"/>
      <c r="H753" s="8"/>
      <c r="I753" s="8"/>
      <c r="J753" s="31"/>
      <c r="K753" s="11" t="s">
        <v>1342</v>
      </c>
      <c r="L753" s="8"/>
      <c r="M753" s="15">
        <v>11.0</v>
      </c>
      <c r="N753" s="8"/>
      <c r="O753" s="8"/>
      <c r="P753" s="31"/>
      <c r="Q753" s="4" t="str">
        <f t="shared" si="2"/>
        <v>Remove</v>
      </c>
    </row>
    <row r="754">
      <c r="A754" s="13" t="s">
        <v>2897</v>
      </c>
      <c r="B754" s="6">
        <v>2231.0</v>
      </c>
      <c r="C754" s="6" t="b">
        <v>0</v>
      </c>
      <c r="D754" s="8" t="str">
        <f>IFERROR(__xludf.DUMMYFUNCTION("GOOGLETRANSLATE(A754,""ar"", ""en"")"),"Restaurant accessories")</f>
        <v>Restaurant accessories</v>
      </c>
      <c r="E754" s="13" t="s">
        <v>2898</v>
      </c>
      <c r="F754" s="9" t="s">
        <v>27</v>
      </c>
      <c r="G754" s="9"/>
      <c r="H754" s="8"/>
      <c r="I754" s="8"/>
      <c r="J754" s="14">
        <v>0.0</v>
      </c>
      <c r="K754" s="11" t="s">
        <v>5890</v>
      </c>
      <c r="L754" s="16" t="s">
        <v>5891</v>
      </c>
      <c r="M754" s="15">
        <v>40.0</v>
      </c>
      <c r="N754" s="8"/>
      <c r="O754" s="8"/>
      <c r="P754" s="14">
        <v>0.0</v>
      </c>
      <c r="Q754" s="4" t="str">
        <f t="shared" si="2"/>
        <v>Remove</v>
      </c>
    </row>
    <row r="755">
      <c r="A755" s="5" t="s">
        <v>2897</v>
      </c>
      <c r="B755" s="6">
        <v>2232.0</v>
      </c>
      <c r="C755" s="6" t="b">
        <v>0</v>
      </c>
      <c r="D755" s="8" t="str">
        <f>IFERROR(__xludf.DUMMYFUNCTION("GOOGLETRANSLATE(A755,""ar"", ""en"")"),"Restaurant accessories")</f>
        <v>Restaurant accessories</v>
      </c>
      <c r="E755" s="5" t="s">
        <v>2899</v>
      </c>
      <c r="F755" s="9" t="s">
        <v>27</v>
      </c>
      <c r="G755" s="9"/>
      <c r="H755" s="8"/>
      <c r="I755" s="8"/>
      <c r="J755" s="29"/>
      <c r="K755" s="11" t="s">
        <v>5890</v>
      </c>
      <c r="L755" s="16" t="s">
        <v>5891</v>
      </c>
      <c r="M755" s="12">
        <v>6.0</v>
      </c>
      <c r="N755" s="8"/>
      <c r="O755" s="8"/>
      <c r="P755" s="29"/>
      <c r="Q755" s="4" t="str">
        <f t="shared" si="2"/>
        <v>Remove</v>
      </c>
    </row>
    <row r="756">
      <c r="A756" s="13" t="s">
        <v>2897</v>
      </c>
      <c r="B756" s="6">
        <v>2233.0</v>
      </c>
      <c r="C756" s="6" t="b">
        <v>0</v>
      </c>
      <c r="D756" s="8" t="str">
        <f>IFERROR(__xludf.DUMMYFUNCTION("GOOGLETRANSLATE(A756,""ar"", ""en"")"),"Restaurant accessories")</f>
        <v>Restaurant accessories</v>
      </c>
      <c r="E756" s="13" t="s">
        <v>2900</v>
      </c>
      <c r="F756" s="9" t="s">
        <v>27</v>
      </c>
      <c r="G756" s="9"/>
      <c r="H756" s="8"/>
      <c r="I756" s="8"/>
      <c r="J756" s="31"/>
      <c r="K756" s="11" t="s">
        <v>5890</v>
      </c>
      <c r="L756" s="16" t="s">
        <v>5891</v>
      </c>
      <c r="M756" s="15">
        <v>26.0</v>
      </c>
      <c r="N756" s="8"/>
      <c r="O756" s="8"/>
      <c r="P756" s="31"/>
      <c r="Q756" s="4" t="str">
        <f t="shared" si="2"/>
        <v>Remove</v>
      </c>
    </row>
    <row r="757">
      <c r="A757" s="5" t="s">
        <v>2897</v>
      </c>
      <c r="B757" s="6">
        <v>2234.0</v>
      </c>
      <c r="C757" s="6" t="b">
        <v>0</v>
      </c>
      <c r="D757" s="8" t="str">
        <f>IFERROR(__xludf.DUMMYFUNCTION("GOOGLETRANSLATE(A757,""ar"", ""en"")"),"Restaurant accessories")</f>
        <v>Restaurant accessories</v>
      </c>
      <c r="E757" s="5" t="s">
        <v>2901</v>
      </c>
      <c r="F757" s="9" t="s">
        <v>27</v>
      </c>
      <c r="G757" s="9"/>
      <c r="H757" s="8"/>
      <c r="I757" s="8"/>
      <c r="J757" s="29"/>
      <c r="K757" s="11" t="s">
        <v>5890</v>
      </c>
      <c r="L757" s="16" t="s">
        <v>5891</v>
      </c>
      <c r="M757" s="12">
        <v>10.0</v>
      </c>
      <c r="N757" s="8"/>
      <c r="O757" s="8"/>
      <c r="P757" s="29"/>
      <c r="Q757" s="4" t="str">
        <f t="shared" si="2"/>
        <v>Remove</v>
      </c>
    </row>
    <row r="758">
      <c r="A758" s="5" t="s">
        <v>1735</v>
      </c>
      <c r="B758" s="6">
        <v>2238.0</v>
      </c>
      <c r="C758" s="6" t="b">
        <v>0</v>
      </c>
      <c r="D758" s="8" t="str">
        <f>IFERROR(__xludf.DUMMYFUNCTION("GOOGLETRANSLATE(A758,""ar"", ""en"")"),"Two-seat resin set")</f>
        <v>Two-seat resin set</v>
      </c>
      <c r="E758" s="5" t="s">
        <v>2902</v>
      </c>
      <c r="F758" s="9" t="s">
        <v>28</v>
      </c>
      <c r="G758" s="9"/>
      <c r="H758" s="16" t="s">
        <v>519</v>
      </c>
      <c r="I758" s="8"/>
      <c r="J758" s="29"/>
      <c r="K758" s="11" t="s">
        <v>1737</v>
      </c>
      <c r="L758" s="8"/>
      <c r="M758" s="12">
        <v>15.0</v>
      </c>
      <c r="N758" s="8"/>
      <c r="O758" s="8"/>
      <c r="P758" s="29"/>
      <c r="Q758" s="4" t="str">
        <f t="shared" si="2"/>
        <v>Remove</v>
      </c>
    </row>
    <row r="759">
      <c r="A759" s="13" t="s">
        <v>2903</v>
      </c>
      <c r="B759" s="6">
        <v>2239.0</v>
      </c>
      <c r="C759" s="6" t="b">
        <v>0</v>
      </c>
      <c r="D759" s="8" t="str">
        <f>IFERROR(__xludf.DUMMYFUNCTION("GOOGLETRANSLATE(A759,""ar"", ""en"")"),"3-seat resin set")</f>
        <v>3-seat resin set</v>
      </c>
      <c r="E759" s="13" t="s">
        <v>2904</v>
      </c>
      <c r="F759" s="9" t="s">
        <v>28</v>
      </c>
      <c r="G759" s="9"/>
      <c r="H759" s="16" t="s">
        <v>519</v>
      </c>
      <c r="I759" s="8"/>
      <c r="J759" s="31"/>
      <c r="K759" s="11" t="s">
        <v>5892</v>
      </c>
      <c r="L759" s="8"/>
      <c r="M759" s="15">
        <v>6.0</v>
      </c>
      <c r="N759" s="8"/>
      <c r="O759" s="8"/>
      <c r="P759" s="31"/>
      <c r="Q759" s="4" t="str">
        <f t="shared" si="2"/>
        <v>Remove</v>
      </c>
    </row>
    <row r="760">
      <c r="A760" s="59" t="s">
        <v>2905</v>
      </c>
      <c r="B760" s="60">
        <v>2240.0</v>
      </c>
      <c r="C760" s="60" t="b">
        <v>0</v>
      </c>
      <c r="D760" s="60" t="str">
        <f>IFERROR(__xludf.DUMMYFUNCTION("GOOGLETRANSLATE(A760,""ar"", ""en"")"),"DARK GREEN LEATHER")</f>
        <v>DARK GREEN LEATHER</v>
      </c>
      <c r="E760" s="59" t="s">
        <v>2906</v>
      </c>
      <c r="F760" s="9" t="s">
        <v>18</v>
      </c>
      <c r="G760" s="9"/>
      <c r="H760" s="8"/>
      <c r="I760" s="8"/>
      <c r="J760" s="12"/>
      <c r="K760" s="8"/>
      <c r="L760" s="8"/>
      <c r="M760" s="61">
        <v>320.0</v>
      </c>
      <c r="N760" s="8"/>
      <c r="O760" s="8"/>
      <c r="P760" s="62"/>
      <c r="Q760" s="4" t="str">
        <f t="shared" si="2"/>
        <v>Remove</v>
      </c>
    </row>
    <row r="761">
      <c r="A761" s="59" t="s">
        <v>2907</v>
      </c>
      <c r="B761" s="60">
        <v>2241.0</v>
      </c>
      <c r="C761" s="60" t="b">
        <v>0</v>
      </c>
      <c r="D761" s="60" t="str">
        <f>IFERROR(__xludf.DUMMYFUNCTION("GOOGLETRANSLATE(A761,""ar"", ""en"")"),"DARK GREY LEATHER")</f>
        <v>DARK GREY LEATHER</v>
      </c>
      <c r="E761" s="59" t="s">
        <v>2908</v>
      </c>
      <c r="F761" s="9" t="s">
        <v>18</v>
      </c>
      <c r="G761" s="9"/>
      <c r="H761" s="8"/>
      <c r="I761" s="8"/>
      <c r="J761" s="12"/>
      <c r="K761" s="8"/>
      <c r="L761" s="8"/>
      <c r="M761" s="61">
        <v>400.0</v>
      </c>
      <c r="N761" s="8"/>
      <c r="O761" s="8"/>
      <c r="P761" s="62"/>
      <c r="Q761" s="4" t="str">
        <f t="shared" si="2"/>
        <v>Remove</v>
      </c>
    </row>
    <row r="762">
      <c r="A762" s="59" t="s">
        <v>2909</v>
      </c>
      <c r="B762" s="60">
        <v>2242.0</v>
      </c>
      <c r="C762" s="60" t="b">
        <v>0</v>
      </c>
      <c r="D762" s="60" t="str">
        <f>IFERROR(__xludf.DUMMYFUNCTION("GOOGLETRANSLATE(A762,""ar"", ""en"")"),"GREY LEATHER")</f>
        <v>GREY LEATHER</v>
      </c>
      <c r="E762" s="59" t="s">
        <v>2910</v>
      </c>
      <c r="F762" s="9" t="s">
        <v>18</v>
      </c>
      <c r="G762" s="9"/>
      <c r="H762" s="8"/>
      <c r="I762" s="8"/>
      <c r="J762" s="12"/>
      <c r="K762" s="8"/>
      <c r="L762" s="8"/>
      <c r="M762" s="61">
        <v>320.0</v>
      </c>
      <c r="N762" s="8"/>
      <c r="O762" s="8"/>
      <c r="P762" s="62"/>
      <c r="Q762" s="4" t="str">
        <f t="shared" si="2"/>
        <v>Remove</v>
      </c>
    </row>
    <row r="763">
      <c r="A763" s="59" t="s">
        <v>2911</v>
      </c>
      <c r="B763" s="60">
        <v>2243.0</v>
      </c>
      <c r="C763" s="60" t="b">
        <v>0</v>
      </c>
      <c r="D763" s="60" t="str">
        <f>IFERROR(__xludf.DUMMYFUNCTION("GOOGLETRANSLATE(A763,""ar"", ""en"")"),"COFFEE LEATHER")</f>
        <v>COFFEE LEATHER</v>
      </c>
      <c r="E763" s="59" t="s">
        <v>2912</v>
      </c>
      <c r="F763" s="9" t="s">
        <v>18</v>
      </c>
      <c r="G763" s="9"/>
      <c r="H763" s="8"/>
      <c r="I763" s="8"/>
      <c r="J763" s="12"/>
      <c r="K763" s="8"/>
      <c r="L763" s="8"/>
      <c r="M763" s="61">
        <v>240.0</v>
      </c>
      <c r="N763" s="8"/>
      <c r="O763" s="8"/>
      <c r="P763" s="62"/>
      <c r="Q763" s="4" t="str">
        <f t="shared" si="2"/>
        <v>Remove</v>
      </c>
    </row>
    <row r="764">
      <c r="A764" s="59" t="s">
        <v>2913</v>
      </c>
      <c r="B764" s="60">
        <v>2244.0</v>
      </c>
      <c r="C764" s="60" t="b">
        <v>0</v>
      </c>
      <c r="D764" s="60" t="str">
        <f>IFERROR(__xludf.DUMMYFUNCTION("GOOGLETRANSLATE(A764,""ar"", ""en"")"),"BLUE LEATHER")</f>
        <v>BLUE LEATHER</v>
      </c>
      <c r="E764" s="59" t="s">
        <v>2914</v>
      </c>
      <c r="F764" s="9" t="s">
        <v>18</v>
      </c>
      <c r="G764" s="9"/>
      <c r="H764" s="8"/>
      <c r="I764" s="8"/>
      <c r="J764" s="12"/>
      <c r="K764" s="8"/>
      <c r="L764" s="8"/>
      <c r="M764" s="61">
        <v>120.0</v>
      </c>
      <c r="N764" s="8"/>
      <c r="O764" s="8"/>
      <c r="P764" s="62"/>
      <c r="Q764" s="4" t="str">
        <f t="shared" si="2"/>
        <v>Remove</v>
      </c>
    </row>
    <row r="765">
      <c r="A765" s="63" t="s">
        <v>2919</v>
      </c>
      <c r="B765" s="60">
        <v>2248.0</v>
      </c>
      <c r="C765" s="60" t="b">
        <v>0</v>
      </c>
      <c r="D765" s="60" t="str">
        <f>IFERROR(__xludf.DUMMYFUNCTION("GOOGLETRANSLATE(A765,""ar"", ""en"")"),"GREEN TENT 3*3 m RSOOR")</f>
        <v>GREEN TENT 3*3 m RSOOR</v>
      </c>
      <c r="E765" s="59" t="s">
        <v>2920</v>
      </c>
      <c r="F765" s="9" t="s">
        <v>28</v>
      </c>
      <c r="G765" s="9"/>
      <c r="H765" s="16" t="s">
        <v>121</v>
      </c>
      <c r="I765" s="8"/>
      <c r="J765" s="12"/>
      <c r="K765" s="8"/>
      <c r="L765" s="8"/>
      <c r="M765" s="61">
        <v>30.0</v>
      </c>
      <c r="N765" s="8"/>
      <c r="O765" s="8"/>
      <c r="P765" s="62"/>
      <c r="Q765" s="4" t="str">
        <f t="shared" si="2"/>
        <v>Remove</v>
      </c>
    </row>
    <row r="766">
      <c r="A766" s="63" t="s">
        <v>2921</v>
      </c>
      <c r="B766" s="60">
        <v>2249.0</v>
      </c>
      <c r="C766" s="60" t="b">
        <v>0</v>
      </c>
      <c r="D766" s="60" t="str">
        <f>IFERROR(__xludf.DUMMYFUNCTION("GOOGLETRANSLATE(A766,""ar"", ""en"")"),"BLUE Tent 3*3 m")</f>
        <v>BLUE Tent 3*3 m</v>
      </c>
      <c r="E766" s="59" t="s">
        <v>2922</v>
      </c>
      <c r="F766" s="9" t="s">
        <v>28</v>
      </c>
      <c r="G766" s="9"/>
      <c r="H766" s="16" t="s">
        <v>121</v>
      </c>
      <c r="I766" s="8"/>
      <c r="J766" s="12"/>
      <c r="K766" s="8"/>
      <c r="L766" s="8"/>
      <c r="M766" s="61">
        <v>50.0</v>
      </c>
      <c r="N766" s="8"/>
      <c r="O766" s="8"/>
      <c r="P766" s="62"/>
      <c r="Q766" s="4" t="str">
        <f t="shared" si="2"/>
        <v>Remove</v>
      </c>
    </row>
    <row r="767">
      <c r="A767" s="63" t="s">
        <v>2923</v>
      </c>
      <c r="B767" s="60">
        <v>2250.0</v>
      </c>
      <c r="C767" s="60" t="b">
        <v>0</v>
      </c>
      <c r="D767" s="60" t="str">
        <f>IFERROR(__xludf.DUMMYFUNCTION("GOOGLETRANSLATE(A767,""ar"", ""en"")"),"GREY TENT 3*3 m RSOOR")</f>
        <v>GREY TENT 3*3 m RSOOR</v>
      </c>
      <c r="E767" s="59" t="s">
        <v>2924</v>
      </c>
      <c r="F767" s="9" t="s">
        <v>28</v>
      </c>
      <c r="G767" s="9"/>
      <c r="H767" s="16" t="s">
        <v>121</v>
      </c>
      <c r="I767" s="8"/>
      <c r="J767" s="12"/>
      <c r="K767" s="8"/>
      <c r="L767" s="8"/>
      <c r="M767" s="61">
        <v>70.0</v>
      </c>
      <c r="N767" s="8"/>
      <c r="O767" s="8"/>
      <c r="P767" s="62"/>
      <c r="Q767" s="4" t="str">
        <f t="shared" si="2"/>
        <v>Remove</v>
      </c>
    </row>
    <row r="768">
      <c r="A768" s="59" t="s">
        <v>2925</v>
      </c>
      <c r="B768" s="60">
        <v>2269.0</v>
      </c>
      <c r="C768" s="60" t="b">
        <v>0</v>
      </c>
      <c r="D768" s="60" t="str">
        <f>IFERROR(__xludf.DUMMYFUNCTION("GOOGLETRANSLATE(A768,""ar"", ""en"")"),"BLACK LEATHER")</f>
        <v>BLACK LEATHER</v>
      </c>
      <c r="E768" s="59" t="s">
        <v>2926</v>
      </c>
      <c r="F768" s="9" t="s">
        <v>18</v>
      </c>
      <c r="G768" s="9"/>
      <c r="H768" s="16"/>
      <c r="I768" s="8"/>
      <c r="J768" s="12"/>
      <c r="K768" s="8"/>
      <c r="L768" s="8"/>
      <c r="M768" s="61">
        <v>400.0</v>
      </c>
      <c r="N768" s="8"/>
      <c r="O768" s="8"/>
      <c r="P768" s="62"/>
      <c r="Q768" s="4" t="str">
        <f t="shared" si="2"/>
        <v>Remove</v>
      </c>
    </row>
    <row r="769">
      <c r="A769" s="59" t="s">
        <v>2909</v>
      </c>
      <c r="B769" s="60">
        <v>2270.0</v>
      </c>
      <c r="C769" s="60" t="b">
        <v>0</v>
      </c>
      <c r="D769" s="60" t="str">
        <f>IFERROR(__xludf.DUMMYFUNCTION("GOOGLETRANSLATE(A769,""ar"", ""en"")"),"GREY LEATHER")</f>
        <v>GREY LEATHER</v>
      </c>
      <c r="E769" s="59" t="s">
        <v>2927</v>
      </c>
      <c r="F769" s="9" t="s">
        <v>18</v>
      </c>
      <c r="G769" s="9"/>
      <c r="H769" s="8"/>
      <c r="I769" s="8"/>
      <c r="J769" s="12"/>
      <c r="K769" s="8"/>
      <c r="L769" s="8"/>
      <c r="M769" s="61">
        <v>400.0</v>
      </c>
      <c r="N769" s="8"/>
      <c r="O769" s="8"/>
      <c r="P769" s="62"/>
      <c r="Q769" s="4" t="str">
        <f t="shared" si="2"/>
        <v>Remove</v>
      </c>
    </row>
    <row r="770">
      <c r="A770" s="59" t="s">
        <v>2913</v>
      </c>
      <c r="B770" s="60">
        <v>2271.0</v>
      </c>
      <c r="C770" s="60" t="b">
        <v>0</v>
      </c>
      <c r="D770" s="60" t="str">
        <f>IFERROR(__xludf.DUMMYFUNCTION("GOOGLETRANSLATE(A770,""ar"", ""en"")"),"BLUE LEATHER")</f>
        <v>BLUE LEATHER</v>
      </c>
      <c r="E770" s="59" t="s">
        <v>2928</v>
      </c>
      <c r="F770" s="9" t="s">
        <v>18</v>
      </c>
      <c r="G770" s="9"/>
      <c r="H770" s="8"/>
      <c r="I770" s="8"/>
      <c r="J770" s="12"/>
      <c r="K770" s="8"/>
      <c r="L770" s="8"/>
      <c r="M770" s="61">
        <v>240.0</v>
      </c>
      <c r="N770" s="8"/>
      <c r="O770" s="8"/>
      <c r="P770" s="62"/>
      <c r="Q770" s="4" t="str">
        <f t="shared" si="2"/>
        <v>Remove</v>
      </c>
    </row>
    <row r="771">
      <c r="A771" s="59" t="s">
        <v>2929</v>
      </c>
      <c r="B771" s="60">
        <v>2272.0</v>
      </c>
      <c r="C771" s="60" t="b">
        <v>0</v>
      </c>
      <c r="D771" s="60" t="str">
        <f>IFERROR(__xludf.DUMMYFUNCTION("GOOGLETRANSLATE(A771,""ar"", ""en"")"),"RED LEATHER")</f>
        <v>RED LEATHER</v>
      </c>
      <c r="E771" s="59" t="s">
        <v>2930</v>
      </c>
      <c r="F771" s="9" t="s">
        <v>18</v>
      </c>
      <c r="G771" s="9"/>
      <c r="H771" s="8"/>
      <c r="I771" s="8"/>
      <c r="J771" s="12"/>
      <c r="K771" s="8"/>
      <c r="L771" s="8"/>
      <c r="M771" s="61">
        <v>160.0</v>
      </c>
      <c r="N771" s="8"/>
      <c r="O771" s="8"/>
      <c r="P771" s="62"/>
      <c r="Q771" s="4" t="str">
        <f t="shared" si="2"/>
        <v>Remove</v>
      </c>
    </row>
    <row r="772">
      <c r="A772" s="59" t="s">
        <v>2931</v>
      </c>
      <c r="B772" s="60">
        <v>2273.0</v>
      </c>
      <c r="C772" s="60" t="b">
        <v>0</v>
      </c>
      <c r="D772" s="60" t="str">
        <f>IFERROR(__xludf.DUMMYFUNCTION("GOOGLETRANSLATE(A772,""ar"", ""en"")"),"WHITE LEATHER")</f>
        <v>WHITE LEATHER</v>
      </c>
      <c r="E772" s="59" t="s">
        <v>2932</v>
      </c>
      <c r="F772" s="9" t="s">
        <v>18</v>
      </c>
      <c r="G772" s="9"/>
      <c r="H772" s="16"/>
      <c r="I772" s="8"/>
      <c r="J772" s="12"/>
      <c r="K772" s="8"/>
      <c r="L772" s="8"/>
      <c r="M772" s="61">
        <v>160.0</v>
      </c>
      <c r="N772" s="8"/>
      <c r="O772" s="8"/>
      <c r="P772" s="62"/>
      <c r="Q772" s="4" t="str">
        <f t="shared" si="2"/>
        <v>Remove</v>
      </c>
    </row>
    <row r="773">
      <c r="A773" s="59" t="s">
        <v>2925</v>
      </c>
      <c r="B773" s="60">
        <v>2274.0</v>
      </c>
      <c r="C773" s="60" t="b">
        <v>0</v>
      </c>
      <c r="D773" s="60" t="str">
        <f>IFERROR(__xludf.DUMMYFUNCTION("GOOGLETRANSLATE(A773,""ar"", ""en"")"),"BLACK LEATHER")</f>
        <v>BLACK LEATHER</v>
      </c>
      <c r="E773" s="59" t="s">
        <v>2933</v>
      </c>
      <c r="F773" s="9" t="s">
        <v>18</v>
      </c>
      <c r="G773" s="9"/>
      <c r="H773" s="16"/>
      <c r="I773" s="8"/>
      <c r="J773" s="12"/>
      <c r="K773" s="8"/>
      <c r="L773" s="8"/>
      <c r="M773" s="61">
        <v>160.0</v>
      </c>
      <c r="N773" s="8"/>
      <c r="O773" s="8"/>
      <c r="P773" s="62"/>
      <c r="Q773" s="4" t="str">
        <f t="shared" si="2"/>
        <v>Remove</v>
      </c>
    </row>
    <row r="774">
      <c r="A774" s="63" t="s">
        <v>1392</v>
      </c>
      <c r="B774" s="60">
        <v>2275.0</v>
      </c>
      <c r="C774" s="60" t="b">
        <v>0</v>
      </c>
      <c r="D774" s="60" t="str">
        <f>IFERROR(__xludf.DUMMYFUNCTION("GOOGLETRANSLATE(A774,""ar"", ""en"")"),"Ceramic table 90*180")</f>
        <v>Ceramic table 90*180</v>
      </c>
      <c r="E774" s="59" t="s">
        <v>2934</v>
      </c>
      <c r="F774" s="9" t="s">
        <v>18</v>
      </c>
      <c r="G774" s="9"/>
      <c r="H774" s="16" t="s">
        <v>1217</v>
      </c>
      <c r="I774" s="8"/>
      <c r="J774" s="12"/>
      <c r="K774" s="8"/>
      <c r="L774" s="8"/>
      <c r="M774" s="61">
        <v>3.0</v>
      </c>
      <c r="N774" s="8"/>
      <c r="O774" s="8"/>
      <c r="P774" s="62"/>
      <c r="Q774" s="4" t="str">
        <f t="shared" si="2"/>
        <v>Remove</v>
      </c>
    </row>
    <row r="775">
      <c r="A775" s="63" t="s">
        <v>1392</v>
      </c>
      <c r="B775" s="60">
        <v>2276.0</v>
      </c>
      <c r="C775" s="60" t="b">
        <v>0</v>
      </c>
      <c r="D775" s="60" t="str">
        <f>IFERROR(__xludf.DUMMYFUNCTION("GOOGLETRANSLATE(A775,""ar"", ""en"")"),"Ceramic table 90*180")</f>
        <v>Ceramic table 90*180</v>
      </c>
      <c r="E775" s="59" t="s">
        <v>2935</v>
      </c>
      <c r="F775" s="9" t="s">
        <v>18</v>
      </c>
      <c r="G775" s="9"/>
      <c r="H775" s="16" t="s">
        <v>1217</v>
      </c>
      <c r="I775" s="8"/>
      <c r="J775" s="12"/>
      <c r="K775" s="8"/>
      <c r="L775" s="8"/>
      <c r="M775" s="61">
        <v>3.0</v>
      </c>
      <c r="N775" s="8"/>
      <c r="O775" s="8"/>
      <c r="P775" s="62"/>
      <c r="Q775" s="4" t="str">
        <f t="shared" si="2"/>
        <v>Remove</v>
      </c>
    </row>
    <row r="776">
      <c r="A776" s="63" t="s">
        <v>2936</v>
      </c>
      <c r="B776" s="60">
        <v>2277.0</v>
      </c>
      <c r="C776" s="60" t="b">
        <v>0</v>
      </c>
      <c r="D776" s="60" t="str">
        <f>IFERROR(__xludf.DUMMYFUNCTION("GOOGLETRANSLATE(A776,""ar"", ""en"")"),"Ceramic table 80*140")</f>
        <v>Ceramic table 80*140</v>
      </c>
      <c r="E776" s="59" t="s">
        <v>2937</v>
      </c>
      <c r="F776" s="9" t="s">
        <v>18</v>
      </c>
      <c r="G776" s="9"/>
      <c r="H776" s="16" t="s">
        <v>1217</v>
      </c>
      <c r="I776" s="8"/>
      <c r="J776" s="12"/>
      <c r="K776" s="8"/>
      <c r="L776" s="8"/>
      <c r="M776" s="61">
        <v>3.0</v>
      </c>
      <c r="N776" s="8"/>
      <c r="O776" s="8"/>
      <c r="P776" s="62"/>
      <c r="Q776" s="4" t="str">
        <f t="shared" si="2"/>
        <v>Remove</v>
      </c>
    </row>
    <row r="777">
      <c r="A777" s="63" t="s">
        <v>2936</v>
      </c>
      <c r="B777" s="60">
        <v>2278.0</v>
      </c>
      <c r="C777" s="60" t="b">
        <v>0</v>
      </c>
      <c r="D777" s="60" t="str">
        <f>IFERROR(__xludf.DUMMYFUNCTION("GOOGLETRANSLATE(A777,""ar"", ""en"")"),"Ceramic table 80*140")</f>
        <v>Ceramic table 80*140</v>
      </c>
      <c r="E777" s="59" t="s">
        <v>2938</v>
      </c>
      <c r="F777" s="9" t="s">
        <v>18</v>
      </c>
      <c r="G777" s="9"/>
      <c r="H777" s="16" t="s">
        <v>1217</v>
      </c>
      <c r="I777" s="8"/>
      <c r="J777" s="12"/>
      <c r="K777" s="8"/>
      <c r="L777" s="8"/>
      <c r="M777" s="61">
        <v>3.0</v>
      </c>
      <c r="N777" s="8"/>
      <c r="O777" s="8"/>
      <c r="P777" s="62"/>
      <c r="Q777" s="4" t="str">
        <f t="shared" si="2"/>
        <v>Remove</v>
      </c>
    </row>
    <row r="778">
      <c r="A778" s="63" t="s">
        <v>2936</v>
      </c>
      <c r="B778" s="60">
        <v>2279.0</v>
      </c>
      <c r="C778" s="60" t="b">
        <v>0</v>
      </c>
      <c r="D778" s="60" t="str">
        <f>IFERROR(__xludf.DUMMYFUNCTION("GOOGLETRANSLATE(A778,""ar"", ""en"")"),"Ceramic table 80*140")</f>
        <v>Ceramic table 80*140</v>
      </c>
      <c r="E778" s="59" t="s">
        <v>2939</v>
      </c>
      <c r="F778" s="9" t="s">
        <v>18</v>
      </c>
      <c r="G778" s="9"/>
      <c r="H778" s="16" t="s">
        <v>1217</v>
      </c>
      <c r="I778" s="8"/>
      <c r="J778" s="12"/>
      <c r="K778" s="8"/>
      <c r="L778" s="8"/>
      <c r="M778" s="61">
        <v>3.0</v>
      </c>
      <c r="N778" s="8"/>
      <c r="O778" s="8"/>
      <c r="P778" s="62"/>
      <c r="Q778" s="4" t="str">
        <f t="shared" si="2"/>
        <v>Remove</v>
      </c>
    </row>
    <row r="779">
      <c r="A779" s="63" t="s">
        <v>2936</v>
      </c>
      <c r="B779" s="60">
        <v>2280.0</v>
      </c>
      <c r="C779" s="60" t="b">
        <v>0</v>
      </c>
      <c r="D779" s="60" t="str">
        <f>IFERROR(__xludf.DUMMYFUNCTION("GOOGLETRANSLATE(A779,""ar"", ""en"")"),"Ceramic table 80*140")</f>
        <v>Ceramic table 80*140</v>
      </c>
      <c r="E779" s="59" t="s">
        <v>2940</v>
      </c>
      <c r="F779" s="9" t="s">
        <v>18</v>
      </c>
      <c r="G779" s="9"/>
      <c r="H779" s="16" t="s">
        <v>1217</v>
      </c>
      <c r="I779" s="8"/>
      <c r="J779" s="12"/>
      <c r="K779" s="8"/>
      <c r="L779" s="8"/>
      <c r="M779" s="61">
        <v>3.0</v>
      </c>
      <c r="N779" s="8"/>
      <c r="O779" s="8"/>
      <c r="P779" s="62"/>
      <c r="Q779" s="4" t="str">
        <f t="shared" si="2"/>
        <v>Remove</v>
      </c>
    </row>
    <row r="780">
      <c r="A780" s="63" t="s">
        <v>1392</v>
      </c>
      <c r="B780" s="60">
        <v>2281.0</v>
      </c>
      <c r="C780" s="60" t="b">
        <v>0</v>
      </c>
      <c r="D780" s="60" t="str">
        <f>IFERROR(__xludf.DUMMYFUNCTION("GOOGLETRANSLATE(A780,""ar"", ""en"")"),"Ceramic table 90*180")</f>
        <v>Ceramic table 90*180</v>
      </c>
      <c r="E780" s="59" t="s">
        <v>2941</v>
      </c>
      <c r="F780" s="9" t="s">
        <v>18</v>
      </c>
      <c r="G780" s="9"/>
      <c r="H780" s="16" t="s">
        <v>1217</v>
      </c>
      <c r="I780" s="8"/>
      <c r="J780" s="12"/>
      <c r="K780" s="8"/>
      <c r="L780" s="8"/>
      <c r="M780" s="61">
        <v>2.0</v>
      </c>
      <c r="N780" s="8"/>
      <c r="O780" s="8"/>
      <c r="P780" s="62"/>
      <c r="Q780" s="4" t="str">
        <f t="shared" si="2"/>
        <v>Remove</v>
      </c>
    </row>
    <row r="781">
      <c r="A781" s="63" t="s">
        <v>2942</v>
      </c>
      <c r="B781" s="60">
        <v>2285.0</v>
      </c>
      <c r="C781" s="60" t="b">
        <v>0</v>
      </c>
      <c r="D781" s="60" t="str">
        <f>IFERROR(__xludf.DUMMYFUNCTION("GOOGLETRANSLATE(A781,""ar"", ""en"")"),"BLK Office Chair")</f>
        <v>BLK Office Chair</v>
      </c>
      <c r="E781" s="59" t="s">
        <v>2943</v>
      </c>
      <c r="F781" s="9" t="s">
        <v>18</v>
      </c>
      <c r="G781" s="9"/>
      <c r="H781" s="8"/>
      <c r="I781" s="8"/>
      <c r="J781" s="12"/>
      <c r="K781" s="8"/>
      <c r="L781" s="8"/>
      <c r="M781" s="61">
        <v>150.0</v>
      </c>
      <c r="N781" s="8"/>
      <c r="O781" s="8"/>
      <c r="P781" s="62"/>
      <c r="Q781" s="4" t="str">
        <f t="shared" si="2"/>
        <v>Remove</v>
      </c>
    </row>
    <row r="782">
      <c r="A782" s="63" t="s">
        <v>635</v>
      </c>
      <c r="B782" s="60">
        <v>2306.0</v>
      </c>
      <c r="C782" s="60" t="b">
        <v>0</v>
      </c>
      <c r="D782" s="60" t="str">
        <f>IFERROR(__xludf.DUMMYFUNCTION("GOOGLETRANSLATE(A782,""ar"", ""en"")"),"FLOWER DESIGN Aluminum Hotel Chair")</f>
        <v>FLOWER DESIGN Aluminum Hotel Chair</v>
      </c>
      <c r="E782" s="59" t="s">
        <v>636</v>
      </c>
      <c r="F782" s="9" t="s">
        <v>18</v>
      </c>
      <c r="G782" s="30"/>
      <c r="H782" s="8"/>
      <c r="I782" s="8"/>
      <c r="J782" s="12"/>
      <c r="K782" s="8"/>
      <c r="L782" s="8"/>
      <c r="M782" s="61">
        <v>204.0</v>
      </c>
      <c r="N782" s="8"/>
      <c r="O782" s="8"/>
      <c r="P782" s="62"/>
      <c r="Q782" s="4" t="str">
        <f t="shared" si="2"/>
        <v>Remove</v>
      </c>
    </row>
    <row r="783">
      <c r="A783" s="59" t="s">
        <v>2905</v>
      </c>
      <c r="B783" s="60">
        <v>2313.0</v>
      </c>
      <c r="C783" s="60" t="b">
        <v>0</v>
      </c>
      <c r="D783" s="60" t="str">
        <f>IFERROR(__xludf.DUMMYFUNCTION("GOOGLETRANSLATE(A783,""ar"", ""en"")"),"DARK GREEN LEATHER")</f>
        <v>DARK GREEN LEATHER</v>
      </c>
      <c r="E783" s="59" t="s">
        <v>2948</v>
      </c>
      <c r="F783" s="9" t="s">
        <v>18</v>
      </c>
      <c r="G783" s="9"/>
      <c r="H783" s="8"/>
      <c r="I783" s="8"/>
      <c r="J783" s="12"/>
      <c r="K783" s="8"/>
      <c r="L783" s="8"/>
      <c r="M783" s="61">
        <v>400.0</v>
      </c>
      <c r="N783" s="8"/>
      <c r="O783" s="8"/>
      <c r="P783" s="62"/>
      <c r="Q783" s="4" t="str">
        <f t="shared" si="2"/>
        <v>Remove</v>
      </c>
    </row>
    <row r="784">
      <c r="A784" s="59" t="s">
        <v>2949</v>
      </c>
      <c r="B784" s="60">
        <v>2314.0</v>
      </c>
      <c r="C784" s="60" t="b">
        <v>0</v>
      </c>
      <c r="D784" s="60" t="str">
        <f>IFERROR(__xludf.DUMMYFUNCTION("GOOGLETRANSLATE(A784,""ar"", ""en"")"),"DARK BLUE LEATHER")</f>
        <v>DARK BLUE LEATHER</v>
      </c>
      <c r="E784" s="59" t="s">
        <v>2950</v>
      </c>
      <c r="F784" s="9" t="s">
        <v>18</v>
      </c>
      <c r="G784" s="9"/>
      <c r="H784" s="8"/>
      <c r="I784" s="8"/>
      <c r="J784" s="12"/>
      <c r="K784" s="8"/>
      <c r="L784" s="8"/>
      <c r="M784" s="61">
        <v>400.0</v>
      </c>
      <c r="N784" s="8"/>
      <c r="O784" s="8"/>
      <c r="P784" s="62"/>
      <c r="Q784" s="4" t="str">
        <f t="shared" si="2"/>
        <v>Remove</v>
      </c>
    </row>
    <row r="785">
      <c r="A785" s="59" t="s">
        <v>2911</v>
      </c>
      <c r="B785" s="60">
        <v>2315.0</v>
      </c>
      <c r="C785" s="60" t="b">
        <v>0</v>
      </c>
      <c r="D785" s="60" t="str">
        <f>IFERROR(__xludf.DUMMYFUNCTION("GOOGLETRANSLATE(A785,""ar"", ""en"")"),"COFFEE LEATHER")</f>
        <v>COFFEE LEATHER</v>
      </c>
      <c r="E785" s="59" t="s">
        <v>2951</v>
      </c>
      <c r="F785" s="9" t="s">
        <v>18</v>
      </c>
      <c r="G785" s="9"/>
      <c r="H785" s="8"/>
      <c r="I785" s="8"/>
      <c r="J785" s="12"/>
      <c r="K785" s="8"/>
      <c r="L785" s="8"/>
      <c r="M785" s="61">
        <v>400.0</v>
      </c>
      <c r="N785" s="8"/>
      <c r="O785" s="8"/>
      <c r="P785" s="62"/>
      <c r="Q785" s="4" t="str">
        <f t="shared" si="2"/>
        <v>Remove</v>
      </c>
    </row>
    <row r="786">
      <c r="A786" s="68" t="s">
        <v>2078</v>
      </c>
      <c r="B786" s="60">
        <v>2317.0</v>
      </c>
      <c r="C786" s="60" t="b">
        <v>0</v>
      </c>
      <c r="D786" s="60" t="str">
        <f>IFERROR(__xludf.DUMMYFUNCTION("GOOGLETRANSLATE(A786,""ar"", ""en"")"),"BLK Plastic Mesh Chair with Handle")</f>
        <v>BLK Plastic Mesh Chair with Handle</v>
      </c>
      <c r="E786" s="69" t="s">
        <v>2079</v>
      </c>
      <c r="F786" s="9" t="s">
        <v>27</v>
      </c>
      <c r="G786" s="9" t="s">
        <v>28</v>
      </c>
      <c r="H786" s="16" t="s">
        <v>43</v>
      </c>
      <c r="I786" s="8"/>
      <c r="J786" s="12"/>
      <c r="K786" s="8"/>
      <c r="L786" s="8"/>
      <c r="M786" s="70">
        <v>100.0</v>
      </c>
      <c r="N786" s="8"/>
      <c r="O786" s="8"/>
      <c r="P786" s="62"/>
      <c r="Q786" s="4" t="str">
        <f t="shared" si="2"/>
        <v>Remove</v>
      </c>
    </row>
    <row r="787">
      <c r="A787" s="68" t="s">
        <v>2952</v>
      </c>
      <c r="B787" s="60">
        <v>2318.0</v>
      </c>
      <c r="C787" s="60" t="b">
        <v>0</v>
      </c>
      <c r="D787" s="60" t="str">
        <f>IFERROR(__xludf.DUMMYFUNCTION("GOOGLETRANSLATE(A787,""ar"", ""en"")"),"BLK plastic chair")</f>
        <v>BLK plastic chair</v>
      </c>
      <c r="E787" s="69" t="s">
        <v>2953</v>
      </c>
      <c r="F787" s="9" t="s">
        <v>27</v>
      </c>
      <c r="G787" s="9" t="s">
        <v>28</v>
      </c>
      <c r="H787" s="16" t="s">
        <v>43</v>
      </c>
      <c r="I787" s="8"/>
      <c r="J787" s="12"/>
      <c r="K787" s="8"/>
      <c r="L787" s="8"/>
      <c r="M787" s="70">
        <v>120.0</v>
      </c>
      <c r="N787" s="8"/>
      <c r="O787" s="8"/>
      <c r="P787" s="62"/>
      <c r="Q787" s="4" t="str">
        <f t="shared" si="2"/>
        <v>Remove</v>
      </c>
    </row>
    <row r="788">
      <c r="A788" s="68" t="s">
        <v>2952</v>
      </c>
      <c r="B788" s="60">
        <v>2320.0</v>
      </c>
      <c r="C788" s="60" t="b">
        <v>0</v>
      </c>
      <c r="D788" s="60" t="str">
        <f>IFERROR(__xludf.DUMMYFUNCTION("GOOGLETRANSLATE(A788,""ar"", ""en"")"),"BLK plastic chair")</f>
        <v>BLK plastic chair</v>
      </c>
      <c r="E788" s="69" t="s">
        <v>2954</v>
      </c>
      <c r="F788" s="9" t="s">
        <v>27</v>
      </c>
      <c r="G788" s="9" t="s">
        <v>28</v>
      </c>
      <c r="H788" s="16" t="s">
        <v>43</v>
      </c>
      <c r="I788" s="8"/>
      <c r="J788" s="12"/>
      <c r="K788" s="8"/>
      <c r="L788" s="8"/>
      <c r="M788" s="70">
        <v>100.0</v>
      </c>
      <c r="N788" s="8"/>
      <c r="O788" s="8"/>
      <c r="P788" s="62"/>
      <c r="Q788" s="4" t="str">
        <f t="shared" si="2"/>
        <v>Remove</v>
      </c>
    </row>
  </sheetData>
  <conditionalFormatting sqref="M396:M788">
    <cfRule type="cellIs" dxfId="0" priority="1" operator="between">
      <formula>0</formula>
      <formula>5</formula>
    </cfRule>
  </conditionalFormatting>
  <conditionalFormatting sqref="F392">
    <cfRule type="cellIs" dxfId="0" priority="2" operator="between">
      <formula>0</formula>
      <formula>5</formula>
    </cfRule>
  </conditionalFormatting>
  <conditionalFormatting sqref="F390:F391">
    <cfRule type="cellIs" dxfId="0" priority="3" operator="between">
      <formula>0</formula>
      <formula>5</formula>
    </cfRule>
  </conditionalFormatting>
  <conditionalFormatting sqref="F389">
    <cfRule type="cellIs" dxfId="0" priority="4" operator="between">
      <formula>0</formula>
      <formula>5</formula>
    </cfRule>
  </conditionalFormatting>
  <conditionalFormatting sqref="F387:F388">
    <cfRule type="cellIs" dxfId="0" priority="5" operator="between">
      <formula>0</formula>
      <formula>5</formula>
    </cfRule>
  </conditionalFormatting>
  <conditionalFormatting sqref="F386">
    <cfRule type="cellIs" dxfId="0" priority="6" operator="between">
      <formula>0</formula>
      <formula>5</formula>
    </cfRule>
  </conditionalFormatting>
  <conditionalFormatting sqref="F383:F385">
    <cfRule type="cellIs" dxfId="0" priority="7" operator="between">
      <formula>0</formula>
      <formula>5</formula>
    </cfRule>
  </conditionalFormatting>
  <conditionalFormatting sqref="F382">
    <cfRule type="cellIs" dxfId="0" priority="8" operator="between">
      <formula>0</formula>
      <formula>5</formula>
    </cfRule>
  </conditionalFormatting>
  <conditionalFormatting sqref="F381">
    <cfRule type="cellIs" dxfId="0" priority="9" operator="between">
      <formula>0</formula>
      <formula>5</formula>
    </cfRule>
  </conditionalFormatting>
  <conditionalFormatting sqref="F379:F380">
    <cfRule type="cellIs" dxfId="0" priority="10" operator="between">
      <formula>0</formula>
      <formula>5</formula>
    </cfRule>
  </conditionalFormatting>
  <conditionalFormatting sqref="F378">
    <cfRule type="cellIs" dxfId="0" priority="11" operator="between">
      <formula>0</formula>
      <formula>5</formula>
    </cfRule>
  </conditionalFormatting>
  <conditionalFormatting sqref="F377">
    <cfRule type="cellIs" dxfId="0" priority="12" operator="between">
      <formula>0</formula>
      <formula>5</formula>
    </cfRule>
  </conditionalFormatting>
  <conditionalFormatting sqref="F376">
    <cfRule type="cellIs" dxfId="0" priority="13" operator="between">
      <formula>0</formula>
      <formula>5</formula>
    </cfRule>
  </conditionalFormatting>
  <conditionalFormatting sqref="F375">
    <cfRule type="cellIs" dxfId="0" priority="14" operator="between">
      <formula>0</formula>
      <formula>5</formula>
    </cfRule>
  </conditionalFormatting>
  <conditionalFormatting sqref="F374">
    <cfRule type="cellIs" dxfId="0" priority="15" operator="between">
      <formula>0</formula>
      <formula>5</formula>
    </cfRule>
  </conditionalFormatting>
  <conditionalFormatting sqref="F373">
    <cfRule type="cellIs" dxfId="0" priority="16" operator="between">
      <formula>0</formula>
      <formula>5</formula>
    </cfRule>
  </conditionalFormatting>
  <conditionalFormatting sqref="F372">
    <cfRule type="cellIs" dxfId="0" priority="17" operator="between">
      <formula>0</formula>
      <formula>5</formula>
    </cfRule>
  </conditionalFormatting>
  <conditionalFormatting sqref="F370:F371">
    <cfRule type="cellIs" dxfId="0" priority="18" operator="between">
      <formula>0</formula>
      <formula>5</formula>
    </cfRule>
  </conditionalFormatting>
  <conditionalFormatting sqref="F352:F369">
    <cfRule type="cellIs" dxfId="0" priority="19" operator="between">
      <formula>0</formula>
      <formula>5</formula>
    </cfRule>
  </conditionalFormatting>
  <conditionalFormatting sqref="F350:F351">
    <cfRule type="cellIs" dxfId="0" priority="20" operator="between">
      <formula>0</formula>
      <formula>5</formula>
    </cfRule>
  </conditionalFormatting>
  <conditionalFormatting sqref="F349">
    <cfRule type="cellIs" dxfId="0" priority="21" operator="between">
      <formula>0</formula>
      <formula>5</formula>
    </cfRule>
  </conditionalFormatting>
  <conditionalFormatting sqref="F348">
    <cfRule type="cellIs" dxfId="0" priority="22" operator="between">
      <formula>0</formula>
      <formula>5</formula>
    </cfRule>
  </conditionalFormatting>
  <conditionalFormatting sqref="F347">
    <cfRule type="cellIs" dxfId="0" priority="23" operator="between">
      <formula>0</formula>
      <formula>5</formula>
    </cfRule>
  </conditionalFormatting>
  <conditionalFormatting sqref="F346">
    <cfRule type="cellIs" dxfId="0" priority="24" operator="between">
      <formula>0</formula>
      <formula>5</formula>
    </cfRule>
  </conditionalFormatting>
  <conditionalFormatting sqref="F345">
    <cfRule type="cellIs" dxfId="0" priority="25" operator="between">
      <formula>0</formula>
      <formula>5</formula>
    </cfRule>
  </conditionalFormatting>
  <conditionalFormatting sqref="F343:F344">
    <cfRule type="cellIs" dxfId="0" priority="26" operator="between">
      <formula>0</formula>
      <formula>5</formula>
    </cfRule>
  </conditionalFormatting>
  <conditionalFormatting sqref="F342">
    <cfRule type="cellIs" dxfId="0" priority="27" operator="between">
      <formula>0</formula>
      <formula>5</formula>
    </cfRule>
  </conditionalFormatting>
  <conditionalFormatting sqref="F337:F341">
    <cfRule type="cellIs" dxfId="0" priority="28" operator="between">
      <formula>0</formula>
      <formula>5</formula>
    </cfRule>
  </conditionalFormatting>
  <conditionalFormatting sqref="F335:F336">
    <cfRule type="cellIs" dxfId="0" priority="29" operator="between">
      <formula>0</formula>
      <formula>5</formula>
    </cfRule>
  </conditionalFormatting>
  <conditionalFormatting sqref="F334">
    <cfRule type="cellIs" dxfId="0" priority="30" operator="between">
      <formula>0</formula>
      <formula>5</formula>
    </cfRule>
  </conditionalFormatting>
  <conditionalFormatting sqref="F333">
    <cfRule type="cellIs" dxfId="0" priority="31" operator="between">
      <formula>0</formula>
      <formula>5</formula>
    </cfRule>
  </conditionalFormatting>
  <conditionalFormatting sqref="F331:F332">
    <cfRule type="cellIs" dxfId="0" priority="32" operator="between">
      <formula>0</formula>
      <formula>5</formula>
    </cfRule>
  </conditionalFormatting>
  <conditionalFormatting sqref="F327:F330">
    <cfRule type="cellIs" dxfId="0" priority="33" operator="between">
      <formula>0</formula>
      <formula>5</formula>
    </cfRule>
  </conditionalFormatting>
  <conditionalFormatting sqref="F326">
    <cfRule type="cellIs" dxfId="0" priority="34" operator="between">
      <formula>0</formula>
      <formula>5</formula>
    </cfRule>
  </conditionalFormatting>
  <conditionalFormatting sqref="F325">
    <cfRule type="cellIs" dxfId="0" priority="35" operator="between">
      <formula>0</formula>
      <formula>5</formula>
    </cfRule>
  </conditionalFormatting>
  <conditionalFormatting sqref="F324">
    <cfRule type="cellIs" dxfId="0" priority="36" operator="between">
      <formula>0</formula>
      <formula>5</formula>
    </cfRule>
  </conditionalFormatting>
  <conditionalFormatting sqref="F323">
    <cfRule type="cellIs" dxfId="0" priority="37" operator="between">
      <formula>0</formula>
      <formula>5</formula>
    </cfRule>
  </conditionalFormatting>
  <conditionalFormatting sqref="F318:F322">
    <cfRule type="cellIs" dxfId="0" priority="38" operator="between">
      <formula>0</formula>
      <formula>5</formula>
    </cfRule>
  </conditionalFormatting>
  <conditionalFormatting sqref="F317">
    <cfRule type="cellIs" dxfId="0" priority="39" operator="between">
      <formula>0</formula>
      <formula>5</formula>
    </cfRule>
  </conditionalFormatting>
  <conditionalFormatting sqref="F316">
    <cfRule type="cellIs" dxfId="0" priority="40" operator="between">
      <formula>0</formula>
      <formula>5</formula>
    </cfRule>
  </conditionalFormatting>
  <conditionalFormatting sqref="F310:F315">
    <cfRule type="cellIs" dxfId="0" priority="41" operator="between">
      <formula>0</formula>
      <formula>5</formula>
    </cfRule>
  </conditionalFormatting>
  <conditionalFormatting sqref="F308:F309">
    <cfRule type="cellIs" dxfId="0" priority="42" operator="between">
      <formula>0</formula>
      <formula>5</formula>
    </cfRule>
  </conditionalFormatting>
  <conditionalFormatting sqref="F306:F307">
    <cfRule type="cellIs" dxfId="0" priority="43" operator="between">
      <formula>0</formula>
      <formula>5</formula>
    </cfRule>
  </conditionalFormatting>
  <conditionalFormatting sqref="F302:F305">
    <cfRule type="cellIs" dxfId="0" priority="44" operator="between">
      <formula>0</formula>
      <formula>5</formula>
    </cfRule>
  </conditionalFormatting>
  <conditionalFormatting sqref="F300:F301">
    <cfRule type="cellIs" dxfId="0" priority="45" operator="between">
      <formula>0</formula>
      <formula>5</formula>
    </cfRule>
  </conditionalFormatting>
  <conditionalFormatting sqref="F297:F299">
    <cfRule type="cellIs" dxfId="0" priority="46" operator="between">
      <formula>0</formula>
      <formula>5</formula>
    </cfRule>
  </conditionalFormatting>
  <conditionalFormatting sqref="F296">
    <cfRule type="cellIs" dxfId="0" priority="47" operator="between">
      <formula>0</formula>
      <formula>5</formula>
    </cfRule>
  </conditionalFormatting>
  <conditionalFormatting sqref="F293:F295">
    <cfRule type="cellIs" dxfId="0" priority="48" operator="between">
      <formula>0</formula>
      <formula>5</formula>
    </cfRule>
  </conditionalFormatting>
  <conditionalFormatting sqref="F292">
    <cfRule type="cellIs" dxfId="0" priority="49" operator="between">
      <formula>0</formula>
      <formula>5</formula>
    </cfRule>
  </conditionalFormatting>
  <conditionalFormatting sqref="F289:F291">
    <cfRule type="cellIs" dxfId="0" priority="50" operator="between">
      <formula>0</formula>
      <formula>5</formula>
    </cfRule>
  </conditionalFormatting>
  <conditionalFormatting sqref="F288">
    <cfRule type="cellIs" dxfId="0" priority="51" operator="between">
      <formula>0</formula>
      <formula>5</formula>
    </cfRule>
  </conditionalFormatting>
  <conditionalFormatting sqref="F286:F287">
    <cfRule type="cellIs" dxfId="0" priority="52" operator="between">
      <formula>0</formula>
      <formula>5</formula>
    </cfRule>
  </conditionalFormatting>
  <conditionalFormatting sqref="F283:F285">
    <cfRule type="cellIs" dxfId="0" priority="53" operator="between">
      <formula>0</formula>
      <formula>5</formula>
    </cfRule>
  </conditionalFormatting>
  <conditionalFormatting sqref="F279:F282">
    <cfRule type="cellIs" dxfId="0" priority="54" operator="between">
      <formula>0</formula>
      <formula>5</formula>
    </cfRule>
  </conditionalFormatting>
  <conditionalFormatting sqref="F273:F278">
    <cfRule type="cellIs" dxfId="0" priority="55" operator="between">
      <formula>0</formula>
      <formula>5</formula>
    </cfRule>
  </conditionalFormatting>
  <conditionalFormatting sqref="F261:F272">
    <cfRule type="cellIs" dxfId="0" priority="56" operator="between">
      <formula>0</formula>
      <formula>5</formula>
    </cfRule>
  </conditionalFormatting>
  <conditionalFormatting sqref="F260">
    <cfRule type="cellIs" dxfId="0" priority="57" operator="between">
      <formula>0</formula>
      <formula>5</formula>
    </cfRule>
  </conditionalFormatting>
  <conditionalFormatting sqref="F258:F259">
    <cfRule type="cellIs" dxfId="0" priority="58" operator="between">
      <formula>0</formula>
      <formula>5</formula>
    </cfRule>
  </conditionalFormatting>
  <conditionalFormatting sqref="F255:F257">
    <cfRule type="cellIs" dxfId="0" priority="59" operator="between">
      <formula>0</formula>
      <formula>5</formula>
    </cfRule>
  </conditionalFormatting>
  <conditionalFormatting sqref="F251:F254">
    <cfRule type="cellIs" dxfId="0" priority="60" operator="between">
      <formula>0</formula>
      <formula>5</formula>
    </cfRule>
  </conditionalFormatting>
  <conditionalFormatting sqref="F250">
    <cfRule type="cellIs" dxfId="0" priority="61" operator="between">
      <formula>0</formula>
      <formula>5</formula>
    </cfRule>
  </conditionalFormatting>
  <conditionalFormatting sqref="F247:F249">
    <cfRule type="cellIs" dxfId="0" priority="62" operator="between">
      <formula>0</formula>
      <formula>5</formula>
    </cfRule>
  </conditionalFormatting>
  <conditionalFormatting sqref="F244:F246">
    <cfRule type="cellIs" dxfId="0" priority="63" operator="between">
      <formula>0</formula>
      <formula>5</formula>
    </cfRule>
  </conditionalFormatting>
  <conditionalFormatting sqref="F243">
    <cfRule type="cellIs" dxfId="0" priority="64" operator="between">
      <formula>0</formula>
      <formula>5</formula>
    </cfRule>
  </conditionalFormatting>
  <conditionalFormatting sqref="F240:F242">
    <cfRule type="cellIs" dxfId="0" priority="65" operator="between">
      <formula>0</formula>
      <formula>5</formula>
    </cfRule>
  </conditionalFormatting>
  <conditionalFormatting sqref="F239">
    <cfRule type="cellIs" dxfId="0" priority="66" operator="between">
      <formula>0</formula>
      <formula>5</formula>
    </cfRule>
  </conditionalFormatting>
  <conditionalFormatting sqref="F237:F238">
    <cfRule type="cellIs" dxfId="0" priority="67" operator="between">
      <formula>0</formula>
      <formula>5</formula>
    </cfRule>
  </conditionalFormatting>
  <conditionalFormatting sqref="F232:F236">
    <cfRule type="cellIs" dxfId="0" priority="68" operator="between">
      <formula>0</formula>
      <formula>5</formula>
    </cfRule>
  </conditionalFormatting>
  <conditionalFormatting sqref="F230:F231">
    <cfRule type="cellIs" dxfId="0" priority="69" operator="between">
      <formula>0</formula>
      <formula>5</formula>
    </cfRule>
  </conditionalFormatting>
  <conditionalFormatting sqref="F220:F229">
    <cfRule type="cellIs" dxfId="0" priority="70" operator="between">
      <formula>0</formula>
      <formula>5</formula>
    </cfRule>
  </conditionalFormatting>
  <conditionalFormatting sqref="F218:F219">
    <cfRule type="cellIs" dxfId="0" priority="71" operator="between">
      <formula>0</formula>
      <formula>5</formula>
    </cfRule>
  </conditionalFormatting>
  <conditionalFormatting sqref="F217">
    <cfRule type="cellIs" dxfId="0" priority="72" operator="between">
      <formula>0</formula>
      <formula>5</formula>
    </cfRule>
  </conditionalFormatting>
  <conditionalFormatting sqref="F214:F216">
    <cfRule type="cellIs" dxfId="0" priority="73" operator="between">
      <formula>0</formula>
      <formula>5</formula>
    </cfRule>
  </conditionalFormatting>
  <conditionalFormatting sqref="F213">
    <cfRule type="cellIs" dxfId="0" priority="74" operator="between">
      <formula>0</formula>
      <formula>5</formula>
    </cfRule>
  </conditionalFormatting>
  <conditionalFormatting sqref="F212">
    <cfRule type="cellIs" dxfId="0" priority="75" operator="between">
      <formula>0</formula>
      <formula>5</formula>
    </cfRule>
  </conditionalFormatting>
  <conditionalFormatting sqref="F210:F211">
    <cfRule type="cellIs" dxfId="0" priority="76" operator="between">
      <formula>0</formula>
      <formula>5</formula>
    </cfRule>
  </conditionalFormatting>
  <conditionalFormatting sqref="F209">
    <cfRule type="cellIs" dxfId="0" priority="77" operator="between">
      <formula>0</formula>
      <formula>5</formula>
    </cfRule>
  </conditionalFormatting>
  <conditionalFormatting sqref="F205:F208">
    <cfRule type="cellIs" dxfId="0" priority="78" operator="between">
      <formula>0</formula>
      <formula>5</formula>
    </cfRule>
  </conditionalFormatting>
  <conditionalFormatting sqref="F195:F204">
    <cfRule type="cellIs" dxfId="0" priority="79" operator="between">
      <formula>0</formula>
      <formula>5</formula>
    </cfRule>
  </conditionalFormatting>
  <conditionalFormatting sqref="F191:F194">
    <cfRule type="cellIs" dxfId="0" priority="80" operator="between">
      <formula>0</formula>
      <formula>5</formula>
    </cfRule>
  </conditionalFormatting>
  <conditionalFormatting sqref="F189:F190">
    <cfRule type="cellIs" dxfId="0" priority="81" operator="between">
      <formula>0</formula>
      <formula>5</formula>
    </cfRule>
  </conditionalFormatting>
  <conditionalFormatting sqref="F188">
    <cfRule type="cellIs" dxfId="0" priority="82" operator="between">
      <formula>0</formula>
      <formula>5</formula>
    </cfRule>
  </conditionalFormatting>
  <conditionalFormatting sqref="F187">
    <cfRule type="cellIs" dxfId="0" priority="83" operator="between">
      <formula>0</formula>
      <formula>5</formula>
    </cfRule>
  </conditionalFormatting>
  <conditionalFormatting sqref="F183:F186">
    <cfRule type="cellIs" dxfId="0" priority="84" operator="between">
      <formula>0</formula>
      <formula>5</formula>
    </cfRule>
  </conditionalFormatting>
  <conditionalFormatting sqref="F182">
    <cfRule type="cellIs" dxfId="0" priority="85" operator="between">
      <formula>0</formula>
      <formula>5</formula>
    </cfRule>
  </conditionalFormatting>
  <conditionalFormatting sqref="F175:F181">
    <cfRule type="cellIs" dxfId="0" priority="86" operator="between">
      <formula>0</formula>
      <formula>5</formula>
    </cfRule>
  </conditionalFormatting>
  <conditionalFormatting sqref="F174">
    <cfRule type="cellIs" dxfId="0" priority="87" operator="between">
      <formula>0</formula>
      <formula>5</formula>
    </cfRule>
  </conditionalFormatting>
  <conditionalFormatting sqref="F170:F173">
    <cfRule type="cellIs" dxfId="0" priority="88" operator="between">
      <formula>0</formula>
      <formula>5</formula>
    </cfRule>
  </conditionalFormatting>
  <conditionalFormatting sqref="F167:F169">
    <cfRule type="cellIs" dxfId="0" priority="89" operator="between">
      <formula>0</formula>
      <formula>5</formula>
    </cfRule>
  </conditionalFormatting>
  <conditionalFormatting sqref="F166">
    <cfRule type="cellIs" dxfId="0" priority="90" operator="between">
      <formula>0</formula>
      <formula>5</formula>
    </cfRule>
  </conditionalFormatting>
  <conditionalFormatting sqref="F164:F165">
    <cfRule type="cellIs" dxfId="0" priority="91" operator="between">
      <formula>0</formula>
      <formula>5</formula>
    </cfRule>
  </conditionalFormatting>
  <conditionalFormatting sqref="F163">
    <cfRule type="cellIs" dxfId="0" priority="92" operator="between">
      <formula>0</formula>
      <formula>5</formula>
    </cfRule>
  </conditionalFormatting>
  <conditionalFormatting sqref="F160:F162">
    <cfRule type="cellIs" dxfId="0" priority="93" operator="between">
      <formula>0</formula>
      <formula>5</formula>
    </cfRule>
  </conditionalFormatting>
  <conditionalFormatting sqref="F158:F159">
    <cfRule type="cellIs" dxfId="0" priority="94" operator="between">
      <formula>0</formula>
      <formula>5</formula>
    </cfRule>
  </conditionalFormatting>
  <conditionalFormatting sqref="F157">
    <cfRule type="cellIs" dxfId="0" priority="95" operator="between">
      <formula>0</formula>
      <formula>5</formula>
    </cfRule>
  </conditionalFormatting>
  <conditionalFormatting sqref="F156">
    <cfRule type="cellIs" dxfId="0" priority="96" operator="between">
      <formula>0</formula>
      <formula>5</formula>
    </cfRule>
  </conditionalFormatting>
  <conditionalFormatting sqref="F154:F155">
    <cfRule type="cellIs" dxfId="0" priority="97" operator="between">
      <formula>0</formula>
      <formula>5</formula>
    </cfRule>
  </conditionalFormatting>
  <conditionalFormatting sqref="F151:F153">
    <cfRule type="cellIs" dxfId="0" priority="98" operator="between">
      <formula>0</formula>
      <formula>5</formula>
    </cfRule>
  </conditionalFormatting>
  <conditionalFormatting sqref="F149:F150">
    <cfRule type="cellIs" dxfId="0" priority="99" operator="between">
      <formula>0</formula>
      <formula>5</formula>
    </cfRule>
  </conditionalFormatting>
  <conditionalFormatting sqref="F144:F148">
    <cfRule type="cellIs" dxfId="0" priority="100" operator="between">
      <formula>0</formula>
      <formula>5</formula>
    </cfRule>
  </conditionalFormatting>
  <conditionalFormatting sqref="F141:F143">
    <cfRule type="cellIs" dxfId="0" priority="101" operator="between">
      <formula>0</formula>
      <formula>5</formula>
    </cfRule>
  </conditionalFormatting>
  <conditionalFormatting sqref="F139:F140">
    <cfRule type="cellIs" dxfId="0" priority="102" operator="between">
      <formula>0</formula>
      <formula>5</formula>
    </cfRule>
  </conditionalFormatting>
  <conditionalFormatting sqref="F134:F138">
    <cfRule type="cellIs" dxfId="0" priority="103" operator="between">
      <formula>0</formula>
      <formula>5</formula>
    </cfRule>
  </conditionalFormatting>
  <conditionalFormatting sqref="F133">
    <cfRule type="cellIs" dxfId="0" priority="104" operator="between">
      <formula>0</formula>
      <formula>5</formula>
    </cfRule>
  </conditionalFormatting>
  <conditionalFormatting sqref="F121:F132">
    <cfRule type="cellIs" dxfId="0" priority="105" operator="between">
      <formula>0</formula>
      <formula>5</formula>
    </cfRule>
  </conditionalFormatting>
  <conditionalFormatting sqref="F118:F120">
    <cfRule type="cellIs" dxfId="0" priority="106" operator="between">
      <formula>0</formula>
      <formula>5</formula>
    </cfRule>
  </conditionalFormatting>
  <conditionalFormatting sqref="F110:F117">
    <cfRule type="cellIs" dxfId="0" priority="107" operator="between">
      <formula>0</formula>
      <formula>5</formula>
    </cfRule>
  </conditionalFormatting>
  <conditionalFormatting sqref="F106:F109">
    <cfRule type="cellIs" dxfId="0" priority="108" operator="between">
      <formula>0</formula>
      <formula>5</formula>
    </cfRule>
  </conditionalFormatting>
  <conditionalFormatting sqref="F102:F105">
    <cfRule type="cellIs" dxfId="0" priority="109" operator="between">
      <formula>0</formula>
      <formula>5</formula>
    </cfRule>
  </conditionalFormatting>
  <conditionalFormatting sqref="F100:F101">
    <cfRule type="cellIs" dxfId="0" priority="110" operator="between">
      <formula>0</formula>
      <formula>5</formula>
    </cfRule>
  </conditionalFormatting>
  <conditionalFormatting sqref="F99">
    <cfRule type="cellIs" dxfId="0" priority="111" operator="between">
      <formula>0</formula>
      <formula>5</formula>
    </cfRule>
  </conditionalFormatting>
  <conditionalFormatting sqref="F96:F98">
    <cfRule type="cellIs" dxfId="0" priority="112" operator="between">
      <formula>0</formula>
      <formula>5</formula>
    </cfRule>
  </conditionalFormatting>
  <conditionalFormatting sqref="F94:F95">
    <cfRule type="cellIs" dxfId="0" priority="113" operator="between">
      <formula>0</formula>
      <formula>5</formula>
    </cfRule>
  </conditionalFormatting>
  <conditionalFormatting sqref="F93">
    <cfRule type="cellIs" dxfId="0" priority="114" operator="between">
      <formula>0</formula>
      <formula>5</formula>
    </cfRule>
  </conditionalFormatting>
  <conditionalFormatting sqref="F92">
    <cfRule type="cellIs" dxfId="0" priority="115" operator="between">
      <formula>0</formula>
      <formula>5</formula>
    </cfRule>
  </conditionalFormatting>
  <conditionalFormatting sqref="F91">
    <cfRule type="cellIs" dxfId="0" priority="116" operator="between">
      <formula>0</formula>
      <formula>5</formula>
    </cfRule>
  </conditionalFormatting>
  <conditionalFormatting sqref="F90">
    <cfRule type="cellIs" dxfId="0" priority="117" operator="between">
      <formula>0</formula>
      <formula>5</formula>
    </cfRule>
  </conditionalFormatting>
  <conditionalFormatting sqref="F89">
    <cfRule type="cellIs" dxfId="0" priority="118" operator="between">
      <formula>0</formula>
      <formula>5</formula>
    </cfRule>
  </conditionalFormatting>
  <conditionalFormatting sqref="F88">
    <cfRule type="cellIs" dxfId="0" priority="119" operator="between">
      <formula>0</formula>
      <formula>5</formula>
    </cfRule>
  </conditionalFormatting>
  <conditionalFormatting sqref="F79:F87">
    <cfRule type="cellIs" dxfId="0" priority="120" operator="between">
      <formula>0</formula>
      <formula>5</formula>
    </cfRule>
  </conditionalFormatting>
  <conditionalFormatting sqref="F77:F78">
    <cfRule type="cellIs" dxfId="0" priority="121" operator="between">
      <formula>0</formula>
      <formula>5</formula>
    </cfRule>
  </conditionalFormatting>
  <conditionalFormatting sqref="F74:F76">
    <cfRule type="cellIs" dxfId="0" priority="122" operator="between">
      <formula>0</formula>
      <formula>5</formula>
    </cfRule>
  </conditionalFormatting>
  <conditionalFormatting sqref="F71:F73">
    <cfRule type="cellIs" dxfId="0" priority="123" operator="between">
      <formula>0</formula>
      <formula>5</formula>
    </cfRule>
  </conditionalFormatting>
  <conditionalFormatting sqref="F69:F70">
    <cfRule type="cellIs" dxfId="0" priority="124" operator="between">
      <formula>0</formula>
      <formula>5</formula>
    </cfRule>
  </conditionalFormatting>
  <conditionalFormatting sqref="F67:F68">
    <cfRule type="cellIs" dxfId="0" priority="125" operator="between">
      <formula>0</formula>
      <formula>5</formula>
    </cfRule>
  </conditionalFormatting>
  <conditionalFormatting sqref="F65:F66">
    <cfRule type="cellIs" dxfId="0" priority="126" operator="between">
      <formula>0</formula>
      <formula>5</formula>
    </cfRule>
  </conditionalFormatting>
  <conditionalFormatting sqref="F62:F64">
    <cfRule type="cellIs" dxfId="0" priority="127" operator="between">
      <formula>0</formula>
      <formula>5</formula>
    </cfRule>
  </conditionalFormatting>
  <conditionalFormatting sqref="F58:F61">
    <cfRule type="cellIs" dxfId="0" priority="128" operator="between">
      <formula>0</formula>
      <formula>5</formula>
    </cfRule>
  </conditionalFormatting>
  <conditionalFormatting sqref="F57">
    <cfRule type="cellIs" dxfId="0" priority="129" operator="between">
      <formula>0</formula>
      <formula>5</formula>
    </cfRule>
  </conditionalFormatting>
  <conditionalFormatting sqref="F56">
    <cfRule type="cellIs" dxfId="0" priority="130" operator="between">
      <formula>0</formula>
      <formula>5</formula>
    </cfRule>
  </conditionalFormatting>
  <conditionalFormatting sqref="F55">
    <cfRule type="cellIs" dxfId="0" priority="131" operator="between">
      <formula>0</formula>
      <formula>5</formula>
    </cfRule>
  </conditionalFormatting>
  <conditionalFormatting sqref="F53:F54">
    <cfRule type="cellIs" dxfId="0" priority="132" operator="between">
      <formula>0</formula>
      <formula>5</formula>
    </cfRule>
  </conditionalFormatting>
  <conditionalFormatting sqref="F51:F52">
    <cfRule type="cellIs" dxfId="0" priority="133" operator="between">
      <formula>0</formula>
      <formula>5</formula>
    </cfRule>
  </conditionalFormatting>
  <conditionalFormatting sqref="F50">
    <cfRule type="cellIs" dxfId="0" priority="134" operator="between">
      <formula>0</formula>
      <formula>5</formula>
    </cfRule>
  </conditionalFormatting>
  <conditionalFormatting sqref="F49">
    <cfRule type="cellIs" dxfId="0" priority="135" operator="between">
      <formula>0</formula>
      <formula>5</formula>
    </cfRule>
  </conditionalFormatting>
  <conditionalFormatting sqref="F46:F48">
    <cfRule type="cellIs" dxfId="0" priority="136" operator="between">
      <formula>0</formula>
      <formula>5</formula>
    </cfRule>
  </conditionalFormatting>
  <conditionalFormatting sqref="F43:F45">
    <cfRule type="cellIs" dxfId="0" priority="137" operator="between">
      <formula>0</formula>
      <formula>5</formula>
    </cfRule>
  </conditionalFormatting>
  <conditionalFormatting sqref="F39:F42">
    <cfRule type="cellIs" dxfId="0" priority="138" operator="between">
      <formula>0</formula>
      <formula>5</formula>
    </cfRule>
  </conditionalFormatting>
  <conditionalFormatting sqref="F38">
    <cfRule type="cellIs" dxfId="0" priority="139" operator="between">
      <formula>0</formula>
      <formula>5</formula>
    </cfRule>
  </conditionalFormatting>
  <conditionalFormatting sqref="F37">
    <cfRule type="cellIs" dxfId="0" priority="140" operator="between">
      <formula>0</formula>
      <formula>5</formula>
    </cfRule>
  </conditionalFormatting>
  <conditionalFormatting sqref="F32:F36">
    <cfRule type="cellIs" dxfId="0" priority="141" operator="between">
      <formula>0</formula>
      <formula>5</formula>
    </cfRule>
  </conditionalFormatting>
  <conditionalFormatting sqref="F31">
    <cfRule type="cellIs" dxfId="0" priority="142" operator="between">
      <formula>0</formula>
      <formula>5</formula>
    </cfRule>
  </conditionalFormatting>
  <conditionalFormatting sqref="F30">
    <cfRule type="cellIs" dxfId="0" priority="143" operator="between">
      <formula>0</formula>
      <formula>5</formula>
    </cfRule>
  </conditionalFormatting>
  <conditionalFormatting sqref="F29">
    <cfRule type="cellIs" dxfId="0" priority="144" operator="between">
      <formula>0</formula>
      <formula>5</formula>
    </cfRule>
  </conditionalFormatting>
  <conditionalFormatting sqref="F28">
    <cfRule type="cellIs" dxfId="0" priority="145" operator="between">
      <formula>0</formula>
      <formula>5</formula>
    </cfRule>
  </conditionalFormatting>
  <conditionalFormatting sqref="F27">
    <cfRule type="cellIs" dxfId="0" priority="146" operator="between">
      <formula>0</formula>
      <formula>5</formula>
    </cfRule>
  </conditionalFormatting>
  <conditionalFormatting sqref="F26">
    <cfRule type="cellIs" dxfId="0" priority="147" operator="between">
      <formula>0</formula>
      <formula>5</formula>
    </cfRule>
  </conditionalFormatting>
  <conditionalFormatting sqref="F24:F25">
    <cfRule type="cellIs" dxfId="0" priority="148" operator="between">
      <formula>0</formula>
      <formula>5</formula>
    </cfRule>
  </conditionalFormatting>
  <conditionalFormatting sqref="F22:F23">
    <cfRule type="cellIs" dxfId="0" priority="149" operator="between">
      <formula>0</formula>
      <formula>5</formula>
    </cfRule>
  </conditionalFormatting>
  <conditionalFormatting sqref="F21">
    <cfRule type="cellIs" dxfId="0" priority="150" operator="between">
      <formula>0</formula>
      <formula>5</formula>
    </cfRule>
  </conditionalFormatting>
  <conditionalFormatting sqref="F20">
    <cfRule type="cellIs" dxfId="0" priority="151" operator="between">
      <formula>0</formula>
      <formula>5</formula>
    </cfRule>
  </conditionalFormatting>
  <conditionalFormatting sqref="F19">
    <cfRule type="cellIs" dxfId="0" priority="152" operator="between">
      <formula>0</formula>
      <formula>5</formula>
    </cfRule>
  </conditionalFormatting>
  <conditionalFormatting sqref="F18">
    <cfRule type="cellIs" dxfId="0" priority="153" operator="between">
      <formula>0</formula>
      <formula>5</formula>
    </cfRule>
  </conditionalFormatting>
  <conditionalFormatting sqref="F17">
    <cfRule type="cellIs" dxfId="0" priority="154" operator="between">
      <formula>0</formula>
      <formula>5</formula>
    </cfRule>
  </conditionalFormatting>
  <conditionalFormatting sqref="F15:F16">
    <cfRule type="cellIs" dxfId="0" priority="155" operator="between">
      <formula>0</formula>
      <formula>5</formula>
    </cfRule>
  </conditionalFormatting>
  <conditionalFormatting sqref="F14">
    <cfRule type="cellIs" dxfId="0" priority="156" operator="between">
      <formula>0</formula>
      <formula>5</formula>
    </cfRule>
  </conditionalFormatting>
  <conditionalFormatting sqref="F13">
    <cfRule type="cellIs" dxfId="0" priority="157" operator="between">
      <formula>0</formula>
      <formula>5</formula>
    </cfRule>
  </conditionalFormatting>
  <conditionalFormatting sqref="F11:F12">
    <cfRule type="cellIs" dxfId="0" priority="158" operator="between">
      <formula>0</formula>
      <formula>5</formula>
    </cfRule>
  </conditionalFormatting>
  <conditionalFormatting sqref="F9:F10">
    <cfRule type="cellIs" dxfId="0" priority="159" operator="between">
      <formula>0</formula>
      <formula>5</formula>
    </cfRule>
  </conditionalFormatting>
  <conditionalFormatting sqref="F3:F8">
    <cfRule type="cellIs" dxfId="0" priority="160" operator="between">
      <formula>0</formula>
      <formula>5</formula>
    </cfRule>
  </conditionalFormatting>
  <conditionalFormatting sqref="F1:F2">
    <cfRule type="cellIs" dxfId="0" priority="161" operator="between">
      <formula>0</formula>
      <formula>5</formula>
    </cfRule>
  </conditionalFormatting>
  <dataValidations>
    <dataValidation type="list" allowBlank="1" showErrorMessage="1" sqref="F396:G788">
      <formula1>"Indoor,Outdoor,Restaurant"</formula1>
    </dataValidation>
    <dataValidation type="list" allowBlank="1" showErrorMessage="1" sqref="H396:H788">
      <formula1>"Table Top,Table Base,Aluminium Set,Plastic Chair,Aluminium Chair,Metal Chair,Wood + Fabric Chair,Rattan Set,Shoe Cabinet,Umbrella,Gazibo,Dining Table,Office Chair,Bar Tables,High Chair,Dining Chairs"</formula1>
    </dataValidation>
  </dataValidation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2" max="2" width="30.75"/>
    <col customWidth="1" min="3" max="3" width="23.25"/>
    <col customWidth="1" min="6" max="6" width="15.5"/>
    <col customWidth="1" min="7" max="7" width="38.0"/>
    <col customWidth="1" min="8" max="8" width="66.0"/>
  </cols>
  <sheetData>
    <row r="1">
      <c r="A1" s="193" t="s">
        <v>1</v>
      </c>
      <c r="B1" s="194" t="s">
        <v>3</v>
      </c>
      <c r="C1" s="194" t="s">
        <v>4</v>
      </c>
      <c r="D1" s="194" t="s">
        <v>5</v>
      </c>
      <c r="E1" s="194" t="s">
        <v>6</v>
      </c>
      <c r="F1" s="194" t="s">
        <v>7</v>
      </c>
      <c r="G1" s="195" t="s">
        <v>8</v>
      </c>
      <c r="H1" s="194" t="s">
        <v>10</v>
      </c>
      <c r="I1" s="196"/>
      <c r="J1" s="196"/>
      <c r="K1" s="196"/>
      <c r="L1" s="196"/>
      <c r="M1" s="196"/>
      <c r="N1" s="196"/>
      <c r="O1" s="196"/>
      <c r="P1" s="196"/>
      <c r="Q1" s="196"/>
    </row>
    <row r="2">
      <c r="A2" s="197"/>
      <c r="B2" s="198"/>
      <c r="C2" s="199"/>
      <c r="D2" s="200"/>
      <c r="E2" s="200"/>
      <c r="F2" s="201"/>
      <c r="G2" s="202"/>
      <c r="H2" s="203"/>
      <c r="I2" s="200"/>
      <c r="J2" s="200"/>
      <c r="K2" s="200"/>
      <c r="L2" s="200"/>
      <c r="M2" s="200"/>
      <c r="N2" s="200"/>
      <c r="O2" s="200"/>
      <c r="P2" s="200"/>
      <c r="Q2" s="200"/>
    </row>
    <row r="3">
      <c r="A3" s="197"/>
      <c r="B3" s="198"/>
      <c r="C3" s="204"/>
      <c r="D3" s="200"/>
      <c r="E3" s="200"/>
      <c r="F3" s="201"/>
      <c r="G3" s="205"/>
      <c r="H3" s="203"/>
      <c r="I3" s="200"/>
      <c r="J3" s="200"/>
      <c r="K3" s="200"/>
      <c r="L3" s="200"/>
      <c r="M3" s="200"/>
      <c r="N3" s="200"/>
      <c r="O3" s="200"/>
      <c r="P3" s="200"/>
      <c r="Q3" s="200"/>
    </row>
    <row r="4">
      <c r="A4" s="206"/>
      <c r="B4" s="207"/>
      <c r="C4" s="208"/>
      <c r="D4" s="209"/>
      <c r="E4" s="209"/>
      <c r="F4" s="210"/>
      <c r="G4" s="211"/>
      <c r="H4" s="212"/>
      <c r="I4" s="200"/>
      <c r="J4" s="200"/>
      <c r="K4" s="200"/>
      <c r="L4" s="200"/>
      <c r="M4" s="200"/>
      <c r="N4" s="200"/>
      <c r="O4" s="200"/>
      <c r="P4" s="200"/>
      <c r="Q4" s="200"/>
    </row>
    <row r="5">
      <c r="A5" s="206"/>
      <c r="B5" s="207"/>
      <c r="C5" s="208"/>
      <c r="D5" s="209"/>
      <c r="E5" s="209"/>
      <c r="F5" s="210"/>
      <c r="G5" s="211"/>
      <c r="H5" s="212"/>
      <c r="I5" s="196"/>
      <c r="J5" s="196"/>
      <c r="K5" s="196"/>
      <c r="L5" s="196"/>
      <c r="M5" s="196"/>
      <c r="N5" s="196"/>
      <c r="O5" s="196"/>
      <c r="P5" s="196"/>
      <c r="Q5" s="196"/>
    </row>
    <row r="6">
      <c r="A6" s="206"/>
      <c r="B6" s="207"/>
      <c r="C6" s="208"/>
      <c r="D6" s="209"/>
      <c r="E6" s="209"/>
      <c r="F6" s="210"/>
      <c r="G6" s="211"/>
      <c r="H6" s="212"/>
      <c r="I6" s="196"/>
      <c r="J6" s="196"/>
      <c r="K6" s="196"/>
      <c r="L6" s="196"/>
      <c r="M6" s="196"/>
      <c r="N6" s="196"/>
      <c r="O6" s="196"/>
      <c r="P6" s="196"/>
      <c r="Q6" s="196"/>
    </row>
    <row r="7">
      <c r="A7" s="213"/>
      <c r="B7" s="214"/>
      <c r="C7" s="215"/>
      <c r="D7" s="209"/>
      <c r="E7" s="209"/>
      <c r="F7" s="210"/>
      <c r="G7" s="216"/>
      <c r="H7" s="217"/>
      <c r="I7" s="196"/>
      <c r="J7" s="196"/>
      <c r="K7" s="196"/>
      <c r="L7" s="196"/>
      <c r="M7" s="196"/>
      <c r="N7" s="196"/>
      <c r="O7" s="196"/>
      <c r="P7" s="196"/>
      <c r="Q7" s="196"/>
    </row>
    <row r="8">
      <c r="A8" s="213"/>
      <c r="B8" s="214"/>
      <c r="C8" s="215"/>
      <c r="D8" s="209"/>
      <c r="E8" s="209"/>
      <c r="F8" s="210"/>
      <c r="G8" s="216"/>
      <c r="H8" s="217"/>
      <c r="I8" s="196"/>
      <c r="J8" s="196"/>
      <c r="K8" s="196"/>
      <c r="L8" s="196"/>
      <c r="M8" s="196"/>
      <c r="N8" s="196"/>
      <c r="O8" s="196"/>
      <c r="P8" s="196"/>
      <c r="Q8" s="196"/>
    </row>
    <row r="9">
      <c r="A9" s="213"/>
      <c r="B9" s="214"/>
      <c r="C9" s="218"/>
      <c r="D9" s="209"/>
      <c r="E9" s="209"/>
      <c r="F9" s="210"/>
      <c r="G9" s="216"/>
      <c r="H9" s="217"/>
      <c r="I9" s="196"/>
      <c r="J9" s="196"/>
      <c r="K9" s="196"/>
      <c r="L9" s="196"/>
      <c r="M9" s="196"/>
      <c r="N9" s="196"/>
      <c r="O9" s="196"/>
      <c r="P9" s="196"/>
      <c r="Q9" s="196"/>
    </row>
    <row r="10">
      <c r="A10" s="219"/>
      <c r="B10" s="220"/>
      <c r="C10" s="221"/>
      <c r="D10" s="222"/>
      <c r="E10" s="222"/>
      <c r="F10" s="223"/>
      <c r="G10" s="224"/>
      <c r="H10" s="225"/>
      <c r="I10" s="196"/>
      <c r="J10" s="196"/>
      <c r="K10" s="196"/>
      <c r="L10" s="196"/>
      <c r="M10" s="196"/>
      <c r="N10" s="196"/>
      <c r="O10" s="196"/>
      <c r="P10" s="196"/>
      <c r="Q10" s="196"/>
    </row>
    <row r="11">
      <c r="A11" s="219"/>
      <c r="B11" s="220"/>
      <c r="C11" s="221"/>
      <c r="D11" s="222"/>
      <c r="E11" s="222"/>
      <c r="F11" s="223"/>
      <c r="G11" s="226"/>
      <c r="H11" s="225"/>
      <c r="I11" s="196"/>
      <c r="J11" s="196"/>
      <c r="K11" s="196"/>
      <c r="L11" s="196"/>
      <c r="M11" s="196"/>
      <c r="N11" s="196"/>
      <c r="O11" s="196"/>
      <c r="P11" s="196"/>
      <c r="Q11" s="196"/>
    </row>
    <row r="12">
      <c r="A12" s="213"/>
      <c r="B12" s="214"/>
      <c r="C12" s="215"/>
      <c r="D12" s="209"/>
      <c r="E12" s="209"/>
      <c r="F12" s="210"/>
      <c r="G12" s="211"/>
      <c r="H12" s="217"/>
      <c r="I12" s="196"/>
      <c r="J12" s="196"/>
      <c r="K12" s="196"/>
      <c r="L12" s="196"/>
      <c r="M12" s="196"/>
      <c r="N12" s="196"/>
      <c r="O12" s="196"/>
      <c r="P12" s="196"/>
      <c r="Q12" s="196"/>
    </row>
    <row r="13">
      <c r="A13" s="213"/>
      <c r="B13" s="214"/>
      <c r="C13" s="215"/>
      <c r="D13" s="209"/>
      <c r="E13" s="209"/>
      <c r="F13" s="210"/>
      <c r="G13" s="216"/>
      <c r="H13" s="217"/>
      <c r="I13" s="196"/>
      <c r="J13" s="196"/>
      <c r="K13" s="196"/>
      <c r="L13" s="196"/>
      <c r="M13" s="196"/>
      <c r="N13" s="196"/>
      <c r="O13" s="196"/>
      <c r="P13" s="196"/>
      <c r="Q13" s="196"/>
    </row>
    <row r="14">
      <c r="A14" s="213"/>
      <c r="B14" s="214"/>
      <c r="C14" s="218"/>
      <c r="D14" s="209"/>
      <c r="E14" s="209"/>
      <c r="F14" s="210"/>
      <c r="G14" s="211"/>
      <c r="H14" s="217"/>
      <c r="I14" s="196"/>
      <c r="J14" s="196"/>
      <c r="K14" s="196"/>
      <c r="L14" s="196"/>
      <c r="M14" s="196"/>
      <c r="N14" s="196"/>
      <c r="O14" s="196"/>
      <c r="P14" s="196"/>
      <c r="Q14" s="196"/>
    </row>
    <row r="15">
      <c r="A15" s="213"/>
      <c r="B15" s="214"/>
      <c r="C15" s="218"/>
      <c r="D15" s="209"/>
      <c r="E15" s="209"/>
      <c r="F15" s="210"/>
      <c r="G15" s="211"/>
      <c r="H15" s="217"/>
      <c r="I15" s="196"/>
      <c r="J15" s="196"/>
      <c r="K15" s="196"/>
      <c r="L15" s="196"/>
      <c r="M15" s="196"/>
      <c r="N15" s="196"/>
      <c r="O15" s="196"/>
      <c r="P15" s="196"/>
      <c r="Q15" s="196"/>
    </row>
    <row r="16">
      <c r="A16" s="213"/>
      <c r="B16" s="214"/>
      <c r="C16" s="215"/>
      <c r="D16" s="209"/>
      <c r="E16" s="209"/>
      <c r="F16" s="210"/>
      <c r="G16" s="211"/>
      <c r="H16" s="217"/>
      <c r="I16" s="196"/>
      <c r="J16" s="196"/>
      <c r="K16" s="196"/>
      <c r="L16" s="196"/>
      <c r="M16" s="196"/>
      <c r="N16" s="196"/>
      <c r="O16" s="196"/>
      <c r="P16" s="196"/>
      <c r="Q16" s="196"/>
    </row>
    <row r="17">
      <c r="A17" s="219"/>
      <c r="B17" s="227"/>
      <c r="C17" s="228"/>
      <c r="D17" s="222"/>
      <c r="E17" s="222"/>
      <c r="F17" s="223"/>
      <c r="G17" s="224"/>
      <c r="H17" s="228"/>
      <c r="I17" s="196"/>
      <c r="J17" s="196"/>
      <c r="K17" s="196"/>
      <c r="L17" s="196"/>
      <c r="M17" s="196"/>
      <c r="N17" s="196"/>
      <c r="O17" s="196"/>
      <c r="P17" s="196"/>
      <c r="Q17" s="196"/>
    </row>
    <row r="18">
      <c r="A18" s="219"/>
      <c r="B18" s="227"/>
      <c r="C18" s="228"/>
      <c r="D18" s="222"/>
      <c r="E18" s="222"/>
      <c r="F18" s="223"/>
      <c r="G18" s="224"/>
      <c r="H18" s="228"/>
      <c r="I18" s="229" t="s">
        <v>377</v>
      </c>
      <c r="J18" s="196"/>
      <c r="K18" s="196"/>
      <c r="L18" s="196"/>
      <c r="M18" s="196"/>
      <c r="N18" s="196"/>
      <c r="O18" s="196"/>
      <c r="P18" s="196"/>
      <c r="Q18" s="196"/>
    </row>
    <row r="19">
      <c r="A19" s="213"/>
      <c r="B19" s="214"/>
      <c r="C19" s="218"/>
      <c r="D19" s="209"/>
      <c r="E19" s="209"/>
      <c r="F19" s="210"/>
      <c r="G19" s="211"/>
      <c r="H19" s="217"/>
      <c r="I19" s="196"/>
      <c r="J19" s="196"/>
      <c r="K19" s="196"/>
      <c r="L19" s="196"/>
      <c r="M19" s="196"/>
      <c r="N19" s="196"/>
      <c r="O19" s="196"/>
      <c r="P19" s="196"/>
      <c r="Q19" s="196"/>
    </row>
    <row r="20">
      <c r="A20" s="213"/>
      <c r="B20" s="214"/>
      <c r="C20" s="215"/>
      <c r="D20" s="209"/>
      <c r="E20" s="209"/>
      <c r="F20" s="210"/>
      <c r="G20" s="211"/>
      <c r="H20" s="217"/>
      <c r="I20" s="196"/>
      <c r="J20" s="196"/>
      <c r="K20" s="196"/>
      <c r="L20" s="196"/>
      <c r="M20" s="196"/>
      <c r="N20" s="196"/>
      <c r="O20" s="196"/>
      <c r="P20" s="196"/>
      <c r="Q20" s="196"/>
    </row>
    <row r="21">
      <c r="A21" s="213"/>
      <c r="B21" s="214"/>
      <c r="C21" s="218"/>
      <c r="D21" s="209"/>
      <c r="E21" s="209"/>
      <c r="F21" s="210"/>
      <c r="G21" s="216"/>
      <c r="H21" s="217"/>
      <c r="I21" s="196"/>
      <c r="J21" s="196"/>
      <c r="K21" s="196"/>
      <c r="L21" s="196"/>
      <c r="M21" s="196"/>
      <c r="N21" s="196"/>
      <c r="O21" s="196"/>
      <c r="P21" s="196"/>
      <c r="Q21" s="196"/>
    </row>
    <row r="22">
      <c r="A22" s="219"/>
      <c r="B22" s="220"/>
      <c r="C22" s="221"/>
      <c r="D22" s="222"/>
      <c r="E22" s="222"/>
      <c r="F22" s="223"/>
      <c r="G22" s="226"/>
      <c r="H22" s="225"/>
      <c r="I22" s="196"/>
      <c r="J22" s="196"/>
      <c r="K22" s="196"/>
      <c r="L22" s="196"/>
      <c r="M22" s="196"/>
      <c r="N22" s="196"/>
      <c r="O22" s="196"/>
      <c r="P22" s="196"/>
      <c r="Q22" s="196"/>
    </row>
    <row r="23">
      <c r="A23" s="219"/>
      <c r="B23" s="220"/>
      <c r="C23" s="221"/>
      <c r="D23" s="222"/>
      <c r="E23" s="222"/>
      <c r="F23" s="223"/>
      <c r="G23" s="226"/>
      <c r="H23" s="225"/>
      <c r="I23" s="229" t="s">
        <v>5893</v>
      </c>
      <c r="J23" s="196"/>
      <c r="K23" s="196"/>
      <c r="L23" s="196"/>
      <c r="M23" s="196"/>
      <c r="N23" s="196"/>
      <c r="O23" s="196"/>
      <c r="P23" s="196"/>
      <c r="Q23" s="196"/>
    </row>
    <row r="24">
      <c r="A24" s="213"/>
      <c r="B24" s="214"/>
      <c r="C24" s="215"/>
      <c r="D24" s="209"/>
      <c r="E24" s="209"/>
      <c r="F24" s="210"/>
      <c r="G24" s="211"/>
      <c r="H24" s="217"/>
      <c r="I24" s="196"/>
      <c r="J24" s="196"/>
      <c r="K24" s="196"/>
      <c r="L24" s="196"/>
      <c r="M24" s="196"/>
      <c r="N24" s="196"/>
      <c r="O24" s="196"/>
      <c r="P24" s="196"/>
      <c r="Q24" s="196"/>
    </row>
    <row r="25">
      <c r="A25" s="213"/>
      <c r="B25" s="214"/>
      <c r="C25" s="218"/>
      <c r="D25" s="209"/>
      <c r="E25" s="209"/>
      <c r="F25" s="210"/>
      <c r="G25" s="211"/>
      <c r="H25" s="217"/>
      <c r="I25" s="196"/>
      <c r="J25" s="196"/>
      <c r="K25" s="196"/>
      <c r="L25" s="196"/>
      <c r="M25" s="196"/>
      <c r="N25" s="196"/>
      <c r="O25" s="196"/>
      <c r="P25" s="196"/>
      <c r="Q25" s="196"/>
    </row>
    <row r="26">
      <c r="A26" s="213"/>
      <c r="B26" s="214"/>
      <c r="C26" s="218"/>
      <c r="D26" s="209"/>
      <c r="E26" s="209"/>
      <c r="F26" s="210"/>
      <c r="G26" s="211"/>
      <c r="H26" s="217"/>
      <c r="I26" s="196"/>
      <c r="J26" s="196"/>
      <c r="K26" s="196"/>
      <c r="L26" s="196"/>
      <c r="M26" s="196"/>
      <c r="N26" s="196"/>
      <c r="O26" s="196"/>
      <c r="P26" s="196"/>
      <c r="Q26" s="196"/>
    </row>
    <row r="27">
      <c r="A27" s="213"/>
      <c r="B27" s="214"/>
      <c r="C27" s="218"/>
      <c r="D27" s="209"/>
      <c r="E27" s="209"/>
      <c r="F27" s="210"/>
      <c r="G27" s="211"/>
      <c r="H27" s="217"/>
      <c r="I27" s="196"/>
      <c r="J27" s="196"/>
      <c r="K27" s="196"/>
      <c r="L27" s="196"/>
      <c r="M27" s="196"/>
      <c r="N27" s="196"/>
      <c r="O27" s="196"/>
      <c r="P27" s="196"/>
      <c r="Q27" s="196"/>
    </row>
    <row r="28">
      <c r="A28" s="213"/>
      <c r="B28" s="214"/>
      <c r="C28" s="218"/>
      <c r="D28" s="209"/>
      <c r="E28" s="209"/>
      <c r="F28" s="210"/>
      <c r="G28" s="211"/>
      <c r="H28" s="217"/>
      <c r="I28" s="196"/>
      <c r="J28" s="196"/>
      <c r="K28" s="196"/>
      <c r="L28" s="196"/>
      <c r="M28" s="196"/>
      <c r="N28" s="196"/>
      <c r="O28" s="196"/>
      <c r="P28" s="196"/>
      <c r="Q28" s="196"/>
    </row>
    <row r="29">
      <c r="A29" s="213"/>
      <c r="B29" s="214"/>
      <c r="C29" s="218"/>
      <c r="D29" s="209"/>
      <c r="E29" s="209"/>
      <c r="F29" s="210"/>
      <c r="G29" s="211"/>
      <c r="H29" s="217"/>
      <c r="I29" s="196"/>
      <c r="J29" s="196"/>
      <c r="K29" s="196"/>
      <c r="L29" s="196"/>
      <c r="M29" s="196"/>
      <c r="N29" s="196"/>
      <c r="O29" s="196"/>
      <c r="P29" s="196"/>
      <c r="Q29" s="196"/>
    </row>
    <row r="30">
      <c r="A30" s="213"/>
      <c r="B30" s="214"/>
      <c r="C30" s="218"/>
      <c r="D30" s="209"/>
      <c r="E30" s="209"/>
      <c r="F30" s="210"/>
      <c r="G30" s="211"/>
      <c r="H30" s="217"/>
      <c r="I30" s="196"/>
      <c r="J30" s="196"/>
      <c r="K30" s="196"/>
      <c r="L30" s="196"/>
      <c r="M30" s="196"/>
      <c r="N30" s="196"/>
      <c r="O30" s="196"/>
      <c r="P30" s="196"/>
      <c r="Q30" s="196"/>
    </row>
    <row r="31">
      <c r="A31" s="206"/>
      <c r="B31" s="207"/>
      <c r="C31" s="230"/>
      <c r="D31" s="209"/>
      <c r="E31" s="209"/>
      <c r="F31" s="210"/>
      <c r="G31" s="211"/>
      <c r="H31" s="212"/>
      <c r="I31" s="196"/>
      <c r="J31" s="196"/>
      <c r="K31" s="196"/>
      <c r="L31" s="196"/>
      <c r="M31" s="196"/>
      <c r="N31" s="196"/>
      <c r="O31" s="196"/>
      <c r="P31" s="196"/>
      <c r="Q31" s="196"/>
    </row>
    <row r="32">
      <c r="A32" s="213"/>
      <c r="B32" s="214"/>
      <c r="C32" s="218"/>
      <c r="D32" s="209"/>
      <c r="E32" s="209"/>
      <c r="F32" s="210"/>
      <c r="G32" s="211"/>
      <c r="H32" s="217"/>
      <c r="I32" s="196"/>
      <c r="J32" s="196"/>
      <c r="K32" s="196"/>
      <c r="L32" s="196"/>
      <c r="M32" s="196"/>
      <c r="N32" s="196"/>
      <c r="O32" s="196"/>
      <c r="P32" s="196"/>
      <c r="Q32" s="196"/>
    </row>
    <row r="33">
      <c r="A33" s="213"/>
      <c r="B33" s="214"/>
      <c r="C33" s="215"/>
      <c r="D33" s="209"/>
      <c r="E33" s="209"/>
      <c r="F33" s="210"/>
      <c r="G33" s="211"/>
      <c r="H33" s="217"/>
      <c r="I33" s="196"/>
      <c r="J33" s="196"/>
      <c r="K33" s="196"/>
      <c r="L33" s="196"/>
      <c r="M33" s="196"/>
      <c r="N33" s="196"/>
      <c r="O33" s="196"/>
      <c r="P33" s="196"/>
      <c r="Q33" s="196"/>
    </row>
    <row r="34">
      <c r="A34" s="213"/>
      <c r="B34" s="214"/>
      <c r="C34" s="218"/>
      <c r="D34" s="209"/>
      <c r="E34" s="209"/>
      <c r="F34" s="210"/>
      <c r="G34" s="211"/>
      <c r="H34" s="217"/>
      <c r="I34" s="196"/>
      <c r="J34" s="196"/>
      <c r="K34" s="196"/>
      <c r="L34" s="196"/>
      <c r="M34" s="196"/>
      <c r="N34" s="196"/>
      <c r="O34" s="196"/>
      <c r="P34" s="196"/>
      <c r="Q34" s="196"/>
    </row>
    <row r="35">
      <c r="A35" s="213"/>
      <c r="B35" s="214"/>
      <c r="C35" s="218"/>
      <c r="D35" s="209"/>
      <c r="E35" s="209"/>
      <c r="F35" s="210"/>
      <c r="G35" s="211"/>
      <c r="H35" s="217"/>
      <c r="I35" s="196"/>
      <c r="J35" s="196"/>
      <c r="K35" s="196"/>
      <c r="L35" s="196"/>
      <c r="M35" s="196"/>
      <c r="N35" s="196"/>
      <c r="O35" s="196"/>
      <c r="P35" s="196"/>
      <c r="Q35" s="196"/>
    </row>
    <row r="36">
      <c r="A36" s="213"/>
      <c r="B36" s="214"/>
      <c r="C36" s="215"/>
      <c r="D36" s="209"/>
      <c r="E36" s="209"/>
      <c r="F36" s="210"/>
      <c r="G36" s="211"/>
      <c r="H36" s="217"/>
      <c r="I36" s="196"/>
      <c r="J36" s="196"/>
      <c r="K36" s="196"/>
      <c r="L36" s="196"/>
      <c r="M36" s="196"/>
      <c r="N36" s="196"/>
      <c r="O36" s="196"/>
      <c r="P36" s="196"/>
      <c r="Q36" s="196"/>
    </row>
    <row r="37">
      <c r="A37" s="213"/>
      <c r="B37" s="214"/>
      <c r="C37" s="215"/>
      <c r="D37" s="209"/>
      <c r="E37" s="209"/>
      <c r="F37" s="210"/>
      <c r="G37" s="211"/>
      <c r="H37" s="217"/>
      <c r="I37" s="196"/>
      <c r="J37" s="196"/>
      <c r="K37" s="196"/>
      <c r="L37" s="196"/>
      <c r="M37" s="196"/>
      <c r="N37" s="196"/>
      <c r="O37" s="196"/>
      <c r="P37" s="196"/>
      <c r="Q37" s="196"/>
    </row>
    <row r="38">
      <c r="A38" s="213"/>
      <c r="B38" s="214"/>
      <c r="C38" s="215"/>
      <c r="D38" s="209"/>
      <c r="E38" s="209"/>
      <c r="F38" s="210"/>
      <c r="G38" s="211"/>
      <c r="H38" s="217"/>
      <c r="I38" s="196"/>
      <c r="J38" s="196"/>
      <c r="K38" s="196"/>
      <c r="L38" s="196"/>
      <c r="M38" s="196"/>
      <c r="N38" s="196"/>
      <c r="O38" s="196"/>
      <c r="P38" s="196"/>
      <c r="Q38" s="196"/>
    </row>
    <row r="39">
      <c r="A39" s="213"/>
      <c r="B39" s="214"/>
      <c r="C39" s="215"/>
      <c r="D39" s="209"/>
      <c r="E39" s="209"/>
      <c r="F39" s="210"/>
      <c r="G39" s="216"/>
      <c r="H39" s="217"/>
      <c r="I39" s="196"/>
      <c r="J39" s="196"/>
      <c r="K39" s="196"/>
      <c r="L39" s="196"/>
      <c r="M39" s="196"/>
      <c r="N39" s="196"/>
      <c r="O39" s="196"/>
      <c r="P39" s="196"/>
      <c r="Q39" s="196"/>
    </row>
    <row r="40">
      <c r="A40" s="213"/>
      <c r="B40" s="214"/>
      <c r="C40" s="218"/>
      <c r="D40" s="209"/>
      <c r="E40" s="209"/>
      <c r="F40" s="210"/>
      <c r="G40" s="216"/>
      <c r="H40" s="217"/>
      <c r="I40" s="196"/>
      <c r="J40" s="196"/>
      <c r="K40" s="196"/>
      <c r="L40" s="196"/>
      <c r="M40" s="196"/>
      <c r="N40" s="196"/>
      <c r="O40" s="196"/>
      <c r="P40" s="196"/>
      <c r="Q40" s="196"/>
    </row>
    <row r="41">
      <c r="A41" s="213"/>
      <c r="B41" s="214"/>
      <c r="C41" s="215"/>
      <c r="D41" s="209"/>
      <c r="E41" s="209"/>
      <c r="F41" s="210"/>
      <c r="G41" s="216"/>
      <c r="H41" s="217"/>
      <c r="I41" s="196"/>
      <c r="J41" s="196"/>
      <c r="K41" s="196"/>
      <c r="L41" s="196"/>
      <c r="M41" s="196"/>
      <c r="N41" s="196"/>
      <c r="O41" s="196"/>
      <c r="P41" s="196"/>
      <c r="Q41" s="196"/>
    </row>
    <row r="42">
      <c r="A42" s="213"/>
      <c r="B42" s="212"/>
      <c r="C42" s="231"/>
      <c r="D42" s="209"/>
      <c r="E42" s="209"/>
      <c r="F42" s="232"/>
      <c r="G42" s="216"/>
      <c r="H42" s="217"/>
      <c r="I42" s="196"/>
      <c r="J42" s="196"/>
      <c r="K42" s="196"/>
      <c r="L42" s="196"/>
      <c r="M42" s="196"/>
      <c r="N42" s="196"/>
      <c r="O42" s="196"/>
      <c r="P42" s="196"/>
      <c r="Q42" s="196"/>
    </row>
    <row r="43">
      <c r="A43" s="219"/>
      <c r="B43" s="220"/>
      <c r="C43" s="221"/>
      <c r="D43" s="222"/>
      <c r="E43" s="222"/>
      <c r="F43" s="223"/>
      <c r="G43" s="226"/>
      <c r="H43" s="225"/>
      <c r="I43" s="196"/>
      <c r="J43" s="196"/>
      <c r="K43" s="196"/>
      <c r="L43" s="196"/>
      <c r="M43" s="196"/>
      <c r="N43" s="196"/>
      <c r="O43" s="196"/>
      <c r="P43" s="196"/>
      <c r="Q43" s="196"/>
    </row>
    <row r="44">
      <c r="A44" s="213"/>
      <c r="B44" s="214"/>
      <c r="C44" s="215"/>
      <c r="D44" s="209"/>
      <c r="E44" s="209"/>
      <c r="F44" s="210"/>
      <c r="G44" s="211"/>
      <c r="H44" s="217"/>
      <c r="I44" s="196"/>
      <c r="J44" s="196"/>
      <c r="K44" s="196"/>
      <c r="L44" s="196"/>
      <c r="M44" s="196"/>
      <c r="N44" s="196"/>
      <c r="O44" s="196"/>
      <c r="P44" s="196"/>
      <c r="Q44" s="196"/>
    </row>
    <row r="45">
      <c r="A45" s="213"/>
      <c r="B45" s="214"/>
      <c r="C45" s="218"/>
      <c r="D45" s="209"/>
      <c r="E45" s="209"/>
      <c r="F45" s="210"/>
      <c r="G45" s="211"/>
      <c r="H45" s="217"/>
      <c r="I45" s="196"/>
      <c r="J45" s="196"/>
      <c r="K45" s="196"/>
      <c r="L45" s="196"/>
      <c r="M45" s="196"/>
      <c r="N45" s="196"/>
      <c r="O45" s="196"/>
      <c r="P45" s="196"/>
      <c r="Q45" s="196"/>
    </row>
    <row r="46">
      <c r="A46" s="219"/>
      <c r="B46" s="220"/>
      <c r="C46" s="221"/>
      <c r="D46" s="222"/>
      <c r="E46" s="222"/>
      <c r="F46" s="223"/>
      <c r="G46" s="224"/>
      <c r="H46" s="225"/>
      <c r="I46" s="233" t="s">
        <v>1901</v>
      </c>
      <c r="J46" s="196"/>
      <c r="K46" s="196"/>
      <c r="L46" s="196"/>
      <c r="M46" s="196"/>
      <c r="N46" s="196"/>
      <c r="O46" s="196"/>
      <c r="P46" s="196"/>
      <c r="Q46" s="196"/>
    </row>
    <row r="47">
      <c r="A47" s="213"/>
      <c r="B47" s="214"/>
      <c r="C47" s="234"/>
      <c r="D47" s="209"/>
      <c r="E47" s="209"/>
      <c r="F47" s="210"/>
      <c r="G47" s="211"/>
      <c r="H47" s="217"/>
      <c r="I47" s="196"/>
      <c r="J47" s="196"/>
      <c r="K47" s="196"/>
      <c r="L47" s="196"/>
      <c r="M47" s="196"/>
      <c r="N47" s="196"/>
      <c r="O47" s="196"/>
      <c r="P47" s="196"/>
      <c r="Q47" s="196"/>
    </row>
    <row r="48">
      <c r="A48" s="213"/>
      <c r="B48" s="214"/>
      <c r="C48" s="218"/>
      <c r="D48" s="209"/>
      <c r="E48" s="209"/>
      <c r="F48" s="210"/>
      <c r="G48" s="211"/>
      <c r="H48" s="217"/>
      <c r="I48" s="196"/>
      <c r="J48" s="196"/>
      <c r="K48" s="196"/>
      <c r="L48" s="196"/>
      <c r="M48" s="196"/>
      <c r="N48" s="196"/>
      <c r="O48" s="196"/>
      <c r="P48" s="196"/>
      <c r="Q48" s="196"/>
    </row>
    <row r="49">
      <c r="A49" s="213"/>
      <c r="B49" s="214"/>
      <c r="C49" s="215"/>
      <c r="D49" s="209"/>
      <c r="E49" s="209"/>
      <c r="F49" s="210"/>
      <c r="G49" s="216"/>
      <c r="H49" s="217"/>
      <c r="I49" s="196"/>
      <c r="J49" s="196"/>
      <c r="K49" s="196"/>
      <c r="L49" s="196"/>
      <c r="M49" s="196"/>
      <c r="N49" s="196"/>
      <c r="O49" s="196"/>
      <c r="P49" s="196"/>
      <c r="Q49" s="196"/>
    </row>
    <row r="50">
      <c r="A50" s="213"/>
      <c r="B50" s="214"/>
      <c r="C50" s="215"/>
      <c r="D50" s="209"/>
      <c r="E50" s="209"/>
      <c r="F50" s="210"/>
      <c r="G50" s="216"/>
      <c r="H50" s="217"/>
      <c r="I50" s="196"/>
      <c r="J50" s="196"/>
      <c r="K50" s="196"/>
      <c r="L50" s="196"/>
      <c r="M50" s="196"/>
      <c r="N50" s="196"/>
      <c r="O50" s="196"/>
      <c r="P50" s="196"/>
      <c r="Q50" s="196"/>
    </row>
    <row r="51">
      <c r="A51" s="213"/>
      <c r="B51" s="212"/>
      <c r="C51" s="235"/>
      <c r="D51" s="209"/>
      <c r="E51" s="209"/>
      <c r="F51" s="232"/>
      <c r="G51" s="211"/>
      <c r="H51" s="217"/>
      <c r="I51" s="196"/>
      <c r="J51" s="196"/>
      <c r="K51" s="196"/>
      <c r="L51" s="196"/>
      <c r="M51" s="196"/>
      <c r="N51" s="196"/>
      <c r="O51" s="196"/>
      <c r="P51" s="196"/>
      <c r="Q51" s="196"/>
    </row>
    <row r="52">
      <c r="A52" s="213"/>
      <c r="B52" s="214"/>
      <c r="C52" s="215"/>
      <c r="D52" s="209"/>
      <c r="E52" s="209"/>
      <c r="F52" s="210"/>
      <c r="G52" s="211"/>
      <c r="H52" s="217"/>
      <c r="I52" s="196"/>
      <c r="J52" s="196"/>
      <c r="K52" s="196"/>
      <c r="L52" s="196"/>
      <c r="M52" s="196"/>
      <c r="N52" s="196"/>
      <c r="O52" s="196"/>
      <c r="P52" s="196"/>
      <c r="Q52" s="196"/>
    </row>
    <row r="53">
      <c r="A53" s="213"/>
      <c r="B53" s="214"/>
      <c r="C53" s="218"/>
      <c r="D53" s="209"/>
      <c r="E53" s="209"/>
      <c r="F53" s="210"/>
      <c r="G53" s="211"/>
      <c r="H53" s="217"/>
      <c r="I53" s="196"/>
      <c r="J53" s="196"/>
      <c r="K53" s="196"/>
      <c r="L53" s="196"/>
      <c r="M53" s="196"/>
      <c r="N53" s="196"/>
      <c r="O53" s="196"/>
      <c r="P53" s="196"/>
      <c r="Q53" s="196"/>
    </row>
    <row r="54">
      <c r="A54" s="213"/>
      <c r="B54" s="214"/>
      <c r="C54" s="218"/>
      <c r="D54" s="209"/>
      <c r="E54" s="209"/>
      <c r="F54" s="210"/>
      <c r="G54" s="216"/>
      <c r="H54" s="217"/>
      <c r="I54" s="196"/>
      <c r="J54" s="196"/>
      <c r="K54" s="196"/>
      <c r="L54" s="196"/>
      <c r="M54" s="196"/>
      <c r="N54" s="196"/>
      <c r="O54" s="196"/>
      <c r="P54" s="196"/>
      <c r="Q54" s="196"/>
    </row>
    <row r="55">
      <c r="A55" s="213"/>
      <c r="B55" s="214"/>
      <c r="C55" s="215"/>
      <c r="D55" s="209"/>
      <c r="E55" s="209"/>
      <c r="F55" s="210"/>
      <c r="G55" s="211"/>
      <c r="H55" s="217"/>
      <c r="I55" s="196"/>
      <c r="J55" s="196"/>
      <c r="K55" s="196"/>
      <c r="L55" s="196"/>
      <c r="M55" s="196"/>
      <c r="N55" s="196"/>
      <c r="O55" s="196"/>
      <c r="P55" s="196"/>
      <c r="Q55" s="196"/>
    </row>
    <row r="56">
      <c r="A56" s="213"/>
      <c r="B56" s="214"/>
      <c r="C56" s="215"/>
      <c r="D56" s="209"/>
      <c r="E56" s="209"/>
      <c r="F56" s="210"/>
      <c r="G56" s="211"/>
      <c r="H56" s="217"/>
      <c r="I56" s="196"/>
      <c r="J56" s="196"/>
      <c r="K56" s="196"/>
      <c r="L56" s="196"/>
      <c r="M56" s="196"/>
      <c r="N56" s="196"/>
      <c r="O56" s="196"/>
      <c r="P56" s="196"/>
      <c r="Q56" s="196"/>
    </row>
    <row r="57">
      <c r="A57" s="213"/>
      <c r="B57" s="214"/>
      <c r="C57" s="236"/>
      <c r="D57" s="209"/>
      <c r="E57" s="209"/>
      <c r="F57" s="210"/>
      <c r="G57" s="216"/>
      <c r="H57" s="217"/>
      <c r="I57" s="196"/>
      <c r="J57" s="196"/>
      <c r="K57" s="196"/>
      <c r="L57" s="196"/>
      <c r="M57" s="196"/>
      <c r="N57" s="196"/>
      <c r="O57" s="196"/>
      <c r="P57" s="196"/>
      <c r="Q57" s="196"/>
    </row>
    <row r="58">
      <c r="A58" s="213"/>
      <c r="B58" s="214"/>
      <c r="C58" s="234"/>
      <c r="D58" s="209"/>
      <c r="E58" s="209"/>
      <c r="F58" s="210"/>
      <c r="G58" s="216"/>
      <c r="H58" s="217"/>
      <c r="I58" s="196"/>
      <c r="J58" s="196"/>
      <c r="K58" s="196"/>
      <c r="L58" s="196"/>
      <c r="M58" s="196"/>
      <c r="N58" s="196"/>
      <c r="O58" s="196"/>
      <c r="P58" s="196"/>
      <c r="Q58" s="196"/>
    </row>
    <row r="59">
      <c r="A59" s="213"/>
      <c r="B59" s="214"/>
      <c r="C59" s="215"/>
      <c r="D59" s="209"/>
      <c r="E59" s="209"/>
      <c r="F59" s="210"/>
      <c r="G59" s="216"/>
      <c r="H59" s="217"/>
      <c r="I59" s="196"/>
      <c r="J59" s="196"/>
      <c r="K59" s="196"/>
      <c r="L59" s="196"/>
      <c r="M59" s="196"/>
      <c r="N59" s="196"/>
      <c r="O59" s="196"/>
      <c r="P59" s="196"/>
      <c r="Q59" s="196"/>
    </row>
    <row r="60">
      <c r="A60" s="213"/>
      <c r="B60" s="214"/>
      <c r="C60" s="215"/>
      <c r="D60" s="209"/>
      <c r="E60" s="209"/>
      <c r="F60" s="210"/>
      <c r="G60" s="211"/>
      <c r="H60" s="217"/>
      <c r="I60" s="196"/>
      <c r="J60" s="196"/>
      <c r="K60" s="196"/>
      <c r="L60" s="196"/>
      <c r="M60" s="196"/>
      <c r="N60" s="196"/>
      <c r="O60" s="196"/>
      <c r="P60" s="196"/>
      <c r="Q60" s="196"/>
    </row>
    <row r="61">
      <c r="A61" s="213"/>
      <c r="B61" s="214"/>
      <c r="C61" s="215"/>
      <c r="D61" s="209"/>
      <c r="E61" s="209"/>
      <c r="F61" s="210"/>
      <c r="G61" s="216"/>
      <c r="H61" s="217"/>
      <c r="I61" s="196"/>
      <c r="J61" s="196"/>
      <c r="K61" s="196"/>
      <c r="L61" s="196"/>
      <c r="M61" s="196"/>
      <c r="N61" s="196"/>
      <c r="O61" s="196"/>
      <c r="P61" s="196"/>
      <c r="Q61" s="196"/>
    </row>
    <row r="62">
      <c r="A62" s="213"/>
      <c r="B62" s="214"/>
      <c r="C62" s="234"/>
      <c r="D62" s="209"/>
      <c r="E62" s="209"/>
      <c r="F62" s="210"/>
      <c r="G62" s="211"/>
      <c r="H62" s="217"/>
      <c r="I62" s="196"/>
      <c r="J62" s="196"/>
      <c r="K62" s="196"/>
      <c r="L62" s="196"/>
      <c r="M62" s="196"/>
      <c r="N62" s="196"/>
      <c r="O62" s="196"/>
      <c r="P62" s="196"/>
      <c r="Q62" s="196"/>
    </row>
    <row r="63">
      <c r="A63" s="213"/>
      <c r="B63" s="214"/>
      <c r="C63" s="218"/>
      <c r="D63" s="209"/>
      <c r="E63" s="209"/>
      <c r="F63" s="210"/>
      <c r="G63" s="211"/>
      <c r="H63" s="217"/>
      <c r="I63" s="196"/>
      <c r="J63" s="196"/>
      <c r="K63" s="196"/>
      <c r="L63" s="196"/>
      <c r="M63" s="196"/>
      <c r="N63" s="196"/>
      <c r="O63" s="196"/>
      <c r="P63" s="196"/>
      <c r="Q63" s="196"/>
    </row>
    <row r="64">
      <c r="A64" s="213"/>
      <c r="B64" s="214"/>
      <c r="C64" s="215"/>
      <c r="D64" s="209"/>
      <c r="E64" s="209"/>
      <c r="F64" s="210"/>
      <c r="G64" s="211"/>
      <c r="H64" s="217"/>
      <c r="I64" s="196"/>
      <c r="J64" s="196"/>
      <c r="K64" s="196"/>
      <c r="L64" s="196"/>
      <c r="M64" s="196"/>
      <c r="N64" s="196"/>
      <c r="O64" s="196"/>
      <c r="P64" s="196"/>
      <c r="Q64" s="196"/>
    </row>
    <row r="65">
      <c r="A65" s="213"/>
      <c r="B65" s="214"/>
      <c r="C65" s="215"/>
      <c r="D65" s="209"/>
      <c r="E65" s="209"/>
      <c r="F65" s="210"/>
      <c r="G65" s="216"/>
      <c r="H65" s="217"/>
      <c r="I65" s="196"/>
      <c r="J65" s="196"/>
      <c r="K65" s="196"/>
      <c r="L65" s="196"/>
      <c r="M65" s="196"/>
      <c r="N65" s="196"/>
      <c r="O65" s="196"/>
      <c r="P65" s="196"/>
      <c r="Q65" s="196"/>
    </row>
    <row r="66">
      <c r="A66" s="213"/>
      <c r="B66" s="214"/>
      <c r="C66" s="215"/>
      <c r="D66" s="209"/>
      <c r="E66" s="209"/>
      <c r="F66" s="210"/>
      <c r="G66" s="216"/>
      <c r="H66" s="217"/>
      <c r="I66" s="196"/>
      <c r="J66" s="196"/>
      <c r="K66" s="196"/>
      <c r="L66" s="196"/>
      <c r="M66" s="196"/>
      <c r="N66" s="196"/>
      <c r="O66" s="196"/>
      <c r="P66" s="196"/>
      <c r="Q66" s="196"/>
    </row>
    <row r="67">
      <c r="A67" s="213"/>
      <c r="B67" s="214"/>
      <c r="C67" s="218"/>
      <c r="D67" s="209"/>
      <c r="E67" s="209"/>
      <c r="F67" s="210"/>
      <c r="G67" s="211"/>
      <c r="H67" s="217"/>
      <c r="I67" s="196"/>
      <c r="J67" s="196"/>
      <c r="K67" s="196"/>
      <c r="L67" s="196"/>
      <c r="M67" s="196"/>
      <c r="N67" s="196"/>
      <c r="O67" s="196"/>
      <c r="P67" s="196"/>
      <c r="Q67" s="196"/>
    </row>
    <row r="68">
      <c r="A68" s="213"/>
      <c r="B68" s="214"/>
      <c r="C68" s="215"/>
      <c r="D68" s="209"/>
      <c r="E68" s="209"/>
      <c r="F68" s="210"/>
      <c r="G68" s="211"/>
      <c r="H68" s="217"/>
      <c r="I68" s="196"/>
      <c r="J68" s="196"/>
      <c r="K68" s="196"/>
      <c r="L68" s="196"/>
      <c r="M68" s="196"/>
      <c r="N68" s="196"/>
      <c r="O68" s="196"/>
      <c r="P68" s="196"/>
      <c r="Q68" s="196"/>
    </row>
    <row r="69">
      <c r="A69" s="213">
        <v>1047.0</v>
      </c>
      <c r="B69" s="214"/>
      <c r="C69" s="215"/>
      <c r="D69" s="209"/>
      <c r="E69" s="209"/>
      <c r="F69" s="210"/>
      <c r="G69" s="216"/>
      <c r="H69" s="217"/>
      <c r="I69" s="196"/>
      <c r="J69" s="196"/>
      <c r="K69" s="196"/>
      <c r="L69" s="196"/>
      <c r="M69" s="196"/>
      <c r="N69" s="196"/>
      <c r="O69" s="196"/>
      <c r="P69" s="196"/>
      <c r="Q69" s="196"/>
    </row>
    <row r="70">
      <c r="A70" s="197"/>
      <c r="B70" s="198"/>
      <c r="C70" s="204"/>
      <c r="D70" s="200"/>
      <c r="E70" s="200"/>
      <c r="F70" s="201"/>
      <c r="G70" s="202"/>
      <c r="H70" s="203"/>
      <c r="I70" s="196"/>
      <c r="J70" s="196"/>
      <c r="K70" s="196"/>
      <c r="L70" s="196"/>
      <c r="M70" s="196"/>
      <c r="N70" s="196"/>
      <c r="O70" s="196"/>
      <c r="P70" s="196"/>
      <c r="Q70" s="196"/>
    </row>
    <row r="71">
      <c r="A71" s="197"/>
      <c r="B71" s="237"/>
      <c r="C71" s="238"/>
      <c r="D71" s="200"/>
      <c r="E71" s="200"/>
      <c r="F71" s="239"/>
      <c r="G71" s="202"/>
      <c r="H71" s="203"/>
      <c r="I71" s="196"/>
      <c r="J71" s="196"/>
      <c r="K71" s="196"/>
      <c r="L71" s="196"/>
      <c r="M71" s="196"/>
      <c r="N71" s="196"/>
      <c r="O71" s="196"/>
      <c r="P71" s="196"/>
      <c r="Q71" s="196"/>
    </row>
    <row r="72">
      <c r="A72" s="197"/>
      <c r="B72" s="198"/>
      <c r="C72" s="199"/>
      <c r="D72" s="200"/>
      <c r="E72" s="200"/>
      <c r="F72" s="201"/>
      <c r="G72" s="202"/>
      <c r="H72" s="203"/>
      <c r="I72" s="196"/>
      <c r="J72" s="196"/>
      <c r="K72" s="196"/>
      <c r="L72" s="196"/>
      <c r="M72" s="196"/>
      <c r="N72" s="196"/>
      <c r="O72" s="196"/>
      <c r="P72" s="196"/>
      <c r="Q72" s="196"/>
    </row>
    <row r="73">
      <c r="A73" s="197"/>
      <c r="B73" s="198"/>
      <c r="C73" s="204"/>
      <c r="D73" s="200"/>
      <c r="E73" s="200"/>
      <c r="F73" s="201"/>
      <c r="G73" s="202"/>
      <c r="H73" s="203"/>
      <c r="I73" s="196"/>
      <c r="J73" s="196"/>
      <c r="K73" s="196"/>
      <c r="L73" s="196"/>
      <c r="M73" s="196"/>
      <c r="N73" s="196"/>
      <c r="O73" s="196"/>
      <c r="P73" s="196"/>
      <c r="Q73" s="196"/>
    </row>
    <row r="74">
      <c r="A74" s="197"/>
      <c r="B74" s="198"/>
      <c r="C74" s="204"/>
      <c r="D74" s="200"/>
      <c r="E74" s="200"/>
      <c r="F74" s="201"/>
      <c r="G74" s="202"/>
      <c r="H74" s="203"/>
      <c r="I74" s="196"/>
      <c r="J74" s="196"/>
      <c r="K74" s="196"/>
      <c r="L74" s="196"/>
      <c r="M74" s="196"/>
      <c r="N74" s="196"/>
      <c r="O74" s="196"/>
      <c r="P74" s="196"/>
      <c r="Q74" s="196"/>
    </row>
    <row r="75">
      <c r="A75" s="197"/>
      <c r="B75" s="198"/>
      <c r="C75" s="199"/>
      <c r="D75" s="200"/>
      <c r="E75" s="200"/>
      <c r="F75" s="201"/>
      <c r="G75" s="202"/>
      <c r="H75" s="203"/>
      <c r="I75" s="196"/>
      <c r="J75" s="196"/>
      <c r="K75" s="196"/>
      <c r="L75" s="196"/>
      <c r="M75" s="196"/>
      <c r="N75" s="196"/>
      <c r="O75" s="196"/>
      <c r="P75" s="196"/>
      <c r="Q75" s="196"/>
    </row>
    <row r="76">
      <c r="A76" s="197"/>
      <c r="B76" s="198"/>
      <c r="C76" s="199"/>
      <c r="D76" s="200"/>
      <c r="E76" s="200"/>
      <c r="F76" s="201"/>
      <c r="G76" s="202"/>
      <c r="H76" s="203"/>
      <c r="I76" s="196"/>
      <c r="J76" s="196"/>
      <c r="K76" s="196"/>
      <c r="L76" s="196"/>
      <c r="M76" s="196"/>
      <c r="N76" s="196"/>
      <c r="O76" s="196"/>
      <c r="P76" s="196"/>
      <c r="Q76" s="196"/>
    </row>
    <row r="77">
      <c r="A77" s="197"/>
      <c r="B77" s="198"/>
      <c r="C77" s="204"/>
      <c r="D77" s="200"/>
      <c r="E77" s="200"/>
      <c r="F77" s="201"/>
      <c r="G77" s="202"/>
      <c r="H77" s="203"/>
      <c r="I77" s="196"/>
      <c r="J77" s="196"/>
      <c r="K77" s="196"/>
      <c r="L77" s="196"/>
      <c r="M77" s="196"/>
      <c r="N77" s="196"/>
      <c r="O77" s="196"/>
      <c r="P77" s="196"/>
      <c r="Q77" s="196"/>
    </row>
    <row r="78">
      <c r="A78" s="197"/>
      <c r="B78" s="198"/>
      <c r="C78" s="199"/>
      <c r="D78" s="200"/>
      <c r="E78" s="200"/>
      <c r="F78" s="201"/>
      <c r="G78" s="202"/>
      <c r="H78" s="203"/>
      <c r="I78" s="196"/>
      <c r="J78" s="196"/>
      <c r="K78" s="196"/>
      <c r="L78" s="196"/>
      <c r="M78" s="196"/>
      <c r="N78" s="196"/>
      <c r="O78" s="196"/>
      <c r="P78" s="196"/>
      <c r="Q78" s="196"/>
    </row>
    <row r="79">
      <c r="A79" s="197"/>
      <c r="B79" s="198"/>
      <c r="C79" s="199"/>
      <c r="D79" s="200"/>
      <c r="E79" s="200"/>
      <c r="F79" s="201"/>
      <c r="G79" s="202"/>
      <c r="H79" s="203"/>
      <c r="I79" s="196"/>
      <c r="J79" s="196"/>
      <c r="K79" s="196"/>
      <c r="L79" s="196"/>
      <c r="M79" s="196"/>
      <c r="N79" s="196"/>
      <c r="O79" s="196"/>
      <c r="P79" s="196"/>
      <c r="Q79" s="196"/>
    </row>
    <row r="80">
      <c r="A80" s="197"/>
      <c r="B80" s="198"/>
      <c r="C80" s="199"/>
      <c r="D80" s="200"/>
      <c r="E80" s="200"/>
      <c r="F80" s="201"/>
      <c r="G80" s="202"/>
      <c r="H80" s="203"/>
      <c r="I80" s="196"/>
      <c r="J80" s="196"/>
      <c r="K80" s="196"/>
      <c r="L80" s="196"/>
      <c r="M80" s="196"/>
      <c r="N80" s="196"/>
      <c r="O80" s="196"/>
      <c r="P80" s="196"/>
      <c r="Q80" s="196"/>
    </row>
    <row r="81">
      <c r="A81" s="197"/>
      <c r="B81" s="198"/>
      <c r="C81" s="199"/>
      <c r="D81" s="200"/>
      <c r="E81" s="200"/>
      <c r="F81" s="201"/>
      <c r="G81" s="202"/>
      <c r="H81" s="203"/>
      <c r="I81" s="196"/>
      <c r="J81" s="196"/>
      <c r="K81" s="196"/>
      <c r="L81" s="196"/>
      <c r="M81" s="196"/>
      <c r="N81" s="196"/>
      <c r="O81" s="196"/>
      <c r="P81" s="196"/>
      <c r="Q81" s="196"/>
    </row>
    <row r="82">
      <c r="A82" s="197"/>
      <c r="B82" s="198"/>
      <c r="C82" s="199"/>
      <c r="D82" s="200"/>
      <c r="E82" s="200"/>
      <c r="F82" s="201"/>
      <c r="G82" s="202"/>
      <c r="H82" s="203"/>
      <c r="I82" s="196"/>
      <c r="J82" s="196"/>
      <c r="K82" s="196"/>
      <c r="L82" s="196"/>
      <c r="M82" s="196"/>
      <c r="N82" s="196"/>
      <c r="O82" s="196"/>
      <c r="P82" s="196"/>
      <c r="Q82" s="196"/>
    </row>
    <row r="83">
      <c r="A83" s="197"/>
      <c r="B83" s="198"/>
      <c r="C83" s="204"/>
      <c r="D83" s="200"/>
      <c r="E83" s="200"/>
      <c r="F83" s="201"/>
      <c r="G83" s="202"/>
      <c r="H83" s="203"/>
      <c r="I83" s="196"/>
      <c r="J83" s="196"/>
      <c r="K83" s="196"/>
      <c r="L83" s="196"/>
      <c r="M83" s="196"/>
      <c r="N83" s="196"/>
      <c r="O83" s="196"/>
      <c r="P83" s="196"/>
      <c r="Q83" s="196"/>
    </row>
    <row r="84">
      <c r="A84" s="197"/>
      <c r="B84" s="198"/>
      <c r="C84" s="199"/>
      <c r="D84" s="200"/>
      <c r="E84" s="200"/>
      <c r="F84" s="201"/>
      <c r="G84" s="202"/>
      <c r="H84" s="203"/>
      <c r="I84" s="196"/>
      <c r="J84" s="196"/>
      <c r="K84" s="196"/>
      <c r="L84" s="196"/>
      <c r="M84" s="196"/>
      <c r="N84" s="196"/>
      <c r="O84" s="196"/>
      <c r="P84" s="196"/>
      <c r="Q84" s="196"/>
    </row>
    <row r="85">
      <c r="A85" s="197"/>
      <c r="B85" s="198"/>
      <c r="C85" s="204"/>
      <c r="D85" s="200"/>
      <c r="E85" s="200"/>
      <c r="F85" s="201"/>
      <c r="G85" s="202"/>
      <c r="H85" s="203"/>
      <c r="I85" s="196"/>
      <c r="J85" s="196"/>
      <c r="K85" s="196"/>
      <c r="L85" s="196"/>
      <c r="M85" s="196"/>
      <c r="N85" s="196"/>
      <c r="O85" s="196"/>
      <c r="P85" s="196"/>
      <c r="Q85" s="196"/>
    </row>
    <row r="86">
      <c r="A86" s="197"/>
      <c r="B86" s="198"/>
      <c r="C86" s="199"/>
      <c r="D86" s="200"/>
      <c r="E86" s="200"/>
      <c r="F86" s="201"/>
      <c r="G86" s="202"/>
      <c r="H86" s="203"/>
      <c r="I86" s="196"/>
      <c r="J86" s="196"/>
      <c r="K86" s="196"/>
      <c r="L86" s="196"/>
      <c r="M86" s="196"/>
      <c r="N86" s="196"/>
      <c r="O86" s="196"/>
      <c r="P86" s="196"/>
      <c r="Q86" s="196"/>
    </row>
    <row r="87">
      <c r="A87" s="197"/>
      <c r="B87" s="198"/>
      <c r="C87" s="204"/>
      <c r="D87" s="200"/>
      <c r="E87" s="200"/>
      <c r="F87" s="201"/>
      <c r="G87" s="202"/>
      <c r="H87" s="203"/>
      <c r="I87" s="196"/>
      <c r="J87" s="196"/>
      <c r="K87" s="196"/>
      <c r="L87" s="196"/>
      <c r="M87" s="196"/>
      <c r="N87" s="196"/>
      <c r="O87" s="196"/>
      <c r="P87" s="196"/>
      <c r="Q87" s="196"/>
    </row>
    <row r="88">
      <c r="A88" s="197"/>
      <c r="B88" s="198"/>
      <c r="C88" s="204"/>
      <c r="D88" s="200"/>
      <c r="E88" s="200"/>
      <c r="F88" s="201"/>
      <c r="G88" s="202"/>
      <c r="H88" s="203"/>
      <c r="I88" s="196"/>
      <c r="J88" s="196"/>
      <c r="K88" s="196"/>
      <c r="L88" s="196"/>
      <c r="M88" s="196"/>
      <c r="N88" s="196"/>
      <c r="O88" s="196"/>
      <c r="P88" s="196"/>
      <c r="Q88" s="196"/>
    </row>
    <row r="89">
      <c r="A89" s="197"/>
      <c r="B89" s="198"/>
      <c r="C89" s="199"/>
      <c r="D89" s="200"/>
      <c r="E89" s="200"/>
      <c r="F89" s="201"/>
      <c r="G89" s="202"/>
      <c r="H89" s="203"/>
      <c r="I89" s="196"/>
      <c r="J89" s="196"/>
      <c r="K89" s="196"/>
      <c r="L89" s="196"/>
      <c r="M89" s="196"/>
      <c r="N89" s="196"/>
      <c r="O89" s="196"/>
      <c r="P89" s="196"/>
      <c r="Q89" s="196"/>
    </row>
    <row r="90">
      <c r="A90" s="197"/>
      <c r="B90" s="198"/>
      <c r="C90" s="204"/>
      <c r="D90" s="200"/>
      <c r="E90" s="200"/>
      <c r="F90" s="201"/>
      <c r="G90" s="202"/>
      <c r="H90" s="203"/>
      <c r="I90" s="196"/>
      <c r="J90" s="196"/>
      <c r="K90" s="196"/>
      <c r="L90" s="196"/>
      <c r="M90" s="196"/>
      <c r="N90" s="196"/>
      <c r="O90" s="196"/>
      <c r="P90" s="196"/>
      <c r="Q90" s="196"/>
    </row>
    <row r="91">
      <c r="A91" s="197"/>
      <c r="B91" s="198"/>
      <c r="C91" s="204"/>
      <c r="D91" s="200"/>
      <c r="E91" s="200"/>
      <c r="F91" s="201"/>
      <c r="G91" s="202"/>
      <c r="H91" s="203"/>
      <c r="I91" s="196"/>
      <c r="J91" s="196"/>
      <c r="K91" s="196"/>
      <c r="L91" s="196"/>
      <c r="M91" s="196"/>
      <c r="N91" s="196"/>
      <c r="O91" s="196"/>
      <c r="P91" s="196"/>
      <c r="Q91" s="196"/>
    </row>
    <row r="92">
      <c r="A92" s="213"/>
      <c r="B92" s="214"/>
      <c r="C92" s="218"/>
      <c r="D92" s="209"/>
      <c r="E92" s="209"/>
      <c r="F92" s="210"/>
      <c r="G92" s="202"/>
      <c r="H92" s="217"/>
      <c r="I92" s="196"/>
      <c r="J92" s="196"/>
      <c r="K92" s="196"/>
      <c r="L92" s="196"/>
      <c r="M92" s="196"/>
      <c r="N92" s="196"/>
      <c r="O92" s="196"/>
      <c r="P92" s="196"/>
      <c r="Q92" s="196"/>
    </row>
    <row r="93">
      <c r="A93" s="213"/>
      <c r="B93" s="214"/>
      <c r="C93" s="218"/>
      <c r="D93" s="209"/>
      <c r="E93" s="209"/>
      <c r="F93" s="210"/>
      <c r="G93" s="202"/>
      <c r="H93" s="217"/>
      <c r="I93" s="196"/>
      <c r="J93" s="196"/>
      <c r="K93" s="196"/>
      <c r="L93" s="196"/>
      <c r="M93" s="196"/>
      <c r="N93" s="196"/>
      <c r="O93" s="196"/>
      <c r="P93" s="196"/>
      <c r="Q93" s="196"/>
    </row>
    <row r="94">
      <c r="A94" s="213"/>
      <c r="B94" s="214"/>
      <c r="C94" s="234"/>
      <c r="D94" s="209"/>
      <c r="E94" s="209"/>
      <c r="F94" s="210"/>
      <c r="G94" s="202"/>
      <c r="H94" s="217"/>
      <c r="I94" s="196"/>
      <c r="J94" s="196"/>
      <c r="K94" s="196"/>
      <c r="L94" s="196"/>
      <c r="M94" s="196"/>
      <c r="N94" s="196"/>
      <c r="O94" s="196"/>
      <c r="P94" s="196"/>
      <c r="Q94" s="196"/>
    </row>
    <row r="95">
      <c r="A95" s="213"/>
      <c r="B95" s="214"/>
      <c r="C95" s="218"/>
      <c r="D95" s="209"/>
      <c r="E95" s="209"/>
      <c r="F95" s="210"/>
      <c r="G95" s="202"/>
      <c r="H95" s="217"/>
      <c r="I95" s="196"/>
      <c r="J95" s="196"/>
      <c r="K95" s="196"/>
      <c r="L95" s="196"/>
      <c r="M95" s="196"/>
      <c r="N95" s="196"/>
      <c r="O95" s="196"/>
      <c r="P95" s="196"/>
      <c r="Q95" s="196"/>
    </row>
    <row r="96">
      <c r="A96" s="213"/>
      <c r="B96" s="214"/>
      <c r="C96" s="215"/>
      <c r="D96" s="209"/>
      <c r="E96" s="209"/>
      <c r="F96" s="210"/>
      <c r="G96" s="202"/>
      <c r="H96" s="217"/>
      <c r="I96" s="196"/>
      <c r="J96" s="196"/>
      <c r="K96" s="196"/>
      <c r="L96" s="196"/>
      <c r="M96" s="196"/>
      <c r="N96" s="196"/>
      <c r="O96" s="196"/>
      <c r="P96" s="196"/>
      <c r="Q96" s="196"/>
    </row>
    <row r="97">
      <c r="A97" s="213"/>
      <c r="B97" s="214"/>
      <c r="C97" s="218"/>
      <c r="D97" s="209"/>
      <c r="E97" s="209"/>
      <c r="F97" s="210"/>
      <c r="G97" s="202"/>
      <c r="H97" s="217"/>
      <c r="I97" s="196"/>
      <c r="J97" s="196"/>
      <c r="K97" s="196"/>
      <c r="L97" s="196"/>
      <c r="M97" s="196"/>
      <c r="N97" s="196"/>
      <c r="O97" s="196"/>
      <c r="P97" s="196"/>
      <c r="Q97" s="196"/>
    </row>
    <row r="98">
      <c r="A98" s="213"/>
      <c r="B98" s="214"/>
      <c r="C98" s="215"/>
      <c r="D98" s="209"/>
      <c r="E98" s="209"/>
      <c r="F98" s="210"/>
      <c r="G98" s="202"/>
      <c r="H98" s="217"/>
      <c r="I98" s="196"/>
      <c r="J98" s="196"/>
      <c r="K98" s="196"/>
      <c r="L98" s="196"/>
      <c r="M98" s="196"/>
      <c r="N98" s="196"/>
      <c r="O98" s="196"/>
      <c r="P98" s="196"/>
      <c r="Q98" s="196"/>
    </row>
    <row r="99">
      <c r="A99" s="213"/>
      <c r="B99" s="214"/>
      <c r="C99" s="218"/>
      <c r="D99" s="209"/>
      <c r="E99" s="209"/>
      <c r="F99" s="210"/>
      <c r="G99" s="202"/>
      <c r="H99" s="217"/>
      <c r="I99" s="196"/>
      <c r="J99" s="196"/>
      <c r="K99" s="196"/>
      <c r="L99" s="196"/>
      <c r="M99" s="196"/>
      <c r="N99" s="196"/>
      <c r="O99" s="196"/>
      <c r="P99" s="196"/>
      <c r="Q99" s="196"/>
    </row>
    <row r="100">
      <c r="A100" s="213"/>
      <c r="B100" s="214"/>
      <c r="C100" s="215"/>
      <c r="D100" s="209"/>
      <c r="E100" s="209"/>
      <c r="F100" s="210"/>
      <c r="G100" s="202"/>
      <c r="H100" s="217"/>
      <c r="I100" s="196"/>
      <c r="J100" s="196"/>
      <c r="K100" s="196"/>
      <c r="L100" s="196"/>
      <c r="M100" s="196"/>
      <c r="N100" s="196"/>
      <c r="O100" s="196"/>
      <c r="P100" s="196"/>
      <c r="Q100" s="196"/>
    </row>
    <row r="101">
      <c r="A101" s="213"/>
      <c r="B101" s="214"/>
      <c r="C101" s="215"/>
      <c r="D101" s="209"/>
      <c r="E101" s="209"/>
      <c r="F101" s="210"/>
      <c r="G101" s="202"/>
      <c r="H101" s="217"/>
      <c r="I101" s="196"/>
      <c r="J101" s="196"/>
      <c r="K101" s="196"/>
      <c r="L101" s="196"/>
      <c r="M101" s="196"/>
      <c r="N101" s="196"/>
      <c r="O101" s="196"/>
      <c r="P101" s="196"/>
      <c r="Q101" s="196"/>
    </row>
    <row r="102">
      <c r="A102" s="213"/>
      <c r="B102" s="214"/>
      <c r="C102" s="215"/>
      <c r="D102" s="209"/>
      <c r="E102" s="209"/>
      <c r="F102" s="210"/>
      <c r="G102" s="202"/>
      <c r="H102" s="217"/>
      <c r="I102" s="196"/>
      <c r="J102" s="196"/>
      <c r="K102" s="196"/>
      <c r="L102" s="196"/>
      <c r="M102" s="196"/>
      <c r="N102" s="196"/>
      <c r="O102" s="196"/>
      <c r="P102" s="196"/>
      <c r="Q102" s="196"/>
    </row>
    <row r="103">
      <c r="A103" s="213"/>
      <c r="B103" s="214"/>
      <c r="C103" s="218"/>
      <c r="D103" s="209"/>
      <c r="E103" s="209"/>
      <c r="F103" s="210"/>
      <c r="G103" s="202"/>
      <c r="H103" s="217"/>
      <c r="I103" s="196"/>
      <c r="J103" s="196"/>
      <c r="K103" s="196"/>
      <c r="L103" s="196"/>
      <c r="M103" s="196"/>
      <c r="N103" s="196"/>
      <c r="O103" s="196"/>
      <c r="P103" s="196"/>
      <c r="Q103" s="196"/>
    </row>
    <row r="104">
      <c r="A104" s="213"/>
      <c r="B104" s="214"/>
      <c r="C104" s="215"/>
      <c r="D104" s="209"/>
      <c r="E104" s="209"/>
      <c r="F104" s="210"/>
      <c r="G104" s="202"/>
      <c r="H104" s="217"/>
      <c r="I104" s="196"/>
      <c r="J104" s="196"/>
      <c r="K104" s="196"/>
      <c r="L104" s="196"/>
      <c r="M104" s="196"/>
      <c r="N104" s="196"/>
      <c r="O104" s="196"/>
      <c r="P104" s="196"/>
      <c r="Q104" s="196"/>
    </row>
    <row r="105">
      <c r="A105" s="213"/>
      <c r="B105" s="214"/>
      <c r="C105" s="215"/>
      <c r="D105" s="209"/>
      <c r="E105" s="209"/>
      <c r="F105" s="210"/>
      <c r="G105" s="202"/>
      <c r="H105" s="217"/>
      <c r="I105" s="196"/>
      <c r="J105" s="196"/>
      <c r="K105" s="196"/>
      <c r="L105" s="196"/>
      <c r="M105" s="196"/>
      <c r="N105" s="196"/>
      <c r="O105" s="196"/>
      <c r="P105" s="196"/>
      <c r="Q105" s="196"/>
    </row>
    <row r="106">
      <c r="A106" s="213"/>
      <c r="B106" s="214"/>
      <c r="C106" s="215"/>
      <c r="D106" s="209"/>
      <c r="E106" s="209"/>
      <c r="F106" s="210"/>
      <c r="G106" s="202"/>
      <c r="H106" s="217"/>
      <c r="I106" s="196"/>
      <c r="J106" s="196"/>
      <c r="K106" s="196"/>
      <c r="L106" s="196"/>
      <c r="M106" s="196"/>
      <c r="N106" s="196"/>
      <c r="O106" s="196"/>
      <c r="P106" s="196"/>
      <c r="Q106" s="196"/>
    </row>
    <row r="107">
      <c r="A107" s="213"/>
      <c r="B107" s="214"/>
      <c r="C107" s="218"/>
      <c r="D107" s="209"/>
      <c r="E107" s="209"/>
      <c r="F107" s="210"/>
      <c r="G107" s="202"/>
      <c r="H107" s="217"/>
      <c r="I107" s="196"/>
      <c r="J107" s="196"/>
      <c r="K107" s="196"/>
      <c r="L107" s="196"/>
      <c r="M107" s="196"/>
      <c r="N107" s="196"/>
      <c r="O107" s="196"/>
      <c r="P107" s="196"/>
      <c r="Q107" s="196"/>
    </row>
    <row r="108">
      <c r="A108" s="213"/>
      <c r="B108" s="214"/>
      <c r="C108" s="215"/>
      <c r="D108" s="209"/>
      <c r="E108" s="209"/>
      <c r="F108" s="210"/>
      <c r="G108" s="202"/>
      <c r="H108" s="217"/>
      <c r="I108" s="196"/>
      <c r="J108" s="196"/>
      <c r="K108" s="196"/>
      <c r="L108" s="196"/>
      <c r="M108" s="196"/>
      <c r="N108" s="196"/>
      <c r="O108" s="196"/>
      <c r="P108" s="196"/>
      <c r="Q108" s="196"/>
    </row>
    <row r="109">
      <c r="A109" s="213"/>
      <c r="B109" s="214"/>
      <c r="C109" s="215"/>
      <c r="D109" s="209"/>
      <c r="E109" s="209"/>
      <c r="F109" s="210"/>
      <c r="G109" s="202"/>
      <c r="H109" s="217"/>
      <c r="I109" s="196"/>
      <c r="J109" s="196"/>
      <c r="K109" s="196"/>
      <c r="L109" s="196"/>
      <c r="M109" s="196"/>
      <c r="N109" s="196"/>
      <c r="O109" s="196"/>
      <c r="P109" s="196"/>
      <c r="Q109" s="196"/>
    </row>
    <row r="110">
      <c r="A110" s="219"/>
      <c r="B110" s="220"/>
      <c r="C110" s="221"/>
      <c r="D110" s="222"/>
      <c r="E110" s="222"/>
      <c r="F110" s="223"/>
      <c r="G110" s="240"/>
      <c r="H110" s="225"/>
      <c r="I110" s="196"/>
      <c r="J110" s="196"/>
      <c r="K110" s="196"/>
      <c r="L110" s="196"/>
      <c r="M110" s="196"/>
      <c r="N110" s="196"/>
      <c r="O110" s="196"/>
      <c r="P110" s="196"/>
      <c r="Q110" s="196"/>
    </row>
    <row r="111">
      <c r="A111" s="219"/>
      <c r="B111" s="220"/>
      <c r="C111" s="221"/>
      <c r="D111" s="222"/>
      <c r="E111" s="222"/>
      <c r="F111" s="223"/>
      <c r="G111" s="240"/>
      <c r="H111" s="225"/>
      <c r="I111" s="196"/>
      <c r="J111" s="196"/>
      <c r="K111" s="196"/>
      <c r="L111" s="196"/>
      <c r="M111" s="196"/>
      <c r="N111" s="196"/>
      <c r="O111" s="196"/>
      <c r="P111" s="196"/>
      <c r="Q111" s="196"/>
    </row>
    <row r="112">
      <c r="A112" s="219"/>
      <c r="B112" s="220"/>
      <c r="C112" s="221"/>
      <c r="D112" s="222"/>
      <c r="E112" s="222"/>
      <c r="F112" s="223"/>
      <c r="G112" s="240"/>
      <c r="H112" s="225"/>
      <c r="I112" s="196"/>
      <c r="J112" s="196"/>
      <c r="K112" s="196"/>
      <c r="L112" s="196"/>
      <c r="M112" s="196"/>
      <c r="N112" s="196"/>
      <c r="O112" s="196"/>
      <c r="P112" s="196"/>
      <c r="Q112" s="196"/>
    </row>
    <row r="113">
      <c r="A113" s="213"/>
      <c r="B113" s="214"/>
      <c r="C113" s="234"/>
      <c r="D113" s="209"/>
      <c r="E113" s="209"/>
      <c r="F113" s="210"/>
      <c r="G113" s="202"/>
      <c r="H113" s="217"/>
      <c r="I113" s="196"/>
      <c r="J113" s="196"/>
      <c r="K113" s="196"/>
      <c r="L113" s="196"/>
      <c r="M113" s="196"/>
      <c r="N113" s="196"/>
      <c r="O113" s="196"/>
      <c r="P113" s="196"/>
      <c r="Q113" s="196"/>
    </row>
    <row r="114">
      <c r="A114" s="213"/>
      <c r="B114" s="214"/>
      <c r="C114" s="234"/>
      <c r="D114" s="209"/>
      <c r="E114" s="209"/>
      <c r="F114" s="210"/>
      <c r="G114" s="202"/>
      <c r="H114" s="217"/>
      <c r="I114" s="196"/>
      <c r="J114" s="196"/>
      <c r="K114" s="196"/>
      <c r="L114" s="196"/>
      <c r="M114" s="196"/>
      <c r="N114" s="196"/>
      <c r="O114" s="196"/>
      <c r="P114" s="196"/>
      <c r="Q114" s="196"/>
    </row>
    <row r="115">
      <c r="A115" s="213"/>
      <c r="B115" s="214"/>
      <c r="C115" s="234"/>
      <c r="D115" s="209"/>
      <c r="E115" s="209"/>
      <c r="F115" s="210"/>
      <c r="G115" s="202"/>
      <c r="H115" s="217"/>
      <c r="I115" s="196"/>
      <c r="J115" s="196"/>
      <c r="K115" s="196"/>
      <c r="L115" s="196"/>
      <c r="M115" s="196"/>
      <c r="N115" s="196"/>
      <c r="O115" s="196"/>
      <c r="P115" s="196"/>
      <c r="Q115" s="196"/>
    </row>
    <row r="116">
      <c r="A116" s="213"/>
      <c r="B116" s="214"/>
      <c r="C116" s="215"/>
      <c r="D116" s="209"/>
      <c r="E116" s="209"/>
      <c r="F116" s="210"/>
      <c r="G116" s="202"/>
      <c r="H116" s="217"/>
      <c r="I116" s="196"/>
      <c r="J116" s="196"/>
      <c r="K116" s="196"/>
      <c r="L116" s="196"/>
      <c r="M116" s="196"/>
      <c r="N116" s="196"/>
      <c r="O116" s="196"/>
      <c r="P116" s="196"/>
      <c r="Q116" s="196"/>
    </row>
    <row r="117">
      <c r="A117" s="213"/>
      <c r="B117" s="214"/>
      <c r="C117" s="218"/>
      <c r="D117" s="209"/>
      <c r="E117" s="209"/>
      <c r="F117" s="210"/>
      <c r="G117" s="202"/>
      <c r="H117" s="217"/>
      <c r="I117" s="196"/>
      <c r="J117" s="196"/>
      <c r="K117" s="196"/>
      <c r="L117" s="196"/>
      <c r="M117" s="196"/>
      <c r="N117" s="196"/>
      <c r="O117" s="196"/>
      <c r="P117" s="196"/>
      <c r="Q117" s="196"/>
    </row>
    <row r="118">
      <c r="A118" s="213"/>
      <c r="B118" s="214"/>
      <c r="C118" s="215"/>
      <c r="D118" s="209"/>
      <c r="E118" s="209"/>
      <c r="F118" s="210"/>
      <c r="G118" s="202"/>
      <c r="H118" s="217"/>
      <c r="I118" s="196"/>
      <c r="J118" s="196"/>
      <c r="K118" s="196"/>
      <c r="L118" s="196"/>
      <c r="M118" s="196"/>
      <c r="N118" s="196"/>
      <c r="O118" s="196"/>
      <c r="P118" s="196"/>
      <c r="Q118" s="196"/>
    </row>
    <row r="119">
      <c r="A119" s="213"/>
      <c r="B119" s="214"/>
      <c r="C119" s="215"/>
      <c r="D119" s="209"/>
      <c r="E119" s="209"/>
      <c r="F119" s="210"/>
      <c r="G119" s="202"/>
      <c r="H119" s="217"/>
      <c r="I119" s="196"/>
      <c r="J119" s="196"/>
      <c r="K119" s="196"/>
      <c r="L119" s="196"/>
      <c r="M119" s="196"/>
      <c r="N119" s="196"/>
      <c r="O119" s="196"/>
      <c r="P119" s="196"/>
      <c r="Q119" s="196"/>
    </row>
    <row r="120">
      <c r="A120" s="213"/>
      <c r="B120" s="214"/>
      <c r="C120" s="218"/>
      <c r="D120" s="209"/>
      <c r="E120" s="209"/>
      <c r="F120" s="210"/>
      <c r="G120" s="202"/>
      <c r="H120" s="217"/>
      <c r="I120" s="196"/>
      <c r="J120" s="196"/>
      <c r="K120" s="196"/>
      <c r="L120" s="196"/>
      <c r="M120" s="196"/>
      <c r="N120" s="196"/>
      <c r="O120" s="196"/>
      <c r="P120" s="196"/>
      <c r="Q120" s="196"/>
    </row>
    <row r="121">
      <c r="A121" s="213"/>
      <c r="B121" s="214"/>
      <c r="C121" s="215"/>
      <c r="D121" s="209"/>
      <c r="E121" s="209"/>
      <c r="F121" s="210"/>
      <c r="G121" s="202"/>
      <c r="H121" s="217"/>
      <c r="I121" s="196"/>
      <c r="J121" s="196"/>
      <c r="K121" s="196"/>
      <c r="L121" s="196"/>
      <c r="M121" s="196"/>
      <c r="N121" s="196"/>
      <c r="O121" s="196"/>
      <c r="P121" s="196"/>
      <c r="Q121" s="196"/>
    </row>
    <row r="122">
      <c r="A122" s="213"/>
      <c r="B122" s="214"/>
      <c r="C122" s="215"/>
      <c r="D122" s="209"/>
      <c r="E122" s="209"/>
      <c r="F122" s="210"/>
      <c r="G122" s="202"/>
      <c r="H122" s="217"/>
      <c r="I122" s="196"/>
      <c r="J122" s="196"/>
      <c r="K122" s="196"/>
      <c r="L122" s="196"/>
      <c r="M122" s="196"/>
      <c r="N122" s="196"/>
      <c r="O122" s="196"/>
      <c r="P122" s="196"/>
      <c r="Q122" s="196"/>
    </row>
    <row r="123">
      <c r="A123" s="213"/>
      <c r="B123" s="214"/>
      <c r="C123" s="218"/>
      <c r="D123" s="209"/>
      <c r="E123" s="209"/>
      <c r="F123" s="210"/>
      <c r="G123" s="202"/>
      <c r="H123" s="217"/>
      <c r="I123" s="196"/>
      <c r="J123" s="196"/>
      <c r="K123" s="196"/>
      <c r="L123" s="196"/>
      <c r="M123" s="196"/>
      <c r="N123" s="196"/>
      <c r="O123" s="196"/>
      <c r="P123" s="196"/>
      <c r="Q123" s="196"/>
    </row>
    <row r="124">
      <c r="A124" s="213"/>
      <c r="B124" s="214"/>
      <c r="C124" s="215"/>
      <c r="D124" s="209"/>
      <c r="E124" s="209"/>
      <c r="F124" s="210"/>
      <c r="G124" s="202"/>
      <c r="H124" s="217"/>
      <c r="I124" s="196"/>
      <c r="J124" s="196"/>
      <c r="K124" s="196"/>
      <c r="L124" s="196"/>
      <c r="M124" s="196"/>
      <c r="N124" s="196"/>
      <c r="O124" s="196"/>
      <c r="P124" s="196"/>
      <c r="Q124" s="196"/>
    </row>
    <row r="125">
      <c r="A125" s="213"/>
      <c r="B125" s="214"/>
      <c r="C125" s="215"/>
      <c r="D125" s="209"/>
      <c r="E125" s="209"/>
      <c r="F125" s="210"/>
      <c r="G125" s="202"/>
      <c r="H125" s="217"/>
      <c r="I125" s="196"/>
      <c r="J125" s="196"/>
      <c r="K125" s="196"/>
      <c r="L125" s="196"/>
      <c r="M125" s="196"/>
      <c r="N125" s="196"/>
      <c r="O125" s="196"/>
      <c r="P125" s="196"/>
      <c r="Q125" s="196"/>
    </row>
    <row r="126">
      <c r="A126" s="213"/>
      <c r="B126" s="214"/>
      <c r="C126" s="218"/>
      <c r="D126" s="209"/>
      <c r="E126" s="209"/>
      <c r="F126" s="210"/>
      <c r="G126" s="202"/>
      <c r="H126" s="217"/>
      <c r="I126" s="196"/>
      <c r="J126" s="196"/>
      <c r="K126" s="196"/>
      <c r="L126" s="196"/>
      <c r="M126" s="196"/>
      <c r="N126" s="196"/>
      <c r="O126" s="196"/>
      <c r="P126" s="196"/>
      <c r="Q126" s="196"/>
    </row>
    <row r="127">
      <c r="A127" s="213"/>
      <c r="B127" s="214"/>
      <c r="C127" s="218"/>
      <c r="D127" s="209"/>
      <c r="E127" s="209"/>
      <c r="F127" s="210"/>
      <c r="G127" s="202"/>
      <c r="H127" s="217"/>
      <c r="I127" s="196"/>
      <c r="J127" s="196"/>
      <c r="K127" s="196"/>
      <c r="L127" s="196"/>
      <c r="M127" s="196"/>
      <c r="N127" s="196"/>
      <c r="O127" s="196"/>
      <c r="P127" s="196"/>
      <c r="Q127" s="196"/>
    </row>
    <row r="128">
      <c r="A128" s="213"/>
      <c r="B128" s="214"/>
      <c r="C128" s="215"/>
      <c r="D128" s="209"/>
      <c r="E128" s="209"/>
      <c r="F128" s="210"/>
      <c r="G128" s="202"/>
      <c r="H128" s="217"/>
      <c r="I128" s="196"/>
      <c r="J128" s="196"/>
      <c r="K128" s="196"/>
      <c r="L128" s="196"/>
      <c r="M128" s="196"/>
      <c r="N128" s="196"/>
      <c r="O128" s="196"/>
      <c r="P128" s="196"/>
      <c r="Q128" s="196"/>
    </row>
    <row r="129">
      <c r="A129" s="213"/>
      <c r="B129" s="214"/>
      <c r="C129" s="218"/>
      <c r="D129" s="209"/>
      <c r="E129" s="209"/>
      <c r="F129" s="210"/>
      <c r="G129" s="202"/>
      <c r="H129" s="217"/>
      <c r="I129" s="196"/>
      <c r="J129" s="196"/>
      <c r="K129" s="196"/>
      <c r="L129" s="196"/>
      <c r="M129" s="196"/>
      <c r="N129" s="196"/>
      <c r="O129" s="196"/>
      <c r="P129" s="196"/>
      <c r="Q129" s="196"/>
    </row>
    <row r="130">
      <c r="A130" s="213"/>
      <c r="B130" s="214"/>
      <c r="C130" s="215"/>
      <c r="D130" s="209"/>
      <c r="E130" s="209"/>
      <c r="F130" s="210"/>
      <c r="G130" s="202"/>
      <c r="H130" s="217"/>
      <c r="I130" s="196"/>
      <c r="J130" s="196"/>
      <c r="K130" s="196"/>
      <c r="L130" s="196"/>
      <c r="M130" s="196"/>
      <c r="N130" s="196"/>
      <c r="O130" s="196"/>
      <c r="P130" s="196"/>
      <c r="Q130" s="196"/>
    </row>
    <row r="131">
      <c r="A131" s="213"/>
      <c r="B131" s="214"/>
      <c r="C131" s="218"/>
      <c r="D131" s="209"/>
      <c r="E131" s="209"/>
      <c r="F131" s="210"/>
      <c r="G131" s="202"/>
      <c r="H131" s="217"/>
      <c r="I131" s="196"/>
      <c r="J131" s="196"/>
      <c r="K131" s="196"/>
      <c r="L131" s="196"/>
      <c r="M131" s="196"/>
      <c r="N131" s="196"/>
      <c r="O131" s="196"/>
      <c r="P131" s="196"/>
      <c r="Q131" s="196"/>
    </row>
    <row r="132">
      <c r="A132" s="213"/>
      <c r="B132" s="214"/>
      <c r="C132" s="215"/>
      <c r="D132" s="209"/>
      <c r="E132" s="209"/>
      <c r="F132" s="210"/>
      <c r="G132" s="202"/>
      <c r="H132" s="217"/>
      <c r="I132" s="196"/>
      <c r="J132" s="196"/>
      <c r="K132" s="196"/>
      <c r="L132" s="196"/>
      <c r="M132" s="196"/>
      <c r="N132" s="196"/>
      <c r="O132" s="196"/>
      <c r="P132" s="196"/>
      <c r="Q132" s="196"/>
    </row>
    <row r="133">
      <c r="A133" s="213"/>
      <c r="B133" s="214"/>
      <c r="C133" s="218"/>
      <c r="D133" s="209"/>
      <c r="E133" s="209"/>
      <c r="F133" s="210"/>
      <c r="G133" s="202"/>
      <c r="H133" s="217"/>
      <c r="I133" s="196"/>
      <c r="J133" s="196"/>
      <c r="K133" s="196"/>
      <c r="L133" s="196"/>
      <c r="M133" s="196"/>
      <c r="N133" s="196"/>
      <c r="O133" s="196"/>
      <c r="P133" s="196"/>
      <c r="Q133" s="196"/>
    </row>
    <row r="134">
      <c r="A134" s="219"/>
      <c r="B134" s="220"/>
      <c r="C134" s="221"/>
      <c r="D134" s="222"/>
      <c r="E134" s="222"/>
      <c r="F134" s="241"/>
      <c r="G134" s="240"/>
      <c r="H134" s="225"/>
      <c r="I134" s="196"/>
      <c r="J134" s="196"/>
      <c r="K134" s="196"/>
      <c r="L134" s="196"/>
      <c r="M134" s="196"/>
      <c r="N134" s="196"/>
      <c r="O134" s="196"/>
      <c r="P134" s="196"/>
      <c r="Q134" s="196"/>
    </row>
    <row r="135">
      <c r="A135" s="213"/>
      <c r="B135" s="214"/>
      <c r="C135" s="218"/>
      <c r="D135" s="209"/>
      <c r="E135" s="209"/>
      <c r="F135" s="210"/>
      <c r="G135" s="202"/>
      <c r="H135" s="217"/>
      <c r="I135" s="196"/>
      <c r="J135" s="196"/>
      <c r="K135" s="196"/>
      <c r="L135" s="196"/>
      <c r="M135" s="196"/>
      <c r="N135" s="196"/>
      <c r="O135" s="196"/>
      <c r="P135" s="196"/>
      <c r="Q135" s="196"/>
    </row>
    <row r="136">
      <c r="A136" s="213"/>
      <c r="B136" s="214"/>
      <c r="C136" s="215"/>
      <c r="D136" s="209"/>
      <c r="E136" s="209"/>
      <c r="F136" s="210"/>
      <c r="G136" s="202"/>
      <c r="H136" s="217"/>
      <c r="I136" s="196"/>
      <c r="J136" s="196"/>
      <c r="K136" s="196"/>
      <c r="L136" s="196"/>
      <c r="M136" s="196"/>
      <c r="N136" s="196"/>
      <c r="O136" s="196"/>
      <c r="P136" s="196"/>
      <c r="Q136" s="196"/>
    </row>
    <row r="137">
      <c r="A137" s="213"/>
      <c r="B137" s="214"/>
      <c r="C137" s="215"/>
      <c r="D137" s="209"/>
      <c r="E137" s="209"/>
      <c r="F137" s="210"/>
      <c r="G137" s="202"/>
      <c r="H137" s="217"/>
      <c r="I137" s="196"/>
      <c r="J137" s="196"/>
      <c r="K137" s="196"/>
      <c r="L137" s="196"/>
      <c r="M137" s="196"/>
      <c r="N137" s="196"/>
      <c r="O137" s="196"/>
      <c r="P137" s="196"/>
      <c r="Q137" s="196"/>
    </row>
    <row r="138">
      <c r="A138" s="213"/>
      <c r="B138" s="214"/>
      <c r="C138" s="218"/>
      <c r="D138" s="209"/>
      <c r="E138" s="209"/>
      <c r="F138" s="210"/>
      <c r="G138" s="202"/>
      <c r="H138" s="217"/>
      <c r="I138" s="196"/>
      <c r="J138" s="196"/>
      <c r="K138" s="196"/>
      <c r="L138" s="196"/>
      <c r="M138" s="196"/>
      <c r="N138" s="196"/>
      <c r="O138" s="196"/>
      <c r="P138" s="196"/>
      <c r="Q138" s="196"/>
    </row>
    <row r="139">
      <c r="A139" s="213"/>
      <c r="B139" s="214"/>
      <c r="C139" s="218"/>
      <c r="D139" s="209"/>
      <c r="E139" s="209"/>
      <c r="F139" s="210"/>
      <c r="G139" s="202"/>
      <c r="H139" s="217"/>
      <c r="I139" s="196"/>
      <c r="J139" s="196"/>
      <c r="K139" s="196"/>
      <c r="L139" s="196"/>
      <c r="M139" s="196"/>
      <c r="N139" s="196"/>
      <c r="O139" s="196"/>
      <c r="P139" s="196"/>
      <c r="Q139" s="196"/>
    </row>
    <row r="140">
      <c r="A140" s="213"/>
      <c r="B140" s="214"/>
      <c r="C140" s="215"/>
      <c r="D140" s="209"/>
      <c r="E140" s="209"/>
      <c r="F140" s="210"/>
      <c r="G140" s="202"/>
      <c r="H140" s="217"/>
      <c r="I140" s="196"/>
      <c r="J140" s="196"/>
      <c r="K140" s="196"/>
      <c r="L140" s="196"/>
      <c r="M140" s="196"/>
      <c r="N140" s="196"/>
      <c r="O140" s="196"/>
      <c r="P140" s="196"/>
      <c r="Q140" s="196"/>
    </row>
    <row r="141">
      <c r="A141" s="213"/>
      <c r="B141" s="214"/>
      <c r="C141" s="215"/>
      <c r="D141" s="209"/>
      <c r="E141" s="209"/>
      <c r="F141" s="210"/>
      <c r="G141" s="202"/>
      <c r="H141" s="217"/>
      <c r="I141" s="196"/>
      <c r="J141" s="196"/>
      <c r="K141" s="196"/>
      <c r="L141" s="196"/>
      <c r="M141" s="196"/>
      <c r="N141" s="196"/>
      <c r="O141" s="196"/>
      <c r="P141" s="196"/>
      <c r="Q141" s="196"/>
    </row>
    <row r="142">
      <c r="A142" s="213"/>
      <c r="B142" s="214"/>
      <c r="C142" s="218"/>
      <c r="D142" s="209"/>
      <c r="E142" s="209"/>
      <c r="F142" s="210"/>
      <c r="G142" s="202"/>
      <c r="H142" s="217"/>
      <c r="I142" s="196"/>
      <c r="J142" s="196"/>
      <c r="K142" s="196"/>
      <c r="L142" s="196"/>
      <c r="M142" s="196"/>
      <c r="N142" s="196"/>
      <c r="O142" s="196"/>
      <c r="P142" s="196"/>
      <c r="Q142" s="196"/>
    </row>
    <row r="143">
      <c r="A143" s="213"/>
      <c r="B143" s="214"/>
      <c r="C143" s="215"/>
      <c r="D143" s="209"/>
      <c r="E143" s="209"/>
      <c r="F143" s="210"/>
      <c r="G143" s="202"/>
      <c r="H143" s="217"/>
      <c r="I143" s="196"/>
      <c r="J143" s="196"/>
      <c r="K143" s="196"/>
      <c r="L143" s="196"/>
      <c r="M143" s="196"/>
      <c r="N143" s="196"/>
      <c r="O143" s="196"/>
      <c r="P143" s="196"/>
      <c r="Q143" s="196"/>
    </row>
    <row r="144">
      <c r="A144" s="213"/>
      <c r="B144" s="214"/>
      <c r="C144" s="218"/>
      <c r="D144" s="209"/>
      <c r="E144" s="209"/>
      <c r="F144" s="210"/>
      <c r="G144" s="202"/>
      <c r="H144" s="217"/>
      <c r="I144" s="196"/>
      <c r="J144" s="196"/>
      <c r="K144" s="196"/>
      <c r="L144" s="196"/>
      <c r="M144" s="196"/>
      <c r="N144" s="196"/>
      <c r="O144" s="196"/>
      <c r="P144" s="196"/>
      <c r="Q144" s="196"/>
    </row>
    <row r="145">
      <c r="A145" s="213"/>
      <c r="B145" s="214"/>
      <c r="C145" s="215"/>
      <c r="D145" s="209"/>
      <c r="E145" s="209"/>
      <c r="F145" s="210"/>
      <c r="G145" s="202"/>
      <c r="H145" s="217"/>
      <c r="I145" s="196"/>
      <c r="J145" s="196"/>
      <c r="K145" s="196"/>
      <c r="L145" s="196"/>
      <c r="M145" s="196"/>
      <c r="N145" s="196"/>
      <c r="O145" s="196"/>
      <c r="P145" s="196"/>
      <c r="Q145" s="196"/>
    </row>
    <row r="146">
      <c r="A146" s="213"/>
      <c r="B146" s="214"/>
      <c r="C146" s="215"/>
      <c r="D146" s="209"/>
      <c r="E146" s="209"/>
      <c r="F146" s="210"/>
      <c r="G146" s="202"/>
      <c r="H146" s="217"/>
      <c r="I146" s="196"/>
      <c r="J146" s="196"/>
      <c r="K146" s="196"/>
      <c r="L146" s="196"/>
      <c r="M146" s="196"/>
      <c r="N146" s="196"/>
      <c r="O146" s="196"/>
      <c r="P146" s="196"/>
      <c r="Q146" s="196"/>
    </row>
    <row r="147">
      <c r="A147" s="213"/>
      <c r="B147" s="214"/>
      <c r="C147" s="218"/>
      <c r="D147" s="209"/>
      <c r="E147" s="209"/>
      <c r="F147" s="210"/>
      <c r="G147" s="202"/>
      <c r="H147" s="217"/>
      <c r="I147" s="196"/>
      <c r="J147" s="196"/>
      <c r="K147" s="196"/>
      <c r="L147" s="196"/>
      <c r="M147" s="196"/>
      <c r="N147" s="196"/>
      <c r="O147" s="196"/>
      <c r="P147" s="196"/>
      <c r="Q147" s="196"/>
    </row>
    <row r="148">
      <c r="A148" s="213"/>
      <c r="B148" s="214"/>
      <c r="C148" s="215"/>
      <c r="D148" s="209"/>
      <c r="E148" s="209"/>
      <c r="F148" s="210"/>
      <c r="G148" s="202"/>
      <c r="H148" s="217"/>
      <c r="I148" s="196"/>
      <c r="J148" s="196"/>
      <c r="K148" s="196"/>
      <c r="L148" s="196"/>
      <c r="M148" s="196"/>
      <c r="N148" s="196"/>
      <c r="O148" s="196"/>
      <c r="P148" s="196"/>
      <c r="Q148" s="196"/>
    </row>
    <row r="149">
      <c r="A149" s="213"/>
      <c r="B149" s="214"/>
      <c r="C149" s="215"/>
      <c r="D149" s="209"/>
      <c r="E149" s="209"/>
      <c r="F149" s="210"/>
      <c r="G149" s="202"/>
      <c r="H149" s="217"/>
      <c r="I149" s="196"/>
      <c r="J149" s="196"/>
      <c r="K149" s="196"/>
      <c r="L149" s="196"/>
      <c r="M149" s="196"/>
      <c r="N149" s="196"/>
      <c r="O149" s="196"/>
      <c r="P149" s="196"/>
      <c r="Q149" s="196"/>
    </row>
    <row r="150">
      <c r="A150" s="213"/>
      <c r="B150" s="214"/>
      <c r="C150" s="218"/>
      <c r="D150" s="209"/>
      <c r="E150" s="209"/>
      <c r="F150" s="210"/>
      <c r="G150" s="202"/>
      <c r="H150" s="217"/>
      <c r="I150" s="196"/>
      <c r="J150" s="196"/>
      <c r="K150" s="196"/>
      <c r="L150" s="196"/>
      <c r="M150" s="196"/>
      <c r="N150" s="196"/>
      <c r="O150" s="196"/>
      <c r="P150" s="196"/>
      <c r="Q150" s="196"/>
    </row>
    <row r="151">
      <c r="A151" s="213"/>
      <c r="B151" s="214"/>
      <c r="C151" s="215"/>
      <c r="D151" s="209"/>
      <c r="E151" s="209"/>
      <c r="F151" s="210"/>
      <c r="G151" s="202"/>
      <c r="H151" s="217"/>
      <c r="I151" s="196"/>
      <c r="J151" s="196"/>
      <c r="K151" s="196"/>
      <c r="L151" s="196"/>
      <c r="M151" s="196"/>
      <c r="N151" s="196"/>
      <c r="O151" s="196"/>
      <c r="P151" s="196"/>
      <c r="Q151" s="196"/>
    </row>
    <row r="152">
      <c r="A152" s="213"/>
      <c r="B152" s="214"/>
      <c r="C152" s="218"/>
      <c r="D152" s="209"/>
      <c r="E152" s="209"/>
      <c r="F152" s="210"/>
      <c r="G152" s="202"/>
      <c r="H152" s="217"/>
      <c r="I152" s="196"/>
      <c r="J152" s="196"/>
      <c r="K152" s="196"/>
      <c r="L152" s="196"/>
      <c r="M152" s="196"/>
      <c r="N152" s="196"/>
      <c r="O152" s="196"/>
      <c r="P152" s="196"/>
      <c r="Q152" s="196"/>
    </row>
    <row r="153">
      <c r="A153" s="213"/>
      <c r="B153" s="214"/>
      <c r="C153" s="218"/>
      <c r="D153" s="209"/>
      <c r="E153" s="209"/>
      <c r="F153" s="210"/>
      <c r="G153" s="202"/>
      <c r="H153" s="217"/>
      <c r="I153" s="196"/>
      <c r="J153" s="196"/>
      <c r="K153" s="196"/>
      <c r="L153" s="196"/>
      <c r="M153" s="196"/>
      <c r="N153" s="196"/>
      <c r="O153" s="196"/>
      <c r="P153" s="196"/>
      <c r="Q153" s="196"/>
    </row>
    <row r="154">
      <c r="A154" s="213"/>
      <c r="B154" s="214"/>
      <c r="C154" s="215"/>
      <c r="D154" s="209"/>
      <c r="E154" s="209"/>
      <c r="F154" s="210"/>
      <c r="G154" s="202"/>
      <c r="H154" s="217"/>
      <c r="I154" s="196"/>
      <c r="J154" s="196"/>
      <c r="K154" s="196"/>
      <c r="L154" s="196"/>
      <c r="M154" s="196"/>
      <c r="N154" s="196"/>
      <c r="O154" s="196"/>
      <c r="P154" s="196"/>
      <c r="Q154" s="196"/>
    </row>
    <row r="155">
      <c r="A155" s="213"/>
      <c r="B155" s="214"/>
      <c r="C155" s="215"/>
      <c r="D155" s="209"/>
      <c r="E155" s="209"/>
      <c r="F155" s="210"/>
      <c r="G155" s="202"/>
      <c r="H155" s="217"/>
      <c r="I155" s="196"/>
      <c r="J155" s="196"/>
      <c r="K155" s="196"/>
      <c r="L155" s="196"/>
      <c r="M155" s="196"/>
      <c r="N155" s="196"/>
      <c r="O155" s="196"/>
      <c r="P155" s="196"/>
      <c r="Q155" s="196"/>
    </row>
    <row r="156">
      <c r="A156" s="213"/>
      <c r="B156" s="214"/>
      <c r="C156" s="215"/>
      <c r="D156" s="209"/>
      <c r="E156" s="209"/>
      <c r="F156" s="210"/>
      <c r="G156" s="202"/>
      <c r="H156" s="217"/>
      <c r="I156" s="196"/>
      <c r="J156" s="196"/>
      <c r="K156" s="196"/>
      <c r="L156" s="196"/>
      <c r="M156" s="196"/>
      <c r="N156" s="196"/>
      <c r="O156" s="196"/>
      <c r="P156" s="196"/>
      <c r="Q156" s="196"/>
    </row>
    <row r="157">
      <c r="A157" s="213"/>
      <c r="B157" s="214"/>
      <c r="C157" s="215"/>
      <c r="D157" s="209"/>
      <c r="E157" s="209"/>
      <c r="F157" s="210"/>
      <c r="G157" s="202"/>
      <c r="H157" s="217"/>
      <c r="I157" s="196"/>
      <c r="J157" s="196"/>
      <c r="K157" s="196"/>
      <c r="L157" s="196"/>
      <c r="M157" s="196"/>
      <c r="N157" s="196"/>
      <c r="O157" s="196"/>
      <c r="P157" s="196"/>
      <c r="Q157" s="196"/>
    </row>
    <row r="158">
      <c r="A158" s="213"/>
      <c r="B158" s="214"/>
      <c r="C158" s="215"/>
      <c r="D158" s="209"/>
      <c r="E158" s="209"/>
      <c r="F158" s="210"/>
      <c r="G158" s="202"/>
      <c r="H158" s="217"/>
      <c r="I158" s="196"/>
      <c r="J158" s="196"/>
      <c r="K158" s="196"/>
      <c r="L158" s="196"/>
      <c r="M158" s="196"/>
      <c r="N158" s="196"/>
      <c r="O158" s="196"/>
      <c r="P158" s="196"/>
      <c r="Q158" s="196"/>
    </row>
    <row r="159">
      <c r="A159" s="213"/>
      <c r="B159" s="214"/>
      <c r="C159" s="215"/>
      <c r="D159" s="209"/>
      <c r="E159" s="209"/>
      <c r="F159" s="210"/>
      <c r="G159" s="202"/>
      <c r="H159" s="217"/>
      <c r="I159" s="196"/>
      <c r="J159" s="196"/>
      <c r="K159" s="196"/>
      <c r="L159" s="196"/>
      <c r="M159" s="196"/>
      <c r="N159" s="196"/>
      <c r="O159" s="196"/>
      <c r="P159" s="196"/>
      <c r="Q159" s="196"/>
    </row>
    <row r="160">
      <c r="A160" s="213"/>
      <c r="B160" s="214"/>
      <c r="C160" s="218"/>
      <c r="D160" s="209"/>
      <c r="E160" s="209"/>
      <c r="F160" s="210"/>
      <c r="G160" s="202"/>
      <c r="H160" s="217"/>
      <c r="I160" s="196"/>
      <c r="J160" s="196"/>
      <c r="K160" s="196"/>
      <c r="L160" s="196"/>
      <c r="M160" s="196"/>
      <c r="N160" s="196"/>
      <c r="O160" s="196"/>
      <c r="P160" s="196"/>
      <c r="Q160" s="196"/>
    </row>
    <row r="161">
      <c r="A161" s="213"/>
      <c r="B161" s="214"/>
      <c r="C161" s="215"/>
      <c r="D161" s="209"/>
      <c r="E161" s="209"/>
      <c r="F161" s="210"/>
      <c r="G161" s="202"/>
      <c r="H161" s="217"/>
      <c r="I161" s="196"/>
      <c r="J161" s="196"/>
      <c r="K161" s="196"/>
      <c r="L161" s="196"/>
      <c r="M161" s="196"/>
      <c r="N161" s="196"/>
      <c r="O161" s="196"/>
      <c r="P161" s="196"/>
      <c r="Q161" s="196"/>
    </row>
    <row r="162">
      <c r="A162" s="213"/>
      <c r="B162" s="214"/>
      <c r="C162" s="218"/>
      <c r="D162" s="209"/>
      <c r="E162" s="209"/>
      <c r="F162" s="210"/>
      <c r="G162" s="202"/>
      <c r="H162" s="217"/>
      <c r="I162" s="196"/>
      <c r="J162" s="196"/>
      <c r="K162" s="196"/>
      <c r="L162" s="196"/>
      <c r="M162" s="196"/>
      <c r="N162" s="196"/>
      <c r="O162" s="196"/>
      <c r="P162" s="196"/>
      <c r="Q162" s="196"/>
    </row>
    <row r="163">
      <c r="A163" s="213"/>
      <c r="B163" s="214"/>
      <c r="C163" s="215"/>
      <c r="D163" s="209"/>
      <c r="E163" s="209"/>
      <c r="F163" s="210"/>
      <c r="G163" s="202"/>
      <c r="H163" s="217"/>
      <c r="I163" s="196"/>
      <c r="J163" s="196"/>
      <c r="K163" s="196"/>
      <c r="L163" s="196"/>
      <c r="M163" s="196"/>
      <c r="N163" s="196"/>
      <c r="O163" s="196"/>
      <c r="P163" s="196"/>
      <c r="Q163" s="196"/>
    </row>
    <row r="164">
      <c r="A164" s="213"/>
      <c r="B164" s="214"/>
      <c r="C164" s="215"/>
      <c r="D164" s="209"/>
      <c r="E164" s="209"/>
      <c r="F164" s="210"/>
      <c r="G164" s="202"/>
      <c r="H164" s="217"/>
      <c r="I164" s="196"/>
      <c r="J164" s="196"/>
      <c r="K164" s="196"/>
      <c r="L164" s="196"/>
      <c r="M164" s="196"/>
      <c r="N164" s="196"/>
      <c r="O164" s="196"/>
      <c r="P164" s="196"/>
      <c r="Q164" s="196"/>
    </row>
    <row r="165">
      <c r="A165" s="213"/>
      <c r="B165" s="214"/>
      <c r="C165" s="218"/>
      <c r="D165" s="209"/>
      <c r="E165" s="209"/>
      <c r="F165" s="210"/>
      <c r="G165" s="202"/>
      <c r="H165" s="217"/>
      <c r="I165" s="196"/>
      <c r="J165" s="196"/>
      <c r="K165" s="196"/>
      <c r="L165" s="196"/>
      <c r="M165" s="196"/>
      <c r="N165" s="196"/>
      <c r="O165" s="196"/>
      <c r="P165" s="196"/>
      <c r="Q165" s="196"/>
    </row>
    <row r="166">
      <c r="A166" s="213"/>
      <c r="B166" s="214"/>
      <c r="C166" s="215"/>
      <c r="D166" s="209"/>
      <c r="E166" s="209"/>
      <c r="F166" s="210"/>
      <c r="G166" s="202"/>
      <c r="H166" s="217"/>
      <c r="I166" s="196"/>
      <c r="J166" s="196"/>
      <c r="K166" s="196"/>
      <c r="L166" s="196"/>
      <c r="M166" s="196"/>
      <c r="N166" s="196"/>
      <c r="O166" s="196"/>
      <c r="P166" s="196"/>
      <c r="Q166" s="196"/>
    </row>
    <row r="167">
      <c r="A167" s="213"/>
      <c r="B167" s="214"/>
      <c r="C167" s="218"/>
      <c r="D167" s="209"/>
      <c r="E167" s="209"/>
      <c r="F167" s="210"/>
      <c r="G167" s="202"/>
      <c r="H167" s="217"/>
      <c r="I167" s="196"/>
      <c r="J167" s="196"/>
      <c r="K167" s="196"/>
      <c r="L167" s="196"/>
      <c r="M167" s="196"/>
      <c r="N167" s="196"/>
      <c r="O167" s="196"/>
      <c r="P167" s="196"/>
      <c r="Q167" s="196"/>
    </row>
    <row r="168">
      <c r="A168" s="213"/>
      <c r="B168" s="214"/>
      <c r="C168" s="218"/>
      <c r="D168" s="209"/>
      <c r="E168" s="209"/>
      <c r="F168" s="210"/>
      <c r="G168" s="202"/>
      <c r="H168" s="217"/>
      <c r="I168" s="196"/>
      <c r="J168" s="196"/>
      <c r="K168" s="196"/>
      <c r="L168" s="196"/>
      <c r="M168" s="196"/>
      <c r="N168" s="196"/>
      <c r="O168" s="196"/>
      <c r="P168" s="196"/>
      <c r="Q168" s="196"/>
    </row>
    <row r="169">
      <c r="A169" s="213"/>
      <c r="B169" s="214"/>
      <c r="C169" s="218"/>
      <c r="D169" s="209"/>
      <c r="E169" s="209"/>
      <c r="F169" s="210"/>
      <c r="G169" s="202"/>
      <c r="H169" s="217"/>
      <c r="I169" s="196"/>
      <c r="J169" s="196"/>
      <c r="K169" s="196"/>
      <c r="L169" s="196"/>
      <c r="M169" s="196"/>
      <c r="N169" s="196"/>
      <c r="O169" s="196"/>
      <c r="P169" s="196"/>
      <c r="Q169" s="196"/>
    </row>
    <row r="170">
      <c r="A170" s="213"/>
      <c r="B170" s="214"/>
      <c r="C170" s="215"/>
      <c r="D170" s="209"/>
      <c r="E170" s="209"/>
      <c r="F170" s="210"/>
      <c r="G170" s="202"/>
      <c r="H170" s="217"/>
      <c r="I170" s="196"/>
      <c r="J170" s="196"/>
      <c r="K170" s="196"/>
      <c r="L170" s="196"/>
      <c r="M170" s="196"/>
      <c r="N170" s="196"/>
      <c r="O170" s="196"/>
      <c r="P170" s="196"/>
      <c r="Q170" s="196"/>
    </row>
    <row r="171">
      <c r="A171" s="213"/>
      <c r="B171" s="214"/>
      <c r="C171" s="218"/>
      <c r="D171" s="209"/>
      <c r="E171" s="209"/>
      <c r="F171" s="210"/>
      <c r="G171" s="202"/>
      <c r="H171" s="217"/>
      <c r="I171" s="196"/>
      <c r="J171" s="196"/>
      <c r="K171" s="196"/>
      <c r="L171" s="196"/>
      <c r="M171" s="196"/>
      <c r="N171" s="196"/>
      <c r="O171" s="196"/>
      <c r="P171" s="196"/>
      <c r="Q171" s="196"/>
    </row>
    <row r="172">
      <c r="A172" s="213"/>
      <c r="B172" s="214"/>
      <c r="C172" s="215"/>
      <c r="D172" s="209"/>
      <c r="E172" s="209"/>
      <c r="F172" s="210"/>
      <c r="G172" s="202"/>
      <c r="H172" s="217"/>
      <c r="I172" s="196"/>
      <c r="J172" s="196"/>
      <c r="K172" s="196"/>
      <c r="L172" s="196"/>
      <c r="M172" s="196"/>
      <c r="N172" s="196"/>
      <c r="O172" s="196"/>
      <c r="P172" s="196"/>
      <c r="Q172" s="196"/>
    </row>
    <row r="173">
      <c r="A173" s="213"/>
      <c r="B173" s="214"/>
      <c r="C173" s="218"/>
      <c r="D173" s="209"/>
      <c r="E173" s="209"/>
      <c r="F173" s="210"/>
      <c r="G173" s="202"/>
      <c r="H173" s="217"/>
      <c r="I173" s="196"/>
      <c r="J173" s="196"/>
      <c r="K173" s="196"/>
      <c r="L173" s="196"/>
      <c r="M173" s="196"/>
      <c r="N173" s="196"/>
      <c r="O173" s="196"/>
      <c r="P173" s="196"/>
      <c r="Q173" s="196"/>
    </row>
    <row r="174">
      <c r="A174" s="213"/>
      <c r="B174" s="214"/>
      <c r="C174" s="218"/>
      <c r="D174" s="209"/>
      <c r="E174" s="209"/>
      <c r="F174" s="210"/>
      <c r="G174" s="202"/>
      <c r="H174" s="217"/>
      <c r="I174" s="196"/>
      <c r="J174" s="196"/>
      <c r="K174" s="196"/>
      <c r="L174" s="196"/>
      <c r="M174" s="196"/>
      <c r="N174" s="196"/>
      <c r="O174" s="196"/>
      <c r="P174" s="196"/>
      <c r="Q174" s="196"/>
    </row>
    <row r="175">
      <c r="A175" s="213"/>
      <c r="B175" s="214"/>
      <c r="C175" s="215"/>
      <c r="D175" s="209"/>
      <c r="E175" s="209"/>
      <c r="F175" s="210"/>
      <c r="G175" s="202"/>
      <c r="H175" s="217"/>
      <c r="I175" s="196"/>
      <c r="J175" s="196"/>
      <c r="K175" s="196"/>
      <c r="L175" s="196"/>
      <c r="M175" s="196"/>
      <c r="N175" s="196"/>
      <c r="O175" s="196"/>
      <c r="P175" s="196"/>
      <c r="Q175" s="196"/>
    </row>
    <row r="176">
      <c r="A176" s="213"/>
      <c r="B176" s="214"/>
      <c r="C176" s="218"/>
      <c r="D176" s="209"/>
      <c r="E176" s="209"/>
      <c r="F176" s="210"/>
      <c r="G176" s="202"/>
      <c r="H176" s="217"/>
      <c r="I176" s="196"/>
      <c r="J176" s="196"/>
      <c r="K176" s="196"/>
      <c r="L176" s="196"/>
      <c r="M176" s="196"/>
      <c r="N176" s="196"/>
      <c r="O176" s="196"/>
      <c r="P176" s="196"/>
      <c r="Q176" s="196"/>
    </row>
    <row r="177">
      <c r="A177" s="213"/>
      <c r="B177" s="214"/>
      <c r="C177" s="215"/>
      <c r="D177" s="209"/>
      <c r="E177" s="209"/>
      <c r="F177" s="210"/>
      <c r="G177" s="202"/>
      <c r="H177" s="217"/>
      <c r="I177" s="196"/>
      <c r="J177" s="196"/>
      <c r="K177" s="196"/>
      <c r="L177" s="196"/>
      <c r="M177" s="196"/>
      <c r="N177" s="196"/>
      <c r="O177" s="196"/>
      <c r="P177" s="196"/>
      <c r="Q177" s="196"/>
    </row>
    <row r="178">
      <c r="A178" s="213"/>
      <c r="B178" s="214"/>
      <c r="C178" s="218"/>
      <c r="D178" s="209"/>
      <c r="E178" s="209"/>
      <c r="F178" s="210"/>
      <c r="G178" s="202"/>
      <c r="H178" s="217"/>
      <c r="I178" s="196"/>
      <c r="J178" s="196"/>
      <c r="K178" s="196"/>
      <c r="L178" s="196"/>
      <c r="M178" s="196"/>
      <c r="N178" s="196"/>
      <c r="O178" s="196"/>
      <c r="P178" s="196"/>
      <c r="Q178" s="196"/>
    </row>
    <row r="179">
      <c r="A179" s="213"/>
      <c r="B179" s="214"/>
      <c r="C179" s="218"/>
      <c r="D179" s="209"/>
      <c r="E179" s="209"/>
      <c r="F179" s="210"/>
      <c r="G179" s="202"/>
      <c r="H179" s="217"/>
      <c r="I179" s="196"/>
      <c r="J179" s="196"/>
      <c r="K179" s="196"/>
      <c r="L179" s="196"/>
      <c r="M179" s="196"/>
      <c r="N179" s="196"/>
      <c r="O179" s="196"/>
      <c r="P179" s="196"/>
      <c r="Q179" s="196"/>
    </row>
    <row r="180">
      <c r="A180" s="213"/>
      <c r="B180" s="214"/>
      <c r="C180" s="215"/>
      <c r="D180" s="209"/>
      <c r="E180" s="209"/>
      <c r="F180" s="210"/>
      <c r="G180" s="202"/>
      <c r="H180" s="217"/>
      <c r="I180" s="196"/>
      <c r="J180" s="196"/>
      <c r="K180" s="196"/>
      <c r="L180" s="196"/>
      <c r="M180" s="196"/>
      <c r="N180" s="196"/>
      <c r="O180" s="196"/>
      <c r="P180" s="196"/>
      <c r="Q180" s="196"/>
    </row>
    <row r="181">
      <c r="A181" s="213"/>
      <c r="B181" s="214"/>
      <c r="C181" s="218"/>
      <c r="D181" s="209"/>
      <c r="E181" s="209"/>
      <c r="F181" s="210"/>
      <c r="G181" s="202"/>
      <c r="H181" s="217"/>
      <c r="I181" s="196"/>
      <c r="J181" s="196"/>
      <c r="K181" s="196"/>
      <c r="L181" s="196"/>
      <c r="M181" s="196"/>
      <c r="N181" s="196"/>
      <c r="O181" s="196"/>
      <c r="P181" s="196"/>
      <c r="Q181" s="196"/>
    </row>
    <row r="182">
      <c r="A182" s="213"/>
      <c r="B182" s="214"/>
      <c r="C182" s="215"/>
      <c r="D182" s="209"/>
      <c r="E182" s="209"/>
      <c r="F182" s="210"/>
      <c r="G182" s="202"/>
      <c r="H182" s="217"/>
      <c r="I182" s="196"/>
      <c r="J182" s="196"/>
      <c r="K182" s="196"/>
      <c r="L182" s="196"/>
      <c r="M182" s="196"/>
      <c r="N182" s="196"/>
      <c r="O182" s="196"/>
      <c r="P182" s="196"/>
      <c r="Q182" s="196"/>
    </row>
    <row r="183">
      <c r="A183" s="213"/>
      <c r="B183" s="214"/>
      <c r="C183" s="218"/>
      <c r="D183" s="209"/>
      <c r="E183" s="209"/>
      <c r="F183" s="210"/>
      <c r="G183" s="202"/>
      <c r="H183" s="217"/>
      <c r="I183" s="196"/>
      <c r="J183" s="196"/>
      <c r="K183" s="196"/>
      <c r="L183" s="196"/>
      <c r="M183" s="196"/>
      <c r="N183" s="196"/>
      <c r="O183" s="196"/>
      <c r="P183" s="196"/>
      <c r="Q183" s="196"/>
    </row>
    <row r="184">
      <c r="A184" s="213"/>
      <c r="B184" s="214"/>
      <c r="C184" s="215"/>
      <c r="D184" s="209"/>
      <c r="E184" s="209"/>
      <c r="F184" s="210"/>
      <c r="G184" s="202"/>
      <c r="H184" s="217"/>
      <c r="I184" s="196"/>
      <c r="J184" s="196"/>
      <c r="K184" s="196"/>
      <c r="L184" s="196"/>
      <c r="M184" s="196"/>
      <c r="N184" s="196"/>
      <c r="O184" s="196"/>
      <c r="P184" s="196"/>
      <c r="Q184" s="196"/>
    </row>
    <row r="185">
      <c r="A185" s="213"/>
      <c r="B185" s="214"/>
      <c r="C185" s="218"/>
      <c r="D185" s="209"/>
      <c r="E185" s="209"/>
      <c r="F185" s="210"/>
      <c r="G185" s="202"/>
      <c r="H185" s="217"/>
      <c r="I185" s="196"/>
      <c r="J185" s="196"/>
      <c r="K185" s="196"/>
      <c r="L185" s="196"/>
      <c r="M185" s="196"/>
      <c r="N185" s="196"/>
      <c r="O185" s="196"/>
      <c r="P185" s="196"/>
      <c r="Q185" s="196"/>
    </row>
    <row r="186">
      <c r="A186" s="213"/>
      <c r="B186" s="214"/>
      <c r="C186" s="234"/>
      <c r="D186" s="209"/>
      <c r="E186" s="209"/>
      <c r="F186" s="210"/>
      <c r="G186" s="202"/>
      <c r="H186" s="217"/>
      <c r="I186" s="196"/>
      <c r="J186" s="196"/>
      <c r="K186" s="196"/>
      <c r="L186" s="196"/>
      <c r="M186" s="196"/>
      <c r="N186" s="196"/>
      <c r="O186" s="196"/>
      <c r="P186" s="196"/>
      <c r="Q186" s="196"/>
    </row>
    <row r="187">
      <c r="A187" s="213"/>
      <c r="B187" s="214"/>
      <c r="C187" s="234"/>
      <c r="D187" s="209"/>
      <c r="E187" s="209"/>
      <c r="F187" s="210"/>
      <c r="G187" s="202"/>
      <c r="H187" s="217"/>
      <c r="I187" s="196"/>
      <c r="J187" s="196"/>
      <c r="K187" s="196"/>
      <c r="L187" s="196"/>
      <c r="M187" s="196"/>
      <c r="N187" s="196"/>
      <c r="O187" s="196"/>
      <c r="P187" s="196"/>
      <c r="Q187" s="196"/>
    </row>
    <row r="188">
      <c r="A188" s="213"/>
      <c r="B188" s="214"/>
      <c r="C188" s="236"/>
      <c r="D188" s="209"/>
      <c r="E188" s="209"/>
      <c r="F188" s="210"/>
      <c r="G188" s="202"/>
      <c r="H188" s="217"/>
      <c r="I188" s="196"/>
      <c r="J188" s="196"/>
      <c r="K188" s="196"/>
      <c r="L188" s="196"/>
      <c r="M188" s="196"/>
      <c r="N188" s="196"/>
      <c r="O188" s="196"/>
      <c r="P188" s="196"/>
      <c r="Q188" s="196"/>
    </row>
    <row r="189">
      <c r="A189" s="213"/>
      <c r="B189" s="214"/>
      <c r="C189" s="215"/>
      <c r="D189" s="209"/>
      <c r="E189" s="209"/>
      <c r="F189" s="210"/>
      <c r="G189" s="202"/>
      <c r="H189" s="217"/>
      <c r="I189" s="196"/>
      <c r="J189" s="196"/>
      <c r="K189" s="196"/>
      <c r="L189" s="196"/>
      <c r="M189" s="196"/>
      <c r="N189" s="196"/>
      <c r="O189" s="196"/>
      <c r="P189" s="196"/>
      <c r="Q189" s="196"/>
    </row>
    <row r="190">
      <c r="A190" s="213"/>
      <c r="B190" s="214"/>
      <c r="C190" s="218"/>
      <c r="D190" s="209"/>
      <c r="E190" s="209"/>
      <c r="F190" s="210"/>
      <c r="G190" s="202"/>
      <c r="H190" s="217"/>
      <c r="I190" s="196"/>
      <c r="J190" s="196"/>
      <c r="K190" s="196"/>
      <c r="L190" s="196"/>
      <c r="M190" s="196"/>
      <c r="N190" s="196"/>
      <c r="O190" s="196"/>
      <c r="P190" s="196"/>
      <c r="Q190" s="196"/>
    </row>
    <row r="191">
      <c r="A191" s="213"/>
      <c r="B191" s="214"/>
      <c r="C191" s="215"/>
      <c r="D191" s="209"/>
      <c r="E191" s="209"/>
      <c r="F191" s="210"/>
      <c r="G191" s="202"/>
      <c r="H191" s="217"/>
      <c r="I191" s="196"/>
      <c r="J191" s="196"/>
      <c r="K191" s="196"/>
      <c r="L191" s="196"/>
      <c r="M191" s="196"/>
      <c r="N191" s="196"/>
      <c r="O191" s="196"/>
      <c r="P191" s="196"/>
      <c r="Q191" s="196"/>
    </row>
    <row r="192">
      <c r="A192" s="213"/>
      <c r="B192" s="214"/>
      <c r="C192" s="218"/>
      <c r="D192" s="209"/>
      <c r="E192" s="209"/>
      <c r="F192" s="210"/>
      <c r="G192" s="202"/>
      <c r="H192" s="217"/>
      <c r="I192" s="196"/>
      <c r="J192" s="196"/>
      <c r="K192" s="196"/>
      <c r="L192" s="196"/>
      <c r="M192" s="196"/>
      <c r="N192" s="196"/>
      <c r="O192" s="196"/>
      <c r="P192" s="196"/>
      <c r="Q192" s="196"/>
    </row>
    <row r="193">
      <c r="A193" s="213"/>
      <c r="B193" s="214"/>
      <c r="C193" s="218"/>
      <c r="D193" s="209"/>
      <c r="E193" s="209"/>
      <c r="F193" s="210"/>
      <c r="G193" s="202"/>
      <c r="H193" s="217"/>
      <c r="I193" s="196"/>
      <c r="J193" s="196"/>
      <c r="K193" s="196"/>
      <c r="L193" s="196"/>
      <c r="M193" s="196"/>
      <c r="N193" s="196"/>
      <c r="O193" s="196"/>
      <c r="P193" s="196"/>
      <c r="Q193" s="196"/>
    </row>
    <row r="194">
      <c r="A194" s="213"/>
      <c r="B194" s="214"/>
      <c r="C194" s="215"/>
      <c r="D194" s="209"/>
      <c r="E194" s="209"/>
      <c r="F194" s="210"/>
      <c r="G194" s="202"/>
      <c r="H194" s="217"/>
      <c r="I194" s="196"/>
      <c r="J194" s="196"/>
      <c r="K194" s="196"/>
      <c r="L194" s="196"/>
      <c r="M194" s="196"/>
      <c r="N194" s="196"/>
      <c r="O194" s="196"/>
      <c r="P194" s="196"/>
      <c r="Q194" s="196"/>
    </row>
    <row r="195">
      <c r="A195" s="213"/>
      <c r="B195" s="214"/>
      <c r="C195" s="215"/>
      <c r="D195" s="209"/>
      <c r="E195" s="209"/>
      <c r="F195" s="210"/>
      <c r="G195" s="202"/>
      <c r="H195" s="217"/>
      <c r="I195" s="196"/>
      <c r="J195" s="196"/>
      <c r="K195" s="196"/>
      <c r="L195" s="196"/>
      <c r="M195" s="196"/>
      <c r="N195" s="196"/>
      <c r="O195" s="196"/>
      <c r="P195" s="196"/>
      <c r="Q195" s="196"/>
    </row>
    <row r="196">
      <c r="A196" s="213"/>
      <c r="B196" s="214"/>
      <c r="C196" s="215"/>
      <c r="D196" s="209"/>
      <c r="E196" s="209"/>
      <c r="F196" s="210"/>
      <c r="G196" s="202"/>
      <c r="H196" s="217"/>
      <c r="I196" s="196"/>
      <c r="J196" s="196"/>
      <c r="K196" s="196"/>
      <c r="L196" s="196"/>
      <c r="M196" s="196"/>
      <c r="N196" s="196"/>
      <c r="O196" s="196"/>
      <c r="P196" s="196"/>
      <c r="Q196" s="196"/>
    </row>
    <row r="197">
      <c r="A197" s="213"/>
      <c r="B197" s="214"/>
      <c r="C197" s="218"/>
      <c r="D197" s="209"/>
      <c r="E197" s="209"/>
      <c r="F197" s="210"/>
      <c r="G197" s="202"/>
      <c r="H197" s="217"/>
      <c r="I197" s="196"/>
      <c r="J197" s="196"/>
      <c r="K197" s="196"/>
      <c r="L197" s="196"/>
      <c r="M197" s="196"/>
      <c r="N197" s="196"/>
      <c r="O197" s="196"/>
      <c r="P197" s="196"/>
      <c r="Q197" s="196"/>
    </row>
    <row r="198">
      <c r="A198" s="213"/>
      <c r="B198" s="214"/>
      <c r="C198" s="234"/>
      <c r="D198" s="209"/>
      <c r="E198" s="209"/>
      <c r="F198" s="210"/>
      <c r="G198" s="202"/>
      <c r="H198" s="217"/>
      <c r="I198" s="196"/>
      <c r="J198" s="196"/>
      <c r="K198" s="196"/>
      <c r="L198" s="196"/>
      <c r="M198" s="196"/>
      <c r="N198" s="196"/>
      <c r="O198" s="196"/>
      <c r="P198" s="196"/>
      <c r="Q198" s="196"/>
    </row>
    <row r="199">
      <c r="A199" s="213"/>
      <c r="B199" s="214"/>
      <c r="C199" s="218"/>
      <c r="D199" s="209"/>
      <c r="E199" s="209"/>
      <c r="F199" s="210"/>
      <c r="G199" s="202"/>
      <c r="H199" s="217"/>
      <c r="I199" s="196"/>
      <c r="J199" s="196"/>
      <c r="K199" s="196"/>
      <c r="L199" s="196"/>
      <c r="M199" s="196"/>
      <c r="N199" s="196"/>
      <c r="O199" s="196"/>
      <c r="P199" s="196"/>
      <c r="Q199" s="196"/>
    </row>
    <row r="200">
      <c r="A200" s="213"/>
      <c r="B200" s="214"/>
      <c r="C200" s="218"/>
      <c r="D200" s="209"/>
      <c r="E200" s="209"/>
      <c r="F200" s="210"/>
      <c r="G200" s="202"/>
      <c r="H200" s="217"/>
      <c r="I200" s="196"/>
      <c r="J200" s="196"/>
      <c r="K200" s="196"/>
      <c r="L200" s="196"/>
      <c r="M200" s="196"/>
      <c r="N200" s="196"/>
      <c r="O200" s="196"/>
      <c r="P200" s="196"/>
      <c r="Q200" s="196"/>
    </row>
    <row r="201">
      <c r="A201" s="213"/>
      <c r="B201" s="214"/>
      <c r="C201" s="215"/>
      <c r="D201" s="209"/>
      <c r="E201" s="209"/>
      <c r="F201" s="210"/>
      <c r="G201" s="202"/>
      <c r="H201" s="217"/>
      <c r="I201" s="196"/>
      <c r="J201" s="196"/>
      <c r="K201" s="196"/>
      <c r="L201" s="196"/>
      <c r="M201" s="196"/>
      <c r="N201" s="196"/>
      <c r="O201" s="196"/>
      <c r="P201" s="196"/>
      <c r="Q201" s="196"/>
    </row>
    <row r="202">
      <c r="A202" s="213"/>
      <c r="B202" s="214"/>
      <c r="C202" s="218"/>
      <c r="D202" s="209"/>
      <c r="E202" s="209"/>
      <c r="F202" s="210"/>
      <c r="G202" s="202"/>
      <c r="H202" s="217"/>
      <c r="I202" s="196"/>
      <c r="J202" s="196"/>
      <c r="K202" s="196"/>
      <c r="L202" s="196"/>
      <c r="M202" s="196"/>
      <c r="N202" s="196"/>
      <c r="O202" s="196"/>
      <c r="P202" s="196"/>
      <c r="Q202" s="196"/>
    </row>
    <row r="203">
      <c r="A203" s="213"/>
      <c r="B203" s="214"/>
      <c r="C203" s="215"/>
      <c r="D203" s="209"/>
      <c r="E203" s="209"/>
      <c r="F203" s="210"/>
      <c r="G203" s="202"/>
      <c r="H203" s="217"/>
      <c r="I203" s="196"/>
      <c r="J203" s="196"/>
      <c r="K203" s="196"/>
      <c r="L203" s="196"/>
      <c r="M203" s="196"/>
      <c r="N203" s="196"/>
      <c r="O203" s="196"/>
      <c r="P203" s="196"/>
      <c r="Q203" s="196"/>
    </row>
    <row r="204">
      <c r="A204" s="213"/>
      <c r="B204" s="214"/>
      <c r="C204" s="215"/>
      <c r="D204" s="209"/>
      <c r="E204" s="209"/>
      <c r="F204" s="210"/>
      <c r="G204" s="202"/>
      <c r="H204" s="217"/>
      <c r="I204" s="196"/>
      <c r="J204" s="196"/>
      <c r="K204" s="196"/>
      <c r="L204" s="196"/>
      <c r="M204" s="196"/>
      <c r="N204" s="196"/>
      <c r="O204" s="196"/>
      <c r="P204" s="196"/>
      <c r="Q204" s="196"/>
    </row>
    <row r="205">
      <c r="A205" s="219"/>
      <c r="B205" s="220"/>
      <c r="C205" s="221"/>
      <c r="D205" s="222"/>
      <c r="E205" s="222"/>
      <c r="F205" s="223"/>
      <c r="G205" s="240"/>
      <c r="H205" s="225"/>
      <c r="I205" s="196"/>
      <c r="J205" s="196"/>
      <c r="K205" s="196"/>
      <c r="L205" s="196"/>
      <c r="M205" s="196"/>
      <c r="N205" s="196"/>
      <c r="O205" s="196"/>
      <c r="P205" s="196"/>
      <c r="Q205" s="196"/>
    </row>
    <row r="206">
      <c r="A206" s="213"/>
      <c r="B206" s="214"/>
      <c r="C206" s="242"/>
      <c r="D206" s="209"/>
      <c r="E206" s="209"/>
      <c r="F206" s="210"/>
      <c r="G206" s="202"/>
      <c r="H206" s="217"/>
      <c r="I206" s="196"/>
      <c r="J206" s="196"/>
      <c r="K206" s="196"/>
      <c r="L206" s="196"/>
      <c r="M206" s="196"/>
      <c r="N206" s="196"/>
      <c r="O206" s="196"/>
      <c r="P206" s="196"/>
      <c r="Q206" s="196"/>
    </row>
    <row r="207">
      <c r="A207" s="213"/>
      <c r="B207" s="214"/>
      <c r="C207" s="215"/>
      <c r="D207" s="209"/>
      <c r="E207" s="209"/>
      <c r="F207" s="210"/>
      <c r="G207" s="202"/>
      <c r="H207" s="217"/>
      <c r="I207" s="196"/>
      <c r="J207" s="196"/>
      <c r="K207" s="196"/>
      <c r="L207" s="196"/>
      <c r="M207" s="196"/>
      <c r="N207" s="196"/>
      <c r="O207" s="196"/>
      <c r="P207" s="196"/>
      <c r="Q207" s="196"/>
    </row>
    <row r="208">
      <c r="A208" s="213"/>
      <c r="B208" s="214"/>
      <c r="C208" s="218"/>
      <c r="D208" s="209"/>
      <c r="E208" s="209"/>
      <c r="F208" s="210"/>
      <c r="G208" s="202"/>
      <c r="H208" s="217"/>
      <c r="I208" s="196"/>
      <c r="J208" s="196"/>
      <c r="K208" s="196"/>
      <c r="L208" s="196"/>
      <c r="M208" s="196"/>
      <c r="N208" s="196"/>
      <c r="O208" s="196"/>
      <c r="P208" s="196"/>
      <c r="Q208" s="196"/>
    </row>
    <row r="209">
      <c r="A209" s="213"/>
      <c r="B209" s="214"/>
      <c r="C209" s="215"/>
      <c r="D209" s="209"/>
      <c r="E209" s="209"/>
      <c r="F209" s="210"/>
      <c r="G209" s="202"/>
      <c r="H209" s="217"/>
      <c r="I209" s="196"/>
      <c r="J209" s="196"/>
      <c r="K209" s="196"/>
      <c r="L209" s="196"/>
      <c r="M209" s="196"/>
      <c r="N209" s="196"/>
      <c r="O209" s="196"/>
      <c r="P209" s="196"/>
      <c r="Q209" s="196"/>
    </row>
    <row r="210">
      <c r="A210" s="243">
        <v>1771.0</v>
      </c>
      <c r="B210" s="244" t="s">
        <v>5894</v>
      </c>
      <c r="C210" s="245" t="s">
        <v>1939</v>
      </c>
      <c r="D210" s="246" t="s">
        <v>18</v>
      </c>
      <c r="E210" s="246" t="s">
        <v>18</v>
      </c>
      <c r="F210" s="247" t="s">
        <v>1303</v>
      </c>
      <c r="G210" s="248"/>
      <c r="H210" s="249" t="s">
        <v>1940</v>
      </c>
      <c r="I210" s="196"/>
      <c r="J210" s="196"/>
      <c r="K210" s="196"/>
      <c r="L210" s="196"/>
      <c r="M210" s="196"/>
      <c r="N210" s="196"/>
      <c r="O210" s="196"/>
      <c r="P210" s="196"/>
      <c r="Q210" s="196"/>
    </row>
    <row r="211">
      <c r="A211" s="213"/>
      <c r="B211" s="214"/>
      <c r="C211" s="218"/>
      <c r="D211" s="209"/>
      <c r="E211" s="209"/>
      <c r="F211" s="210"/>
      <c r="G211" s="250"/>
      <c r="H211" s="217"/>
      <c r="I211" s="196"/>
      <c r="J211" s="196"/>
      <c r="K211" s="196"/>
      <c r="L211" s="196"/>
      <c r="M211" s="196"/>
      <c r="N211" s="196"/>
      <c r="O211" s="196"/>
      <c r="P211" s="196"/>
      <c r="Q211" s="196"/>
    </row>
    <row r="212">
      <c r="A212" s="213"/>
      <c r="B212" s="214"/>
      <c r="C212" s="215"/>
      <c r="D212" s="209"/>
      <c r="E212" s="209"/>
      <c r="F212" s="210"/>
      <c r="G212" s="251"/>
      <c r="H212" s="217"/>
      <c r="I212" s="196"/>
      <c r="J212" s="196"/>
      <c r="K212" s="196"/>
      <c r="L212" s="196"/>
      <c r="M212" s="196"/>
      <c r="N212" s="196"/>
      <c r="O212" s="196"/>
      <c r="P212" s="196"/>
      <c r="Q212" s="196"/>
    </row>
    <row r="213">
      <c r="A213" s="213"/>
      <c r="B213" s="214"/>
      <c r="C213" s="218"/>
      <c r="D213" s="209"/>
      <c r="E213" s="209"/>
      <c r="F213" s="210"/>
      <c r="G213" s="252"/>
      <c r="H213" s="217"/>
      <c r="I213" s="196"/>
      <c r="J213" s="196"/>
      <c r="K213" s="196"/>
      <c r="L213" s="196"/>
      <c r="M213" s="196"/>
      <c r="N213" s="196"/>
      <c r="O213" s="196"/>
      <c r="P213" s="196"/>
      <c r="Q213" s="196"/>
    </row>
    <row r="214">
      <c r="A214" s="213"/>
      <c r="B214" s="214"/>
      <c r="C214" s="215"/>
      <c r="D214" s="209"/>
      <c r="E214" s="209"/>
      <c r="F214" s="210"/>
      <c r="G214" s="202"/>
      <c r="H214" s="217"/>
      <c r="I214" s="196"/>
      <c r="J214" s="196"/>
      <c r="K214" s="196"/>
      <c r="L214" s="196"/>
      <c r="M214" s="196"/>
      <c r="N214" s="196"/>
      <c r="O214" s="196"/>
      <c r="P214" s="196"/>
      <c r="Q214" s="196"/>
    </row>
    <row r="215">
      <c r="A215" s="213"/>
      <c r="B215" s="214"/>
      <c r="C215" s="218"/>
      <c r="D215" s="209"/>
      <c r="E215" s="209"/>
      <c r="F215" s="210"/>
      <c r="G215" s="202"/>
      <c r="H215" s="217"/>
      <c r="I215" s="196"/>
      <c r="J215" s="196"/>
      <c r="K215" s="196"/>
      <c r="L215" s="196"/>
      <c r="M215" s="196"/>
      <c r="N215" s="196"/>
      <c r="O215" s="196"/>
      <c r="P215" s="196"/>
      <c r="Q215" s="196"/>
    </row>
    <row r="216">
      <c r="A216" s="213"/>
      <c r="B216" s="214"/>
      <c r="C216" s="215"/>
      <c r="D216" s="209"/>
      <c r="E216" s="209"/>
      <c r="F216" s="210"/>
      <c r="G216" s="202"/>
      <c r="H216" s="217"/>
      <c r="I216" s="196"/>
      <c r="J216" s="196"/>
      <c r="K216" s="196"/>
      <c r="L216" s="196"/>
      <c r="M216" s="196"/>
      <c r="N216" s="196"/>
      <c r="O216" s="196"/>
      <c r="P216" s="196"/>
      <c r="Q216" s="196"/>
    </row>
    <row r="217">
      <c r="A217" s="213"/>
      <c r="B217" s="214"/>
      <c r="C217" s="218"/>
      <c r="D217" s="209"/>
      <c r="E217" s="209"/>
      <c r="F217" s="210"/>
      <c r="G217" s="202"/>
      <c r="H217" s="217"/>
      <c r="I217" s="196"/>
      <c r="J217" s="196"/>
      <c r="K217" s="196"/>
      <c r="L217" s="196"/>
      <c r="M217" s="196"/>
      <c r="N217" s="196"/>
      <c r="O217" s="196"/>
      <c r="P217" s="196"/>
      <c r="Q217" s="196"/>
    </row>
    <row r="218">
      <c r="A218" s="213"/>
      <c r="B218" s="214"/>
      <c r="C218" s="215"/>
      <c r="D218" s="209"/>
      <c r="E218" s="209"/>
      <c r="F218" s="210"/>
      <c r="G218" s="202"/>
      <c r="H218" s="217"/>
      <c r="I218" s="196"/>
      <c r="J218" s="196"/>
      <c r="K218" s="196"/>
      <c r="L218" s="196"/>
      <c r="M218" s="196"/>
      <c r="N218" s="196"/>
      <c r="O218" s="196"/>
      <c r="P218" s="196"/>
      <c r="Q218" s="196"/>
    </row>
    <row r="219">
      <c r="A219" s="213"/>
      <c r="B219" s="214"/>
      <c r="C219" s="218"/>
      <c r="D219" s="209"/>
      <c r="E219" s="209"/>
      <c r="F219" s="210"/>
      <c r="G219" s="202"/>
      <c r="H219" s="217"/>
      <c r="I219" s="196"/>
      <c r="J219" s="196"/>
      <c r="K219" s="196"/>
      <c r="L219" s="196"/>
      <c r="M219" s="196"/>
      <c r="N219" s="196"/>
      <c r="O219" s="196"/>
      <c r="P219" s="196"/>
      <c r="Q219" s="196"/>
    </row>
    <row r="220">
      <c r="A220" s="213"/>
      <c r="B220" s="214"/>
      <c r="C220" s="215"/>
      <c r="D220" s="209"/>
      <c r="E220" s="209"/>
      <c r="F220" s="210"/>
      <c r="G220" s="202"/>
      <c r="H220" s="217"/>
      <c r="I220" s="196"/>
      <c r="J220" s="196"/>
      <c r="K220" s="196"/>
      <c r="L220" s="196"/>
      <c r="M220" s="196"/>
      <c r="N220" s="196"/>
      <c r="O220" s="196"/>
      <c r="P220" s="196"/>
      <c r="Q220" s="196"/>
    </row>
    <row r="221">
      <c r="A221" s="213"/>
      <c r="B221" s="214"/>
      <c r="C221" s="215"/>
      <c r="D221" s="209"/>
      <c r="E221" s="209"/>
      <c r="F221" s="210"/>
      <c r="G221" s="202"/>
      <c r="H221" s="217"/>
      <c r="I221" s="196"/>
      <c r="J221" s="196"/>
      <c r="K221" s="196"/>
      <c r="L221" s="196"/>
      <c r="M221" s="196"/>
      <c r="N221" s="196"/>
      <c r="O221" s="196"/>
      <c r="P221" s="196"/>
      <c r="Q221" s="196"/>
    </row>
    <row r="222">
      <c r="A222" s="213"/>
      <c r="B222" s="214"/>
      <c r="C222" s="218"/>
      <c r="D222" s="209"/>
      <c r="E222" s="209"/>
      <c r="F222" s="210"/>
      <c r="G222" s="202"/>
      <c r="H222" s="217"/>
      <c r="I222" s="196"/>
      <c r="J222" s="196"/>
      <c r="K222" s="196"/>
      <c r="L222" s="196"/>
      <c r="M222" s="196"/>
      <c r="N222" s="196"/>
      <c r="O222" s="196"/>
      <c r="P222" s="196"/>
      <c r="Q222" s="196"/>
    </row>
    <row r="223">
      <c r="A223" s="213"/>
      <c r="B223" s="214"/>
      <c r="C223" s="218"/>
      <c r="D223" s="209"/>
      <c r="E223" s="209"/>
      <c r="F223" s="210"/>
      <c r="G223" s="202"/>
      <c r="H223" s="217"/>
      <c r="I223" s="196"/>
      <c r="J223" s="196"/>
      <c r="K223" s="196"/>
      <c r="L223" s="196"/>
      <c r="M223" s="196"/>
      <c r="N223" s="196"/>
      <c r="O223" s="196"/>
      <c r="P223" s="196"/>
      <c r="Q223" s="196"/>
    </row>
    <row r="224">
      <c r="A224" s="213"/>
      <c r="B224" s="214"/>
      <c r="C224" s="215"/>
      <c r="D224" s="209"/>
      <c r="E224" s="209"/>
      <c r="F224" s="210"/>
      <c r="G224" s="202"/>
      <c r="H224" s="217"/>
      <c r="I224" s="196"/>
      <c r="J224" s="196"/>
      <c r="K224" s="196"/>
      <c r="L224" s="196"/>
      <c r="M224" s="196"/>
      <c r="N224" s="196"/>
      <c r="O224" s="196"/>
      <c r="P224" s="196"/>
      <c r="Q224" s="196"/>
    </row>
    <row r="225">
      <c r="A225" s="213"/>
      <c r="B225" s="214"/>
      <c r="C225" s="218"/>
      <c r="D225" s="209"/>
      <c r="E225" s="209"/>
      <c r="F225" s="210"/>
      <c r="G225" s="202"/>
      <c r="H225" s="217"/>
      <c r="I225" s="196"/>
      <c r="J225" s="196"/>
      <c r="K225" s="196"/>
      <c r="L225" s="196"/>
      <c r="M225" s="196"/>
      <c r="N225" s="196"/>
      <c r="O225" s="196"/>
      <c r="P225" s="196"/>
      <c r="Q225" s="196"/>
    </row>
    <row r="226">
      <c r="A226" s="213"/>
      <c r="B226" s="214"/>
      <c r="C226" s="215"/>
      <c r="D226" s="209"/>
      <c r="E226" s="209"/>
      <c r="F226" s="210"/>
      <c r="G226" s="202"/>
      <c r="H226" s="217"/>
      <c r="I226" s="196"/>
      <c r="J226" s="196"/>
      <c r="K226" s="196"/>
      <c r="L226" s="196"/>
      <c r="M226" s="196"/>
      <c r="N226" s="196"/>
      <c r="O226" s="196"/>
      <c r="P226" s="196"/>
      <c r="Q226" s="196"/>
    </row>
    <row r="227">
      <c r="A227" s="213"/>
      <c r="B227" s="214"/>
      <c r="C227" s="218"/>
      <c r="D227" s="209"/>
      <c r="E227" s="209"/>
      <c r="F227" s="210"/>
      <c r="G227" s="202"/>
      <c r="H227" s="217"/>
      <c r="I227" s="196"/>
      <c r="J227" s="196"/>
      <c r="K227" s="196"/>
      <c r="L227" s="196"/>
      <c r="M227" s="196"/>
      <c r="N227" s="196"/>
      <c r="O227" s="196"/>
      <c r="P227" s="196"/>
      <c r="Q227" s="196"/>
    </row>
    <row r="228">
      <c r="A228" s="213"/>
      <c r="B228" s="214"/>
      <c r="C228" s="215"/>
      <c r="D228" s="209"/>
      <c r="E228" s="209"/>
      <c r="F228" s="210"/>
      <c r="G228" s="250"/>
      <c r="H228" s="217"/>
      <c r="I228" s="196"/>
      <c r="J228" s="196"/>
      <c r="K228" s="196"/>
      <c r="L228" s="196"/>
      <c r="M228" s="196"/>
      <c r="N228" s="196"/>
      <c r="O228" s="196"/>
      <c r="P228" s="196"/>
      <c r="Q228" s="196"/>
    </row>
    <row r="229">
      <c r="A229" s="213"/>
      <c r="B229" s="214"/>
      <c r="C229" s="218"/>
      <c r="D229" s="209"/>
      <c r="E229" s="209"/>
      <c r="F229" s="210"/>
      <c r="G229" s="252"/>
      <c r="H229" s="217"/>
      <c r="I229" s="196"/>
      <c r="J229" s="196"/>
      <c r="K229" s="196"/>
      <c r="L229" s="196"/>
      <c r="M229" s="196"/>
      <c r="N229" s="196"/>
      <c r="O229" s="196"/>
      <c r="P229" s="196"/>
      <c r="Q229" s="196"/>
    </row>
    <row r="230">
      <c r="A230" s="213"/>
      <c r="B230" s="214"/>
      <c r="C230" s="218"/>
      <c r="D230" s="209"/>
      <c r="E230" s="209"/>
      <c r="F230" s="210"/>
      <c r="G230" s="202"/>
      <c r="H230" s="217"/>
      <c r="I230" s="196"/>
      <c r="J230" s="196"/>
      <c r="K230" s="196"/>
      <c r="L230" s="196"/>
      <c r="M230" s="196"/>
      <c r="N230" s="196"/>
      <c r="O230" s="196"/>
      <c r="P230" s="196"/>
      <c r="Q230" s="196"/>
    </row>
    <row r="231">
      <c r="A231" s="213"/>
      <c r="B231" s="214"/>
      <c r="C231" s="215"/>
      <c r="D231" s="209"/>
      <c r="E231" s="209"/>
      <c r="F231" s="210"/>
      <c r="G231" s="202"/>
      <c r="H231" s="217"/>
      <c r="I231" s="196"/>
      <c r="J231" s="196"/>
      <c r="K231" s="196"/>
      <c r="L231" s="196"/>
      <c r="M231" s="196"/>
      <c r="N231" s="196"/>
      <c r="O231" s="196"/>
      <c r="P231" s="196"/>
      <c r="Q231" s="196"/>
    </row>
    <row r="232">
      <c r="A232" s="213"/>
      <c r="B232" s="214"/>
      <c r="C232" s="215"/>
      <c r="D232" s="209"/>
      <c r="E232" s="209"/>
      <c r="F232" s="210"/>
      <c r="G232" s="202"/>
      <c r="H232" s="217"/>
      <c r="I232" s="196"/>
      <c r="J232" s="196"/>
      <c r="K232" s="196"/>
      <c r="L232" s="196"/>
      <c r="M232" s="196"/>
      <c r="N232" s="196"/>
      <c r="O232" s="196"/>
      <c r="P232" s="196"/>
      <c r="Q232" s="196"/>
    </row>
    <row r="233">
      <c r="A233" s="213"/>
      <c r="B233" s="214"/>
      <c r="C233" s="218"/>
      <c r="D233" s="209"/>
      <c r="E233" s="209"/>
      <c r="F233" s="210"/>
      <c r="G233" s="202"/>
      <c r="H233" s="217"/>
      <c r="I233" s="196"/>
      <c r="J233" s="196"/>
      <c r="K233" s="196"/>
      <c r="L233" s="196"/>
      <c r="M233" s="196"/>
      <c r="N233" s="196"/>
      <c r="O233" s="196"/>
      <c r="P233" s="196"/>
      <c r="Q233" s="196"/>
    </row>
    <row r="234">
      <c r="A234" s="213"/>
      <c r="B234" s="214"/>
      <c r="C234" s="218"/>
      <c r="D234" s="209"/>
      <c r="E234" s="209"/>
      <c r="F234" s="210"/>
      <c r="G234" s="202"/>
      <c r="H234" s="217"/>
      <c r="I234" s="196"/>
      <c r="J234" s="196"/>
      <c r="K234" s="196"/>
      <c r="L234" s="196"/>
      <c r="M234" s="196"/>
      <c r="N234" s="196"/>
      <c r="O234" s="196"/>
      <c r="P234" s="196"/>
      <c r="Q234" s="196"/>
    </row>
    <row r="235">
      <c r="A235" s="213"/>
      <c r="B235" s="214"/>
      <c r="C235" s="215"/>
      <c r="D235" s="209"/>
      <c r="E235" s="209"/>
      <c r="F235" s="210"/>
      <c r="G235" s="202"/>
      <c r="H235" s="217"/>
      <c r="I235" s="196"/>
      <c r="J235" s="196"/>
      <c r="K235" s="196"/>
      <c r="L235" s="196"/>
      <c r="M235" s="196"/>
      <c r="N235" s="196"/>
      <c r="O235" s="196"/>
      <c r="P235" s="196"/>
      <c r="Q235" s="196"/>
    </row>
    <row r="236">
      <c r="A236" s="213"/>
      <c r="B236" s="214"/>
      <c r="C236" s="218"/>
      <c r="D236" s="209"/>
      <c r="E236" s="209"/>
      <c r="F236" s="210"/>
      <c r="G236" s="202"/>
      <c r="H236" s="217"/>
      <c r="I236" s="196"/>
      <c r="J236" s="196"/>
      <c r="K236" s="196"/>
      <c r="L236" s="196"/>
      <c r="M236" s="196"/>
      <c r="N236" s="196"/>
      <c r="O236" s="196"/>
      <c r="P236" s="196"/>
      <c r="Q236" s="196"/>
    </row>
    <row r="237">
      <c r="A237" s="213"/>
      <c r="B237" s="214"/>
      <c r="C237" s="215"/>
      <c r="D237" s="209"/>
      <c r="E237" s="209"/>
      <c r="F237" s="210"/>
      <c r="G237" s="202"/>
      <c r="H237" s="217"/>
      <c r="I237" s="196"/>
      <c r="J237" s="196"/>
      <c r="K237" s="196"/>
      <c r="L237" s="196"/>
      <c r="M237" s="196"/>
      <c r="N237" s="196"/>
      <c r="O237" s="196"/>
      <c r="P237" s="196"/>
      <c r="Q237" s="196"/>
    </row>
    <row r="238">
      <c r="A238" s="213"/>
      <c r="B238" s="214"/>
      <c r="C238" s="218"/>
      <c r="D238" s="209"/>
      <c r="E238" s="209"/>
      <c r="F238" s="210"/>
      <c r="G238" s="202"/>
      <c r="H238" s="217"/>
      <c r="I238" s="196"/>
      <c r="J238" s="196"/>
      <c r="K238" s="196"/>
      <c r="L238" s="196"/>
      <c r="M238" s="196"/>
      <c r="N238" s="196"/>
      <c r="O238" s="196"/>
      <c r="P238" s="196"/>
      <c r="Q238" s="196"/>
    </row>
    <row r="239">
      <c r="A239" s="213"/>
      <c r="B239" s="214"/>
      <c r="C239" s="218"/>
      <c r="D239" s="209"/>
      <c r="E239" s="209"/>
      <c r="F239" s="210"/>
      <c r="G239" s="202"/>
      <c r="H239" s="217"/>
      <c r="I239" s="196"/>
      <c r="J239" s="196"/>
      <c r="K239" s="196"/>
      <c r="L239" s="196"/>
      <c r="M239" s="196"/>
      <c r="N239" s="196"/>
      <c r="O239" s="196"/>
      <c r="P239" s="196"/>
      <c r="Q239" s="196"/>
    </row>
    <row r="240">
      <c r="A240" s="213"/>
      <c r="B240" s="214"/>
      <c r="C240" s="218"/>
      <c r="D240" s="209"/>
      <c r="E240" s="209"/>
      <c r="F240" s="210"/>
      <c r="G240" s="202"/>
      <c r="H240" s="217"/>
      <c r="I240" s="196"/>
      <c r="J240" s="196"/>
      <c r="K240" s="196"/>
      <c r="L240" s="196"/>
      <c r="M240" s="196"/>
      <c r="N240" s="196"/>
      <c r="O240" s="196"/>
      <c r="P240" s="196"/>
      <c r="Q240" s="196"/>
    </row>
    <row r="241">
      <c r="A241" s="213"/>
      <c r="B241" s="214"/>
      <c r="C241" s="218"/>
      <c r="D241" s="209"/>
      <c r="E241" s="209"/>
      <c r="F241" s="210"/>
      <c r="G241" s="202"/>
      <c r="H241" s="217"/>
      <c r="I241" s="196"/>
      <c r="J241" s="196"/>
      <c r="K241" s="196"/>
      <c r="L241" s="196"/>
      <c r="M241" s="196"/>
      <c r="N241" s="196"/>
      <c r="O241" s="196"/>
      <c r="P241" s="196"/>
      <c r="Q241" s="196"/>
    </row>
    <row r="242">
      <c r="A242" s="213"/>
      <c r="B242" s="214"/>
      <c r="C242" s="234"/>
      <c r="D242" s="209"/>
      <c r="E242" s="209"/>
      <c r="F242" s="210"/>
      <c r="G242" s="202"/>
      <c r="H242" s="217"/>
      <c r="I242" s="196"/>
      <c r="J242" s="196"/>
      <c r="K242" s="196"/>
      <c r="L242" s="196"/>
      <c r="M242" s="196"/>
      <c r="N242" s="196"/>
      <c r="O242" s="196"/>
      <c r="P242" s="196"/>
      <c r="Q242" s="196"/>
    </row>
    <row r="243">
      <c r="A243" s="213"/>
      <c r="B243" s="214"/>
      <c r="C243" s="218"/>
      <c r="D243" s="209"/>
      <c r="E243" s="209"/>
      <c r="F243" s="210"/>
      <c r="G243" s="202"/>
      <c r="H243" s="217"/>
      <c r="I243" s="196"/>
      <c r="J243" s="196"/>
      <c r="K243" s="196"/>
      <c r="L243" s="196"/>
      <c r="M243" s="196"/>
      <c r="N243" s="196"/>
      <c r="O243" s="196"/>
      <c r="P243" s="196"/>
      <c r="Q243" s="196"/>
    </row>
    <row r="244">
      <c r="A244" s="213"/>
      <c r="B244" s="214"/>
      <c r="C244" s="215"/>
      <c r="D244" s="209"/>
      <c r="E244" s="209"/>
      <c r="F244" s="210"/>
      <c r="G244" s="202"/>
      <c r="H244" s="217"/>
      <c r="I244" s="196"/>
      <c r="J244" s="196"/>
      <c r="K244" s="196"/>
      <c r="L244" s="196"/>
      <c r="M244" s="196"/>
      <c r="N244" s="196"/>
      <c r="O244" s="196"/>
      <c r="P244" s="196"/>
      <c r="Q244" s="196"/>
    </row>
    <row r="245">
      <c r="A245" s="213"/>
      <c r="B245" s="214"/>
      <c r="C245" s="234"/>
      <c r="D245" s="209"/>
      <c r="E245" s="209"/>
      <c r="F245" s="210"/>
      <c r="G245" s="202"/>
      <c r="H245" s="217"/>
      <c r="I245" s="196"/>
      <c r="J245" s="196"/>
      <c r="K245" s="196"/>
      <c r="L245" s="196"/>
      <c r="M245" s="196"/>
      <c r="N245" s="196"/>
      <c r="O245" s="196"/>
      <c r="P245" s="196"/>
      <c r="Q245" s="196"/>
    </row>
    <row r="246">
      <c r="A246" s="213"/>
      <c r="B246" s="214"/>
      <c r="C246" s="218"/>
      <c r="D246" s="209"/>
      <c r="E246" s="209"/>
      <c r="F246" s="210"/>
      <c r="G246" s="202"/>
      <c r="H246" s="217"/>
      <c r="I246" s="196"/>
      <c r="J246" s="196"/>
      <c r="K246" s="196"/>
      <c r="L246" s="196"/>
      <c r="M246" s="196"/>
      <c r="N246" s="196"/>
      <c r="O246" s="196"/>
      <c r="P246" s="196"/>
      <c r="Q246" s="196"/>
    </row>
    <row r="247">
      <c r="A247" s="213"/>
      <c r="B247" s="214"/>
      <c r="C247" s="218"/>
      <c r="D247" s="209"/>
      <c r="E247" s="209"/>
      <c r="F247" s="210"/>
      <c r="G247" s="202"/>
      <c r="H247" s="217"/>
      <c r="I247" s="196"/>
      <c r="J247" s="196"/>
      <c r="K247" s="196"/>
      <c r="L247" s="196"/>
      <c r="M247" s="196"/>
      <c r="N247" s="196"/>
      <c r="O247" s="196"/>
      <c r="P247" s="196"/>
      <c r="Q247" s="196"/>
    </row>
    <row r="248">
      <c r="A248" s="213"/>
      <c r="B248" s="214"/>
      <c r="C248" s="215"/>
      <c r="D248" s="209"/>
      <c r="E248" s="209"/>
      <c r="F248" s="210"/>
      <c r="G248" s="202"/>
      <c r="H248" s="217"/>
      <c r="I248" s="196"/>
      <c r="J248" s="196"/>
      <c r="K248" s="196"/>
      <c r="L248" s="196"/>
      <c r="M248" s="196"/>
      <c r="N248" s="196"/>
      <c r="O248" s="196"/>
      <c r="P248" s="196"/>
      <c r="Q248" s="196"/>
    </row>
    <row r="249">
      <c r="A249" s="213"/>
      <c r="B249" s="214"/>
      <c r="C249" s="234"/>
      <c r="D249" s="209"/>
      <c r="E249" s="209"/>
      <c r="F249" s="210"/>
      <c r="G249" s="202"/>
      <c r="H249" s="217"/>
      <c r="I249" s="196"/>
      <c r="J249" s="196"/>
      <c r="K249" s="196"/>
      <c r="L249" s="196"/>
      <c r="M249" s="196"/>
      <c r="N249" s="196"/>
      <c r="O249" s="196"/>
      <c r="P249" s="196"/>
      <c r="Q249" s="196"/>
    </row>
    <row r="250">
      <c r="A250" s="213"/>
      <c r="B250" s="214"/>
      <c r="C250" s="215"/>
      <c r="D250" s="209"/>
      <c r="E250" s="209"/>
      <c r="F250" s="210"/>
      <c r="G250" s="202"/>
      <c r="H250" s="217"/>
      <c r="I250" s="196"/>
      <c r="J250" s="196"/>
      <c r="K250" s="196"/>
      <c r="L250" s="196"/>
      <c r="M250" s="196"/>
      <c r="N250" s="196"/>
      <c r="O250" s="196"/>
      <c r="P250" s="196"/>
      <c r="Q250" s="196"/>
    </row>
    <row r="251">
      <c r="A251" s="213"/>
      <c r="B251" s="214"/>
      <c r="C251" s="215"/>
      <c r="D251" s="209"/>
      <c r="E251" s="209"/>
      <c r="F251" s="210"/>
      <c r="G251" s="202"/>
      <c r="H251" s="217"/>
      <c r="I251" s="196"/>
      <c r="J251" s="196"/>
      <c r="K251" s="196"/>
      <c r="L251" s="196"/>
      <c r="M251" s="196"/>
      <c r="N251" s="196"/>
      <c r="O251" s="196"/>
      <c r="P251" s="196"/>
      <c r="Q251" s="196"/>
    </row>
    <row r="252">
      <c r="A252" s="213"/>
      <c r="B252" s="214"/>
      <c r="C252" s="215"/>
      <c r="D252" s="209"/>
      <c r="E252" s="209"/>
      <c r="F252" s="210"/>
      <c r="G252" s="202"/>
      <c r="H252" s="217"/>
      <c r="I252" s="196"/>
      <c r="J252" s="196"/>
      <c r="K252" s="196"/>
      <c r="L252" s="196"/>
      <c r="M252" s="196"/>
      <c r="N252" s="196"/>
      <c r="O252" s="196"/>
      <c r="P252" s="196"/>
      <c r="Q252" s="196"/>
    </row>
    <row r="253">
      <c r="A253" s="213"/>
      <c r="B253" s="214"/>
      <c r="C253" s="218"/>
      <c r="D253" s="209"/>
      <c r="E253" s="209"/>
      <c r="F253" s="210"/>
      <c r="G253" s="202"/>
      <c r="H253" s="217"/>
      <c r="I253" s="196"/>
      <c r="J253" s="196"/>
      <c r="K253" s="196"/>
      <c r="L253" s="196"/>
      <c r="M253" s="196"/>
      <c r="N253" s="196"/>
      <c r="O253" s="196"/>
      <c r="P253" s="196"/>
      <c r="Q253" s="196"/>
    </row>
    <row r="254">
      <c r="A254" s="213"/>
      <c r="B254" s="214"/>
      <c r="C254" s="218"/>
      <c r="D254" s="209"/>
      <c r="E254" s="209"/>
      <c r="F254" s="210"/>
      <c r="G254" s="202"/>
      <c r="H254" s="217"/>
      <c r="I254" s="196"/>
      <c r="J254" s="196"/>
      <c r="K254" s="196"/>
      <c r="L254" s="196"/>
      <c r="M254" s="196"/>
      <c r="N254" s="196"/>
      <c r="O254" s="196"/>
      <c r="P254" s="196"/>
      <c r="Q254" s="196"/>
    </row>
    <row r="255">
      <c r="A255" s="213"/>
      <c r="B255" s="214"/>
      <c r="C255" s="215"/>
      <c r="D255" s="209"/>
      <c r="E255" s="209"/>
      <c r="F255" s="210"/>
      <c r="G255" s="202"/>
      <c r="H255" s="217"/>
      <c r="I255" s="196"/>
      <c r="J255" s="196"/>
      <c r="K255" s="196"/>
      <c r="L255" s="196"/>
      <c r="M255" s="196"/>
      <c r="N255" s="196"/>
      <c r="O255" s="196"/>
      <c r="P255" s="196"/>
      <c r="Q255" s="196"/>
    </row>
    <row r="256">
      <c r="A256" s="213"/>
      <c r="B256" s="214"/>
      <c r="C256" s="218"/>
      <c r="D256" s="209"/>
      <c r="E256" s="209"/>
      <c r="F256" s="210"/>
      <c r="G256" s="202"/>
      <c r="H256" s="217"/>
      <c r="I256" s="196"/>
      <c r="J256" s="196"/>
      <c r="K256" s="196"/>
      <c r="L256" s="196"/>
      <c r="M256" s="196"/>
      <c r="N256" s="196"/>
      <c r="O256" s="196"/>
      <c r="P256" s="196"/>
      <c r="Q256" s="196"/>
    </row>
    <row r="257">
      <c r="A257" s="213"/>
      <c r="B257" s="214"/>
      <c r="C257" s="215"/>
      <c r="D257" s="209"/>
      <c r="E257" s="209"/>
      <c r="F257" s="210"/>
      <c r="G257" s="250"/>
      <c r="H257" s="253"/>
      <c r="I257" s="196"/>
      <c r="J257" s="196"/>
      <c r="K257" s="196"/>
      <c r="L257" s="196"/>
      <c r="M257" s="196"/>
      <c r="N257" s="196"/>
      <c r="O257" s="196"/>
      <c r="P257" s="196"/>
      <c r="Q257" s="196"/>
    </row>
    <row r="258">
      <c r="A258" s="213"/>
      <c r="B258" s="214"/>
      <c r="C258" s="218"/>
      <c r="D258" s="209"/>
      <c r="E258" s="209"/>
      <c r="F258" s="210"/>
      <c r="G258" s="252"/>
      <c r="H258" s="253"/>
      <c r="I258" s="196"/>
      <c r="J258" s="196"/>
      <c r="K258" s="196"/>
      <c r="L258" s="196"/>
      <c r="M258" s="196"/>
      <c r="N258" s="196"/>
      <c r="O258" s="196"/>
      <c r="P258" s="196"/>
      <c r="Q258" s="196"/>
    </row>
    <row r="259">
      <c r="A259" s="213"/>
      <c r="B259" s="214"/>
      <c r="C259" s="215"/>
      <c r="D259" s="209"/>
      <c r="E259" s="209"/>
      <c r="F259" s="210"/>
      <c r="G259" s="250"/>
      <c r="H259" s="253"/>
      <c r="I259" s="196"/>
      <c r="J259" s="196"/>
      <c r="K259" s="196"/>
      <c r="L259" s="196"/>
      <c r="M259" s="196"/>
      <c r="N259" s="196"/>
      <c r="O259" s="196"/>
      <c r="P259" s="196"/>
      <c r="Q259" s="196"/>
    </row>
    <row r="260">
      <c r="A260" s="213"/>
      <c r="B260" s="214"/>
      <c r="C260" s="218"/>
      <c r="D260" s="209"/>
      <c r="E260" s="209"/>
      <c r="F260" s="210"/>
      <c r="G260" s="251"/>
      <c r="H260" s="253"/>
      <c r="I260" s="196"/>
      <c r="J260" s="196"/>
      <c r="K260" s="196"/>
      <c r="L260" s="196"/>
      <c r="M260" s="196"/>
      <c r="N260" s="196"/>
      <c r="O260" s="196"/>
      <c r="P260" s="196"/>
      <c r="Q260" s="196"/>
    </row>
    <row r="261">
      <c r="A261" s="213"/>
      <c r="B261" s="214"/>
      <c r="C261" s="215"/>
      <c r="D261" s="209"/>
      <c r="E261" s="209"/>
      <c r="F261" s="210"/>
      <c r="G261" s="252"/>
      <c r="H261" s="253"/>
      <c r="I261" s="196"/>
      <c r="J261" s="196"/>
      <c r="K261" s="196"/>
      <c r="L261" s="196"/>
      <c r="M261" s="196"/>
      <c r="N261" s="196"/>
      <c r="O261" s="196"/>
      <c r="P261" s="196"/>
      <c r="Q261" s="196"/>
    </row>
    <row r="262">
      <c r="A262" s="213"/>
      <c r="B262" s="214"/>
      <c r="C262" s="218"/>
      <c r="D262" s="209"/>
      <c r="E262" s="209"/>
      <c r="F262" s="210"/>
      <c r="G262" s="202"/>
      <c r="H262" s="253"/>
      <c r="I262" s="196"/>
      <c r="J262" s="196"/>
      <c r="K262" s="196"/>
      <c r="L262" s="196"/>
      <c r="M262" s="196"/>
      <c r="N262" s="196"/>
      <c r="O262" s="196"/>
      <c r="P262" s="196"/>
      <c r="Q262" s="196"/>
    </row>
    <row r="263">
      <c r="A263" s="206"/>
      <c r="B263" s="207"/>
      <c r="C263" s="208"/>
      <c r="D263" s="254"/>
      <c r="E263" s="254"/>
      <c r="F263" s="214"/>
      <c r="G263" s="202"/>
      <c r="H263" s="209"/>
      <c r="I263" s="200"/>
      <c r="J263" s="200"/>
      <c r="K263" s="200"/>
      <c r="L263" s="200"/>
      <c r="M263" s="200"/>
      <c r="N263" s="200"/>
      <c r="O263" s="200"/>
      <c r="P263" s="200"/>
      <c r="Q263" s="200"/>
    </row>
    <row r="264">
      <c r="A264" s="206"/>
      <c r="B264" s="207"/>
      <c r="C264" s="230"/>
      <c r="D264" s="212"/>
      <c r="E264" s="212"/>
      <c r="F264" s="214"/>
      <c r="G264" s="202"/>
      <c r="H264" s="209"/>
      <c r="I264" s="200"/>
      <c r="J264" s="200"/>
      <c r="K264" s="200"/>
      <c r="L264" s="200"/>
      <c r="M264" s="200"/>
      <c r="N264" s="200"/>
      <c r="O264" s="200"/>
      <c r="P264" s="200"/>
      <c r="Q264" s="200"/>
    </row>
    <row r="265">
      <c r="A265" s="213"/>
      <c r="B265" s="207"/>
      <c r="C265" s="212"/>
      <c r="D265" s="212"/>
      <c r="E265" s="212"/>
      <c r="F265" s="214"/>
      <c r="G265" s="202"/>
      <c r="H265" s="209"/>
      <c r="I265" s="200"/>
      <c r="J265" s="200"/>
      <c r="K265" s="200"/>
      <c r="L265" s="200"/>
      <c r="M265" s="200"/>
      <c r="N265" s="200"/>
      <c r="O265" s="200"/>
      <c r="P265" s="200"/>
      <c r="Q265" s="200"/>
    </row>
    <row r="266">
      <c r="A266" s="213"/>
      <c r="B266" s="207"/>
      <c r="C266" s="212"/>
      <c r="D266" s="212"/>
      <c r="E266" s="212"/>
      <c r="F266" s="214"/>
      <c r="G266" s="202"/>
      <c r="H266" s="209"/>
      <c r="I266" s="200"/>
      <c r="J266" s="200"/>
      <c r="K266" s="200"/>
      <c r="L266" s="200"/>
      <c r="M266" s="200"/>
      <c r="N266" s="200"/>
      <c r="O266" s="200"/>
      <c r="P266" s="200"/>
      <c r="Q266" s="200"/>
    </row>
    <row r="267">
      <c r="A267" s="255"/>
      <c r="B267" s="200"/>
      <c r="C267" s="200"/>
      <c r="D267" s="200"/>
      <c r="E267" s="200"/>
      <c r="F267" s="200"/>
      <c r="G267" s="256"/>
      <c r="H267" s="200"/>
      <c r="I267" s="200"/>
      <c r="J267" s="200"/>
      <c r="K267" s="200"/>
      <c r="L267" s="200"/>
      <c r="M267" s="200"/>
      <c r="N267" s="200"/>
      <c r="O267" s="200"/>
      <c r="P267" s="200"/>
      <c r="Q267" s="200"/>
    </row>
    <row r="268">
      <c r="A268" s="255"/>
      <c r="B268" s="200"/>
      <c r="C268" s="200"/>
      <c r="D268" s="200"/>
      <c r="E268" s="200"/>
      <c r="F268" s="200"/>
      <c r="G268" s="256"/>
      <c r="H268" s="200"/>
      <c r="I268" s="200"/>
      <c r="J268" s="200"/>
      <c r="K268" s="200"/>
      <c r="L268" s="200"/>
      <c r="M268" s="200"/>
      <c r="N268" s="200"/>
      <c r="O268" s="200"/>
      <c r="P268" s="200"/>
      <c r="Q268" s="200"/>
    </row>
    <row r="269">
      <c r="A269" s="255"/>
      <c r="B269" s="200"/>
      <c r="C269" s="200"/>
      <c r="D269" s="200"/>
      <c r="E269" s="200"/>
      <c r="F269" s="200"/>
      <c r="G269" s="256"/>
      <c r="H269" s="200"/>
      <c r="I269" s="200"/>
      <c r="J269" s="200"/>
      <c r="K269" s="200"/>
      <c r="L269" s="200"/>
      <c r="M269" s="200"/>
      <c r="N269" s="200"/>
      <c r="O269" s="200"/>
      <c r="P269" s="200"/>
      <c r="Q269" s="200"/>
    </row>
    <row r="270">
      <c r="A270" s="255"/>
      <c r="B270" s="200"/>
      <c r="C270" s="200"/>
      <c r="D270" s="200"/>
      <c r="E270" s="200"/>
      <c r="F270" s="200"/>
      <c r="G270" s="256"/>
      <c r="H270" s="200"/>
      <c r="I270" s="200"/>
      <c r="J270" s="200"/>
      <c r="K270" s="200"/>
      <c r="L270" s="200"/>
      <c r="M270" s="200"/>
      <c r="N270" s="200"/>
      <c r="O270" s="200"/>
      <c r="P270" s="200"/>
      <c r="Q270" s="200"/>
    </row>
    <row r="271">
      <c r="A271" s="255"/>
      <c r="B271" s="200"/>
      <c r="C271" s="200"/>
      <c r="D271" s="200"/>
      <c r="E271" s="200"/>
      <c r="F271" s="200"/>
      <c r="G271" s="256"/>
      <c r="H271" s="200"/>
      <c r="I271" s="200"/>
      <c r="J271" s="200"/>
      <c r="K271" s="200"/>
      <c r="L271" s="200"/>
      <c r="M271" s="200"/>
      <c r="N271" s="200"/>
      <c r="O271" s="200"/>
      <c r="P271" s="200"/>
      <c r="Q271" s="200"/>
    </row>
    <row r="272">
      <c r="A272" s="255"/>
      <c r="B272" s="200"/>
      <c r="C272" s="200"/>
      <c r="D272" s="200"/>
      <c r="E272" s="200"/>
      <c r="F272" s="200"/>
      <c r="G272" s="256"/>
      <c r="H272" s="200"/>
      <c r="I272" s="200"/>
      <c r="J272" s="200"/>
      <c r="K272" s="200"/>
      <c r="L272" s="200"/>
      <c r="M272" s="200"/>
      <c r="N272" s="200"/>
      <c r="O272" s="200"/>
      <c r="P272" s="200"/>
      <c r="Q272" s="200"/>
    </row>
    <row r="273">
      <c r="A273" s="255"/>
      <c r="B273" s="200"/>
      <c r="C273" s="200"/>
      <c r="D273" s="200"/>
      <c r="E273" s="200"/>
      <c r="F273" s="200"/>
      <c r="G273" s="256"/>
      <c r="H273" s="200"/>
      <c r="I273" s="200"/>
      <c r="J273" s="200"/>
      <c r="K273" s="200"/>
      <c r="L273" s="200"/>
      <c r="M273" s="200"/>
      <c r="N273" s="200"/>
      <c r="O273" s="200"/>
      <c r="P273" s="200"/>
      <c r="Q273" s="200"/>
    </row>
    <row r="274">
      <c r="A274" s="255"/>
      <c r="B274" s="200"/>
      <c r="C274" s="200"/>
      <c r="D274" s="200"/>
      <c r="E274" s="200"/>
      <c r="F274" s="200"/>
      <c r="G274" s="256"/>
      <c r="H274" s="200"/>
      <c r="I274" s="200"/>
      <c r="J274" s="200"/>
      <c r="K274" s="200"/>
      <c r="L274" s="200"/>
      <c r="M274" s="200"/>
      <c r="N274" s="200"/>
      <c r="O274" s="200"/>
      <c r="P274" s="200"/>
      <c r="Q274" s="200"/>
    </row>
    <row r="275">
      <c r="A275" s="255"/>
      <c r="B275" s="200"/>
      <c r="C275" s="200"/>
      <c r="D275" s="200"/>
      <c r="E275" s="200"/>
      <c r="F275" s="200"/>
      <c r="G275" s="256"/>
      <c r="H275" s="200"/>
      <c r="I275" s="200"/>
      <c r="J275" s="200"/>
      <c r="K275" s="200"/>
      <c r="L275" s="200"/>
      <c r="M275" s="200"/>
      <c r="N275" s="200"/>
      <c r="O275" s="200"/>
      <c r="P275" s="200"/>
      <c r="Q275" s="200"/>
    </row>
    <row r="276">
      <c r="A276" s="255"/>
      <c r="B276" s="200"/>
      <c r="C276" s="200"/>
      <c r="D276" s="200"/>
      <c r="E276" s="200"/>
      <c r="F276" s="200"/>
      <c r="G276" s="256"/>
      <c r="H276" s="200"/>
      <c r="I276" s="200"/>
      <c r="J276" s="200"/>
      <c r="K276" s="200"/>
      <c r="L276" s="200"/>
      <c r="M276" s="200"/>
      <c r="N276" s="200"/>
      <c r="O276" s="200"/>
      <c r="P276" s="200"/>
      <c r="Q276" s="200"/>
    </row>
    <row r="277">
      <c r="A277" s="255"/>
      <c r="B277" s="200"/>
      <c r="C277" s="200"/>
      <c r="D277" s="200"/>
      <c r="E277" s="200"/>
      <c r="F277" s="200"/>
      <c r="G277" s="256"/>
      <c r="H277" s="200"/>
      <c r="I277" s="200"/>
      <c r="J277" s="200"/>
      <c r="K277" s="200"/>
      <c r="L277" s="200"/>
      <c r="M277" s="200"/>
      <c r="N277" s="200"/>
      <c r="O277" s="200"/>
      <c r="P277" s="200"/>
      <c r="Q277" s="200"/>
    </row>
    <row r="278">
      <c r="A278" s="255"/>
      <c r="B278" s="200"/>
      <c r="C278" s="200"/>
      <c r="D278" s="200"/>
      <c r="E278" s="200"/>
      <c r="F278" s="200"/>
      <c r="G278" s="256"/>
      <c r="H278" s="200"/>
      <c r="I278" s="200"/>
      <c r="J278" s="200"/>
      <c r="K278" s="200"/>
      <c r="L278" s="200"/>
      <c r="M278" s="200"/>
      <c r="N278" s="200"/>
      <c r="O278" s="200"/>
      <c r="P278" s="200"/>
      <c r="Q278" s="200"/>
    </row>
    <row r="279">
      <c r="A279" s="255"/>
      <c r="B279" s="200"/>
      <c r="C279" s="200"/>
      <c r="D279" s="200"/>
      <c r="E279" s="200"/>
      <c r="F279" s="200"/>
      <c r="G279" s="256"/>
      <c r="H279" s="200"/>
      <c r="I279" s="200"/>
      <c r="J279" s="200"/>
      <c r="K279" s="200"/>
      <c r="L279" s="200"/>
      <c r="M279" s="200"/>
      <c r="N279" s="200"/>
      <c r="O279" s="200"/>
      <c r="P279" s="200"/>
      <c r="Q279" s="200"/>
    </row>
    <row r="280">
      <c r="A280" s="255"/>
      <c r="B280" s="200"/>
      <c r="C280" s="200"/>
      <c r="D280" s="200"/>
      <c r="E280" s="200"/>
      <c r="F280" s="200"/>
      <c r="G280" s="256"/>
      <c r="H280" s="200"/>
      <c r="I280" s="200"/>
      <c r="J280" s="200"/>
      <c r="K280" s="200"/>
      <c r="L280" s="200"/>
      <c r="M280" s="200"/>
      <c r="N280" s="200"/>
      <c r="O280" s="200"/>
      <c r="P280" s="200"/>
      <c r="Q280" s="200"/>
    </row>
    <row r="281">
      <c r="A281" s="255"/>
      <c r="B281" s="200"/>
      <c r="C281" s="200"/>
      <c r="D281" s="200"/>
      <c r="E281" s="200"/>
      <c r="F281" s="200"/>
      <c r="G281" s="256"/>
      <c r="H281" s="200"/>
      <c r="I281" s="200"/>
      <c r="J281" s="200"/>
      <c r="K281" s="200"/>
      <c r="L281" s="200"/>
      <c r="M281" s="200"/>
      <c r="N281" s="200"/>
      <c r="O281" s="200"/>
      <c r="P281" s="200"/>
      <c r="Q281" s="200"/>
    </row>
    <row r="282">
      <c r="A282" s="255"/>
      <c r="B282" s="200"/>
      <c r="C282" s="200"/>
      <c r="D282" s="200"/>
      <c r="E282" s="200"/>
      <c r="F282" s="200"/>
      <c r="G282" s="256"/>
      <c r="H282" s="200"/>
      <c r="I282" s="200"/>
      <c r="J282" s="200"/>
      <c r="K282" s="200"/>
      <c r="L282" s="200"/>
      <c r="M282" s="200"/>
      <c r="N282" s="200"/>
      <c r="O282" s="200"/>
      <c r="P282" s="200"/>
      <c r="Q282" s="200"/>
    </row>
    <row r="283">
      <c r="A283" s="255"/>
      <c r="B283" s="200"/>
      <c r="C283" s="200"/>
      <c r="D283" s="200"/>
      <c r="E283" s="200"/>
      <c r="F283" s="200"/>
      <c r="G283" s="256"/>
      <c r="H283" s="200"/>
      <c r="I283" s="200"/>
      <c r="J283" s="200"/>
      <c r="K283" s="200"/>
      <c r="L283" s="200"/>
      <c r="M283" s="200"/>
      <c r="N283" s="200"/>
      <c r="O283" s="200"/>
      <c r="P283" s="200"/>
      <c r="Q283" s="200"/>
    </row>
    <row r="284">
      <c r="A284" s="255"/>
      <c r="B284" s="200"/>
      <c r="C284" s="200"/>
      <c r="D284" s="200"/>
      <c r="E284" s="200"/>
      <c r="F284" s="200"/>
      <c r="G284" s="256"/>
      <c r="H284" s="200"/>
      <c r="I284" s="200"/>
      <c r="J284" s="200"/>
      <c r="K284" s="200"/>
      <c r="L284" s="200"/>
      <c r="M284" s="200"/>
      <c r="N284" s="200"/>
      <c r="O284" s="200"/>
      <c r="P284" s="200"/>
      <c r="Q284" s="200"/>
    </row>
    <row r="285">
      <c r="A285" s="255"/>
      <c r="B285" s="200"/>
      <c r="C285" s="200"/>
      <c r="D285" s="200"/>
      <c r="E285" s="200"/>
      <c r="F285" s="200"/>
      <c r="G285" s="256"/>
      <c r="H285" s="200"/>
      <c r="I285" s="200"/>
      <c r="J285" s="200"/>
      <c r="K285" s="200"/>
      <c r="L285" s="200"/>
      <c r="M285" s="200"/>
      <c r="N285" s="200"/>
      <c r="O285" s="200"/>
      <c r="P285" s="200"/>
      <c r="Q285" s="200"/>
    </row>
    <row r="286">
      <c r="A286" s="255"/>
      <c r="B286" s="200"/>
      <c r="C286" s="200"/>
      <c r="D286" s="200"/>
      <c r="E286" s="200"/>
      <c r="F286" s="200"/>
      <c r="G286" s="256"/>
      <c r="H286" s="200"/>
      <c r="I286" s="200"/>
      <c r="J286" s="200"/>
      <c r="K286" s="200"/>
      <c r="L286" s="200"/>
      <c r="M286" s="200"/>
      <c r="N286" s="200"/>
      <c r="O286" s="200"/>
      <c r="P286" s="200"/>
      <c r="Q286" s="200"/>
    </row>
    <row r="287">
      <c r="A287" s="255"/>
      <c r="B287" s="200"/>
      <c r="C287" s="200"/>
      <c r="D287" s="200"/>
      <c r="E287" s="200"/>
      <c r="F287" s="200"/>
      <c r="G287" s="256"/>
      <c r="H287" s="200"/>
      <c r="I287" s="200"/>
      <c r="J287" s="200"/>
      <c r="K287" s="200"/>
      <c r="L287" s="200"/>
      <c r="M287" s="200"/>
      <c r="N287" s="200"/>
      <c r="O287" s="200"/>
      <c r="P287" s="200"/>
      <c r="Q287" s="200"/>
    </row>
    <row r="288">
      <c r="A288" s="255"/>
      <c r="B288" s="200"/>
      <c r="C288" s="200"/>
      <c r="D288" s="200"/>
      <c r="E288" s="200"/>
      <c r="F288" s="200"/>
      <c r="G288" s="256"/>
      <c r="H288" s="200"/>
      <c r="I288" s="200"/>
      <c r="J288" s="200"/>
      <c r="K288" s="200"/>
      <c r="L288" s="200"/>
      <c r="M288" s="200"/>
      <c r="N288" s="200"/>
      <c r="O288" s="200"/>
      <c r="P288" s="200"/>
      <c r="Q288" s="200"/>
    </row>
    <row r="289">
      <c r="A289" s="255"/>
      <c r="B289" s="200"/>
      <c r="C289" s="200"/>
      <c r="D289" s="200"/>
      <c r="E289" s="200"/>
      <c r="F289" s="200"/>
      <c r="G289" s="256"/>
      <c r="H289" s="200"/>
      <c r="I289" s="200"/>
      <c r="J289" s="200"/>
      <c r="K289" s="200"/>
      <c r="L289" s="200"/>
      <c r="M289" s="200"/>
      <c r="N289" s="200"/>
      <c r="O289" s="200"/>
      <c r="P289" s="200"/>
      <c r="Q289" s="200"/>
    </row>
    <row r="290">
      <c r="A290" s="255"/>
      <c r="B290" s="200"/>
      <c r="C290" s="200"/>
      <c r="D290" s="200"/>
      <c r="E290" s="200"/>
      <c r="F290" s="200"/>
      <c r="G290" s="256"/>
      <c r="H290" s="200"/>
      <c r="I290" s="200"/>
      <c r="J290" s="200"/>
      <c r="K290" s="200"/>
      <c r="L290" s="200"/>
      <c r="M290" s="200"/>
      <c r="N290" s="200"/>
      <c r="O290" s="200"/>
      <c r="P290" s="200"/>
      <c r="Q290" s="200"/>
    </row>
    <row r="291">
      <c r="A291" s="255"/>
      <c r="B291" s="200"/>
      <c r="C291" s="200"/>
      <c r="D291" s="200"/>
      <c r="E291" s="200"/>
      <c r="F291" s="200"/>
      <c r="G291" s="256"/>
      <c r="H291" s="200"/>
      <c r="I291" s="200"/>
      <c r="J291" s="200"/>
      <c r="K291" s="200"/>
      <c r="L291" s="200"/>
      <c r="M291" s="200"/>
      <c r="N291" s="200"/>
      <c r="O291" s="200"/>
      <c r="P291" s="200"/>
      <c r="Q291" s="200"/>
    </row>
    <row r="292">
      <c r="A292" s="255"/>
      <c r="B292" s="200"/>
      <c r="C292" s="200"/>
      <c r="D292" s="200"/>
      <c r="E292" s="200"/>
      <c r="F292" s="200"/>
      <c r="G292" s="256"/>
      <c r="H292" s="200"/>
      <c r="I292" s="200"/>
      <c r="J292" s="200"/>
      <c r="K292" s="200"/>
      <c r="L292" s="200"/>
      <c r="M292" s="200"/>
      <c r="N292" s="200"/>
      <c r="O292" s="200"/>
      <c r="P292" s="200"/>
      <c r="Q292" s="200"/>
    </row>
    <row r="293">
      <c r="A293" s="255"/>
      <c r="B293" s="200"/>
      <c r="C293" s="200"/>
      <c r="D293" s="200"/>
      <c r="E293" s="200"/>
      <c r="F293" s="200"/>
      <c r="G293" s="256"/>
      <c r="H293" s="200"/>
      <c r="I293" s="200"/>
      <c r="J293" s="200"/>
      <c r="K293" s="200"/>
      <c r="L293" s="200"/>
      <c r="M293" s="200"/>
      <c r="N293" s="200"/>
      <c r="O293" s="200"/>
      <c r="P293" s="200"/>
      <c r="Q293" s="200"/>
    </row>
    <row r="294">
      <c r="A294" s="255"/>
      <c r="B294" s="200"/>
      <c r="C294" s="200"/>
      <c r="D294" s="200"/>
      <c r="E294" s="200"/>
      <c r="F294" s="200"/>
      <c r="G294" s="256"/>
      <c r="H294" s="200"/>
      <c r="I294" s="200"/>
      <c r="J294" s="200"/>
      <c r="K294" s="200"/>
      <c r="L294" s="200"/>
      <c r="M294" s="200"/>
      <c r="N294" s="200"/>
      <c r="O294" s="200"/>
      <c r="P294" s="200"/>
      <c r="Q294" s="200"/>
    </row>
    <row r="295">
      <c r="A295" s="255"/>
      <c r="B295" s="200"/>
      <c r="C295" s="200"/>
      <c r="D295" s="200"/>
      <c r="E295" s="200"/>
      <c r="F295" s="200"/>
      <c r="G295" s="256"/>
      <c r="H295" s="200"/>
      <c r="I295" s="200"/>
      <c r="J295" s="200"/>
      <c r="K295" s="200"/>
      <c r="L295" s="200"/>
      <c r="M295" s="200"/>
      <c r="N295" s="200"/>
      <c r="O295" s="200"/>
      <c r="P295" s="200"/>
      <c r="Q295" s="200"/>
    </row>
    <row r="296">
      <c r="A296" s="255"/>
      <c r="B296" s="200"/>
      <c r="C296" s="200"/>
      <c r="D296" s="200"/>
      <c r="E296" s="200"/>
      <c r="F296" s="200"/>
      <c r="G296" s="256"/>
      <c r="H296" s="200"/>
      <c r="I296" s="200"/>
      <c r="J296" s="200"/>
      <c r="K296" s="200"/>
      <c r="L296" s="200"/>
      <c r="M296" s="200"/>
      <c r="N296" s="200"/>
      <c r="O296" s="200"/>
      <c r="P296" s="200"/>
      <c r="Q296" s="200"/>
    </row>
    <row r="297">
      <c r="A297" s="255"/>
      <c r="B297" s="200"/>
      <c r="C297" s="200"/>
      <c r="D297" s="200"/>
      <c r="E297" s="200"/>
      <c r="F297" s="200"/>
      <c r="G297" s="256"/>
      <c r="H297" s="200"/>
      <c r="I297" s="200"/>
      <c r="J297" s="200"/>
      <c r="K297" s="200"/>
      <c r="L297" s="200"/>
      <c r="M297" s="200"/>
      <c r="N297" s="200"/>
      <c r="O297" s="200"/>
      <c r="P297" s="200"/>
      <c r="Q297" s="200"/>
    </row>
    <row r="298">
      <c r="A298" s="255"/>
      <c r="B298" s="200"/>
      <c r="C298" s="200"/>
      <c r="D298" s="200"/>
      <c r="E298" s="200"/>
      <c r="F298" s="200"/>
      <c r="G298" s="256"/>
      <c r="H298" s="200"/>
      <c r="I298" s="200"/>
      <c r="J298" s="200"/>
      <c r="K298" s="200"/>
      <c r="L298" s="200"/>
      <c r="M298" s="200"/>
      <c r="N298" s="200"/>
      <c r="O298" s="200"/>
      <c r="P298" s="200"/>
      <c r="Q298" s="200"/>
    </row>
    <row r="299">
      <c r="A299" s="255"/>
      <c r="B299" s="200"/>
      <c r="C299" s="200"/>
      <c r="D299" s="200"/>
      <c r="E299" s="200"/>
      <c r="F299" s="200"/>
      <c r="G299" s="256"/>
      <c r="H299" s="200"/>
      <c r="I299" s="200"/>
      <c r="J299" s="200"/>
      <c r="K299" s="200"/>
      <c r="L299" s="200"/>
      <c r="M299" s="200"/>
      <c r="N299" s="200"/>
      <c r="O299" s="200"/>
      <c r="P299" s="200"/>
      <c r="Q299" s="200"/>
    </row>
    <row r="300">
      <c r="A300" s="255"/>
      <c r="B300" s="200"/>
      <c r="C300" s="200"/>
      <c r="D300" s="200"/>
      <c r="E300" s="200"/>
      <c r="F300" s="200"/>
      <c r="G300" s="256"/>
      <c r="H300" s="200"/>
      <c r="I300" s="200"/>
      <c r="J300" s="200"/>
      <c r="K300" s="200"/>
      <c r="L300" s="200"/>
      <c r="M300" s="200"/>
      <c r="N300" s="200"/>
      <c r="O300" s="200"/>
      <c r="P300" s="200"/>
      <c r="Q300" s="200"/>
    </row>
    <row r="301">
      <c r="A301" s="255"/>
      <c r="B301" s="200"/>
      <c r="C301" s="200"/>
      <c r="D301" s="200"/>
      <c r="E301" s="200"/>
      <c r="F301" s="200"/>
      <c r="G301" s="256"/>
      <c r="H301" s="200"/>
      <c r="I301" s="200"/>
      <c r="J301" s="200"/>
      <c r="K301" s="200"/>
      <c r="L301" s="200"/>
      <c r="M301" s="200"/>
      <c r="N301" s="200"/>
      <c r="O301" s="200"/>
      <c r="P301" s="200"/>
      <c r="Q301" s="200"/>
    </row>
    <row r="302">
      <c r="A302" s="255"/>
      <c r="B302" s="200"/>
      <c r="C302" s="200"/>
      <c r="D302" s="200"/>
      <c r="E302" s="200"/>
      <c r="F302" s="200"/>
      <c r="G302" s="256"/>
      <c r="H302" s="200"/>
      <c r="I302" s="200"/>
      <c r="J302" s="200"/>
      <c r="K302" s="200"/>
      <c r="L302" s="200"/>
      <c r="M302" s="200"/>
      <c r="N302" s="200"/>
      <c r="O302" s="200"/>
      <c r="P302" s="200"/>
      <c r="Q302" s="200"/>
    </row>
    <row r="303">
      <c r="A303" s="255"/>
      <c r="B303" s="200"/>
      <c r="C303" s="200"/>
      <c r="D303" s="200"/>
      <c r="E303" s="200"/>
      <c r="F303" s="200"/>
      <c r="G303" s="256"/>
      <c r="H303" s="200"/>
      <c r="I303" s="200"/>
      <c r="J303" s="200"/>
      <c r="K303" s="200"/>
      <c r="L303" s="200"/>
      <c r="M303" s="200"/>
      <c r="N303" s="200"/>
      <c r="O303" s="200"/>
      <c r="P303" s="200"/>
      <c r="Q303" s="200"/>
    </row>
    <row r="304">
      <c r="A304" s="255"/>
      <c r="B304" s="200"/>
      <c r="C304" s="200"/>
      <c r="D304" s="200"/>
      <c r="E304" s="200"/>
      <c r="F304" s="200"/>
      <c r="G304" s="256"/>
      <c r="H304" s="200"/>
      <c r="I304" s="200"/>
      <c r="J304" s="200"/>
      <c r="K304" s="200"/>
      <c r="L304" s="200"/>
      <c r="M304" s="200"/>
      <c r="N304" s="200"/>
      <c r="O304" s="200"/>
      <c r="P304" s="200"/>
      <c r="Q304" s="200"/>
    </row>
    <row r="305">
      <c r="A305" s="255"/>
      <c r="B305" s="200"/>
      <c r="C305" s="200"/>
      <c r="D305" s="200"/>
      <c r="E305" s="200"/>
      <c r="F305" s="200"/>
      <c r="G305" s="256"/>
      <c r="H305" s="200"/>
      <c r="I305" s="200"/>
      <c r="J305" s="200"/>
      <c r="K305" s="200"/>
      <c r="L305" s="200"/>
      <c r="M305" s="200"/>
      <c r="N305" s="200"/>
      <c r="O305" s="200"/>
      <c r="P305" s="200"/>
      <c r="Q305" s="200"/>
    </row>
    <row r="306">
      <c r="A306" s="255"/>
      <c r="B306" s="200"/>
      <c r="C306" s="200"/>
      <c r="D306" s="200"/>
      <c r="E306" s="200"/>
      <c r="F306" s="200"/>
      <c r="G306" s="256"/>
      <c r="H306" s="200"/>
      <c r="I306" s="200"/>
      <c r="J306" s="200"/>
      <c r="K306" s="200"/>
      <c r="L306" s="200"/>
      <c r="M306" s="200"/>
      <c r="N306" s="200"/>
      <c r="O306" s="200"/>
      <c r="P306" s="200"/>
      <c r="Q306" s="200"/>
    </row>
    <row r="307">
      <c r="A307" s="255"/>
      <c r="B307" s="200"/>
      <c r="C307" s="200"/>
      <c r="D307" s="200"/>
      <c r="E307" s="200"/>
      <c r="F307" s="200"/>
      <c r="G307" s="256"/>
      <c r="H307" s="200"/>
      <c r="I307" s="200"/>
      <c r="J307" s="200"/>
      <c r="K307" s="200"/>
      <c r="L307" s="200"/>
      <c r="M307" s="200"/>
      <c r="N307" s="200"/>
      <c r="O307" s="200"/>
      <c r="P307" s="200"/>
      <c r="Q307" s="200"/>
    </row>
    <row r="308">
      <c r="A308" s="255"/>
      <c r="B308" s="200"/>
      <c r="C308" s="200"/>
      <c r="D308" s="200"/>
      <c r="E308" s="200"/>
      <c r="F308" s="200"/>
      <c r="G308" s="256"/>
      <c r="H308" s="200"/>
      <c r="I308" s="200"/>
      <c r="J308" s="200"/>
      <c r="K308" s="200"/>
      <c r="L308" s="200"/>
      <c r="M308" s="200"/>
      <c r="N308" s="200"/>
      <c r="O308" s="200"/>
      <c r="P308" s="200"/>
      <c r="Q308" s="200"/>
    </row>
    <row r="309">
      <c r="A309" s="255"/>
      <c r="B309" s="200"/>
      <c r="C309" s="200"/>
      <c r="D309" s="200"/>
      <c r="E309" s="200"/>
      <c r="F309" s="200"/>
      <c r="G309" s="256"/>
      <c r="H309" s="200"/>
      <c r="I309" s="200"/>
      <c r="J309" s="200"/>
      <c r="K309" s="200"/>
      <c r="L309" s="200"/>
      <c r="M309" s="200"/>
      <c r="N309" s="200"/>
      <c r="O309" s="200"/>
      <c r="P309" s="200"/>
      <c r="Q309" s="200"/>
    </row>
    <row r="310">
      <c r="A310" s="255"/>
      <c r="B310" s="200"/>
      <c r="C310" s="200"/>
      <c r="D310" s="200"/>
      <c r="E310" s="200"/>
      <c r="F310" s="200"/>
      <c r="G310" s="256"/>
      <c r="H310" s="200"/>
      <c r="I310" s="200"/>
      <c r="J310" s="200"/>
      <c r="K310" s="200"/>
      <c r="L310" s="200"/>
      <c r="M310" s="200"/>
      <c r="N310" s="200"/>
      <c r="O310" s="200"/>
      <c r="P310" s="200"/>
      <c r="Q310" s="200"/>
    </row>
    <row r="311">
      <c r="A311" s="255"/>
      <c r="B311" s="200"/>
      <c r="C311" s="200"/>
      <c r="D311" s="200"/>
      <c r="E311" s="200"/>
      <c r="F311" s="200"/>
      <c r="G311" s="256"/>
      <c r="H311" s="200"/>
      <c r="I311" s="200"/>
      <c r="J311" s="200"/>
      <c r="K311" s="200"/>
      <c r="L311" s="200"/>
      <c r="M311" s="200"/>
      <c r="N311" s="200"/>
      <c r="O311" s="200"/>
      <c r="P311" s="200"/>
      <c r="Q311" s="200"/>
    </row>
    <row r="312">
      <c r="A312" s="255"/>
      <c r="B312" s="200"/>
      <c r="C312" s="200"/>
      <c r="D312" s="200"/>
      <c r="E312" s="200"/>
      <c r="F312" s="200"/>
      <c r="G312" s="256"/>
      <c r="H312" s="200"/>
      <c r="I312" s="200"/>
      <c r="J312" s="200"/>
      <c r="K312" s="200"/>
      <c r="L312" s="200"/>
      <c r="M312" s="200"/>
      <c r="N312" s="200"/>
      <c r="O312" s="200"/>
      <c r="P312" s="200"/>
      <c r="Q312" s="200"/>
    </row>
    <row r="313">
      <c r="A313" s="255"/>
      <c r="B313" s="200"/>
      <c r="C313" s="200"/>
      <c r="D313" s="200"/>
      <c r="E313" s="200"/>
      <c r="F313" s="200"/>
      <c r="G313" s="256"/>
      <c r="H313" s="200"/>
      <c r="I313" s="200"/>
      <c r="J313" s="200"/>
      <c r="K313" s="200"/>
      <c r="L313" s="200"/>
      <c r="M313" s="200"/>
      <c r="N313" s="200"/>
      <c r="O313" s="200"/>
      <c r="P313" s="200"/>
      <c r="Q313" s="200"/>
    </row>
    <row r="314">
      <c r="A314" s="255"/>
      <c r="B314" s="200"/>
      <c r="C314" s="200"/>
      <c r="D314" s="200"/>
      <c r="E314" s="200"/>
      <c r="F314" s="200"/>
      <c r="G314" s="256"/>
      <c r="H314" s="200"/>
      <c r="I314" s="200"/>
      <c r="J314" s="200"/>
      <c r="K314" s="200"/>
      <c r="L314" s="200"/>
      <c r="M314" s="200"/>
      <c r="N314" s="200"/>
      <c r="O314" s="200"/>
      <c r="P314" s="200"/>
      <c r="Q314" s="200"/>
    </row>
    <row r="315">
      <c r="A315" s="255"/>
      <c r="B315" s="200"/>
      <c r="C315" s="200"/>
      <c r="D315" s="200"/>
      <c r="E315" s="200"/>
      <c r="F315" s="200"/>
      <c r="G315" s="256"/>
      <c r="H315" s="200"/>
      <c r="I315" s="200"/>
      <c r="J315" s="200"/>
      <c r="K315" s="200"/>
      <c r="L315" s="200"/>
      <c r="M315" s="200"/>
      <c r="N315" s="200"/>
      <c r="O315" s="200"/>
      <c r="P315" s="200"/>
      <c r="Q315" s="200"/>
    </row>
    <row r="316">
      <c r="A316" s="255"/>
      <c r="B316" s="200"/>
      <c r="C316" s="200"/>
      <c r="D316" s="200"/>
      <c r="E316" s="200"/>
      <c r="F316" s="200"/>
      <c r="G316" s="256"/>
      <c r="H316" s="200"/>
      <c r="I316" s="200"/>
      <c r="J316" s="200"/>
      <c r="K316" s="200"/>
      <c r="L316" s="200"/>
      <c r="M316" s="200"/>
      <c r="N316" s="200"/>
      <c r="O316" s="200"/>
      <c r="P316" s="200"/>
      <c r="Q316" s="200"/>
    </row>
    <row r="317">
      <c r="A317" s="255"/>
      <c r="B317" s="200"/>
      <c r="C317" s="200"/>
      <c r="D317" s="200"/>
      <c r="E317" s="200"/>
      <c r="F317" s="200"/>
      <c r="G317" s="256"/>
      <c r="H317" s="200"/>
      <c r="I317" s="200"/>
      <c r="J317" s="200"/>
      <c r="K317" s="200"/>
      <c r="L317" s="200"/>
      <c r="M317" s="200"/>
      <c r="N317" s="200"/>
      <c r="O317" s="200"/>
      <c r="P317" s="200"/>
      <c r="Q317" s="200"/>
    </row>
    <row r="318">
      <c r="A318" s="255"/>
      <c r="B318" s="200"/>
      <c r="C318" s="200"/>
      <c r="D318" s="200"/>
      <c r="E318" s="200"/>
      <c r="F318" s="200"/>
      <c r="G318" s="256"/>
      <c r="H318" s="200"/>
      <c r="I318" s="200"/>
      <c r="J318" s="200"/>
      <c r="K318" s="200"/>
      <c r="L318" s="200"/>
      <c r="M318" s="200"/>
      <c r="N318" s="200"/>
      <c r="O318" s="200"/>
      <c r="P318" s="200"/>
      <c r="Q318" s="200"/>
    </row>
    <row r="319">
      <c r="A319" s="255"/>
      <c r="B319" s="200"/>
      <c r="C319" s="200"/>
      <c r="D319" s="200"/>
      <c r="E319" s="200"/>
      <c r="F319" s="200"/>
      <c r="G319" s="256"/>
      <c r="H319" s="200"/>
      <c r="I319" s="200"/>
      <c r="J319" s="200"/>
      <c r="K319" s="200"/>
      <c r="L319" s="200"/>
      <c r="M319" s="200"/>
      <c r="N319" s="200"/>
      <c r="O319" s="200"/>
      <c r="P319" s="200"/>
      <c r="Q319" s="200"/>
    </row>
    <row r="320">
      <c r="A320" s="255"/>
      <c r="B320" s="200"/>
      <c r="C320" s="200"/>
      <c r="D320" s="200"/>
      <c r="E320" s="200"/>
      <c r="F320" s="200"/>
      <c r="G320" s="256"/>
      <c r="H320" s="200"/>
      <c r="I320" s="200"/>
      <c r="J320" s="200"/>
      <c r="K320" s="200"/>
      <c r="L320" s="200"/>
      <c r="M320" s="200"/>
      <c r="N320" s="200"/>
      <c r="O320" s="200"/>
      <c r="P320" s="200"/>
      <c r="Q320" s="200"/>
    </row>
    <row r="321">
      <c r="A321" s="255"/>
      <c r="B321" s="200"/>
      <c r="C321" s="200"/>
      <c r="D321" s="200"/>
      <c r="E321" s="200"/>
      <c r="F321" s="200"/>
      <c r="G321" s="256"/>
      <c r="H321" s="200"/>
      <c r="I321" s="200"/>
      <c r="J321" s="200"/>
      <c r="K321" s="200"/>
      <c r="L321" s="200"/>
      <c r="M321" s="200"/>
      <c r="N321" s="200"/>
      <c r="O321" s="200"/>
      <c r="P321" s="200"/>
      <c r="Q321" s="200"/>
    </row>
    <row r="322">
      <c r="A322" s="255"/>
      <c r="B322" s="200"/>
      <c r="C322" s="200"/>
      <c r="D322" s="200"/>
      <c r="E322" s="200"/>
      <c r="F322" s="200"/>
      <c r="G322" s="256"/>
      <c r="H322" s="200"/>
      <c r="I322" s="200"/>
      <c r="J322" s="200"/>
      <c r="K322" s="200"/>
      <c r="L322" s="200"/>
      <c r="M322" s="200"/>
      <c r="N322" s="200"/>
      <c r="O322" s="200"/>
      <c r="P322" s="200"/>
      <c r="Q322" s="200"/>
    </row>
    <row r="323">
      <c r="A323" s="255"/>
      <c r="B323" s="200"/>
      <c r="C323" s="200"/>
      <c r="D323" s="200"/>
      <c r="E323" s="200"/>
      <c r="F323" s="200"/>
      <c r="G323" s="256"/>
      <c r="H323" s="200"/>
      <c r="I323" s="200"/>
      <c r="J323" s="200"/>
      <c r="K323" s="200"/>
      <c r="L323" s="200"/>
      <c r="M323" s="200"/>
      <c r="N323" s="200"/>
      <c r="O323" s="200"/>
      <c r="P323" s="200"/>
      <c r="Q323" s="200"/>
    </row>
    <row r="324">
      <c r="A324" s="255"/>
      <c r="B324" s="200"/>
      <c r="C324" s="200"/>
      <c r="D324" s="200"/>
      <c r="E324" s="200"/>
      <c r="F324" s="200"/>
      <c r="G324" s="256"/>
      <c r="H324" s="200"/>
      <c r="I324" s="200"/>
      <c r="J324" s="200"/>
      <c r="K324" s="200"/>
      <c r="L324" s="200"/>
      <c r="M324" s="200"/>
      <c r="N324" s="200"/>
      <c r="O324" s="200"/>
      <c r="P324" s="200"/>
      <c r="Q324" s="200"/>
    </row>
    <row r="325">
      <c r="A325" s="255"/>
      <c r="B325" s="200"/>
      <c r="C325" s="200"/>
      <c r="D325" s="200"/>
      <c r="E325" s="200"/>
      <c r="F325" s="200"/>
      <c r="G325" s="256"/>
      <c r="H325" s="200"/>
      <c r="I325" s="200"/>
      <c r="J325" s="200"/>
      <c r="K325" s="200"/>
      <c r="L325" s="200"/>
      <c r="M325" s="200"/>
      <c r="N325" s="200"/>
      <c r="O325" s="200"/>
      <c r="P325" s="200"/>
      <c r="Q325" s="200"/>
    </row>
    <row r="326">
      <c r="A326" s="255"/>
      <c r="B326" s="200"/>
      <c r="C326" s="200"/>
      <c r="D326" s="200"/>
      <c r="E326" s="200"/>
      <c r="F326" s="200"/>
      <c r="G326" s="256"/>
      <c r="H326" s="200"/>
      <c r="I326" s="200"/>
      <c r="J326" s="200"/>
      <c r="K326" s="200"/>
      <c r="L326" s="200"/>
      <c r="M326" s="200"/>
      <c r="N326" s="200"/>
      <c r="O326" s="200"/>
      <c r="P326" s="200"/>
      <c r="Q326" s="200"/>
    </row>
    <row r="327">
      <c r="A327" s="255"/>
      <c r="B327" s="200"/>
      <c r="C327" s="200"/>
      <c r="D327" s="200"/>
      <c r="E327" s="200"/>
      <c r="F327" s="200"/>
      <c r="G327" s="256"/>
      <c r="H327" s="200"/>
      <c r="I327" s="200"/>
      <c r="J327" s="200"/>
      <c r="K327" s="200"/>
      <c r="L327" s="200"/>
      <c r="M327" s="200"/>
      <c r="N327" s="200"/>
      <c r="O327" s="200"/>
      <c r="P327" s="200"/>
      <c r="Q327" s="200"/>
    </row>
    <row r="328">
      <c r="A328" s="255"/>
      <c r="B328" s="200"/>
      <c r="C328" s="200"/>
      <c r="D328" s="200"/>
      <c r="E328" s="200"/>
      <c r="F328" s="200"/>
      <c r="G328" s="256"/>
      <c r="H328" s="200"/>
      <c r="I328" s="200"/>
      <c r="J328" s="200"/>
      <c r="K328" s="200"/>
      <c r="L328" s="200"/>
      <c r="M328" s="200"/>
      <c r="N328" s="200"/>
      <c r="O328" s="200"/>
      <c r="P328" s="200"/>
      <c r="Q328" s="200"/>
    </row>
    <row r="329">
      <c r="A329" s="255"/>
      <c r="B329" s="200"/>
      <c r="C329" s="200"/>
      <c r="D329" s="200"/>
      <c r="E329" s="200"/>
      <c r="F329" s="200"/>
      <c r="G329" s="256"/>
      <c r="H329" s="200"/>
      <c r="I329" s="200"/>
      <c r="J329" s="200"/>
      <c r="K329" s="200"/>
      <c r="L329" s="200"/>
      <c r="M329" s="200"/>
      <c r="N329" s="200"/>
      <c r="O329" s="200"/>
      <c r="P329" s="200"/>
      <c r="Q329" s="200"/>
    </row>
    <row r="330">
      <c r="A330" s="255"/>
      <c r="B330" s="200"/>
      <c r="C330" s="200"/>
      <c r="D330" s="200"/>
      <c r="E330" s="200"/>
      <c r="F330" s="200"/>
      <c r="G330" s="256"/>
      <c r="H330" s="200"/>
      <c r="I330" s="200"/>
      <c r="J330" s="200"/>
      <c r="K330" s="200"/>
      <c r="L330" s="200"/>
      <c r="M330" s="200"/>
      <c r="N330" s="200"/>
      <c r="O330" s="200"/>
      <c r="P330" s="200"/>
      <c r="Q330" s="200"/>
    </row>
    <row r="331">
      <c r="A331" s="255"/>
      <c r="B331" s="200"/>
      <c r="C331" s="200"/>
      <c r="D331" s="200"/>
      <c r="E331" s="200"/>
      <c r="F331" s="200"/>
      <c r="G331" s="256"/>
      <c r="H331" s="200"/>
      <c r="I331" s="200"/>
      <c r="J331" s="200"/>
      <c r="K331" s="200"/>
      <c r="L331" s="200"/>
      <c r="M331" s="200"/>
      <c r="N331" s="200"/>
      <c r="O331" s="200"/>
      <c r="P331" s="200"/>
      <c r="Q331" s="200"/>
    </row>
    <row r="332">
      <c r="A332" s="255"/>
      <c r="B332" s="200"/>
      <c r="C332" s="200"/>
      <c r="D332" s="200"/>
      <c r="E332" s="200"/>
      <c r="F332" s="200"/>
      <c r="G332" s="256"/>
      <c r="H332" s="200"/>
      <c r="I332" s="200"/>
      <c r="J332" s="200"/>
      <c r="K332" s="200"/>
      <c r="L332" s="200"/>
      <c r="M332" s="200"/>
      <c r="N332" s="200"/>
      <c r="O332" s="200"/>
      <c r="P332" s="200"/>
      <c r="Q332" s="200"/>
    </row>
    <row r="333">
      <c r="A333" s="255"/>
      <c r="B333" s="200"/>
      <c r="C333" s="200"/>
      <c r="D333" s="200"/>
      <c r="E333" s="200"/>
      <c r="F333" s="200"/>
      <c r="G333" s="256"/>
      <c r="H333" s="200"/>
      <c r="I333" s="200"/>
      <c r="J333" s="200"/>
      <c r="K333" s="200"/>
      <c r="L333" s="200"/>
      <c r="M333" s="200"/>
      <c r="N333" s="200"/>
      <c r="O333" s="200"/>
      <c r="P333" s="200"/>
      <c r="Q333" s="200"/>
    </row>
    <row r="334">
      <c r="A334" s="255"/>
      <c r="B334" s="200"/>
      <c r="C334" s="200"/>
      <c r="D334" s="200"/>
      <c r="E334" s="200"/>
      <c r="F334" s="200"/>
      <c r="G334" s="256"/>
      <c r="H334" s="200"/>
      <c r="I334" s="200"/>
      <c r="J334" s="200"/>
      <c r="K334" s="200"/>
      <c r="L334" s="200"/>
      <c r="M334" s="200"/>
      <c r="N334" s="200"/>
      <c r="O334" s="200"/>
      <c r="P334" s="200"/>
      <c r="Q334" s="200"/>
    </row>
    <row r="335">
      <c r="A335" s="255"/>
      <c r="B335" s="200"/>
      <c r="C335" s="200"/>
      <c r="D335" s="200"/>
      <c r="E335" s="200"/>
      <c r="F335" s="200"/>
      <c r="G335" s="256"/>
      <c r="H335" s="200"/>
      <c r="I335" s="200"/>
      <c r="J335" s="200"/>
      <c r="K335" s="200"/>
      <c r="L335" s="200"/>
      <c r="M335" s="200"/>
      <c r="N335" s="200"/>
      <c r="O335" s="200"/>
      <c r="P335" s="200"/>
      <c r="Q335" s="200"/>
    </row>
    <row r="336">
      <c r="A336" s="255"/>
      <c r="B336" s="200"/>
      <c r="C336" s="200"/>
      <c r="D336" s="200"/>
      <c r="E336" s="200"/>
      <c r="F336" s="200"/>
      <c r="G336" s="256"/>
      <c r="H336" s="200"/>
      <c r="I336" s="200"/>
      <c r="J336" s="200"/>
      <c r="K336" s="200"/>
      <c r="L336" s="200"/>
      <c r="M336" s="200"/>
      <c r="N336" s="200"/>
      <c r="O336" s="200"/>
      <c r="P336" s="200"/>
      <c r="Q336" s="200"/>
    </row>
    <row r="337">
      <c r="A337" s="255"/>
      <c r="B337" s="200"/>
      <c r="C337" s="200"/>
      <c r="D337" s="200"/>
      <c r="E337" s="200"/>
      <c r="F337" s="200"/>
      <c r="G337" s="256"/>
      <c r="H337" s="200"/>
      <c r="I337" s="200"/>
      <c r="J337" s="200"/>
      <c r="K337" s="200"/>
      <c r="L337" s="200"/>
      <c r="M337" s="200"/>
      <c r="N337" s="200"/>
      <c r="O337" s="200"/>
      <c r="P337" s="200"/>
      <c r="Q337" s="200"/>
    </row>
    <row r="338">
      <c r="A338" s="255"/>
      <c r="B338" s="200"/>
      <c r="C338" s="200"/>
      <c r="D338" s="200"/>
      <c r="E338" s="200"/>
      <c r="F338" s="200"/>
      <c r="G338" s="256"/>
      <c r="H338" s="200"/>
      <c r="I338" s="200"/>
      <c r="J338" s="200"/>
      <c r="K338" s="200"/>
      <c r="L338" s="200"/>
      <c r="M338" s="200"/>
      <c r="N338" s="200"/>
      <c r="O338" s="200"/>
      <c r="P338" s="200"/>
      <c r="Q338" s="200"/>
    </row>
    <row r="339">
      <c r="A339" s="255"/>
      <c r="B339" s="200"/>
      <c r="C339" s="200"/>
      <c r="D339" s="200"/>
      <c r="E339" s="200"/>
      <c r="F339" s="200"/>
      <c r="G339" s="256"/>
      <c r="H339" s="200"/>
      <c r="I339" s="200"/>
      <c r="J339" s="200"/>
      <c r="K339" s="200"/>
      <c r="L339" s="200"/>
      <c r="M339" s="200"/>
      <c r="N339" s="200"/>
      <c r="O339" s="200"/>
      <c r="P339" s="200"/>
      <c r="Q339" s="200"/>
    </row>
    <row r="340">
      <c r="A340" s="255"/>
      <c r="B340" s="200"/>
      <c r="C340" s="200"/>
      <c r="D340" s="200"/>
      <c r="E340" s="200"/>
      <c r="F340" s="200"/>
      <c r="G340" s="256"/>
      <c r="H340" s="200"/>
      <c r="I340" s="200"/>
      <c r="J340" s="200"/>
      <c r="K340" s="200"/>
      <c r="L340" s="200"/>
      <c r="M340" s="200"/>
      <c r="N340" s="200"/>
      <c r="O340" s="200"/>
      <c r="P340" s="200"/>
      <c r="Q340" s="200"/>
    </row>
    <row r="341">
      <c r="A341" s="255"/>
      <c r="B341" s="200"/>
      <c r="C341" s="200"/>
      <c r="D341" s="200"/>
      <c r="E341" s="200"/>
      <c r="F341" s="200"/>
      <c r="G341" s="256"/>
      <c r="H341" s="200"/>
      <c r="I341" s="200"/>
      <c r="J341" s="200"/>
      <c r="K341" s="200"/>
      <c r="L341" s="200"/>
      <c r="M341" s="200"/>
      <c r="N341" s="200"/>
      <c r="O341" s="200"/>
      <c r="P341" s="200"/>
      <c r="Q341" s="200"/>
    </row>
    <row r="342">
      <c r="A342" s="255"/>
      <c r="B342" s="200"/>
      <c r="C342" s="200"/>
      <c r="D342" s="200"/>
      <c r="E342" s="200"/>
      <c r="F342" s="200"/>
      <c r="G342" s="256"/>
      <c r="H342" s="200"/>
      <c r="I342" s="200"/>
      <c r="J342" s="200"/>
      <c r="K342" s="200"/>
      <c r="L342" s="200"/>
      <c r="M342" s="200"/>
      <c r="N342" s="200"/>
      <c r="O342" s="200"/>
      <c r="P342" s="200"/>
      <c r="Q342" s="200"/>
    </row>
    <row r="343">
      <c r="A343" s="255"/>
      <c r="B343" s="200"/>
      <c r="C343" s="200"/>
      <c r="D343" s="200"/>
      <c r="E343" s="200"/>
      <c r="F343" s="200"/>
      <c r="G343" s="256"/>
      <c r="H343" s="200"/>
      <c r="I343" s="200"/>
      <c r="J343" s="200"/>
      <c r="K343" s="200"/>
      <c r="L343" s="200"/>
      <c r="M343" s="200"/>
      <c r="N343" s="200"/>
      <c r="O343" s="200"/>
      <c r="P343" s="200"/>
      <c r="Q343" s="200"/>
    </row>
    <row r="344">
      <c r="A344" s="255"/>
      <c r="B344" s="200"/>
      <c r="C344" s="200"/>
      <c r="D344" s="200"/>
      <c r="E344" s="200"/>
      <c r="F344" s="200"/>
      <c r="G344" s="256"/>
      <c r="H344" s="200"/>
      <c r="I344" s="200"/>
      <c r="J344" s="200"/>
      <c r="K344" s="200"/>
      <c r="L344" s="200"/>
      <c r="M344" s="200"/>
      <c r="N344" s="200"/>
      <c r="O344" s="200"/>
      <c r="P344" s="200"/>
      <c r="Q344" s="200"/>
    </row>
    <row r="345">
      <c r="A345" s="255"/>
      <c r="B345" s="200"/>
      <c r="C345" s="200"/>
      <c r="D345" s="200"/>
      <c r="E345" s="200"/>
      <c r="F345" s="200"/>
      <c r="G345" s="256"/>
      <c r="H345" s="200"/>
      <c r="I345" s="200"/>
      <c r="J345" s="200"/>
      <c r="K345" s="200"/>
      <c r="L345" s="200"/>
      <c r="M345" s="200"/>
      <c r="N345" s="200"/>
      <c r="O345" s="200"/>
      <c r="P345" s="200"/>
      <c r="Q345" s="200"/>
    </row>
    <row r="346">
      <c r="A346" s="255"/>
      <c r="B346" s="200"/>
      <c r="C346" s="200"/>
      <c r="D346" s="200"/>
      <c r="E346" s="200"/>
      <c r="F346" s="200"/>
      <c r="G346" s="256"/>
      <c r="H346" s="200"/>
      <c r="I346" s="200"/>
      <c r="J346" s="200"/>
      <c r="K346" s="200"/>
      <c r="L346" s="200"/>
      <c r="M346" s="200"/>
      <c r="N346" s="200"/>
      <c r="O346" s="200"/>
      <c r="P346" s="200"/>
      <c r="Q346" s="200"/>
    </row>
    <row r="347">
      <c r="A347" s="255"/>
      <c r="B347" s="200"/>
      <c r="C347" s="200"/>
      <c r="D347" s="200"/>
      <c r="E347" s="200"/>
      <c r="F347" s="200"/>
      <c r="G347" s="256"/>
      <c r="H347" s="200"/>
      <c r="I347" s="200"/>
      <c r="J347" s="200"/>
      <c r="K347" s="200"/>
      <c r="L347" s="200"/>
      <c r="M347" s="200"/>
      <c r="N347" s="200"/>
      <c r="O347" s="200"/>
      <c r="P347" s="200"/>
      <c r="Q347" s="200"/>
    </row>
    <row r="348">
      <c r="A348" s="255"/>
      <c r="B348" s="200"/>
      <c r="C348" s="200"/>
      <c r="D348" s="200"/>
      <c r="E348" s="200"/>
      <c r="F348" s="200"/>
      <c r="G348" s="256"/>
      <c r="H348" s="200"/>
      <c r="I348" s="200"/>
      <c r="J348" s="200"/>
      <c r="K348" s="200"/>
      <c r="L348" s="200"/>
      <c r="M348" s="200"/>
      <c r="N348" s="200"/>
      <c r="O348" s="200"/>
      <c r="P348" s="200"/>
      <c r="Q348" s="200"/>
    </row>
    <row r="349">
      <c r="A349" s="255"/>
      <c r="B349" s="200"/>
      <c r="C349" s="200"/>
      <c r="D349" s="200"/>
      <c r="E349" s="200"/>
      <c r="F349" s="200"/>
      <c r="G349" s="256"/>
      <c r="H349" s="200"/>
      <c r="I349" s="200"/>
      <c r="J349" s="200"/>
      <c r="K349" s="200"/>
      <c r="L349" s="200"/>
      <c r="M349" s="200"/>
      <c r="N349" s="200"/>
      <c r="O349" s="200"/>
      <c r="P349" s="200"/>
      <c r="Q349" s="200"/>
    </row>
    <row r="350">
      <c r="A350" s="255"/>
      <c r="B350" s="200"/>
      <c r="C350" s="200"/>
      <c r="D350" s="200"/>
      <c r="E350" s="200"/>
      <c r="F350" s="200"/>
      <c r="G350" s="256"/>
      <c r="H350" s="200"/>
      <c r="I350" s="200"/>
      <c r="J350" s="200"/>
      <c r="K350" s="200"/>
      <c r="L350" s="200"/>
      <c r="M350" s="200"/>
      <c r="N350" s="200"/>
      <c r="O350" s="200"/>
      <c r="P350" s="200"/>
      <c r="Q350" s="200"/>
    </row>
    <row r="351">
      <c r="A351" s="255"/>
      <c r="B351" s="200"/>
      <c r="C351" s="200"/>
      <c r="D351" s="200"/>
      <c r="E351" s="200"/>
      <c r="F351" s="200"/>
      <c r="G351" s="256"/>
      <c r="H351" s="200"/>
      <c r="I351" s="200"/>
      <c r="J351" s="200"/>
      <c r="K351" s="200"/>
      <c r="L351" s="200"/>
      <c r="M351" s="200"/>
      <c r="N351" s="200"/>
      <c r="O351" s="200"/>
      <c r="P351" s="200"/>
      <c r="Q351" s="200"/>
    </row>
    <row r="352">
      <c r="A352" s="255"/>
      <c r="B352" s="200"/>
      <c r="C352" s="200"/>
      <c r="D352" s="200"/>
      <c r="E352" s="200"/>
      <c r="F352" s="200"/>
      <c r="G352" s="256"/>
      <c r="H352" s="200"/>
      <c r="I352" s="200"/>
      <c r="J352" s="200"/>
      <c r="K352" s="200"/>
      <c r="L352" s="200"/>
      <c r="M352" s="200"/>
      <c r="N352" s="200"/>
      <c r="O352" s="200"/>
      <c r="P352" s="200"/>
      <c r="Q352" s="200"/>
    </row>
    <row r="353">
      <c r="A353" s="255"/>
      <c r="B353" s="200"/>
      <c r="C353" s="200"/>
      <c r="D353" s="200"/>
      <c r="E353" s="200"/>
      <c r="F353" s="200"/>
      <c r="G353" s="256"/>
      <c r="H353" s="200"/>
      <c r="I353" s="200"/>
      <c r="J353" s="200"/>
      <c r="K353" s="200"/>
      <c r="L353" s="200"/>
      <c r="M353" s="200"/>
      <c r="N353" s="200"/>
      <c r="O353" s="200"/>
      <c r="P353" s="200"/>
      <c r="Q353" s="200"/>
    </row>
    <row r="354">
      <c r="A354" s="255"/>
      <c r="B354" s="200"/>
      <c r="C354" s="200"/>
      <c r="D354" s="200"/>
      <c r="E354" s="200"/>
      <c r="F354" s="200"/>
      <c r="G354" s="256"/>
      <c r="H354" s="200"/>
      <c r="I354" s="200"/>
      <c r="J354" s="200"/>
      <c r="K354" s="200"/>
      <c r="L354" s="200"/>
      <c r="M354" s="200"/>
      <c r="N354" s="200"/>
      <c r="O354" s="200"/>
      <c r="P354" s="200"/>
      <c r="Q354" s="200"/>
    </row>
    <row r="355">
      <c r="A355" s="255"/>
      <c r="B355" s="200"/>
      <c r="C355" s="200"/>
      <c r="D355" s="200"/>
      <c r="E355" s="200"/>
      <c r="F355" s="200"/>
      <c r="G355" s="256"/>
      <c r="H355" s="200"/>
      <c r="I355" s="200"/>
      <c r="J355" s="200"/>
      <c r="K355" s="200"/>
      <c r="L355" s="200"/>
      <c r="M355" s="200"/>
      <c r="N355" s="200"/>
      <c r="O355" s="200"/>
      <c r="P355" s="200"/>
      <c r="Q355" s="200"/>
    </row>
    <row r="356">
      <c r="A356" s="255"/>
      <c r="B356" s="200"/>
      <c r="C356" s="200"/>
      <c r="D356" s="200"/>
      <c r="E356" s="200"/>
      <c r="F356" s="200"/>
      <c r="G356" s="256"/>
      <c r="H356" s="200"/>
      <c r="I356" s="200"/>
      <c r="J356" s="200"/>
      <c r="K356" s="200"/>
      <c r="L356" s="200"/>
      <c r="M356" s="200"/>
      <c r="N356" s="200"/>
      <c r="O356" s="200"/>
      <c r="P356" s="200"/>
      <c r="Q356" s="200"/>
    </row>
    <row r="357">
      <c r="A357" s="255"/>
      <c r="B357" s="200"/>
      <c r="C357" s="200"/>
      <c r="D357" s="200"/>
      <c r="E357" s="200"/>
      <c r="F357" s="200"/>
      <c r="G357" s="256"/>
      <c r="H357" s="200"/>
      <c r="I357" s="200"/>
      <c r="J357" s="200"/>
      <c r="K357" s="200"/>
      <c r="L357" s="200"/>
      <c r="M357" s="200"/>
      <c r="N357" s="200"/>
      <c r="O357" s="200"/>
      <c r="P357" s="200"/>
      <c r="Q357" s="200"/>
    </row>
    <row r="358">
      <c r="A358" s="255"/>
      <c r="B358" s="200"/>
      <c r="C358" s="200"/>
      <c r="D358" s="200"/>
      <c r="E358" s="200"/>
      <c r="F358" s="200"/>
      <c r="G358" s="256"/>
      <c r="H358" s="200"/>
      <c r="I358" s="200"/>
      <c r="J358" s="200"/>
      <c r="K358" s="200"/>
      <c r="L358" s="200"/>
      <c r="M358" s="200"/>
      <c r="N358" s="200"/>
      <c r="O358" s="200"/>
      <c r="P358" s="200"/>
      <c r="Q358" s="200"/>
    </row>
    <row r="359">
      <c r="A359" s="255"/>
      <c r="B359" s="200"/>
      <c r="C359" s="200"/>
      <c r="D359" s="200"/>
      <c r="E359" s="200"/>
      <c r="F359" s="200"/>
      <c r="G359" s="256"/>
      <c r="H359" s="200"/>
      <c r="I359" s="200"/>
      <c r="J359" s="200"/>
      <c r="K359" s="200"/>
      <c r="L359" s="200"/>
      <c r="M359" s="200"/>
      <c r="N359" s="200"/>
      <c r="O359" s="200"/>
      <c r="P359" s="200"/>
      <c r="Q359" s="200"/>
    </row>
    <row r="360">
      <c r="A360" s="255"/>
      <c r="B360" s="200"/>
      <c r="C360" s="200"/>
      <c r="D360" s="200"/>
      <c r="E360" s="200"/>
      <c r="F360" s="200"/>
      <c r="G360" s="256"/>
      <c r="H360" s="200"/>
      <c r="I360" s="200"/>
      <c r="J360" s="200"/>
      <c r="K360" s="200"/>
      <c r="L360" s="200"/>
      <c r="M360" s="200"/>
      <c r="N360" s="200"/>
      <c r="O360" s="200"/>
      <c r="P360" s="200"/>
      <c r="Q360" s="200"/>
    </row>
    <row r="361">
      <c r="A361" s="255"/>
      <c r="B361" s="200"/>
      <c r="C361" s="200"/>
      <c r="D361" s="200"/>
      <c r="E361" s="200"/>
      <c r="F361" s="200"/>
      <c r="G361" s="256"/>
      <c r="H361" s="200"/>
      <c r="I361" s="200"/>
      <c r="J361" s="200"/>
      <c r="K361" s="200"/>
      <c r="L361" s="200"/>
      <c r="M361" s="200"/>
      <c r="N361" s="200"/>
      <c r="O361" s="200"/>
      <c r="P361" s="200"/>
      <c r="Q361" s="200"/>
    </row>
    <row r="362">
      <c r="A362" s="255"/>
      <c r="B362" s="200"/>
      <c r="C362" s="200"/>
      <c r="D362" s="200"/>
      <c r="E362" s="200"/>
      <c r="F362" s="200"/>
      <c r="G362" s="256"/>
      <c r="H362" s="200"/>
      <c r="I362" s="200"/>
      <c r="J362" s="200"/>
      <c r="K362" s="200"/>
      <c r="L362" s="200"/>
      <c r="M362" s="200"/>
      <c r="N362" s="200"/>
      <c r="O362" s="200"/>
      <c r="P362" s="200"/>
      <c r="Q362" s="200"/>
    </row>
    <row r="363">
      <c r="A363" s="255"/>
      <c r="B363" s="200"/>
      <c r="C363" s="200"/>
      <c r="D363" s="200"/>
      <c r="E363" s="200"/>
      <c r="F363" s="200"/>
      <c r="G363" s="256"/>
      <c r="H363" s="200"/>
      <c r="I363" s="200"/>
      <c r="J363" s="200"/>
      <c r="K363" s="200"/>
      <c r="L363" s="200"/>
      <c r="M363" s="200"/>
      <c r="N363" s="200"/>
      <c r="O363" s="200"/>
      <c r="P363" s="200"/>
      <c r="Q363" s="200"/>
    </row>
    <row r="364">
      <c r="A364" s="255"/>
      <c r="B364" s="200"/>
      <c r="C364" s="200"/>
      <c r="D364" s="200"/>
      <c r="E364" s="200"/>
      <c r="F364" s="200"/>
      <c r="G364" s="256"/>
      <c r="H364" s="200"/>
      <c r="I364" s="200"/>
      <c r="J364" s="200"/>
      <c r="K364" s="200"/>
      <c r="L364" s="200"/>
      <c r="M364" s="200"/>
      <c r="N364" s="200"/>
      <c r="O364" s="200"/>
      <c r="P364" s="200"/>
      <c r="Q364" s="200"/>
    </row>
    <row r="365">
      <c r="A365" s="255"/>
      <c r="B365" s="200"/>
      <c r="C365" s="200"/>
      <c r="D365" s="200"/>
      <c r="E365" s="200"/>
      <c r="F365" s="200"/>
      <c r="G365" s="256"/>
      <c r="H365" s="200"/>
      <c r="I365" s="200"/>
      <c r="J365" s="200"/>
      <c r="K365" s="200"/>
      <c r="L365" s="200"/>
      <c r="M365" s="200"/>
      <c r="N365" s="200"/>
      <c r="O365" s="200"/>
      <c r="P365" s="200"/>
      <c r="Q365" s="200"/>
    </row>
    <row r="366">
      <c r="A366" s="255"/>
      <c r="B366" s="200"/>
      <c r="C366" s="200"/>
      <c r="D366" s="200"/>
      <c r="E366" s="200"/>
      <c r="F366" s="200"/>
      <c r="G366" s="256"/>
      <c r="H366" s="200"/>
      <c r="I366" s="200"/>
      <c r="J366" s="200"/>
      <c r="K366" s="200"/>
      <c r="L366" s="200"/>
      <c r="M366" s="200"/>
      <c r="N366" s="200"/>
      <c r="O366" s="200"/>
      <c r="P366" s="200"/>
      <c r="Q366" s="200"/>
    </row>
    <row r="367">
      <c r="A367" s="255"/>
      <c r="B367" s="200"/>
      <c r="C367" s="200"/>
      <c r="D367" s="200"/>
      <c r="E367" s="200"/>
      <c r="F367" s="200"/>
      <c r="G367" s="256"/>
      <c r="H367" s="200"/>
      <c r="I367" s="200"/>
      <c r="J367" s="200"/>
      <c r="K367" s="200"/>
      <c r="L367" s="200"/>
      <c r="M367" s="200"/>
      <c r="N367" s="200"/>
      <c r="O367" s="200"/>
      <c r="P367" s="200"/>
      <c r="Q367" s="200"/>
    </row>
    <row r="368">
      <c r="A368" s="255"/>
      <c r="B368" s="200"/>
      <c r="C368" s="200"/>
      <c r="D368" s="200"/>
      <c r="E368" s="200"/>
      <c r="F368" s="200"/>
      <c r="G368" s="256"/>
      <c r="H368" s="200"/>
      <c r="I368" s="200"/>
      <c r="J368" s="200"/>
      <c r="K368" s="200"/>
      <c r="L368" s="200"/>
      <c r="M368" s="200"/>
      <c r="N368" s="200"/>
      <c r="O368" s="200"/>
      <c r="P368" s="200"/>
      <c r="Q368" s="200"/>
    </row>
    <row r="369">
      <c r="A369" s="255"/>
      <c r="B369" s="200"/>
      <c r="C369" s="200"/>
      <c r="D369" s="200"/>
      <c r="E369" s="200"/>
      <c r="F369" s="200"/>
      <c r="G369" s="256"/>
      <c r="H369" s="200"/>
      <c r="I369" s="200"/>
      <c r="J369" s="200"/>
      <c r="K369" s="200"/>
      <c r="L369" s="200"/>
      <c r="M369" s="200"/>
      <c r="N369" s="200"/>
      <c r="O369" s="200"/>
      <c r="P369" s="200"/>
      <c r="Q369" s="200"/>
    </row>
    <row r="370">
      <c r="A370" s="255"/>
      <c r="B370" s="200"/>
      <c r="C370" s="200"/>
      <c r="D370" s="200"/>
      <c r="E370" s="200"/>
      <c r="F370" s="200"/>
      <c r="G370" s="256"/>
      <c r="H370" s="200"/>
      <c r="I370" s="200"/>
      <c r="J370" s="200"/>
      <c r="K370" s="200"/>
      <c r="L370" s="200"/>
      <c r="M370" s="200"/>
      <c r="N370" s="200"/>
      <c r="O370" s="200"/>
      <c r="P370" s="200"/>
      <c r="Q370" s="200"/>
    </row>
    <row r="371">
      <c r="A371" s="255"/>
      <c r="B371" s="200"/>
      <c r="C371" s="200"/>
      <c r="D371" s="200"/>
      <c r="E371" s="200"/>
      <c r="F371" s="200"/>
      <c r="G371" s="256"/>
      <c r="H371" s="200"/>
      <c r="I371" s="200"/>
      <c r="J371" s="200"/>
      <c r="K371" s="200"/>
      <c r="L371" s="200"/>
      <c r="M371" s="200"/>
      <c r="N371" s="200"/>
      <c r="O371" s="200"/>
      <c r="P371" s="200"/>
      <c r="Q371" s="200"/>
    </row>
    <row r="372">
      <c r="A372" s="255"/>
      <c r="B372" s="200"/>
      <c r="C372" s="200"/>
      <c r="D372" s="200"/>
      <c r="E372" s="200"/>
      <c r="F372" s="200"/>
      <c r="G372" s="256"/>
      <c r="H372" s="200"/>
      <c r="I372" s="200"/>
      <c r="J372" s="200"/>
      <c r="K372" s="200"/>
      <c r="L372" s="200"/>
      <c r="M372" s="200"/>
      <c r="N372" s="200"/>
      <c r="O372" s="200"/>
      <c r="P372" s="200"/>
      <c r="Q372" s="200"/>
    </row>
    <row r="373">
      <c r="A373" s="255"/>
      <c r="B373" s="200"/>
      <c r="C373" s="200"/>
      <c r="D373" s="200"/>
      <c r="E373" s="200"/>
      <c r="F373" s="200"/>
      <c r="G373" s="256"/>
      <c r="H373" s="200"/>
      <c r="I373" s="200"/>
      <c r="J373" s="200"/>
      <c r="K373" s="200"/>
      <c r="L373" s="200"/>
      <c r="M373" s="200"/>
      <c r="N373" s="200"/>
      <c r="O373" s="200"/>
      <c r="P373" s="200"/>
      <c r="Q373" s="200"/>
    </row>
    <row r="374">
      <c r="A374" s="255"/>
      <c r="B374" s="200"/>
      <c r="C374" s="200"/>
      <c r="D374" s="200"/>
      <c r="E374" s="200"/>
      <c r="F374" s="200"/>
      <c r="G374" s="256"/>
      <c r="H374" s="200"/>
      <c r="I374" s="200"/>
      <c r="J374" s="200"/>
      <c r="K374" s="200"/>
      <c r="L374" s="200"/>
      <c r="M374" s="200"/>
      <c r="N374" s="200"/>
      <c r="O374" s="200"/>
      <c r="P374" s="200"/>
      <c r="Q374" s="200"/>
    </row>
    <row r="375">
      <c r="A375" s="255"/>
      <c r="B375" s="200"/>
      <c r="C375" s="200"/>
      <c r="D375" s="200"/>
      <c r="E375" s="200"/>
      <c r="F375" s="200"/>
      <c r="G375" s="256"/>
      <c r="H375" s="200"/>
      <c r="I375" s="200"/>
      <c r="J375" s="200"/>
      <c r="K375" s="200"/>
      <c r="L375" s="200"/>
      <c r="M375" s="200"/>
      <c r="N375" s="200"/>
      <c r="O375" s="200"/>
      <c r="P375" s="200"/>
      <c r="Q375" s="200"/>
    </row>
    <row r="376">
      <c r="A376" s="255"/>
      <c r="B376" s="200"/>
      <c r="C376" s="200"/>
      <c r="D376" s="200"/>
      <c r="E376" s="200"/>
      <c r="F376" s="200"/>
      <c r="G376" s="256"/>
      <c r="H376" s="200"/>
      <c r="I376" s="200"/>
      <c r="J376" s="200"/>
      <c r="K376" s="200"/>
      <c r="L376" s="200"/>
      <c r="M376" s="200"/>
      <c r="N376" s="200"/>
      <c r="O376" s="200"/>
      <c r="P376" s="200"/>
      <c r="Q376" s="200"/>
    </row>
    <row r="377">
      <c r="A377" s="255"/>
      <c r="B377" s="200"/>
      <c r="C377" s="200"/>
      <c r="D377" s="200"/>
      <c r="E377" s="200"/>
      <c r="F377" s="200"/>
      <c r="G377" s="256"/>
      <c r="H377" s="200"/>
      <c r="I377" s="200"/>
      <c r="J377" s="200"/>
      <c r="K377" s="200"/>
      <c r="L377" s="200"/>
      <c r="M377" s="200"/>
      <c r="N377" s="200"/>
      <c r="O377" s="200"/>
      <c r="P377" s="200"/>
      <c r="Q377" s="200"/>
    </row>
    <row r="378">
      <c r="A378" s="255"/>
      <c r="B378" s="200"/>
      <c r="C378" s="200"/>
      <c r="D378" s="200"/>
      <c r="E378" s="200"/>
      <c r="F378" s="200"/>
      <c r="G378" s="256"/>
      <c r="H378" s="200"/>
      <c r="I378" s="200"/>
      <c r="J378" s="200"/>
      <c r="K378" s="200"/>
      <c r="L378" s="200"/>
      <c r="M378" s="200"/>
      <c r="N378" s="200"/>
      <c r="O378" s="200"/>
      <c r="P378" s="200"/>
      <c r="Q378" s="200"/>
    </row>
    <row r="379">
      <c r="A379" s="255"/>
      <c r="B379" s="200"/>
      <c r="C379" s="200"/>
      <c r="D379" s="200"/>
      <c r="E379" s="200"/>
      <c r="F379" s="200"/>
      <c r="G379" s="256"/>
      <c r="H379" s="200"/>
      <c r="I379" s="200"/>
      <c r="J379" s="200"/>
      <c r="K379" s="200"/>
      <c r="L379" s="200"/>
      <c r="M379" s="200"/>
      <c r="N379" s="200"/>
      <c r="O379" s="200"/>
      <c r="P379" s="200"/>
      <c r="Q379" s="200"/>
    </row>
    <row r="380">
      <c r="A380" s="255"/>
      <c r="B380" s="200"/>
      <c r="C380" s="200"/>
      <c r="D380" s="200"/>
      <c r="E380" s="200"/>
      <c r="F380" s="200"/>
      <c r="G380" s="256"/>
      <c r="H380" s="200"/>
      <c r="I380" s="200"/>
      <c r="J380" s="200"/>
      <c r="K380" s="200"/>
      <c r="L380" s="200"/>
      <c r="M380" s="200"/>
      <c r="N380" s="200"/>
      <c r="O380" s="200"/>
      <c r="P380" s="200"/>
      <c r="Q380" s="200"/>
    </row>
    <row r="381">
      <c r="A381" s="255"/>
      <c r="B381" s="200"/>
      <c r="C381" s="200"/>
      <c r="D381" s="200"/>
      <c r="E381" s="200"/>
      <c r="F381" s="200"/>
      <c r="G381" s="256"/>
      <c r="H381" s="200"/>
      <c r="I381" s="200"/>
      <c r="J381" s="200"/>
      <c r="K381" s="200"/>
      <c r="L381" s="200"/>
      <c r="M381" s="200"/>
      <c r="N381" s="200"/>
      <c r="O381" s="200"/>
      <c r="P381" s="200"/>
      <c r="Q381" s="200"/>
    </row>
    <row r="382">
      <c r="A382" s="255"/>
      <c r="B382" s="200"/>
      <c r="C382" s="200"/>
      <c r="D382" s="200"/>
      <c r="E382" s="200"/>
      <c r="F382" s="200"/>
      <c r="G382" s="256"/>
      <c r="H382" s="200"/>
      <c r="I382" s="200"/>
      <c r="J382" s="200"/>
      <c r="K382" s="200"/>
      <c r="L382" s="200"/>
      <c r="M382" s="200"/>
      <c r="N382" s="200"/>
      <c r="O382" s="200"/>
      <c r="P382" s="200"/>
      <c r="Q382" s="200"/>
    </row>
    <row r="383">
      <c r="A383" s="255"/>
      <c r="B383" s="200"/>
      <c r="C383" s="200"/>
      <c r="D383" s="200"/>
      <c r="E383" s="200"/>
      <c r="F383" s="200"/>
      <c r="G383" s="256"/>
      <c r="H383" s="200"/>
      <c r="I383" s="200"/>
      <c r="J383" s="200"/>
      <c r="K383" s="200"/>
      <c r="L383" s="200"/>
      <c r="M383" s="200"/>
      <c r="N383" s="200"/>
      <c r="O383" s="200"/>
      <c r="P383" s="200"/>
      <c r="Q383" s="200"/>
    </row>
    <row r="384">
      <c r="A384" s="255"/>
      <c r="B384" s="200"/>
      <c r="C384" s="200"/>
      <c r="D384" s="200"/>
      <c r="E384" s="200"/>
      <c r="F384" s="200"/>
      <c r="G384" s="256"/>
      <c r="H384" s="200"/>
      <c r="I384" s="200"/>
      <c r="J384" s="200"/>
      <c r="K384" s="200"/>
      <c r="L384" s="200"/>
      <c r="M384" s="200"/>
      <c r="N384" s="200"/>
      <c r="O384" s="200"/>
      <c r="P384" s="200"/>
      <c r="Q384" s="200"/>
    </row>
    <row r="385">
      <c r="A385" s="255"/>
      <c r="B385" s="200"/>
      <c r="C385" s="200"/>
      <c r="D385" s="200"/>
      <c r="E385" s="200"/>
      <c r="F385" s="200"/>
      <c r="G385" s="256"/>
      <c r="H385" s="200"/>
      <c r="I385" s="200"/>
      <c r="J385" s="200"/>
      <c r="K385" s="200"/>
      <c r="L385" s="200"/>
      <c r="M385" s="200"/>
      <c r="N385" s="200"/>
      <c r="O385" s="200"/>
      <c r="P385" s="200"/>
      <c r="Q385" s="200"/>
    </row>
    <row r="386">
      <c r="A386" s="255"/>
      <c r="B386" s="200"/>
      <c r="C386" s="200"/>
      <c r="D386" s="200"/>
      <c r="E386" s="200"/>
      <c r="F386" s="200"/>
      <c r="G386" s="256"/>
      <c r="H386" s="200"/>
      <c r="I386" s="200"/>
      <c r="J386" s="200"/>
      <c r="K386" s="200"/>
      <c r="L386" s="200"/>
      <c r="M386" s="200"/>
      <c r="N386" s="200"/>
      <c r="O386" s="200"/>
      <c r="P386" s="200"/>
      <c r="Q386" s="200"/>
    </row>
    <row r="387">
      <c r="A387" s="255"/>
      <c r="B387" s="200"/>
      <c r="C387" s="200"/>
      <c r="D387" s="200"/>
      <c r="E387" s="200"/>
      <c r="F387" s="200"/>
      <c r="G387" s="256"/>
      <c r="H387" s="200"/>
      <c r="I387" s="200"/>
      <c r="J387" s="200"/>
      <c r="K387" s="200"/>
      <c r="L387" s="200"/>
      <c r="M387" s="200"/>
      <c r="N387" s="200"/>
      <c r="O387" s="200"/>
      <c r="P387" s="200"/>
      <c r="Q387" s="200"/>
    </row>
    <row r="388">
      <c r="A388" s="255"/>
      <c r="B388" s="200"/>
      <c r="C388" s="200"/>
      <c r="D388" s="200"/>
      <c r="E388" s="200"/>
      <c r="F388" s="200"/>
      <c r="G388" s="256"/>
      <c r="H388" s="200"/>
      <c r="I388" s="200"/>
      <c r="J388" s="200"/>
      <c r="K388" s="200"/>
      <c r="L388" s="200"/>
      <c r="M388" s="200"/>
      <c r="N388" s="200"/>
      <c r="O388" s="200"/>
      <c r="P388" s="200"/>
      <c r="Q388" s="200"/>
    </row>
    <row r="389">
      <c r="A389" s="255"/>
      <c r="B389" s="200"/>
      <c r="C389" s="200"/>
      <c r="D389" s="200"/>
      <c r="E389" s="200"/>
      <c r="F389" s="200"/>
      <c r="G389" s="256"/>
      <c r="H389" s="200"/>
      <c r="I389" s="200"/>
      <c r="J389" s="200"/>
      <c r="K389" s="200"/>
      <c r="L389" s="200"/>
      <c r="M389" s="200"/>
      <c r="N389" s="200"/>
      <c r="O389" s="200"/>
      <c r="P389" s="200"/>
      <c r="Q389" s="200"/>
    </row>
    <row r="390">
      <c r="A390" s="255"/>
      <c r="B390" s="200"/>
      <c r="C390" s="200"/>
      <c r="D390" s="200"/>
      <c r="E390" s="200"/>
      <c r="F390" s="200"/>
      <c r="G390" s="256"/>
      <c r="H390" s="200"/>
      <c r="I390" s="200"/>
      <c r="J390" s="200"/>
      <c r="K390" s="200"/>
      <c r="L390" s="200"/>
      <c r="M390" s="200"/>
      <c r="N390" s="200"/>
      <c r="O390" s="200"/>
      <c r="P390" s="200"/>
      <c r="Q390" s="200"/>
    </row>
    <row r="391">
      <c r="A391" s="255"/>
      <c r="B391" s="200"/>
      <c r="C391" s="200"/>
      <c r="D391" s="200"/>
      <c r="E391" s="200"/>
      <c r="F391" s="200"/>
      <c r="G391" s="256"/>
      <c r="H391" s="200"/>
      <c r="I391" s="200"/>
      <c r="J391" s="200"/>
      <c r="K391" s="200"/>
      <c r="L391" s="200"/>
      <c r="M391" s="200"/>
      <c r="N391" s="200"/>
      <c r="O391" s="200"/>
      <c r="P391" s="200"/>
      <c r="Q391" s="200"/>
    </row>
    <row r="392">
      <c r="A392" s="255"/>
      <c r="B392" s="200"/>
      <c r="C392" s="200"/>
      <c r="D392" s="200"/>
      <c r="E392" s="200"/>
      <c r="F392" s="200"/>
      <c r="G392" s="256"/>
      <c r="H392" s="200"/>
      <c r="I392" s="200"/>
      <c r="J392" s="200"/>
      <c r="K392" s="200"/>
      <c r="L392" s="200"/>
      <c r="M392" s="200"/>
      <c r="N392" s="200"/>
      <c r="O392" s="200"/>
      <c r="P392" s="200"/>
      <c r="Q392" s="200"/>
    </row>
    <row r="393">
      <c r="A393" s="255"/>
      <c r="B393" s="200"/>
      <c r="C393" s="200"/>
      <c r="D393" s="200"/>
      <c r="E393" s="200"/>
      <c r="F393" s="200"/>
      <c r="G393" s="256"/>
      <c r="H393" s="200"/>
      <c r="I393" s="200"/>
      <c r="J393" s="200"/>
      <c r="K393" s="200"/>
      <c r="L393" s="200"/>
      <c r="M393" s="200"/>
      <c r="N393" s="200"/>
      <c r="O393" s="200"/>
      <c r="P393" s="200"/>
      <c r="Q393" s="200"/>
    </row>
    <row r="394">
      <c r="A394" s="255"/>
      <c r="B394" s="200"/>
      <c r="C394" s="200"/>
      <c r="D394" s="200"/>
      <c r="E394" s="200"/>
      <c r="F394" s="200"/>
      <c r="G394" s="256"/>
      <c r="H394" s="200"/>
      <c r="I394" s="200"/>
      <c r="J394" s="200"/>
      <c r="K394" s="200"/>
      <c r="L394" s="200"/>
      <c r="M394" s="200"/>
      <c r="N394" s="200"/>
      <c r="O394" s="200"/>
      <c r="P394" s="200"/>
      <c r="Q394" s="200"/>
    </row>
    <row r="395">
      <c r="A395" s="255"/>
      <c r="B395" s="200"/>
      <c r="C395" s="200"/>
      <c r="D395" s="200"/>
      <c r="E395" s="200"/>
      <c r="F395" s="200"/>
      <c r="G395" s="256"/>
      <c r="H395" s="200"/>
      <c r="I395" s="200"/>
      <c r="J395" s="200"/>
      <c r="K395" s="200"/>
      <c r="L395" s="200"/>
      <c r="M395" s="200"/>
      <c r="N395" s="200"/>
      <c r="O395" s="200"/>
      <c r="P395" s="200"/>
      <c r="Q395" s="200"/>
    </row>
    <row r="396">
      <c r="A396" s="255"/>
      <c r="B396" s="200"/>
      <c r="C396" s="200"/>
      <c r="D396" s="200"/>
      <c r="E396" s="200"/>
      <c r="F396" s="200"/>
      <c r="G396" s="256"/>
      <c r="H396" s="200"/>
      <c r="I396" s="200"/>
      <c r="J396" s="200"/>
      <c r="K396" s="200"/>
      <c r="L396" s="200"/>
      <c r="M396" s="200"/>
      <c r="N396" s="200"/>
      <c r="O396" s="200"/>
      <c r="P396" s="200"/>
      <c r="Q396" s="200"/>
    </row>
    <row r="397">
      <c r="A397" s="255"/>
      <c r="B397" s="200"/>
      <c r="C397" s="200"/>
      <c r="D397" s="200"/>
      <c r="E397" s="200"/>
      <c r="F397" s="200"/>
      <c r="G397" s="256"/>
      <c r="H397" s="200"/>
      <c r="I397" s="200"/>
      <c r="J397" s="200"/>
      <c r="K397" s="200"/>
      <c r="L397" s="200"/>
      <c r="M397" s="200"/>
      <c r="N397" s="200"/>
      <c r="O397" s="200"/>
      <c r="P397" s="200"/>
      <c r="Q397" s="200"/>
    </row>
    <row r="398">
      <c r="A398" s="255"/>
      <c r="B398" s="200"/>
      <c r="C398" s="200"/>
      <c r="D398" s="200"/>
      <c r="E398" s="200"/>
      <c r="F398" s="200"/>
      <c r="G398" s="256"/>
      <c r="H398" s="200"/>
      <c r="I398" s="200"/>
      <c r="J398" s="200"/>
      <c r="K398" s="200"/>
      <c r="L398" s="200"/>
      <c r="M398" s="200"/>
      <c r="N398" s="200"/>
      <c r="O398" s="200"/>
      <c r="P398" s="200"/>
      <c r="Q398" s="200"/>
    </row>
    <row r="399">
      <c r="A399" s="255"/>
      <c r="B399" s="200"/>
      <c r="C399" s="200"/>
      <c r="D399" s="200"/>
      <c r="E399" s="200"/>
      <c r="F399" s="200"/>
      <c r="G399" s="256"/>
      <c r="H399" s="200"/>
      <c r="I399" s="200"/>
      <c r="J399" s="200"/>
      <c r="K399" s="200"/>
      <c r="L399" s="200"/>
      <c r="M399" s="200"/>
      <c r="N399" s="200"/>
      <c r="O399" s="200"/>
      <c r="P399" s="200"/>
      <c r="Q399" s="200"/>
    </row>
    <row r="400">
      <c r="A400" s="255"/>
      <c r="B400" s="200"/>
      <c r="C400" s="200"/>
      <c r="D400" s="200"/>
      <c r="E400" s="200"/>
      <c r="F400" s="200"/>
      <c r="G400" s="256"/>
      <c r="H400" s="200"/>
      <c r="I400" s="200"/>
      <c r="J400" s="200"/>
      <c r="K400" s="200"/>
      <c r="L400" s="200"/>
      <c r="M400" s="200"/>
      <c r="N400" s="200"/>
      <c r="O400" s="200"/>
      <c r="P400" s="200"/>
      <c r="Q400" s="200"/>
    </row>
    <row r="401">
      <c r="A401" s="255"/>
      <c r="B401" s="200"/>
      <c r="C401" s="200"/>
      <c r="D401" s="200"/>
      <c r="E401" s="200"/>
      <c r="F401" s="200"/>
      <c r="G401" s="256"/>
      <c r="H401" s="200"/>
      <c r="I401" s="200"/>
      <c r="J401" s="200"/>
      <c r="K401" s="200"/>
      <c r="L401" s="200"/>
      <c r="M401" s="200"/>
      <c r="N401" s="200"/>
      <c r="O401" s="200"/>
      <c r="P401" s="200"/>
      <c r="Q401" s="200"/>
    </row>
    <row r="402">
      <c r="A402" s="255"/>
      <c r="B402" s="200"/>
      <c r="C402" s="200"/>
      <c r="D402" s="200"/>
      <c r="E402" s="200"/>
      <c r="F402" s="200"/>
      <c r="G402" s="256"/>
      <c r="H402" s="200"/>
      <c r="I402" s="200"/>
      <c r="J402" s="200"/>
      <c r="K402" s="200"/>
      <c r="L402" s="200"/>
      <c r="M402" s="200"/>
      <c r="N402" s="200"/>
      <c r="O402" s="200"/>
      <c r="P402" s="200"/>
      <c r="Q402" s="200"/>
    </row>
    <row r="403">
      <c r="A403" s="255"/>
      <c r="B403" s="200"/>
      <c r="C403" s="200"/>
      <c r="D403" s="200"/>
      <c r="E403" s="200"/>
      <c r="F403" s="200"/>
      <c r="G403" s="256"/>
      <c r="H403" s="200"/>
      <c r="I403" s="200"/>
      <c r="J403" s="200"/>
      <c r="K403" s="200"/>
      <c r="L403" s="200"/>
      <c r="M403" s="200"/>
      <c r="N403" s="200"/>
      <c r="O403" s="200"/>
      <c r="P403" s="200"/>
      <c r="Q403" s="200"/>
    </row>
    <row r="404">
      <c r="A404" s="255"/>
      <c r="B404" s="200"/>
      <c r="C404" s="200"/>
      <c r="D404" s="200"/>
      <c r="E404" s="200"/>
      <c r="F404" s="200"/>
      <c r="G404" s="256"/>
      <c r="H404" s="200"/>
      <c r="I404" s="200"/>
      <c r="J404" s="200"/>
      <c r="K404" s="200"/>
      <c r="L404" s="200"/>
      <c r="M404" s="200"/>
      <c r="N404" s="200"/>
      <c r="O404" s="200"/>
      <c r="P404" s="200"/>
      <c r="Q404" s="200"/>
    </row>
    <row r="405">
      <c r="A405" s="255"/>
      <c r="B405" s="200"/>
      <c r="C405" s="200"/>
      <c r="D405" s="200"/>
      <c r="E405" s="200"/>
      <c r="F405" s="200"/>
      <c r="G405" s="256"/>
      <c r="H405" s="200"/>
      <c r="I405" s="200"/>
      <c r="J405" s="200"/>
      <c r="K405" s="200"/>
      <c r="L405" s="200"/>
      <c r="M405" s="200"/>
      <c r="N405" s="200"/>
      <c r="O405" s="200"/>
      <c r="P405" s="200"/>
      <c r="Q405" s="200"/>
    </row>
    <row r="406">
      <c r="A406" s="255"/>
      <c r="B406" s="200"/>
      <c r="C406" s="200"/>
      <c r="D406" s="200"/>
      <c r="E406" s="200"/>
      <c r="F406" s="200"/>
      <c r="G406" s="256"/>
      <c r="H406" s="200"/>
      <c r="I406" s="200"/>
      <c r="J406" s="200"/>
      <c r="K406" s="200"/>
      <c r="L406" s="200"/>
      <c r="M406" s="200"/>
      <c r="N406" s="200"/>
      <c r="O406" s="200"/>
      <c r="P406" s="200"/>
      <c r="Q406" s="200"/>
    </row>
    <row r="407">
      <c r="A407" s="255"/>
      <c r="B407" s="200"/>
      <c r="C407" s="200"/>
      <c r="D407" s="200"/>
      <c r="E407" s="200"/>
      <c r="F407" s="200"/>
      <c r="G407" s="256"/>
      <c r="H407" s="200"/>
      <c r="I407" s="200"/>
      <c r="J407" s="200"/>
      <c r="K407" s="200"/>
      <c r="L407" s="200"/>
      <c r="M407" s="200"/>
      <c r="N407" s="200"/>
      <c r="O407" s="200"/>
      <c r="P407" s="200"/>
      <c r="Q407" s="200"/>
    </row>
    <row r="408">
      <c r="A408" s="255"/>
      <c r="B408" s="200"/>
      <c r="C408" s="200"/>
      <c r="D408" s="200"/>
      <c r="E408" s="200"/>
      <c r="F408" s="200"/>
      <c r="G408" s="256"/>
      <c r="H408" s="200"/>
      <c r="I408" s="200"/>
      <c r="J408" s="200"/>
      <c r="K408" s="200"/>
      <c r="L408" s="200"/>
      <c r="M408" s="200"/>
      <c r="N408" s="200"/>
      <c r="O408" s="200"/>
      <c r="P408" s="200"/>
      <c r="Q408" s="200"/>
    </row>
    <row r="409">
      <c r="A409" s="255"/>
      <c r="B409" s="200"/>
      <c r="C409" s="200"/>
      <c r="D409" s="200"/>
      <c r="E409" s="200"/>
      <c r="F409" s="200"/>
      <c r="G409" s="256"/>
      <c r="H409" s="200"/>
      <c r="I409" s="200"/>
      <c r="J409" s="200"/>
      <c r="K409" s="200"/>
      <c r="L409" s="200"/>
      <c r="M409" s="200"/>
      <c r="N409" s="200"/>
      <c r="O409" s="200"/>
      <c r="P409" s="200"/>
      <c r="Q409" s="200"/>
    </row>
    <row r="410">
      <c r="A410" s="255"/>
      <c r="B410" s="200"/>
      <c r="C410" s="200"/>
      <c r="D410" s="200"/>
      <c r="E410" s="200"/>
      <c r="F410" s="200"/>
      <c r="G410" s="256"/>
      <c r="H410" s="200"/>
      <c r="I410" s="200"/>
      <c r="J410" s="200"/>
      <c r="K410" s="200"/>
      <c r="L410" s="200"/>
      <c r="M410" s="200"/>
      <c r="N410" s="200"/>
      <c r="O410" s="200"/>
      <c r="P410" s="200"/>
      <c r="Q410" s="200"/>
    </row>
    <row r="411">
      <c r="A411" s="255"/>
      <c r="B411" s="200"/>
      <c r="C411" s="200"/>
      <c r="D411" s="200"/>
      <c r="E411" s="200"/>
      <c r="F411" s="200"/>
      <c r="G411" s="256"/>
      <c r="H411" s="200"/>
      <c r="I411" s="200"/>
      <c r="J411" s="200"/>
      <c r="K411" s="200"/>
      <c r="L411" s="200"/>
      <c r="M411" s="200"/>
      <c r="N411" s="200"/>
      <c r="O411" s="200"/>
      <c r="P411" s="200"/>
      <c r="Q411" s="200"/>
    </row>
    <row r="412">
      <c r="A412" s="255"/>
      <c r="B412" s="200"/>
      <c r="C412" s="200"/>
      <c r="D412" s="200"/>
      <c r="E412" s="200"/>
      <c r="F412" s="200"/>
      <c r="G412" s="256"/>
      <c r="H412" s="200"/>
      <c r="I412" s="200"/>
      <c r="J412" s="200"/>
      <c r="K412" s="200"/>
      <c r="L412" s="200"/>
      <c r="M412" s="200"/>
      <c r="N412" s="200"/>
      <c r="O412" s="200"/>
      <c r="P412" s="200"/>
      <c r="Q412" s="200"/>
    </row>
    <row r="413">
      <c r="A413" s="255"/>
      <c r="B413" s="200"/>
      <c r="C413" s="200"/>
      <c r="D413" s="200"/>
      <c r="E413" s="200"/>
      <c r="F413" s="200"/>
      <c r="G413" s="256"/>
      <c r="H413" s="200"/>
      <c r="I413" s="200"/>
      <c r="J413" s="200"/>
      <c r="K413" s="200"/>
      <c r="L413" s="200"/>
      <c r="M413" s="200"/>
      <c r="N413" s="200"/>
      <c r="O413" s="200"/>
      <c r="P413" s="200"/>
      <c r="Q413" s="200"/>
    </row>
    <row r="414">
      <c r="A414" s="255"/>
      <c r="B414" s="200"/>
      <c r="C414" s="200"/>
      <c r="D414" s="200"/>
      <c r="E414" s="200"/>
      <c r="F414" s="200"/>
      <c r="G414" s="256"/>
      <c r="H414" s="200"/>
      <c r="I414" s="200"/>
      <c r="J414" s="200"/>
      <c r="K414" s="200"/>
      <c r="L414" s="200"/>
      <c r="M414" s="200"/>
      <c r="N414" s="200"/>
      <c r="O414" s="200"/>
      <c r="P414" s="200"/>
      <c r="Q414" s="200"/>
    </row>
    <row r="415">
      <c r="A415" s="255"/>
      <c r="B415" s="200"/>
      <c r="C415" s="200"/>
      <c r="D415" s="200"/>
      <c r="E415" s="200"/>
      <c r="F415" s="200"/>
      <c r="G415" s="256"/>
      <c r="H415" s="200"/>
      <c r="I415" s="200"/>
      <c r="J415" s="200"/>
      <c r="K415" s="200"/>
      <c r="L415" s="200"/>
      <c r="M415" s="200"/>
      <c r="N415" s="200"/>
      <c r="O415" s="200"/>
      <c r="P415" s="200"/>
      <c r="Q415" s="200"/>
    </row>
    <row r="416">
      <c r="A416" s="255"/>
      <c r="B416" s="200"/>
      <c r="C416" s="200"/>
      <c r="D416" s="200"/>
      <c r="E416" s="200"/>
      <c r="F416" s="200"/>
      <c r="G416" s="256"/>
      <c r="H416" s="200"/>
      <c r="I416" s="200"/>
      <c r="J416" s="200"/>
      <c r="K416" s="200"/>
      <c r="L416" s="200"/>
      <c r="M416" s="200"/>
      <c r="N416" s="200"/>
      <c r="O416" s="200"/>
      <c r="P416" s="200"/>
      <c r="Q416" s="200"/>
    </row>
    <row r="417">
      <c r="A417" s="255"/>
      <c r="B417" s="200"/>
      <c r="C417" s="200"/>
      <c r="D417" s="200"/>
      <c r="E417" s="200"/>
      <c r="F417" s="200"/>
      <c r="G417" s="256"/>
      <c r="H417" s="200"/>
      <c r="I417" s="200"/>
      <c r="J417" s="200"/>
      <c r="K417" s="200"/>
      <c r="L417" s="200"/>
      <c r="M417" s="200"/>
      <c r="N417" s="200"/>
      <c r="O417" s="200"/>
      <c r="P417" s="200"/>
      <c r="Q417" s="200"/>
    </row>
    <row r="418">
      <c r="A418" s="255"/>
      <c r="B418" s="200"/>
      <c r="C418" s="200"/>
      <c r="D418" s="200"/>
      <c r="E418" s="200"/>
      <c r="F418" s="200"/>
      <c r="G418" s="256"/>
      <c r="H418" s="200"/>
      <c r="I418" s="200"/>
      <c r="J418" s="200"/>
      <c r="K418" s="200"/>
      <c r="L418" s="200"/>
      <c r="M418" s="200"/>
      <c r="N418" s="200"/>
      <c r="O418" s="200"/>
      <c r="P418" s="200"/>
      <c r="Q418" s="200"/>
    </row>
    <row r="419">
      <c r="A419" s="255"/>
      <c r="B419" s="200"/>
      <c r="C419" s="200"/>
      <c r="D419" s="200"/>
      <c r="E419" s="200"/>
      <c r="F419" s="200"/>
      <c r="G419" s="256"/>
      <c r="H419" s="200"/>
      <c r="I419" s="200"/>
      <c r="J419" s="200"/>
      <c r="K419" s="200"/>
      <c r="L419" s="200"/>
      <c r="M419" s="200"/>
      <c r="N419" s="200"/>
      <c r="O419" s="200"/>
      <c r="P419" s="200"/>
      <c r="Q419" s="200"/>
    </row>
    <row r="420">
      <c r="A420" s="255"/>
      <c r="B420" s="200"/>
      <c r="C420" s="200"/>
      <c r="D420" s="200"/>
      <c r="E420" s="200"/>
      <c r="F420" s="200"/>
      <c r="G420" s="256"/>
      <c r="H420" s="200"/>
      <c r="I420" s="200"/>
      <c r="J420" s="200"/>
      <c r="K420" s="200"/>
      <c r="L420" s="200"/>
      <c r="M420" s="200"/>
      <c r="N420" s="200"/>
      <c r="O420" s="200"/>
      <c r="P420" s="200"/>
      <c r="Q420" s="200"/>
    </row>
    <row r="421">
      <c r="A421" s="255"/>
      <c r="B421" s="200"/>
      <c r="C421" s="200"/>
      <c r="D421" s="200"/>
      <c r="E421" s="200"/>
      <c r="F421" s="200"/>
      <c r="G421" s="256"/>
      <c r="H421" s="200"/>
      <c r="I421" s="200"/>
      <c r="J421" s="200"/>
      <c r="K421" s="200"/>
      <c r="L421" s="200"/>
      <c r="M421" s="200"/>
      <c r="N421" s="200"/>
      <c r="O421" s="200"/>
      <c r="P421" s="200"/>
      <c r="Q421" s="200"/>
    </row>
    <row r="422">
      <c r="A422" s="255"/>
      <c r="B422" s="200"/>
      <c r="C422" s="200"/>
      <c r="D422" s="200"/>
      <c r="E422" s="200"/>
      <c r="F422" s="200"/>
      <c r="G422" s="256"/>
      <c r="H422" s="200"/>
      <c r="I422" s="200"/>
      <c r="J422" s="200"/>
      <c r="K422" s="200"/>
      <c r="L422" s="200"/>
      <c r="M422" s="200"/>
      <c r="N422" s="200"/>
      <c r="O422" s="200"/>
      <c r="P422" s="200"/>
      <c r="Q422" s="200"/>
    </row>
    <row r="423">
      <c r="A423" s="255"/>
      <c r="B423" s="200"/>
      <c r="C423" s="200"/>
      <c r="D423" s="200"/>
      <c r="E423" s="200"/>
      <c r="F423" s="200"/>
      <c r="G423" s="256"/>
      <c r="H423" s="200"/>
      <c r="I423" s="200"/>
      <c r="J423" s="200"/>
      <c r="K423" s="200"/>
      <c r="L423" s="200"/>
      <c r="M423" s="200"/>
      <c r="N423" s="200"/>
      <c r="O423" s="200"/>
      <c r="P423" s="200"/>
      <c r="Q423" s="200"/>
    </row>
    <row r="424">
      <c r="A424" s="255"/>
      <c r="B424" s="200"/>
      <c r="C424" s="200"/>
      <c r="D424" s="200"/>
      <c r="E424" s="200"/>
      <c r="F424" s="200"/>
      <c r="G424" s="256"/>
      <c r="H424" s="200"/>
      <c r="I424" s="200"/>
      <c r="J424" s="200"/>
      <c r="K424" s="200"/>
      <c r="L424" s="200"/>
      <c r="M424" s="200"/>
      <c r="N424" s="200"/>
      <c r="O424" s="200"/>
      <c r="P424" s="200"/>
      <c r="Q424" s="200"/>
    </row>
    <row r="425">
      <c r="A425" s="255"/>
      <c r="B425" s="200"/>
      <c r="C425" s="200"/>
      <c r="D425" s="200"/>
      <c r="E425" s="200"/>
      <c r="F425" s="200"/>
      <c r="G425" s="256"/>
      <c r="H425" s="200"/>
      <c r="I425" s="200"/>
      <c r="J425" s="200"/>
      <c r="K425" s="200"/>
      <c r="L425" s="200"/>
      <c r="M425" s="200"/>
      <c r="N425" s="200"/>
      <c r="O425" s="200"/>
      <c r="P425" s="200"/>
      <c r="Q425" s="200"/>
    </row>
    <row r="426">
      <c r="A426" s="255"/>
      <c r="B426" s="200"/>
      <c r="C426" s="200"/>
      <c r="D426" s="200"/>
      <c r="E426" s="200"/>
      <c r="F426" s="200"/>
      <c r="G426" s="256"/>
      <c r="H426" s="200"/>
      <c r="I426" s="200"/>
      <c r="J426" s="200"/>
      <c r="K426" s="200"/>
      <c r="L426" s="200"/>
      <c r="M426" s="200"/>
      <c r="N426" s="200"/>
      <c r="O426" s="200"/>
      <c r="P426" s="200"/>
      <c r="Q426" s="200"/>
    </row>
    <row r="427">
      <c r="A427" s="255"/>
      <c r="B427" s="200"/>
      <c r="C427" s="200"/>
      <c r="D427" s="200"/>
      <c r="E427" s="200"/>
      <c r="F427" s="200"/>
      <c r="G427" s="256"/>
      <c r="H427" s="200"/>
      <c r="I427" s="200"/>
      <c r="J427" s="200"/>
      <c r="K427" s="200"/>
      <c r="L427" s="200"/>
      <c r="M427" s="200"/>
      <c r="N427" s="200"/>
      <c r="O427" s="200"/>
      <c r="P427" s="200"/>
      <c r="Q427" s="200"/>
    </row>
    <row r="428">
      <c r="A428" s="255"/>
      <c r="B428" s="200"/>
      <c r="C428" s="200"/>
      <c r="D428" s="200"/>
      <c r="E428" s="200"/>
      <c r="F428" s="200"/>
      <c r="G428" s="256"/>
      <c r="H428" s="200"/>
      <c r="I428" s="200"/>
      <c r="J428" s="200"/>
      <c r="K428" s="200"/>
      <c r="L428" s="200"/>
      <c r="M428" s="200"/>
      <c r="N428" s="200"/>
      <c r="O428" s="200"/>
      <c r="P428" s="200"/>
      <c r="Q428" s="200"/>
    </row>
    <row r="429">
      <c r="A429" s="255"/>
      <c r="B429" s="200"/>
      <c r="C429" s="200"/>
      <c r="D429" s="200"/>
      <c r="E429" s="200"/>
      <c r="F429" s="200"/>
      <c r="G429" s="256"/>
      <c r="H429" s="200"/>
      <c r="I429" s="200"/>
      <c r="J429" s="200"/>
      <c r="K429" s="200"/>
      <c r="L429" s="200"/>
      <c r="M429" s="200"/>
      <c r="N429" s="200"/>
      <c r="O429" s="200"/>
      <c r="P429" s="200"/>
      <c r="Q429" s="200"/>
    </row>
    <row r="430">
      <c r="A430" s="255"/>
      <c r="B430" s="200"/>
      <c r="C430" s="200"/>
      <c r="D430" s="200"/>
      <c r="E430" s="200"/>
      <c r="F430" s="200"/>
      <c r="G430" s="256"/>
      <c r="H430" s="200"/>
      <c r="I430" s="200"/>
      <c r="J430" s="200"/>
      <c r="K430" s="200"/>
      <c r="L430" s="200"/>
      <c r="M430" s="200"/>
      <c r="N430" s="200"/>
      <c r="O430" s="200"/>
      <c r="P430" s="200"/>
      <c r="Q430" s="200"/>
    </row>
    <row r="431">
      <c r="A431" s="255"/>
      <c r="B431" s="200"/>
      <c r="C431" s="200"/>
      <c r="D431" s="200"/>
      <c r="E431" s="200"/>
      <c r="F431" s="200"/>
      <c r="G431" s="256"/>
      <c r="H431" s="200"/>
      <c r="I431" s="200"/>
      <c r="J431" s="200"/>
      <c r="K431" s="200"/>
      <c r="L431" s="200"/>
      <c r="M431" s="200"/>
      <c r="N431" s="200"/>
      <c r="O431" s="200"/>
      <c r="P431" s="200"/>
      <c r="Q431" s="200"/>
    </row>
    <row r="432">
      <c r="A432" s="255"/>
      <c r="B432" s="200"/>
      <c r="C432" s="200"/>
      <c r="D432" s="200"/>
      <c r="E432" s="200"/>
      <c r="F432" s="200"/>
      <c r="G432" s="256"/>
      <c r="H432" s="200"/>
      <c r="I432" s="200"/>
      <c r="J432" s="200"/>
      <c r="K432" s="200"/>
      <c r="L432" s="200"/>
      <c r="M432" s="200"/>
      <c r="N432" s="200"/>
      <c r="O432" s="200"/>
      <c r="P432" s="200"/>
      <c r="Q432" s="200"/>
    </row>
    <row r="433">
      <c r="A433" s="255"/>
      <c r="B433" s="200"/>
      <c r="C433" s="200"/>
      <c r="D433" s="200"/>
      <c r="E433" s="200"/>
      <c r="F433" s="200"/>
      <c r="G433" s="256"/>
      <c r="H433" s="200"/>
      <c r="I433" s="200"/>
      <c r="J433" s="200"/>
      <c r="K433" s="200"/>
      <c r="L433" s="200"/>
      <c r="M433" s="200"/>
      <c r="N433" s="200"/>
      <c r="O433" s="200"/>
      <c r="P433" s="200"/>
      <c r="Q433" s="200"/>
    </row>
    <row r="434">
      <c r="A434" s="255"/>
      <c r="B434" s="200"/>
      <c r="C434" s="200"/>
      <c r="D434" s="200"/>
      <c r="E434" s="200"/>
      <c r="F434" s="200"/>
      <c r="G434" s="256"/>
      <c r="H434" s="200"/>
      <c r="I434" s="200"/>
      <c r="J434" s="200"/>
      <c r="K434" s="200"/>
      <c r="L434" s="200"/>
      <c r="M434" s="200"/>
      <c r="N434" s="200"/>
      <c r="O434" s="200"/>
      <c r="P434" s="200"/>
      <c r="Q434" s="200"/>
    </row>
    <row r="435">
      <c r="A435" s="255"/>
      <c r="B435" s="200"/>
      <c r="C435" s="200"/>
      <c r="D435" s="200"/>
      <c r="E435" s="200"/>
      <c r="F435" s="200"/>
      <c r="G435" s="256"/>
      <c r="H435" s="200"/>
      <c r="I435" s="200"/>
      <c r="J435" s="200"/>
      <c r="K435" s="200"/>
      <c r="L435" s="200"/>
      <c r="M435" s="200"/>
      <c r="N435" s="200"/>
      <c r="O435" s="200"/>
      <c r="P435" s="200"/>
      <c r="Q435" s="200"/>
    </row>
    <row r="436">
      <c r="A436" s="255"/>
      <c r="B436" s="200"/>
      <c r="C436" s="200"/>
      <c r="D436" s="200"/>
      <c r="E436" s="200"/>
      <c r="F436" s="200"/>
      <c r="G436" s="256"/>
      <c r="H436" s="200"/>
      <c r="I436" s="200"/>
      <c r="J436" s="200"/>
      <c r="K436" s="200"/>
      <c r="L436" s="200"/>
      <c r="M436" s="200"/>
      <c r="N436" s="200"/>
      <c r="O436" s="200"/>
      <c r="P436" s="200"/>
      <c r="Q436" s="200"/>
    </row>
    <row r="437">
      <c r="A437" s="255"/>
      <c r="B437" s="200"/>
      <c r="C437" s="200"/>
      <c r="D437" s="200"/>
      <c r="E437" s="200"/>
      <c r="F437" s="200"/>
      <c r="G437" s="256"/>
      <c r="H437" s="200"/>
      <c r="I437" s="200"/>
      <c r="J437" s="200"/>
      <c r="K437" s="200"/>
      <c r="L437" s="200"/>
      <c r="M437" s="200"/>
      <c r="N437" s="200"/>
      <c r="O437" s="200"/>
      <c r="P437" s="200"/>
      <c r="Q437" s="200"/>
    </row>
    <row r="438">
      <c r="A438" s="255"/>
      <c r="B438" s="200"/>
      <c r="C438" s="200"/>
      <c r="D438" s="200"/>
      <c r="E438" s="200"/>
      <c r="F438" s="200"/>
      <c r="G438" s="256"/>
      <c r="H438" s="200"/>
      <c r="I438" s="200"/>
      <c r="J438" s="200"/>
      <c r="K438" s="200"/>
      <c r="L438" s="200"/>
      <c r="M438" s="200"/>
      <c r="N438" s="200"/>
      <c r="O438" s="200"/>
      <c r="P438" s="200"/>
      <c r="Q438" s="200"/>
    </row>
    <row r="439">
      <c r="A439" s="255"/>
      <c r="B439" s="200"/>
      <c r="C439" s="200"/>
      <c r="D439" s="200"/>
      <c r="E439" s="200"/>
      <c r="F439" s="200"/>
      <c r="G439" s="256"/>
      <c r="H439" s="200"/>
      <c r="I439" s="200"/>
      <c r="J439" s="200"/>
      <c r="K439" s="200"/>
      <c r="L439" s="200"/>
      <c r="M439" s="200"/>
      <c r="N439" s="200"/>
      <c r="O439" s="200"/>
      <c r="P439" s="200"/>
      <c r="Q439" s="200"/>
    </row>
    <row r="440">
      <c r="A440" s="255"/>
      <c r="B440" s="200"/>
      <c r="C440" s="200"/>
      <c r="D440" s="200"/>
      <c r="E440" s="200"/>
      <c r="F440" s="200"/>
      <c r="G440" s="256"/>
      <c r="H440" s="200"/>
      <c r="I440" s="200"/>
      <c r="J440" s="200"/>
      <c r="K440" s="200"/>
      <c r="L440" s="200"/>
      <c r="M440" s="200"/>
      <c r="N440" s="200"/>
      <c r="O440" s="200"/>
      <c r="P440" s="200"/>
      <c r="Q440" s="200"/>
    </row>
    <row r="441">
      <c r="A441" s="255"/>
      <c r="B441" s="200"/>
      <c r="C441" s="200"/>
      <c r="D441" s="200"/>
      <c r="E441" s="200"/>
      <c r="F441" s="200"/>
      <c r="G441" s="256"/>
      <c r="H441" s="200"/>
      <c r="I441" s="200"/>
      <c r="J441" s="200"/>
      <c r="K441" s="200"/>
      <c r="L441" s="200"/>
      <c r="M441" s="200"/>
      <c r="N441" s="200"/>
      <c r="O441" s="200"/>
      <c r="P441" s="200"/>
      <c r="Q441" s="200"/>
    </row>
    <row r="442">
      <c r="A442" s="255"/>
      <c r="B442" s="200"/>
      <c r="C442" s="200"/>
      <c r="D442" s="200"/>
      <c r="E442" s="200"/>
      <c r="F442" s="200"/>
      <c r="G442" s="256"/>
      <c r="H442" s="200"/>
      <c r="I442" s="200"/>
      <c r="J442" s="200"/>
      <c r="K442" s="200"/>
      <c r="L442" s="200"/>
      <c r="M442" s="200"/>
      <c r="N442" s="200"/>
      <c r="O442" s="200"/>
      <c r="P442" s="200"/>
      <c r="Q442" s="200"/>
    </row>
    <row r="443">
      <c r="A443" s="255"/>
      <c r="B443" s="200"/>
      <c r="C443" s="200"/>
      <c r="D443" s="200"/>
      <c r="E443" s="200"/>
      <c r="F443" s="200"/>
      <c r="G443" s="256"/>
      <c r="H443" s="200"/>
      <c r="I443" s="200"/>
      <c r="J443" s="200"/>
      <c r="K443" s="200"/>
      <c r="L443" s="200"/>
      <c r="M443" s="200"/>
      <c r="N443" s="200"/>
      <c r="O443" s="200"/>
      <c r="P443" s="200"/>
      <c r="Q443" s="200"/>
    </row>
    <row r="444">
      <c r="A444" s="255"/>
      <c r="B444" s="200"/>
      <c r="C444" s="200"/>
      <c r="D444" s="200"/>
      <c r="E444" s="200"/>
      <c r="F444" s="200"/>
      <c r="G444" s="256"/>
      <c r="H444" s="200"/>
      <c r="I444" s="200"/>
      <c r="J444" s="200"/>
      <c r="K444" s="200"/>
      <c r="L444" s="200"/>
      <c r="M444" s="200"/>
      <c r="N444" s="200"/>
      <c r="O444" s="200"/>
      <c r="P444" s="200"/>
      <c r="Q444" s="200"/>
    </row>
    <row r="445">
      <c r="A445" s="255"/>
      <c r="B445" s="200"/>
      <c r="C445" s="200"/>
      <c r="D445" s="200"/>
      <c r="E445" s="200"/>
      <c r="F445" s="200"/>
      <c r="G445" s="256"/>
      <c r="H445" s="200"/>
      <c r="I445" s="200"/>
      <c r="J445" s="200"/>
      <c r="K445" s="200"/>
      <c r="L445" s="200"/>
      <c r="M445" s="200"/>
      <c r="N445" s="200"/>
      <c r="O445" s="200"/>
      <c r="P445" s="200"/>
      <c r="Q445" s="200"/>
    </row>
    <row r="446">
      <c r="A446" s="255"/>
      <c r="B446" s="200"/>
      <c r="C446" s="200"/>
      <c r="D446" s="200"/>
      <c r="E446" s="200"/>
      <c r="F446" s="200"/>
      <c r="G446" s="256"/>
      <c r="H446" s="200"/>
      <c r="I446" s="200"/>
      <c r="J446" s="200"/>
      <c r="K446" s="200"/>
      <c r="L446" s="200"/>
      <c r="M446" s="200"/>
      <c r="N446" s="200"/>
      <c r="O446" s="200"/>
      <c r="P446" s="200"/>
      <c r="Q446" s="200"/>
    </row>
    <row r="447">
      <c r="A447" s="255"/>
      <c r="B447" s="200"/>
      <c r="C447" s="200"/>
      <c r="D447" s="200"/>
      <c r="E447" s="200"/>
      <c r="F447" s="200"/>
      <c r="G447" s="256"/>
      <c r="H447" s="200"/>
      <c r="I447" s="200"/>
      <c r="J447" s="200"/>
      <c r="K447" s="200"/>
      <c r="L447" s="200"/>
      <c r="M447" s="200"/>
      <c r="N447" s="200"/>
      <c r="O447" s="200"/>
      <c r="P447" s="200"/>
      <c r="Q447" s="200"/>
    </row>
    <row r="448">
      <c r="A448" s="255"/>
      <c r="B448" s="200"/>
      <c r="C448" s="200"/>
      <c r="D448" s="200"/>
      <c r="E448" s="200"/>
      <c r="F448" s="200"/>
      <c r="G448" s="256"/>
      <c r="H448" s="200"/>
      <c r="I448" s="200"/>
      <c r="J448" s="200"/>
      <c r="K448" s="200"/>
      <c r="L448" s="200"/>
      <c r="M448" s="200"/>
      <c r="N448" s="200"/>
      <c r="O448" s="200"/>
      <c r="P448" s="200"/>
      <c r="Q448" s="200"/>
    </row>
    <row r="449">
      <c r="A449" s="255"/>
      <c r="B449" s="200"/>
      <c r="C449" s="200"/>
      <c r="D449" s="200"/>
      <c r="E449" s="200"/>
      <c r="F449" s="200"/>
      <c r="G449" s="256"/>
      <c r="H449" s="200"/>
      <c r="I449" s="200"/>
      <c r="J449" s="200"/>
      <c r="K449" s="200"/>
      <c r="L449" s="200"/>
      <c r="M449" s="200"/>
      <c r="N449" s="200"/>
      <c r="O449" s="200"/>
      <c r="P449" s="200"/>
      <c r="Q449" s="200"/>
    </row>
    <row r="450">
      <c r="A450" s="255"/>
      <c r="B450" s="200"/>
      <c r="C450" s="200"/>
      <c r="D450" s="200"/>
      <c r="E450" s="200"/>
      <c r="F450" s="200"/>
      <c r="G450" s="256"/>
      <c r="H450" s="200"/>
      <c r="I450" s="200"/>
      <c r="J450" s="200"/>
      <c r="K450" s="200"/>
      <c r="L450" s="200"/>
      <c r="M450" s="200"/>
      <c r="N450" s="200"/>
      <c r="O450" s="200"/>
      <c r="P450" s="200"/>
      <c r="Q450" s="200"/>
    </row>
    <row r="451">
      <c r="A451" s="255"/>
      <c r="B451" s="200"/>
      <c r="C451" s="200"/>
      <c r="D451" s="200"/>
      <c r="E451" s="200"/>
      <c r="F451" s="200"/>
      <c r="G451" s="256"/>
      <c r="H451" s="200"/>
      <c r="I451" s="200"/>
      <c r="J451" s="200"/>
      <c r="K451" s="200"/>
      <c r="L451" s="200"/>
      <c r="M451" s="200"/>
      <c r="N451" s="200"/>
      <c r="O451" s="200"/>
      <c r="P451" s="200"/>
      <c r="Q451" s="200"/>
    </row>
    <row r="452">
      <c r="A452" s="255"/>
      <c r="B452" s="200"/>
      <c r="C452" s="200"/>
      <c r="D452" s="200"/>
      <c r="E452" s="200"/>
      <c r="F452" s="200"/>
      <c r="G452" s="256"/>
      <c r="H452" s="200"/>
      <c r="I452" s="200"/>
      <c r="J452" s="200"/>
      <c r="K452" s="200"/>
      <c r="L452" s="200"/>
      <c r="M452" s="200"/>
      <c r="N452" s="200"/>
      <c r="O452" s="200"/>
      <c r="P452" s="200"/>
      <c r="Q452" s="200"/>
    </row>
    <row r="453">
      <c r="A453" s="255"/>
      <c r="B453" s="200"/>
      <c r="C453" s="200"/>
      <c r="D453" s="200"/>
      <c r="E453" s="200"/>
      <c r="F453" s="200"/>
      <c r="G453" s="256"/>
      <c r="H453" s="200"/>
      <c r="I453" s="200"/>
      <c r="J453" s="200"/>
      <c r="K453" s="200"/>
      <c r="L453" s="200"/>
      <c r="M453" s="200"/>
      <c r="N453" s="200"/>
      <c r="O453" s="200"/>
      <c r="P453" s="200"/>
      <c r="Q453" s="200"/>
    </row>
    <row r="454">
      <c r="A454" s="255"/>
      <c r="B454" s="200"/>
      <c r="C454" s="200"/>
      <c r="D454" s="200"/>
      <c r="E454" s="200"/>
      <c r="F454" s="200"/>
      <c r="G454" s="256"/>
      <c r="H454" s="200"/>
      <c r="I454" s="200"/>
      <c r="J454" s="200"/>
      <c r="K454" s="200"/>
      <c r="L454" s="200"/>
      <c r="M454" s="200"/>
      <c r="N454" s="200"/>
      <c r="O454" s="200"/>
      <c r="P454" s="200"/>
      <c r="Q454" s="200"/>
    </row>
    <row r="455">
      <c r="A455" s="255"/>
      <c r="B455" s="200"/>
      <c r="C455" s="200"/>
      <c r="D455" s="200"/>
      <c r="E455" s="200"/>
      <c r="F455" s="200"/>
      <c r="G455" s="256"/>
      <c r="H455" s="200"/>
      <c r="I455" s="200"/>
      <c r="J455" s="200"/>
      <c r="K455" s="200"/>
      <c r="L455" s="200"/>
      <c r="M455" s="200"/>
      <c r="N455" s="200"/>
      <c r="O455" s="200"/>
      <c r="P455" s="200"/>
      <c r="Q455" s="200"/>
    </row>
    <row r="456">
      <c r="A456" s="255"/>
      <c r="B456" s="200"/>
      <c r="C456" s="200"/>
      <c r="D456" s="200"/>
      <c r="E456" s="200"/>
      <c r="F456" s="200"/>
      <c r="G456" s="256"/>
      <c r="H456" s="200"/>
      <c r="I456" s="200"/>
      <c r="J456" s="200"/>
      <c r="K456" s="200"/>
      <c r="L456" s="200"/>
      <c r="M456" s="200"/>
      <c r="N456" s="200"/>
      <c r="O456" s="200"/>
      <c r="P456" s="200"/>
      <c r="Q456" s="200"/>
    </row>
    <row r="457">
      <c r="A457" s="255"/>
      <c r="B457" s="200"/>
      <c r="C457" s="200"/>
      <c r="D457" s="200"/>
      <c r="E457" s="200"/>
      <c r="F457" s="200"/>
      <c r="G457" s="256"/>
      <c r="H457" s="200"/>
      <c r="I457" s="200"/>
      <c r="J457" s="200"/>
      <c r="K457" s="200"/>
      <c r="L457" s="200"/>
      <c r="M457" s="200"/>
      <c r="N457" s="200"/>
      <c r="O457" s="200"/>
      <c r="P457" s="200"/>
      <c r="Q457" s="200"/>
    </row>
    <row r="458">
      <c r="A458" s="255"/>
      <c r="B458" s="200"/>
      <c r="C458" s="200"/>
      <c r="D458" s="200"/>
      <c r="E458" s="200"/>
      <c r="F458" s="200"/>
      <c r="G458" s="256"/>
      <c r="H458" s="200"/>
      <c r="I458" s="200"/>
      <c r="J458" s="200"/>
      <c r="K458" s="200"/>
      <c r="L458" s="200"/>
      <c r="M458" s="200"/>
      <c r="N458" s="200"/>
      <c r="O458" s="200"/>
      <c r="P458" s="200"/>
      <c r="Q458" s="200"/>
    </row>
    <row r="459">
      <c r="A459" s="255"/>
      <c r="B459" s="200"/>
      <c r="C459" s="200"/>
      <c r="D459" s="200"/>
      <c r="E459" s="200"/>
      <c r="F459" s="200"/>
      <c r="G459" s="256"/>
      <c r="H459" s="200"/>
      <c r="I459" s="200"/>
      <c r="J459" s="200"/>
      <c r="K459" s="200"/>
      <c r="L459" s="200"/>
      <c r="M459" s="200"/>
      <c r="N459" s="200"/>
      <c r="O459" s="200"/>
      <c r="P459" s="200"/>
      <c r="Q459" s="200"/>
    </row>
    <row r="460">
      <c r="A460" s="255"/>
      <c r="B460" s="200"/>
      <c r="C460" s="200"/>
      <c r="D460" s="200"/>
      <c r="E460" s="200"/>
      <c r="F460" s="200"/>
      <c r="G460" s="256"/>
      <c r="H460" s="200"/>
      <c r="I460" s="200"/>
      <c r="J460" s="200"/>
      <c r="K460" s="200"/>
      <c r="L460" s="200"/>
      <c r="M460" s="200"/>
      <c r="N460" s="200"/>
      <c r="O460" s="200"/>
      <c r="P460" s="200"/>
      <c r="Q460" s="200"/>
    </row>
    <row r="461">
      <c r="A461" s="255"/>
      <c r="B461" s="200"/>
      <c r="C461" s="200"/>
      <c r="D461" s="200"/>
      <c r="E461" s="200"/>
      <c r="F461" s="200"/>
      <c r="G461" s="256"/>
      <c r="H461" s="200"/>
      <c r="I461" s="200"/>
      <c r="J461" s="200"/>
      <c r="K461" s="200"/>
      <c r="L461" s="200"/>
      <c r="M461" s="200"/>
      <c r="N461" s="200"/>
      <c r="O461" s="200"/>
      <c r="P461" s="200"/>
      <c r="Q461" s="200"/>
    </row>
    <row r="462">
      <c r="A462" s="255"/>
      <c r="B462" s="200"/>
      <c r="C462" s="200"/>
      <c r="D462" s="200"/>
      <c r="E462" s="200"/>
      <c r="F462" s="200"/>
      <c r="G462" s="256"/>
      <c r="H462" s="200"/>
      <c r="I462" s="200"/>
      <c r="J462" s="200"/>
      <c r="K462" s="200"/>
      <c r="L462" s="200"/>
      <c r="M462" s="200"/>
      <c r="N462" s="200"/>
      <c r="O462" s="200"/>
      <c r="P462" s="200"/>
      <c r="Q462" s="200"/>
    </row>
    <row r="463">
      <c r="A463" s="255"/>
      <c r="B463" s="200"/>
      <c r="C463" s="200"/>
      <c r="D463" s="200"/>
      <c r="E463" s="200"/>
      <c r="F463" s="200"/>
      <c r="G463" s="256"/>
      <c r="H463" s="200"/>
      <c r="I463" s="200"/>
      <c r="J463" s="200"/>
      <c r="K463" s="200"/>
      <c r="L463" s="200"/>
      <c r="M463" s="200"/>
      <c r="N463" s="200"/>
      <c r="O463" s="200"/>
      <c r="P463" s="200"/>
      <c r="Q463" s="200"/>
    </row>
    <row r="464">
      <c r="A464" s="255"/>
      <c r="B464" s="200"/>
      <c r="C464" s="200"/>
      <c r="D464" s="200"/>
      <c r="E464" s="200"/>
      <c r="F464" s="200"/>
      <c r="G464" s="256"/>
      <c r="H464" s="200"/>
      <c r="I464" s="200"/>
      <c r="J464" s="200"/>
      <c r="K464" s="200"/>
      <c r="L464" s="200"/>
      <c r="M464" s="200"/>
      <c r="N464" s="200"/>
      <c r="O464" s="200"/>
      <c r="P464" s="200"/>
      <c r="Q464" s="200"/>
    </row>
    <row r="465">
      <c r="A465" s="255"/>
      <c r="B465" s="200"/>
      <c r="C465" s="200"/>
      <c r="D465" s="200"/>
      <c r="E465" s="200"/>
      <c r="F465" s="200"/>
      <c r="G465" s="256"/>
      <c r="H465" s="200"/>
      <c r="I465" s="200"/>
      <c r="J465" s="200"/>
      <c r="K465" s="200"/>
      <c r="L465" s="200"/>
      <c r="M465" s="200"/>
      <c r="N465" s="200"/>
      <c r="O465" s="200"/>
      <c r="P465" s="200"/>
      <c r="Q465" s="200"/>
    </row>
    <row r="466">
      <c r="A466" s="255"/>
      <c r="B466" s="200"/>
      <c r="C466" s="200"/>
      <c r="D466" s="200"/>
      <c r="E466" s="200"/>
      <c r="F466" s="200"/>
      <c r="G466" s="256"/>
      <c r="H466" s="200"/>
      <c r="I466" s="200"/>
      <c r="J466" s="200"/>
      <c r="K466" s="200"/>
      <c r="L466" s="200"/>
      <c r="M466" s="200"/>
      <c r="N466" s="200"/>
      <c r="O466" s="200"/>
      <c r="P466" s="200"/>
      <c r="Q466" s="200"/>
    </row>
    <row r="467">
      <c r="A467" s="255"/>
      <c r="B467" s="200"/>
      <c r="C467" s="200"/>
      <c r="D467" s="200"/>
      <c r="E467" s="200"/>
      <c r="F467" s="200"/>
      <c r="G467" s="256"/>
      <c r="H467" s="200"/>
      <c r="I467" s="200"/>
      <c r="J467" s="200"/>
      <c r="K467" s="200"/>
      <c r="L467" s="200"/>
      <c r="M467" s="200"/>
      <c r="N467" s="200"/>
      <c r="O467" s="200"/>
      <c r="P467" s="200"/>
      <c r="Q467" s="200"/>
    </row>
    <row r="468">
      <c r="A468" s="255"/>
      <c r="B468" s="200"/>
      <c r="C468" s="200"/>
      <c r="D468" s="200"/>
      <c r="E468" s="200"/>
      <c r="F468" s="200"/>
      <c r="G468" s="256"/>
      <c r="H468" s="200"/>
      <c r="I468" s="200"/>
      <c r="J468" s="200"/>
      <c r="K468" s="200"/>
      <c r="L468" s="200"/>
      <c r="M468" s="200"/>
      <c r="N468" s="200"/>
      <c r="O468" s="200"/>
      <c r="P468" s="200"/>
      <c r="Q468" s="200"/>
    </row>
    <row r="469">
      <c r="A469" s="255"/>
      <c r="B469" s="200"/>
      <c r="C469" s="200"/>
      <c r="D469" s="200"/>
      <c r="E469" s="200"/>
      <c r="F469" s="200"/>
      <c r="G469" s="256"/>
      <c r="H469" s="200"/>
      <c r="I469" s="200"/>
      <c r="J469" s="200"/>
      <c r="K469" s="200"/>
      <c r="L469" s="200"/>
      <c r="M469" s="200"/>
      <c r="N469" s="200"/>
      <c r="O469" s="200"/>
      <c r="P469" s="200"/>
      <c r="Q469" s="200"/>
    </row>
    <row r="470">
      <c r="A470" s="255"/>
      <c r="B470" s="200"/>
      <c r="C470" s="200"/>
      <c r="D470" s="200"/>
      <c r="E470" s="200"/>
      <c r="F470" s="200"/>
      <c r="G470" s="256"/>
      <c r="H470" s="200"/>
      <c r="I470" s="200"/>
      <c r="J470" s="200"/>
      <c r="K470" s="200"/>
      <c r="L470" s="200"/>
      <c r="M470" s="200"/>
      <c r="N470" s="200"/>
      <c r="O470" s="200"/>
      <c r="P470" s="200"/>
      <c r="Q470" s="200"/>
    </row>
    <row r="471">
      <c r="A471" s="255"/>
      <c r="B471" s="200"/>
      <c r="C471" s="200"/>
      <c r="D471" s="200"/>
      <c r="E471" s="200"/>
      <c r="F471" s="200"/>
      <c r="G471" s="256"/>
      <c r="H471" s="200"/>
      <c r="I471" s="200"/>
      <c r="J471" s="200"/>
      <c r="K471" s="200"/>
      <c r="L471" s="200"/>
      <c r="M471" s="200"/>
      <c r="N471" s="200"/>
      <c r="O471" s="200"/>
      <c r="P471" s="200"/>
      <c r="Q471" s="200"/>
    </row>
    <row r="472">
      <c r="A472" s="255"/>
      <c r="B472" s="200"/>
      <c r="C472" s="200"/>
      <c r="D472" s="200"/>
      <c r="E472" s="200"/>
      <c r="F472" s="200"/>
      <c r="G472" s="256"/>
      <c r="H472" s="200"/>
      <c r="I472" s="200"/>
      <c r="J472" s="200"/>
      <c r="K472" s="200"/>
      <c r="L472" s="200"/>
      <c r="M472" s="200"/>
      <c r="N472" s="200"/>
      <c r="O472" s="200"/>
      <c r="P472" s="200"/>
      <c r="Q472" s="200"/>
    </row>
    <row r="473">
      <c r="A473" s="255"/>
      <c r="B473" s="200"/>
      <c r="C473" s="200"/>
      <c r="D473" s="200"/>
      <c r="E473" s="200"/>
      <c r="F473" s="200"/>
      <c r="G473" s="256"/>
      <c r="H473" s="200"/>
      <c r="I473" s="200"/>
      <c r="J473" s="200"/>
      <c r="K473" s="200"/>
      <c r="L473" s="200"/>
      <c r="M473" s="200"/>
      <c r="N473" s="200"/>
      <c r="O473" s="200"/>
      <c r="P473" s="200"/>
      <c r="Q473" s="200"/>
    </row>
    <row r="474">
      <c r="A474" s="255"/>
      <c r="B474" s="200"/>
      <c r="C474" s="200"/>
      <c r="D474" s="200"/>
      <c r="E474" s="200"/>
      <c r="F474" s="200"/>
      <c r="G474" s="256"/>
      <c r="H474" s="200"/>
      <c r="I474" s="200"/>
      <c r="J474" s="200"/>
      <c r="K474" s="200"/>
      <c r="L474" s="200"/>
      <c r="M474" s="200"/>
      <c r="N474" s="200"/>
      <c r="O474" s="200"/>
      <c r="P474" s="200"/>
      <c r="Q474" s="200"/>
    </row>
    <row r="475">
      <c r="A475" s="255"/>
      <c r="B475" s="200"/>
      <c r="C475" s="200"/>
      <c r="D475" s="200"/>
      <c r="E475" s="200"/>
      <c r="F475" s="200"/>
      <c r="G475" s="256"/>
      <c r="H475" s="200"/>
      <c r="I475" s="200"/>
      <c r="J475" s="200"/>
      <c r="K475" s="200"/>
      <c r="L475" s="200"/>
      <c r="M475" s="200"/>
      <c r="N475" s="200"/>
      <c r="O475" s="200"/>
      <c r="P475" s="200"/>
      <c r="Q475" s="200"/>
    </row>
    <row r="476">
      <c r="A476" s="255"/>
      <c r="B476" s="200"/>
      <c r="C476" s="200"/>
      <c r="D476" s="200"/>
      <c r="E476" s="200"/>
      <c r="F476" s="200"/>
      <c r="G476" s="256"/>
      <c r="H476" s="200"/>
      <c r="I476" s="200"/>
      <c r="J476" s="200"/>
      <c r="K476" s="200"/>
      <c r="L476" s="200"/>
      <c r="M476" s="200"/>
      <c r="N476" s="200"/>
      <c r="O476" s="200"/>
      <c r="P476" s="200"/>
      <c r="Q476" s="200"/>
    </row>
    <row r="477">
      <c r="A477" s="255"/>
      <c r="B477" s="200"/>
      <c r="C477" s="200"/>
      <c r="D477" s="200"/>
      <c r="E477" s="200"/>
      <c r="F477" s="200"/>
      <c r="G477" s="256"/>
      <c r="H477" s="200"/>
      <c r="I477" s="200"/>
      <c r="J477" s="200"/>
      <c r="K477" s="200"/>
      <c r="L477" s="200"/>
      <c r="M477" s="200"/>
      <c r="N477" s="200"/>
      <c r="O477" s="200"/>
      <c r="P477" s="200"/>
      <c r="Q477" s="200"/>
    </row>
    <row r="478">
      <c r="A478" s="255"/>
      <c r="B478" s="200"/>
      <c r="C478" s="200"/>
      <c r="D478" s="200"/>
      <c r="E478" s="200"/>
      <c r="F478" s="200"/>
      <c r="G478" s="256"/>
      <c r="H478" s="200"/>
      <c r="I478" s="200"/>
      <c r="J478" s="200"/>
      <c r="K478" s="200"/>
      <c r="L478" s="200"/>
      <c r="M478" s="200"/>
      <c r="N478" s="200"/>
      <c r="O478" s="200"/>
      <c r="P478" s="200"/>
      <c r="Q478" s="200"/>
    </row>
    <row r="479">
      <c r="A479" s="255"/>
      <c r="B479" s="200"/>
      <c r="C479" s="200"/>
      <c r="D479" s="200"/>
      <c r="E479" s="200"/>
      <c r="F479" s="200"/>
      <c r="G479" s="256"/>
      <c r="H479" s="200"/>
      <c r="I479" s="200"/>
      <c r="J479" s="200"/>
      <c r="K479" s="200"/>
      <c r="L479" s="200"/>
      <c r="M479" s="200"/>
      <c r="N479" s="200"/>
      <c r="O479" s="200"/>
      <c r="P479" s="200"/>
      <c r="Q479" s="200"/>
    </row>
    <row r="480">
      <c r="A480" s="255"/>
      <c r="B480" s="200"/>
      <c r="C480" s="200"/>
      <c r="D480" s="200"/>
      <c r="E480" s="200"/>
      <c r="F480" s="200"/>
      <c r="G480" s="256"/>
      <c r="H480" s="200"/>
      <c r="I480" s="200"/>
      <c r="J480" s="200"/>
      <c r="K480" s="200"/>
      <c r="L480" s="200"/>
      <c r="M480" s="200"/>
      <c r="N480" s="200"/>
      <c r="O480" s="200"/>
      <c r="P480" s="200"/>
      <c r="Q480" s="200"/>
    </row>
    <row r="481">
      <c r="A481" s="255"/>
      <c r="B481" s="200"/>
      <c r="C481" s="200"/>
      <c r="D481" s="200"/>
      <c r="E481" s="200"/>
      <c r="F481" s="200"/>
      <c r="G481" s="256"/>
      <c r="H481" s="200"/>
      <c r="I481" s="200"/>
      <c r="J481" s="200"/>
      <c r="K481" s="200"/>
      <c r="L481" s="200"/>
      <c r="M481" s="200"/>
      <c r="N481" s="200"/>
      <c r="O481" s="200"/>
      <c r="P481" s="200"/>
      <c r="Q481" s="200"/>
    </row>
    <row r="482">
      <c r="A482" s="255"/>
      <c r="B482" s="200"/>
      <c r="C482" s="200"/>
      <c r="D482" s="200"/>
      <c r="E482" s="200"/>
      <c r="F482" s="200"/>
      <c r="G482" s="256"/>
      <c r="H482" s="200"/>
      <c r="I482" s="200"/>
      <c r="J482" s="200"/>
      <c r="K482" s="200"/>
      <c r="L482" s="200"/>
      <c r="M482" s="200"/>
      <c r="N482" s="200"/>
      <c r="O482" s="200"/>
      <c r="P482" s="200"/>
      <c r="Q482" s="200"/>
    </row>
    <row r="483">
      <c r="A483" s="255"/>
      <c r="B483" s="200"/>
      <c r="C483" s="200"/>
      <c r="D483" s="200"/>
      <c r="E483" s="200"/>
      <c r="F483" s="200"/>
      <c r="G483" s="256"/>
      <c r="H483" s="200"/>
      <c r="I483" s="200"/>
      <c r="J483" s="200"/>
      <c r="K483" s="200"/>
      <c r="L483" s="200"/>
      <c r="M483" s="200"/>
      <c r="N483" s="200"/>
      <c r="O483" s="200"/>
      <c r="P483" s="200"/>
      <c r="Q483" s="200"/>
    </row>
    <row r="484">
      <c r="A484" s="255"/>
      <c r="B484" s="200"/>
      <c r="C484" s="200"/>
      <c r="D484" s="200"/>
      <c r="E484" s="200"/>
      <c r="F484" s="200"/>
      <c r="G484" s="256"/>
      <c r="H484" s="200"/>
      <c r="I484" s="200"/>
      <c r="J484" s="200"/>
      <c r="K484" s="200"/>
      <c r="L484" s="200"/>
      <c r="M484" s="200"/>
      <c r="N484" s="200"/>
      <c r="O484" s="200"/>
      <c r="P484" s="200"/>
      <c r="Q484" s="200"/>
    </row>
    <row r="485">
      <c r="A485" s="255"/>
      <c r="B485" s="200"/>
      <c r="C485" s="200"/>
      <c r="D485" s="200"/>
      <c r="E485" s="200"/>
      <c r="F485" s="200"/>
      <c r="G485" s="256"/>
      <c r="H485" s="200"/>
      <c r="I485" s="200"/>
      <c r="J485" s="200"/>
      <c r="K485" s="200"/>
      <c r="L485" s="200"/>
      <c r="M485" s="200"/>
      <c r="N485" s="200"/>
      <c r="O485" s="200"/>
      <c r="P485" s="200"/>
      <c r="Q485" s="200"/>
    </row>
    <row r="486">
      <c r="A486" s="255"/>
      <c r="B486" s="200"/>
      <c r="C486" s="200"/>
      <c r="D486" s="200"/>
      <c r="E486" s="200"/>
      <c r="F486" s="200"/>
      <c r="G486" s="256"/>
      <c r="H486" s="200"/>
      <c r="I486" s="200"/>
      <c r="J486" s="200"/>
      <c r="K486" s="200"/>
      <c r="L486" s="200"/>
      <c r="M486" s="200"/>
      <c r="N486" s="200"/>
      <c r="O486" s="200"/>
      <c r="P486" s="200"/>
      <c r="Q486" s="200"/>
    </row>
    <row r="487">
      <c r="A487" s="255"/>
      <c r="B487" s="200"/>
      <c r="C487" s="200"/>
      <c r="D487" s="200"/>
      <c r="E487" s="200"/>
      <c r="F487" s="200"/>
      <c r="G487" s="256"/>
      <c r="H487" s="200"/>
      <c r="I487" s="200"/>
      <c r="J487" s="200"/>
      <c r="K487" s="200"/>
      <c r="L487" s="200"/>
      <c r="M487" s="200"/>
      <c r="N487" s="200"/>
      <c r="O487" s="200"/>
      <c r="P487" s="200"/>
      <c r="Q487" s="200"/>
    </row>
    <row r="488">
      <c r="A488" s="255"/>
      <c r="B488" s="200"/>
      <c r="C488" s="200"/>
      <c r="D488" s="200"/>
      <c r="E488" s="200"/>
      <c r="F488" s="200"/>
      <c r="G488" s="256"/>
      <c r="H488" s="200"/>
      <c r="I488" s="200"/>
      <c r="J488" s="200"/>
      <c r="K488" s="200"/>
      <c r="L488" s="200"/>
      <c r="M488" s="200"/>
      <c r="N488" s="200"/>
      <c r="O488" s="200"/>
      <c r="P488" s="200"/>
      <c r="Q488" s="200"/>
    </row>
    <row r="489">
      <c r="A489" s="255"/>
      <c r="B489" s="200"/>
      <c r="C489" s="200"/>
      <c r="D489" s="200"/>
      <c r="E489" s="200"/>
      <c r="F489" s="200"/>
      <c r="G489" s="256"/>
      <c r="H489" s="200"/>
      <c r="I489" s="200"/>
      <c r="J489" s="200"/>
      <c r="K489" s="200"/>
      <c r="L489" s="200"/>
      <c r="M489" s="200"/>
      <c r="N489" s="200"/>
      <c r="O489" s="200"/>
      <c r="P489" s="200"/>
      <c r="Q489" s="200"/>
    </row>
    <row r="490">
      <c r="A490" s="255"/>
      <c r="B490" s="200"/>
      <c r="C490" s="200"/>
      <c r="D490" s="200"/>
      <c r="E490" s="200"/>
      <c r="F490" s="200"/>
      <c r="G490" s="256"/>
      <c r="H490" s="200"/>
      <c r="I490" s="200"/>
      <c r="J490" s="200"/>
      <c r="K490" s="200"/>
      <c r="L490" s="200"/>
      <c r="M490" s="200"/>
      <c r="N490" s="200"/>
      <c r="O490" s="200"/>
      <c r="P490" s="200"/>
      <c r="Q490" s="200"/>
    </row>
    <row r="491">
      <c r="A491" s="255"/>
      <c r="B491" s="200"/>
      <c r="C491" s="200"/>
      <c r="D491" s="200"/>
      <c r="E491" s="200"/>
      <c r="F491" s="200"/>
      <c r="G491" s="256"/>
      <c r="H491" s="200"/>
      <c r="I491" s="200"/>
      <c r="J491" s="200"/>
      <c r="K491" s="200"/>
      <c r="L491" s="200"/>
      <c r="M491" s="200"/>
      <c r="N491" s="200"/>
      <c r="O491" s="200"/>
      <c r="P491" s="200"/>
      <c r="Q491" s="200"/>
    </row>
    <row r="492">
      <c r="A492" s="255"/>
      <c r="B492" s="200"/>
      <c r="C492" s="200"/>
      <c r="D492" s="200"/>
      <c r="E492" s="200"/>
      <c r="F492" s="200"/>
      <c r="G492" s="256"/>
      <c r="H492" s="200"/>
      <c r="I492" s="200"/>
      <c r="J492" s="200"/>
      <c r="K492" s="200"/>
      <c r="L492" s="200"/>
      <c r="M492" s="200"/>
      <c r="N492" s="200"/>
      <c r="O492" s="200"/>
      <c r="P492" s="200"/>
      <c r="Q492" s="200"/>
    </row>
    <row r="493">
      <c r="A493" s="255"/>
      <c r="B493" s="200"/>
      <c r="C493" s="200"/>
      <c r="D493" s="200"/>
      <c r="E493" s="200"/>
      <c r="F493" s="200"/>
      <c r="G493" s="256"/>
      <c r="H493" s="200"/>
      <c r="I493" s="200"/>
      <c r="J493" s="200"/>
      <c r="K493" s="200"/>
      <c r="L493" s="200"/>
      <c r="M493" s="200"/>
      <c r="N493" s="200"/>
      <c r="O493" s="200"/>
      <c r="P493" s="200"/>
      <c r="Q493" s="200"/>
    </row>
    <row r="494">
      <c r="A494" s="255"/>
      <c r="B494" s="200"/>
      <c r="C494" s="200"/>
      <c r="D494" s="200"/>
      <c r="E494" s="200"/>
      <c r="F494" s="200"/>
      <c r="G494" s="256"/>
      <c r="H494" s="200"/>
      <c r="I494" s="200"/>
      <c r="J494" s="200"/>
      <c r="K494" s="200"/>
      <c r="L494" s="200"/>
      <c r="M494" s="200"/>
      <c r="N494" s="200"/>
      <c r="O494" s="200"/>
      <c r="P494" s="200"/>
      <c r="Q494" s="200"/>
    </row>
    <row r="495">
      <c r="A495" s="255"/>
      <c r="B495" s="200"/>
      <c r="C495" s="200"/>
      <c r="D495" s="200"/>
      <c r="E495" s="200"/>
      <c r="F495" s="200"/>
      <c r="G495" s="256"/>
      <c r="H495" s="200"/>
      <c r="I495" s="200"/>
      <c r="J495" s="200"/>
      <c r="K495" s="200"/>
      <c r="L495" s="200"/>
      <c r="M495" s="200"/>
      <c r="N495" s="200"/>
      <c r="O495" s="200"/>
      <c r="P495" s="200"/>
      <c r="Q495" s="200"/>
    </row>
    <row r="496">
      <c r="A496" s="255"/>
      <c r="B496" s="200"/>
      <c r="C496" s="200"/>
      <c r="D496" s="200"/>
      <c r="E496" s="200"/>
      <c r="F496" s="200"/>
      <c r="G496" s="256"/>
      <c r="H496" s="200"/>
      <c r="I496" s="200"/>
      <c r="J496" s="200"/>
      <c r="K496" s="200"/>
      <c r="L496" s="200"/>
      <c r="M496" s="200"/>
      <c r="N496" s="200"/>
      <c r="O496" s="200"/>
      <c r="P496" s="200"/>
      <c r="Q496" s="200"/>
    </row>
    <row r="497">
      <c r="A497" s="255"/>
      <c r="B497" s="200"/>
      <c r="C497" s="200"/>
      <c r="D497" s="200"/>
      <c r="E497" s="200"/>
      <c r="F497" s="200"/>
      <c r="G497" s="256"/>
      <c r="H497" s="200"/>
      <c r="I497" s="200"/>
      <c r="J497" s="200"/>
      <c r="K497" s="200"/>
      <c r="L497" s="200"/>
      <c r="M497" s="200"/>
      <c r="N497" s="200"/>
      <c r="O497" s="200"/>
      <c r="P497" s="200"/>
      <c r="Q497" s="200"/>
    </row>
    <row r="498">
      <c r="A498" s="255"/>
      <c r="B498" s="200"/>
      <c r="C498" s="200"/>
      <c r="D498" s="200"/>
      <c r="E498" s="200"/>
      <c r="F498" s="200"/>
      <c r="G498" s="256"/>
      <c r="H498" s="200"/>
      <c r="I498" s="200"/>
      <c r="J498" s="200"/>
      <c r="K498" s="200"/>
      <c r="L498" s="200"/>
      <c r="M498" s="200"/>
      <c r="N498" s="200"/>
      <c r="O498" s="200"/>
      <c r="P498" s="200"/>
      <c r="Q498" s="200"/>
    </row>
    <row r="499">
      <c r="A499" s="255"/>
      <c r="B499" s="200"/>
      <c r="C499" s="200"/>
      <c r="D499" s="200"/>
      <c r="E499" s="200"/>
      <c r="F499" s="200"/>
      <c r="G499" s="256"/>
      <c r="H499" s="200"/>
      <c r="I499" s="200"/>
      <c r="J499" s="200"/>
      <c r="K499" s="200"/>
      <c r="L499" s="200"/>
      <c r="M499" s="200"/>
      <c r="N499" s="200"/>
      <c r="O499" s="200"/>
      <c r="P499" s="200"/>
      <c r="Q499" s="200"/>
    </row>
    <row r="500">
      <c r="A500" s="255"/>
      <c r="B500" s="200"/>
      <c r="C500" s="200"/>
      <c r="D500" s="200"/>
      <c r="E500" s="200"/>
      <c r="F500" s="200"/>
      <c r="G500" s="256"/>
      <c r="H500" s="200"/>
      <c r="I500" s="200"/>
      <c r="J500" s="200"/>
      <c r="K500" s="200"/>
      <c r="L500" s="200"/>
      <c r="M500" s="200"/>
      <c r="N500" s="200"/>
      <c r="O500" s="200"/>
      <c r="P500" s="200"/>
      <c r="Q500" s="200"/>
    </row>
    <row r="501">
      <c r="A501" s="255"/>
      <c r="B501" s="200"/>
      <c r="C501" s="200"/>
      <c r="D501" s="200"/>
      <c r="E501" s="200"/>
      <c r="F501" s="200"/>
      <c r="G501" s="256"/>
      <c r="H501" s="200"/>
      <c r="I501" s="200"/>
      <c r="J501" s="200"/>
      <c r="K501" s="200"/>
      <c r="L501" s="200"/>
      <c r="M501" s="200"/>
      <c r="N501" s="200"/>
      <c r="O501" s="200"/>
      <c r="P501" s="200"/>
      <c r="Q501" s="200"/>
    </row>
    <row r="502">
      <c r="A502" s="255"/>
      <c r="B502" s="200"/>
      <c r="C502" s="200"/>
      <c r="D502" s="200"/>
      <c r="E502" s="200"/>
      <c r="F502" s="200"/>
      <c r="G502" s="256"/>
      <c r="H502" s="200"/>
      <c r="I502" s="200"/>
      <c r="J502" s="200"/>
      <c r="K502" s="200"/>
      <c r="L502" s="200"/>
      <c r="M502" s="200"/>
      <c r="N502" s="200"/>
      <c r="O502" s="200"/>
      <c r="P502" s="200"/>
      <c r="Q502" s="200"/>
    </row>
    <row r="503">
      <c r="A503" s="255"/>
      <c r="B503" s="200"/>
      <c r="C503" s="200"/>
      <c r="D503" s="200"/>
      <c r="E503" s="200"/>
      <c r="F503" s="200"/>
      <c r="G503" s="256"/>
      <c r="H503" s="200"/>
      <c r="I503" s="200"/>
      <c r="J503" s="200"/>
      <c r="K503" s="200"/>
      <c r="L503" s="200"/>
      <c r="M503" s="200"/>
      <c r="N503" s="200"/>
      <c r="O503" s="200"/>
      <c r="P503" s="200"/>
      <c r="Q503" s="200"/>
    </row>
    <row r="504">
      <c r="A504" s="255"/>
      <c r="B504" s="200"/>
      <c r="C504" s="200"/>
      <c r="D504" s="200"/>
      <c r="E504" s="200"/>
      <c r="F504" s="200"/>
      <c r="G504" s="256"/>
      <c r="H504" s="200"/>
      <c r="I504" s="200"/>
      <c r="J504" s="200"/>
      <c r="K504" s="200"/>
      <c r="L504" s="200"/>
      <c r="M504" s="200"/>
      <c r="N504" s="200"/>
      <c r="O504" s="200"/>
      <c r="P504" s="200"/>
      <c r="Q504" s="200"/>
    </row>
    <row r="505">
      <c r="A505" s="255"/>
      <c r="B505" s="200"/>
      <c r="C505" s="200"/>
      <c r="D505" s="200"/>
      <c r="E505" s="200"/>
      <c r="F505" s="200"/>
      <c r="G505" s="256"/>
      <c r="H505" s="200"/>
      <c r="I505" s="200"/>
      <c r="J505" s="200"/>
      <c r="K505" s="200"/>
      <c r="L505" s="200"/>
      <c r="M505" s="200"/>
      <c r="N505" s="200"/>
      <c r="O505" s="200"/>
      <c r="P505" s="200"/>
      <c r="Q505" s="200"/>
    </row>
    <row r="506">
      <c r="A506" s="255"/>
      <c r="B506" s="200"/>
      <c r="C506" s="200"/>
      <c r="D506" s="200"/>
      <c r="E506" s="200"/>
      <c r="F506" s="200"/>
      <c r="G506" s="256"/>
      <c r="H506" s="200"/>
      <c r="I506" s="200"/>
      <c r="J506" s="200"/>
      <c r="K506" s="200"/>
      <c r="L506" s="200"/>
      <c r="M506" s="200"/>
      <c r="N506" s="200"/>
      <c r="O506" s="200"/>
      <c r="P506" s="200"/>
      <c r="Q506" s="200"/>
    </row>
    <row r="507">
      <c r="A507" s="255"/>
      <c r="B507" s="200"/>
      <c r="C507" s="200"/>
      <c r="D507" s="200"/>
      <c r="E507" s="200"/>
      <c r="F507" s="200"/>
      <c r="G507" s="256"/>
      <c r="H507" s="200"/>
      <c r="I507" s="200"/>
      <c r="J507" s="200"/>
      <c r="K507" s="200"/>
      <c r="L507" s="200"/>
      <c r="M507" s="200"/>
      <c r="N507" s="200"/>
      <c r="O507" s="200"/>
      <c r="P507" s="200"/>
      <c r="Q507" s="200"/>
    </row>
    <row r="508">
      <c r="A508" s="255"/>
      <c r="B508" s="200"/>
      <c r="C508" s="200"/>
      <c r="D508" s="200"/>
      <c r="E508" s="200"/>
      <c r="F508" s="200"/>
      <c r="G508" s="256"/>
      <c r="H508" s="200"/>
      <c r="I508" s="200"/>
      <c r="J508" s="200"/>
      <c r="K508" s="200"/>
      <c r="L508" s="200"/>
      <c r="M508" s="200"/>
      <c r="N508" s="200"/>
      <c r="O508" s="200"/>
      <c r="P508" s="200"/>
      <c r="Q508" s="200"/>
    </row>
    <row r="509">
      <c r="A509" s="255"/>
      <c r="B509" s="200"/>
      <c r="C509" s="200"/>
      <c r="D509" s="200"/>
      <c r="E509" s="200"/>
      <c r="F509" s="200"/>
      <c r="G509" s="256"/>
      <c r="H509" s="200"/>
      <c r="I509" s="200"/>
      <c r="J509" s="200"/>
      <c r="K509" s="200"/>
      <c r="L509" s="200"/>
      <c r="M509" s="200"/>
      <c r="N509" s="200"/>
      <c r="O509" s="200"/>
      <c r="P509" s="200"/>
      <c r="Q509" s="200"/>
    </row>
    <row r="510">
      <c r="A510" s="255"/>
      <c r="B510" s="200"/>
      <c r="C510" s="200"/>
      <c r="D510" s="200"/>
      <c r="E510" s="200"/>
      <c r="F510" s="200"/>
      <c r="G510" s="256"/>
      <c r="H510" s="200"/>
      <c r="I510" s="200"/>
      <c r="J510" s="200"/>
      <c r="K510" s="200"/>
      <c r="L510" s="200"/>
      <c r="M510" s="200"/>
      <c r="N510" s="200"/>
      <c r="O510" s="200"/>
      <c r="P510" s="200"/>
      <c r="Q510" s="200"/>
    </row>
    <row r="511">
      <c r="A511" s="255"/>
      <c r="B511" s="200"/>
      <c r="C511" s="200"/>
      <c r="D511" s="200"/>
      <c r="E511" s="200"/>
      <c r="F511" s="200"/>
      <c r="G511" s="256"/>
      <c r="H511" s="200"/>
      <c r="I511" s="200"/>
      <c r="J511" s="200"/>
      <c r="K511" s="200"/>
      <c r="L511" s="200"/>
      <c r="M511" s="200"/>
      <c r="N511" s="200"/>
      <c r="O511" s="200"/>
      <c r="P511" s="200"/>
      <c r="Q511" s="200"/>
    </row>
    <row r="512">
      <c r="A512" s="255"/>
      <c r="B512" s="200"/>
      <c r="C512" s="200"/>
      <c r="D512" s="200"/>
      <c r="E512" s="200"/>
      <c r="F512" s="200"/>
      <c r="G512" s="256"/>
      <c r="H512" s="200"/>
      <c r="I512" s="200"/>
      <c r="J512" s="200"/>
      <c r="K512" s="200"/>
      <c r="L512" s="200"/>
      <c r="M512" s="200"/>
      <c r="N512" s="200"/>
      <c r="O512" s="200"/>
      <c r="P512" s="200"/>
      <c r="Q512" s="200"/>
    </row>
    <row r="513">
      <c r="A513" s="255"/>
      <c r="B513" s="200"/>
      <c r="C513" s="200"/>
      <c r="D513" s="200"/>
      <c r="E513" s="200"/>
      <c r="F513" s="200"/>
      <c r="G513" s="256"/>
      <c r="H513" s="200"/>
      <c r="I513" s="200"/>
      <c r="J513" s="200"/>
      <c r="K513" s="200"/>
      <c r="L513" s="200"/>
      <c r="M513" s="200"/>
      <c r="N513" s="200"/>
      <c r="O513" s="200"/>
      <c r="P513" s="200"/>
      <c r="Q513" s="200"/>
    </row>
    <row r="514">
      <c r="A514" s="255"/>
      <c r="B514" s="200"/>
      <c r="C514" s="200"/>
      <c r="D514" s="200"/>
      <c r="E514" s="200"/>
      <c r="F514" s="200"/>
      <c r="G514" s="256"/>
      <c r="H514" s="200"/>
      <c r="I514" s="200"/>
      <c r="J514" s="200"/>
      <c r="K514" s="200"/>
      <c r="L514" s="200"/>
      <c r="M514" s="200"/>
      <c r="N514" s="200"/>
      <c r="O514" s="200"/>
      <c r="P514" s="200"/>
      <c r="Q514" s="200"/>
    </row>
    <row r="515">
      <c r="A515" s="255"/>
      <c r="B515" s="200"/>
      <c r="C515" s="200"/>
      <c r="D515" s="200"/>
      <c r="E515" s="200"/>
      <c r="F515" s="200"/>
      <c r="G515" s="256"/>
      <c r="H515" s="200"/>
      <c r="I515" s="200"/>
      <c r="J515" s="200"/>
      <c r="K515" s="200"/>
      <c r="L515" s="200"/>
      <c r="M515" s="200"/>
      <c r="N515" s="200"/>
      <c r="O515" s="200"/>
      <c r="P515" s="200"/>
      <c r="Q515" s="200"/>
    </row>
    <row r="516">
      <c r="A516" s="255"/>
      <c r="B516" s="200"/>
      <c r="C516" s="200"/>
      <c r="D516" s="200"/>
      <c r="E516" s="200"/>
      <c r="F516" s="200"/>
      <c r="G516" s="256"/>
      <c r="H516" s="200"/>
      <c r="I516" s="200"/>
      <c r="J516" s="200"/>
      <c r="K516" s="200"/>
      <c r="L516" s="200"/>
      <c r="M516" s="200"/>
      <c r="N516" s="200"/>
      <c r="O516" s="200"/>
      <c r="P516" s="200"/>
      <c r="Q516" s="200"/>
    </row>
    <row r="517">
      <c r="A517" s="255"/>
      <c r="B517" s="200"/>
      <c r="C517" s="200"/>
      <c r="D517" s="200"/>
      <c r="E517" s="200"/>
      <c r="F517" s="200"/>
      <c r="G517" s="256"/>
      <c r="H517" s="200"/>
      <c r="I517" s="200"/>
      <c r="J517" s="200"/>
      <c r="K517" s="200"/>
      <c r="L517" s="200"/>
      <c r="M517" s="200"/>
      <c r="N517" s="200"/>
      <c r="O517" s="200"/>
      <c r="P517" s="200"/>
      <c r="Q517" s="200"/>
    </row>
    <row r="518">
      <c r="A518" s="255"/>
      <c r="B518" s="200"/>
      <c r="C518" s="200"/>
      <c r="D518" s="200"/>
      <c r="E518" s="200"/>
      <c r="F518" s="200"/>
      <c r="G518" s="256"/>
      <c r="H518" s="200"/>
      <c r="I518" s="200"/>
      <c r="J518" s="200"/>
      <c r="K518" s="200"/>
      <c r="L518" s="200"/>
      <c r="M518" s="200"/>
      <c r="N518" s="200"/>
      <c r="O518" s="200"/>
      <c r="P518" s="200"/>
      <c r="Q518" s="200"/>
    </row>
    <row r="519">
      <c r="A519" s="255"/>
      <c r="B519" s="200"/>
      <c r="C519" s="200"/>
      <c r="D519" s="200"/>
      <c r="E519" s="200"/>
      <c r="F519" s="200"/>
      <c r="G519" s="256"/>
      <c r="H519" s="200"/>
      <c r="I519" s="200"/>
      <c r="J519" s="200"/>
      <c r="K519" s="200"/>
      <c r="L519" s="200"/>
      <c r="M519" s="200"/>
      <c r="N519" s="200"/>
      <c r="O519" s="200"/>
      <c r="P519" s="200"/>
      <c r="Q519" s="200"/>
    </row>
    <row r="520">
      <c r="A520" s="255"/>
      <c r="B520" s="200"/>
      <c r="C520" s="200"/>
      <c r="D520" s="200"/>
      <c r="E520" s="200"/>
      <c r="F520" s="200"/>
      <c r="G520" s="256"/>
      <c r="H520" s="200"/>
      <c r="I520" s="200"/>
      <c r="J520" s="200"/>
      <c r="K520" s="200"/>
      <c r="L520" s="200"/>
      <c r="M520" s="200"/>
      <c r="N520" s="200"/>
      <c r="O520" s="200"/>
      <c r="P520" s="200"/>
      <c r="Q520" s="200"/>
    </row>
    <row r="521">
      <c r="A521" s="255"/>
      <c r="B521" s="200"/>
      <c r="C521" s="200"/>
      <c r="D521" s="200"/>
      <c r="E521" s="200"/>
      <c r="F521" s="200"/>
      <c r="G521" s="256"/>
      <c r="H521" s="200"/>
      <c r="I521" s="200"/>
      <c r="J521" s="200"/>
      <c r="K521" s="200"/>
      <c r="L521" s="200"/>
      <c r="M521" s="200"/>
      <c r="N521" s="200"/>
      <c r="O521" s="200"/>
      <c r="P521" s="200"/>
      <c r="Q521" s="200"/>
    </row>
    <row r="522">
      <c r="A522" s="255"/>
      <c r="B522" s="200"/>
      <c r="C522" s="200"/>
      <c r="D522" s="200"/>
      <c r="E522" s="200"/>
      <c r="F522" s="200"/>
      <c r="G522" s="256"/>
      <c r="H522" s="200"/>
      <c r="I522" s="200"/>
      <c r="J522" s="200"/>
      <c r="K522" s="200"/>
      <c r="L522" s="200"/>
      <c r="M522" s="200"/>
      <c r="N522" s="200"/>
      <c r="O522" s="200"/>
      <c r="P522" s="200"/>
      <c r="Q522" s="200"/>
    </row>
    <row r="523">
      <c r="A523" s="255"/>
      <c r="B523" s="200"/>
      <c r="C523" s="200"/>
      <c r="D523" s="200"/>
      <c r="E523" s="200"/>
      <c r="F523" s="200"/>
      <c r="G523" s="256"/>
      <c r="H523" s="200"/>
      <c r="I523" s="200"/>
      <c r="J523" s="200"/>
      <c r="K523" s="200"/>
      <c r="L523" s="200"/>
      <c r="M523" s="200"/>
      <c r="N523" s="200"/>
      <c r="O523" s="200"/>
      <c r="P523" s="200"/>
      <c r="Q523" s="200"/>
    </row>
    <row r="524">
      <c r="A524" s="255"/>
      <c r="B524" s="200"/>
      <c r="C524" s="200"/>
      <c r="D524" s="200"/>
      <c r="E524" s="200"/>
      <c r="F524" s="200"/>
      <c r="G524" s="256"/>
      <c r="H524" s="200"/>
      <c r="I524" s="200"/>
      <c r="J524" s="200"/>
      <c r="K524" s="200"/>
      <c r="L524" s="200"/>
      <c r="M524" s="200"/>
      <c r="N524" s="200"/>
      <c r="O524" s="200"/>
      <c r="P524" s="200"/>
      <c r="Q524" s="200"/>
    </row>
    <row r="525">
      <c r="A525" s="255"/>
      <c r="B525" s="200"/>
      <c r="C525" s="200"/>
      <c r="D525" s="200"/>
      <c r="E525" s="200"/>
      <c r="F525" s="200"/>
      <c r="G525" s="256"/>
      <c r="H525" s="200"/>
      <c r="I525" s="200"/>
      <c r="J525" s="200"/>
      <c r="K525" s="200"/>
      <c r="L525" s="200"/>
      <c r="M525" s="200"/>
      <c r="N525" s="200"/>
      <c r="O525" s="200"/>
      <c r="P525" s="200"/>
      <c r="Q525" s="200"/>
    </row>
    <row r="526">
      <c r="A526" s="255"/>
      <c r="B526" s="200"/>
      <c r="C526" s="200"/>
      <c r="D526" s="200"/>
      <c r="E526" s="200"/>
      <c r="F526" s="200"/>
      <c r="G526" s="256"/>
      <c r="H526" s="200"/>
      <c r="I526" s="200"/>
      <c r="J526" s="200"/>
      <c r="K526" s="200"/>
      <c r="L526" s="200"/>
      <c r="M526" s="200"/>
      <c r="N526" s="200"/>
      <c r="O526" s="200"/>
      <c r="P526" s="200"/>
      <c r="Q526" s="200"/>
    </row>
    <row r="527">
      <c r="A527" s="255"/>
      <c r="B527" s="200"/>
      <c r="C527" s="200"/>
      <c r="D527" s="200"/>
      <c r="E527" s="200"/>
      <c r="F527" s="200"/>
      <c r="G527" s="256"/>
      <c r="H527" s="200"/>
      <c r="I527" s="200"/>
      <c r="J527" s="200"/>
      <c r="K527" s="200"/>
      <c r="L527" s="200"/>
      <c r="M527" s="200"/>
      <c r="N527" s="200"/>
      <c r="O527" s="200"/>
      <c r="P527" s="200"/>
      <c r="Q527" s="200"/>
    </row>
    <row r="528">
      <c r="A528" s="255"/>
      <c r="B528" s="200"/>
      <c r="C528" s="200"/>
      <c r="D528" s="200"/>
      <c r="E528" s="200"/>
      <c r="F528" s="200"/>
      <c r="G528" s="256"/>
      <c r="H528" s="200"/>
      <c r="I528" s="200"/>
      <c r="J528" s="200"/>
      <c r="K528" s="200"/>
      <c r="L528" s="200"/>
      <c r="M528" s="200"/>
      <c r="N528" s="200"/>
      <c r="O528" s="200"/>
      <c r="P528" s="200"/>
      <c r="Q528" s="200"/>
    </row>
    <row r="529">
      <c r="A529" s="255"/>
      <c r="B529" s="200"/>
      <c r="C529" s="200"/>
      <c r="D529" s="200"/>
      <c r="E529" s="200"/>
      <c r="F529" s="200"/>
      <c r="G529" s="256"/>
      <c r="H529" s="200"/>
      <c r="I529" s="200"/>
      <c r="J529" s="200"/>
      <c r="K529" s="200"/>
      <c r="L529" s="200"/>
      <c r="M529" s="200"/>
      <c r="N529" s="200"/>
      <c r="O529" s="200"/>
      <c r="P529" s="200"/>
      <c r="Q529" s="200"/>
    </row>
    <row r="530">
      <c r="A530" s="255"/>
      <c r="B530" s="200"/>
      <c r="C530" s="200"/>
      <c r="D530" s="200"/>
      <c r="E530" s="200"/>
      <c r="F530" s="200"/>
      <c r="G530" s="256"/>
      <c r="H530" s="200"/>
      <c r="I530" s="200"/>
      <c r="J530" s="200"/>
      <c r="K530" s="200"/>
      <c r="L530" s="200"/>
      <c r="M530" s="200"/>
      <c r="N530" s="200"/>
      <c r="O530" s="200"/>
      <c r="P530" s="200"/>
      <c r="Q530" s="200"/>
    </row>
    <row r="531">
      <c r="A531" s="255"/>
      <c r="B531" s="200"/>
      <c r="C531" s="200"/>
      <c r="D531" s="200"/>
      <c r="E531" s="200"/>
      <c r="F531" s="200"/>
      <c r="G531" s="256"/>
      <c r="H531" s="200"/>
      <c r="I531" s="200"/>
      <c r="J531" s="200"/>
      <c r="K531" s="200"/>
      <c r="L531" s="200"/>
      <c r="M531" s="200"/>
      <c r="N531" s="200"/>
      <c r="O531" s="200"/>
      <c r="P531" s="200"/>
      <c r="Q531" s="200"/>
    </row>
    <row r="532">
      <c r="A532" s="255"/>
      <c r="B532" s="200"/>
      <c r="C532" s="200"/>
      <c r="D532" s="200"/>
      <c r="E532" s="200"/>
      <c r="F532" s="200"/>
      <c r="G532" s="256"/>
      <c r="H532" s="200"/>
      <c r="I532" s="200"/>
      <c r="J532" s="200"/>
      <c r="K532" s="200"/>
      <c r="L532" s="200"/>
      <c r="M532" s="200"/>
      <c r="N532" s="200"/>
      <c r="O532" s="200"/>
      <c r="P532" s="200"/>
      <c r="Q532" s="200"/>
    </row>
    <row r="533">
      <c r="A533" s="255"/>
      <c r="B533" s="200"/>
      <c r="C533" s="200"/>
      <c r="D533" s="200"/>
      <c r="E533" s="200"/>
      <c r="F533" s="200"/>
      <c r="G533" s="256"/>
      <c r="H533" s="200"/>
      <c r="I533" s="200"/>
      <c r="J533" s="200"/>
      <c r="K533" s="200"/>
      <c r="L533" s="200"/>
      <c r="M533" s="200"/>
      <c r="N533" s="200"/>
      <c r="O533" s="200"/>
      <c r="P533" s="200"/>
      <c r="Q533" s="200"/>
    </row>
    <row r="534">
      <c r="A534" s="255"/>
      <c r="B534" s="200"/>
      <c r="C534" s="200"/>
      <c r="D534" s="200"/>
      <c r="E534" s="200"/>
      <c r="F534" s="200"/>
      <c r="G534" s="256"/>
      <c r="H534" s="200"/>
      <c r="I534" s="200"/>
      <c r="J534" s="200"/>
      <c r="K534" s="200"/>
      <c r="L534" s="200"/>
      <c r="M534" s="200"/>
      <c r="N534" s="200"/>
      <c r="O534" s="200"/>
      <c r="P534" s="200"/>
      <c r="Q534" s="200"/>
    </row>
    <row r="535">
      <c r="A535" s="255"/>
      <c r="B535" s="200"/>
      <c r="C535" s="200"/>
      <c r="D535" s="200"/>
      <c r="E535" s="200"/>
      <c r="F535" s="200"/>
      <c r="G535" s="256"/>
      <c r="H535" s="200"/>
      <c r="I535" s="200"/>
      <c r="J535" s="200"/>
      <c r="K535" s="200"/>
      <c r="L535" s="200"/>
      <c r="M535" s="200"/>
      <c r="N535" s="200"/>
      <c r="O535" s="200"/>
      <c r="P535" s="200"/>
      <c r="Q535" s="200"/>
    </row>
    <row r="536">
      <c r="A536" s="255"/>
      <c r="B536" s="200"/>
      <c r="C536" s="200"/>
      <c r="D536" s="200"/>
      <c r="E536" s="200"/>
      <c r="F536" s="200"/>
      <c r="G536" s="256"/>
      <c r="H536" s="200"/>
      <c r="I536" s="200"/>
      <c r="J536" s="200"/>
      <c r="K536" s="200"/>
      <c r="L536" s="200"/>
      <c r="M536" s="200"/>
      <c r="N536" s="200"/>
      <c r="O536" s="200"/>
      <c r="P536" s="200"/>
      <c r="Q536" s="200"/>
    </row>
    <row r="537">
      <c r="A537" s="255"/>
      <c r="B537" s="200"/>
      <c r="C537" s="200"/>
      <c r="D537" s="200"/>
      <c r="E537" s="200"/>
      <c r="F537" s="200"/>
      <c r="G537" s="256"/>
      <c r="H537" s="200"/>
      <c r="I537" s="200"/>
      <c r="J537" s="200"/>
      <c r="K537" s="200"/>
      <c r="L537" s="200"/>
      <c r="M537" s="200"/>
      <c r="N537" s="200"/>
      <c r="O537" s="200"/>
      <c r="P537" s="200"/>
      <c r="Q537" s="200"/>
    </row>
    <row r="538">
      <c r="A538" s="255"/>
      <c r="B538" s="200"/>
      <c r="C538" s="200"/>
      <c r="D538" s="200"/>
      <c r="E538" s="200"/>
      <c r="F538" s="200"/>
      <c r="G538" s="256"/>
      <c r="H538" s="200"/>
      <c r="I538" s="200"/>
      <c r="J538" s="200"/>
      <c r="K538" s="200"/>
      <c r="L538" s="200"/>
      <c r="M538" s="200"/>
      <c r="N538" s="200"/>
      <c r="O538" s="200"/>
      <c r="P538" s="200"/>
      <c r="Q538" s="200"/>
    </row>
    <row r="539">
      <c r="A539" s="255"/>
      <c r="B539" s="200"/>
      <c r="C539" s="200"/>
      <c r="D539" s="200"/>
      <c r="E539" s="200"/>
      <c r="F539" s="200"/>
      <c r="G539" s="256"/>
      <c r="H539" s="200"/>
      <c r="I539" s="200"/>
      <c r="J539" s="200"/>
      <c r="K539" s="200"/>
      <c r="L539" s="200"/>
      <c r="M539" s="200"/>
      <c r="N539" s="200"/>
      <c r="O539" s="200"/>
      <c r="P539" s="200"/>
      <c r="Q539" s="200"/>
    </row>
    <row r="540">
      <c r="A540" s="255"/>
      <c r="B540" s="200"/>
      <c r="C540" s="200"/>
      <c r="D540" s="200"/>
      <c r="E540" s="200"/>
      <c r="F540" s="200"/>
      <c r="G540" s="256"/>
      <c r="H540" s="200"/>
      <c r="I540" s="200"/>
      <c r="J540" s="200"/>
      <c r="K540" s="200"/>
      <c r="L540" s="200"/>
      <c r="M540" s="200"/>
      <c r="N540" s="200"/>
      <c r="O540" s="200"/>
      <c r="P540" s="200"/>
      <c r="Q540" s="200"/>
    </row>
    <row r="541">
      <c r="A541" s="255"/>
      <c r="B541" s="200"/>
      <c r="C541" s="200"/>
      <c r="D541" s="200"/>
      <c r="E541" s="200"/>
      <c r="F541" s="200"/>
      <c r="G541" s="256"/>
      <c r="H541" s="200"/>
      <c r="I541" s="200"/>
      <c r="J541" s="200"/>
      <c r="K541" s="200"/>
      <c r="L541" s="200"/>
      <c r="M541" s="200"/>
      <c r="N541" s="200"/>
      <c r="O541" s="200"/>
      <c r="P541" s="200"/>
      <c r="Q541" s="200"/>
    </row>
    <row r="542">
      <c r="A542" s="255"/>
      <c r="B542" s="200"/>
      <c r="C542" s="200"/>
      <c r="D542" s="200"/>
      <c r="E542" s="200"/>
      <c r="F542" s="200"/>
      <c r="G542" s="256"/>
      <c r="H542" s="200"/>
      <c r="I542" s="200"/>
      <c r="J542" s="200"/>
      <c r="K542" s="200"/>
      <c r="L542" s="200"/>
      <c r="M542" s="200"/>
      <c r="N542" s="200"/>
      <c r="O542" s="200"/>
      <c r="P542" s="200"/>
      <c r="Q542" s="200"/>
    </row>
    <row r="543">
      <c r="A543" s="255"/>
      <c r="B543" s="200"/>
      <c r="C543" s="200"/>
      <c r="D543" s="200"/>
      <c r="E543" s="200"/>
      <c r="F543" s="200"/>
      <c r="G543" s="256"/>
      <c r="H543" s="200"/>
      <c r="I543" s="200"/>
      <c r="J543" s="200"/>
      <c r="K543" s="200"/>
      <c r="L543" s="200"/>
      <c r="M543" s="200"/>
      <c r="N543" s="200"/>
      <c r="O543" s="200"/>
      <c r="P543" s="200"/>
      <c r="Q543" s="200"/>
    </row>
    <row r="544">
      <c r="A544" s="255"/>
      <c r="B544" s="200"/>
      <c r="C544" s="200"/>
      <c r="D544" s="200"/>
      <c r="E544" s="200"/>
      <c r="F544" s="200"/>
      <c r="G544" s="256"/>
      <c r="H544" s="200"/>
      <c r="I544" s="200"/>
      <c r="J544" s="200"/>
      <c r="K544" s="200"/>
      <c r="L544" s="200"/>
      <c r="M544" s="200"/>
      <c r="N544" s="200"/>
      <c r="O544" s="200"/>
      <c r="P544" s="200"/>
      <c r="Q544" s="200"/>
    </row>
    <row r="545">
      <c r="A545" s="255"/>
      <c r="B545" s="200"/>
      <c r="C545" s="200"/>
      <c r="D545" s="200"/>
      <c r="E545" s="200"/>
      <c r="F545" s="200"/>
      <c r="G545" s="256"/>
      <c r="H545" s="200"/>
      <c r="I545" s="200"/>
      <c r="J545" s="200"/>
      <c r="K545" s="200"/>
      <c r="L545" s="200"/>
      <c r="M545" s="200"/>
      <c r="N545" s="200"/>
      <c r="O545" s="200"/>
      <c r="P545" s="200"/>
      <c r="Q545" s="200"/>
    </row>
    <row r="546">
      <c r="A546" s="255"/>
      <c r="B546" s="200"/>
      <c r="C546" s="200"/>
      <c r="D546" s="200"/>
      <c r="E546" s="200"/>
      <c r="F546" s="200"/>
      <c r="G546" s="256"/>
      <c r="H546" s="200"/>
      <c r="I546" s="200"/>
      <c r="J546" s="200"/>
      <c r="K546" s="200"/>
      <c r="L546" s="200"/>
      <c r="M546" s="200"/>
      <c r="N546" s="200"/>
      <c r="O546" s="200"/>
      <c r="P546" s="200"/>
      <c r="Q546" s="200"/>
    </row>
    <row r="547">
      <c r="A547" s="255"/>
      <c r="B547" s="200"/>
      <c r="C547" s="200"/>
      <c r="D547" s="200"/>
      <c r="E547" s="200"/>
      <c r="F547" s="200"/>
      <c r="G547" s="256"/>
      <c r="H547" s="200"/>
      <c r="I547" s="200"/>
      <c r="J547" s="200"/>
      <c r="K547" s="200"/>
      <c r="L547" s="200"/>
      <c r="M547" s="200"/>
      <c r="N547" s="200"/>
      <c r="O547" s="200"/>
      <c r="P547" s="200"/>
      <c r="Q547" s="200"/>
    </row>
    <row r="548">
      <c r="A548" s="255"/>
      <c r="B548" s="200"/>
      <c r="C548" s="200"/>
      <c r="D548" s="200"/>
      <c r="E548" s="200"/>
      <c r="F548" s="200"/>
      <c r="G548" s="256"/>
      <c r="H548" s="200"/>
      <c r="I548" s="200"/>
      <c r="J548" s="200"/>
      <c r="K548" s="200"/>
      <c r="L548" s="200"/>
      <c r="M548" s="200"/>
      <c r="N548" s="200"/>
      <c r="O548" s="200"/>
      <c r="P548" s="200"/>
      <c r="Q548" s="200"/>
    </row>
    <row r="549">
      <c r="A549" s="255"/>
      <c r="B549" s="200"/>
      <c r="C549" s="200"/>
      <c r="D549" s="200"/>
      <c r="E549" s="200"/>
      <c r="F549" s="200"/>
      <c r="G549" s="256"/>
      <c r="H549" s="200"/>
      <c r="I549" s="200"/>
      <c r="J549" s="200"/>
      <c r="K549" s="200"/>
      <c r="L549" s="200"/>
      <c r="M549" s="200"/>
      <c r="N549" s="200"/>
      <c r="O549" s="200"/>
      <c r="P549" s="200"/>
      <c r="Q549" s="200"/>
    </row>
    <row r="550">
      <c r="A550" s="255"/>
      <c r="B550" s="200"/>
      <c r="C550" s="200"/>
      <c r="D550" s="200"/>
      <c r="E550" s="200"/>
      <c r="F550" s="200"/>
      <c r="G550" s="256"/>
      <c r="H550" s="200"/>
      <c r="I550" s="200"/>
      <c r="J550" s="200"/>
      <c r="K550" s="200"/>
      <c r="L550" s="200"/>
      <c r="M550" s="200"/>
      <c r="N550" s="200"/>
      <c r="O550" s="200"/>
      <c r="P550" s="200"/>
      <c r="Q550" s="200"/>
    </row>
    <row r="551">
      <c r="A551" s="255"/>
      <c r="B551" s="200"/>
      <c r="C551" s="200"/>
      <c r="D551" s="200"/>
      <c r="E551" s="200"/>
      <c r="F551" s="200"/>
      <c r="G551" s="256"/>
      <c r="H551" s="200"/>
      <c r="I551" s="200"/>
      <c r="J551" s="200"/>
      <c r="K551" s="200"/>
      <c r="L551" s="200"/>
      <c r="M551" s="200"/>
      <c r="N551" s="200"/>
      <c r="O551" s="200"/>
      <c r="P551" s="200"/>
      <c r="Q551" s="200"/>
    </row>
    <row r="552">
      <c r="A552" s="255"/>
      <c r="B552" s="200"/>
      <c r="C552" s="200"/>
      <c r="D552" s="200"/>
      <c r="E552" s="200"/>
      <c r="F552" s="200"/>
      <c r="G552" s="256"/>
      <c r="H552" s="200"/>
      <c r="I552" s="200"/>
      <c r="J552" s="200"/>
      <c r="K552" s="200"/>
      <c r="L552" s="200"/>
      <c r="M552" s="200"/>
      <c r="N552" s="200"/>
      <c r="O552" s="200"/>
      <c r="P552" s="200"/>
      <c r="Q552" s="200"/>
    </row>
    <row r="553">
      <c r="A553" s="255"/>
      <c r="B553" s="200"/>
      <c r="C553" s="200"/>
      <c r="D553" s="200"/>
      <c r="E553" s="200"/>
      <c r="F553" s="200"/>
      <c r="G553" s="256"/>
      <c r="H553" s="200"/>
      <c r="I553" s="200"/>
      <c r="J553" s="200"/>
      <c r="K553" s="200"/>
      <c r="L553" s="200"/>
      <c r="M553" s="200"/>
      <c r="N553" s="200"/>
      <c r="O553" s="200"/>
      <c r="P553" s="200"/>
      <c r="Q553" s="200"/>
    </row>
    <row r="554">
      <c r="A554" s="255"/>
      <c r="B554" s="200"/>
      <c r="C554" s="200"/>
      <c r="D554" s="200"/>
      <c r="E554" s="200"/>
      <c r="F554" s="200"/>
      <c r="G554" s="256"/>
      <c r="H554" s="200"/>
      <c r="I554" s="200"/>
      <c r="J554" s="200"/>
      <c r="K554" s="200"/>
      <c r="L554" s="200"/>
      <c r="M554" s="200"/>
      <c r="N554" s="200"/>
      <c r="O554" s="200"/>
      <c r="P554" s="200"/>
      <c r="Q554" s="200"/>
    </row>
    <row r="555">
      <c r="A555" s="255"/>
      <c r="B555" s="200"/>
      <c r="C555" s="200"/>
      <c r="D555" s="200"/>
      <c r="E555" s="200"/>
      <c r="F555" s="200"/>
      <c r="G555" s="256"/>
      <c r="H555" s="200"/>
      <c r="I555" s="200"/>
      <c r="J555" s="200"/>
      <c r="K555" s="200"/>
      <c r="L555" s="200"/>
      <c r="M555" s="200"/>
      <c r="N555" s="200"/>
      <c r="O555" s="200"/>
      <c r="P555" s="200"/>
      <c r="Q555" s="200"/>
    </row>
    <row r="556">
      <c r="A556" s="255"/>
      <c r="B556" s="200"/>
      <c r="C556" s="200"/>
      <c r="D556" s="200"/>
      <c r="E556" s="200"/>
      <c r="F556" s="200"/>
      <c r="G556" s="256"/>
      <c r="H556" s="200"/>
      <c r="I556" s="200"/>
      <c r="J556" s="200"/>
      <c r="K556" s="200"/>
      <c r="L556" s="200"/>
      <c r="M556" s="200"/>
      <c r="N556" s="200"/>
      <c r="O556" s="200"/>
      <c r="P556" s="200"/>
      <c r="Q556" s="200"/>
    </row>
    <row r="557">
      <c r="A557" s="255"/>
      <c r="B557" s="200"/>
      <c r="C557" s="200"/>
      <c r="D557" s="200"/>
      <c r="E557" s="200"/>
      <c r="F557" s="200"/>
      <c r="G557" s="256"/>
      <c r="H557" s="200"/>
      <c r="I557" s="200"/>
      <c r="J557" s="200"/>
      <c r="K557" s="200"/>
      <c r="L557" s="200"/>
      <c r="M557" s="200"/>
      <c r="N557" s="200"/>
      <c r="O557" s="200"/>
      <c r="P557" s="200"/>
      <c r="Q557" s="200"/>
    </row>
    <row r="558">
      <c r="A558" s="255"/>
      <c r="B558" s="200"/>
      <c r="C558" s="200"/>
      <c r="D558" s="200"/>
      <c r="E558" s="200"/>
      <c r="F558" s="200"/>
      <c r="G558" s="256"/>
      <c r="H558" s="200"/>
      <c r="I558" s="200"/>
      <c r="J558" s="200"/>
      <c r="K558" s="200"/>
      <c r="L558" s="200"/>
      <c r="M558" s="200"/>
      <c r="N558" s="200"/>
      <c r="O558" s="200"/>
      <c r="P558" s="200"/>
      <c r="Q558" s="200"/>
    </row>
    <row r="559">
      <c r="A559" s="255"/>
      <c r="B559" s="200"/>
      <c r="C559" s="200"/>
      <c r="D559" s="200"/>
      <c r="E559" s="200"/>
      <c r="F559" s="200"/>
      <c r="G559" s="256"/>
      <c r="H559" s="200"/>
      <c r="I559" s="200"/>
      <c r="J559" s="200"/>
      <c r="K559" s="200"/>
      <c r="L559" s="200"/>
      <c r="M559" s="200"/>
      <c r="N559" s="200"/>
      <c r="O559" s="200"/>
      <c r="P559" s="200"/>
      <c r="Q559" s="200"/>
    </row>
    <row r="560">
      <c r="A560" s="255"/>
      <c r="B560" s="200"/>
      <c r="C560" s="200"/>
      <c r="D560" s="200"/>
      <c r="E560" s="200"/>
      <c r="F560" s="200"/>
      <c r="G560" s="256"/>
      <c r="H560" s="200"/>
      <c r="I560" s="200"/>
      <c r="J560" s="200"/>
      <c r="K560" s="200"/>
      <c r="L560" s="200"/>
      <c r="M560" s="200"/>
      <c r="N560" s="200"/>
      <c r="O560" s="200"/>
      <c r="P560" s="200"/>
      <c r="Q560" s="200"/>
    </row>
    <row r="561">
      <c r="A561" s="255"/>
      <c r="B561" s="200"/>
      <c r="C561" s="200"/>
      <c r="D561" s="200"/>
      <c r="E561" s="200"/>
      <c r="F561" s="200"/>
      <c r="G561" s="256"/>
      <c r="H561" s="200"/>
      <c r="I561" s="200"/>
      <c r="J561" s="200"/>
      <c r="K561" s="200"/>
      <c r="L561" s="200"/>
      <c r="M561" s="200"/>
      <c r="N561" s="200"/>
      <c r="O561" s="200"/>
      <c r="P561" s="200"/>
      <c r="Q561" s="200"/>
    </row>
    <row r="562">
      <c r="A562" s="255"/>
      <c r="B562" s="200"/>
      <c r="C562" s="200"/>
      <c r="D562" s="200"/>
      <c r="E562" s="200"/>
      <c r="F562" s="200"/>
      <c r="G562" s="256"/>
      <c r="H562" s="200"/>
      <c r="I562" s="200"/>
      <c r="J562" s="200"/>
      <c r="K562" s="200"/>
      <c r="L562" s="200"/>
      <c r="M562" s="200"/>
      <c r="N562" s="200"/>
      <c r="O562" s="200"/>
      <c r="P562" s="200"/>
      <c r="Q562" s="200"/>
    </row>
    <row r="563">
      <c r="A563" s="255"/>
      <c r="B563" s="200"/>
      <c r="C563" s="200"/>
      <c r="D563" s="200"/>
      <c r="E563" s="200"/>
      <c r="F563" s="200"/>
      <c r="G563" s="256"/>
      <c r="H563" s="200"/>
      <c r="I563" s="200"/>
      <c r="J563" s="200"/>
      <c r="K563" s="200"/>
      <c r="L563" s="200"/>
      <c r="M563" s="200"/>
      <c r="N563" s="200"/>
      <c r="O563" s="200"/>
      <c r="P563" s="200"/>
      <c r="Q563" s="200"/>
    </row>
    <row r="564">
      <c r="A564" s="255"/>
      <c r="B564" s="200"/>
      <c r="C564" s="200"/>
      <c r="D564" s="200"/>
      <c r="E564" s="200"/>
      <c r="F564" s="200"/>
      <c r="G564" s="256"/>
      <c r="H564" s="200"/>
      <c r="I564" s="200"/>
      <c r="J564" s="200"/>
      <c r="K564" s="200"/>
      <c r="L564" s="200"/>
      <c r="M564" s="200"/>
      <c r="N564" s="200"/>
      <c r="O564" s="200"/>
      <c r="P564" s="200"/>
      <c r="Q564" s="200"/>
    </row>
    <row r="565">
      <c r="A565" s="255"/>
      <c r="B565" s="200"/>
      <c r="C565" s="200"/>
      <c r="D565" s="200"/>
      <c r="E565" s="200"/>
      <c r="F565" s="200"/>
      <c r="G565" s="256"/>
      <c r="H565" s="200"/>
      <c r="I565" s="200"/>
      <c r="J565" s="200"/>
      <c r="K565" s="200"/>
      <c r="L565" s="200"/>
      <c r="M565" s="200"/>
      <c r="N565" s="200"/>
      <c r="O565" s="200"/>
      <c r="P565" s="200"/>
      <c r="Q565" s="200"/>
    </row>
    <row r="566">
      <c r="A566" s="255"/>
      <c r="B566" s="200"/>
      <c r="C566" s="200"/>
      <c r="D566" s="200"/>
      <c r="E566" s="200"/>
      <c r="F566" s="200"/>
      <c r="G566" s="256"/>
      <c r="H566" s="200"/>
      <c r="I566" s="200"/>
      <c r="J566" s="200"/>
      <c r="K566" s="200"/>
      <c r="L566" s="200"/>
      <c r="M566" s="200"/>
      <c r="N566" s="200"/>
      <c r="O566" s="200"/>
      <c r="P566" s="200"/>
      <c r="Q566" s="200"/>
    </row>
    <row r="567">
      <c r="A567" s="255"/>
      <c r="B567" s="200"/>
      <c r="C567" s="200"/>
      <c r="D567" s="200"/>
      <c r="E567" s="200"/>
      <c r="F567" s="200"/>
      <c r="G567" s="256"/>
      <c r="H567" s="200"/>
      <c r="I567" s="200"/>
      <c r="J567" s="200"/>
      <c r="K567" s="200"/>
      <c r="L567" s="200"/>
      <c r="M567" s="200"/>
      <c r="N567" s="200"/>
      <c r="O567" s="200"/>
      <c r="P567" s="200"/>
      <c r="Q567" s="200"/>
    </row>
    <row r="568">
      <c r="A568" s="255"/>
      <c r="B568" s="200"/>
      <c r="C568" s="200"/>
      <c r="D568" s="200"/>
      <c r="E568" s="200"/>
      <c r="F568" s="200"/>
      <c r="G568" s="256"/>
      <c r="H568" s="200"/>
      <c r="I568" s="200"/>
      <c r="J568" s="200"/>
      <c r="K568" s="200"/>
      <c r="L568" s="200"/>
      <c r="M568" s="200"/>
      <c r="N568" s="200"/>
      <c r="O568" s="200"/>
      <c r="P568" s="200"/>
      <c r="Q568" s="200"/>
    </row>
    <row r="569">
      <c r="A569" s="255"/>
      <c r="B569" s="200"/>
      <c r="C569" s="200"/>
      <c r="D569" s="200"/>
      <c r="E569" s="200"/>
      <c r="F569" s="200"/>
      <c r="G569" s="256"/>
      <c r="H569" s="200"/>
      <c r="I569" s="200"/>
      <c r="J569" s="200"/>
      <c r="K569" s="200"/>
      <c r="L569" s="200"/>
      <c r="M569" s="200"/>
      <c r="N569" s="200"/>
      <c r="O569" s="200"/>
      <c r="P569" s="200"/>
      <c r="Q569" s="200"/>
    </row>
    <row r="570">
      <c r="A570" s="255"/>
      <c r="B570" s="200"/>
      <c r="C570" s="200"/>
      <c r="D570" s="200"/>
      <c r="E570" s="200"/>
      <c r="F570" s="200"/>
      <c r="G570" s="256"/>
      <c r="H570" s="200"/>
      <c r="I570" s="200"/>
      <c r="J570" s="200"/>
      <c r="K570" s="200"/>
      <c r="L570" s="200"/>
      <c r="M570" s="200"/>
      <c r="N570" s="200"/>
      <c r="O570" s="200"/>
      <c r="P570" s="200"/>
      <c r="Q570" s="200"/>
    </row>
    <row r="571">
      <c r="A571" s="255"/>
      <c r="B571" s="200"/>
      <c r="C571" s="200"/>
      <c r="D571" s="200"/>
      <c r="E571" s="200"/>
      <c r="F571" s="200"/>
      <c r="G571" s="256"/>
      <c r="H571" s="200"/>
      <c r="I571" s="200"/>
      <c r="J571" s="200"/>
      <c r="K571" s="200"/>
      <c r="L571" s="200"/>
      <c r="M571" s="200"/>
      <c r="N571" s="200"/>
      <c r="O571" s="200"/>
      <c r="P571" s="200"/>
      <c r="Q571" s="200"/>
    </row>
    <row r="572">
      <c r="A572" s="255"/>
      <c r="B572" s="200"/>
      <c r="C572" s="200"/>
      <c r="D572" s="200"/>
      <c r="E572" s="200"/>
      <c r="F572" s="200"/>
      <c r="G572" s="256"/>
      <c r="H572" s="200"/>
      <c r="I572" s="200"/>
      <c r="J572" s="200"/>
      <c r="K572" s="200"/>
      <c r="L572" s="200"/>
      <c r="M572" s="200"/>
      <c r="N572" s="200"/>
      <c r="O572" s="200"/>
      <c r="P572" s="200"/>
      <c r="Q572" s="200"/>
    </row>
    <row r="573">
      <c r="A573" s="255"/>
      <c r="B573" s="200"/>
      <c r="C573" s="200"/>
      <c r="D573" s="200"/>
      <c r="E573" s="200"/>
      <c r="F573" s="200"/>
      <c r="G573" s="256"/>
      <c r="H573" s="200"/>
      <c r="I573" s="200"/>
      <c r="J573" s="200"/>
      <c r="K573" s="200"/>
      <c r="L573" s="200"/>
      <c r="M573" s="200"/>
      <c r="N573" s="200"/>
      <c r="O573" s="200"/>
      <c r="P573" s="200"/>
      <c r="Q573" s="200"/>
    </row>
    <row r="574">
      <c r="A574" s="255"/>
      <c r="B574" s="200"/>
      <c r="C574" s="200"/>
      <c r="D574" s="200"/>
      <c r="E574" s="200"/>
      <c r="F574" s="200"/>
      <c r="G574" s="256"/>
      <c r="H574" s="200"/>
      <c r="I574" s="200"/>
      <c r="J574" s="200"/>
      <c r="K574" s="200"/>
      <c r="L574" s="200"/>
      <c r="M574" s="200"/>
      <c r="N574" s="200"/>
      <c r="O574" s="200"/>
      <c r="P574" s="200"/>
      <c r="Q574" s="200"/>
    </row>
    <row r="575">
      <c r="A575" s="255"/>
      <c r="B575" s="200"/>
      <c r="C575" s="200"/>
      <c r="D575" s="200"/>
      <c r="E575" s="200"/>
      <c r="F575" s="200"/>
      <c r="G575" s="256"/>
      <c r="H575" s="200"/>
      <c r="I575" s="200"/>
      <c r="J575" s="200"/>
      <c r="K575" s="200"/>
      <c r="L575" s="200"/>
      <c r="M575" s="200"/>
      <c r="N575" s="200"/>
      <c r="O575" s="200"/>
      <c r="P575" s="200"/>
      <c r="Q575" s="200"/>
    </row>
    <row r="576">
      <c r="A576" s="255"/>
      <c r="B576" s="200"/>
      <c r="C576" s="200"/>
      <c r="D576" s="200"/>
      <c r="E576" s="200"/>
      <c r="F576" s="200"/>
      <c r="G576" s="256"/>
      <c r="H576" s="200"/>
      <c r="I576" s="200"/>
      <c r="J576" s="200"/>
      <c r="K576" s="200"/>
      <c r="L576" s="200"/>
      <c r="M576" s="200"/>
      <c r="N576" s="200"/>
      <c r="O576" s="200"/>
      <c r="P576" s="200"/>
      <c r="Q576" s="200"/>
    </row>
    <row r="577">
      <c r="A577" s="255"/>
      <c r="B577" s="200"/>
      <c r="C577" s="200"/>
      <c r="D577" s="200"/>
      <c r="E577" s="200"/>
      <c r="F577" s="200"/>
      <c r="G577" s="256"/>
      <c r="H577" s="200"/>
      <c r="I577" s="200"/>
      <c r="J577" s="200"/>
      <c r="K577" s="200"/>
      <c r="L577" s="200"/>
      <c r="M577" s="200"/>
      <c r="N577" s="200"/>
      <c r="O577" s="200"/>
      <c r="P577" s="200"/>
      <c r="Q577" s="200"/>
    </row>
    <row r="578">
      <c r="A578" s="255"/>
      <c r="B578" s="200"/>
      <c r="C578" s="200"/>
      <c r="D578" s="200"/>
      <c r="E578" s="200"/>
      <c r="F578" s="200"/>
      <c r="G578" s="256"/>
      <c r="H578" s="200"/>
      <c r="I578" s="200"/>
      <c r="J578" s="200"/>
      <c r="K578" s="200"/>
      <c r="L578" s="200"/>
      <c r="M578" s="200"/>
      <c r="N578" s="200"/>
      <c r="O578" s="200"/>
      <c r="P578" s="200"/>
      <c r="Q578" s="200"/>
    </row>
    <row r="579">
      <c r="A579" s="255"/>
      <c r="B579" s="200"/>
      <c r="C579" s="200"/>
      <c r="D579" s="200"/>
      <c r="E579" s="200"/>
      <c r="F579" s="200"/>
      <c r="G579" s="256"/>
      <c r="H579" s="200"/>
      <c r="I579" s="200"/>
      <c r="J579" s="200"/>
      <c r="K579" s="200"/>
      <c r="L579" s="200"/>
      <c r="M579" s="200"/>
      <c r="N579" s="200"/>
      <c r="O579" s="200"/>
      <c r="P579" s="200"/>
      <c r="Q579" s="200"/>
    </row>
    <row r="580">
      <c r="A580" s="255"/>
      <c r="B580" s="200"/>
      <c r="C580" s="200"/>
      <c r="D580" s="200"/>
      <c r="E580" s="200"/>
      <c r="F580" s="200"/>
      <c r="G580" s="256"/>
      <c r="H580" s="200"/>
      <c r="I580" s="200"/>
      <c r="J580" s="200"/>
      <c r="K580" s="200"/>
      <c r="L580" s="200"/>
      <c r="M580" s="200"/>
      <c r="N580" s="200"/>
      <c r="O580" s="200"/>
      <c r="P580" s="200"/>
      <c r="Q580" s="200"/>
    </row>
    <row r="581">
      <c r="A581" s="255"/>
      <c r="B581" s="200"/>
      <c r="C581" s="200"/>
      <c r="D581" s="200"/>
      <c r="E581" s="200"/>
      <c r="F581" s="200"/>
      <c r="G581" s="256"/>
      <c r="H581" s="200"/>
      <c r="I581" s="200"/>
      <c r="J581" s="200"/>
      <c r="K581" s="200"/>
      <c r="L581" s="200"/>
      <c r="M581" s="200"/>
      <c r="N581" s="200"/>
      <c r="O581" s="200"/>
      <c r="P581" s="200"/>
      <c r="Q581" s="200"/>
    </row>
    <row r="582">
      <c r="A582" s="255"/>
      <c r="B582" s="200"/>
      <c r="C582" s="200"/>
      <c r="D582" s="200"/>
      <c r="E582" s="200"/>
      <c r="F582" s="200"/>
      <c r="G582" s="256"/>
      <c r="H582" s="200"/>
      <c r="I582" s="200"/>
      <c r="J582" s="200"/>
      <c r="K582" s="200"/>
      <c r="L582" s="200"/>
      <c r="M582" s="200"/>
      <c r="N582" s="200"/>
      <c r="O582" s="200"/>
      <c r="P582" s="200"/>
      <c r="Q582" s="200"/>
    </row>
    <row r="583">
      <c r="A583" s="255"/>
      <c r="B583" s="200"/>
      <c r="C583" s="200"/>
      <c r="D583" s="200"/>
      <c r="E583" s="200"/>
      <c r="F583" s="200"/>
      <c r="G583" s="256"/>
      <c r="H583" s="200"/>
      <c r="I583" s="200"/>
      <c r="J583" s="200"/>
      <c r="K583" s="200"/>
      <c r="L583" s="200"/>
      <c r="M583" s="200"/>
      <c r="N583" s="200"/>
      <c r="O583" s="200"/>
      <c r="P583" s="200"/>
      <c r="Q583" s="200"/>
    </row>
    <row r="584">
      <c r="A584" s="255"/>
      <c r="B584" s="200"/>
      <c r="C584" s="200"/>
      <c r="D584" s="200"/>
      <c r="E584" s="200"/>
      <c r="F584" s="200"/>
      <c r="G584" s="256"/>
      <c r="H584" s="200"/>
      <c r="I584" s="200"/>
      <c r="J584" s="200"/>
      <c r="K584" s="200"/>
      <c r="L584" s="200"/>
      <c r="M584" s="200"/>
      <c r="N584" s="200"/>
      <c r="O584" s="200"/>
      <c r="P584" s="200"/>
      <c r="Q584" s="200"/>
    </row>
    <row r="585">
      <c r="A585" s="255"/>
      <c r="B585" s="200"/>
      <c r="C585" s="200"/>
      <c r="D585" s="200"/>
      <c r="E585" s="200"/>
      <c r="F585" s="200"/>
      <c r="G585" s="256"/>
      <c r="H585" s="200"/>
      <c r="I585" s="200"/>
      <c r="J585" s="200"/>
      <c r="K585" s="200"/>
      <c r="L585" s="200"/>
      <c r="M585" s="200"/>
      <c r="N585" s="200"/>
      <c r="O585" s="200"/>
      <c r="P585" s="200"/>
      <c r="Q585" s="200"/>
    </row>
    <row r="586">
      <c r="A586" s="255"/>
      <c r="B586" s="200"/>
      <c r="C586" s="200"/>
      <c r="D586" s="200"/>
      <c r="E586" s="200"/>
      <c r="F586" s="200"/>
      <c r="G586" s="256"/>
      <c r="H586" s="200"/>
      <c r="I586" s="200"/>
      <c r="J586" s="200"/>
      <c r="K586" s="200"/>
      <c r="L586" s="200"/>
      <c r="M586" s="200"/>
      <c r="N586" s="200"/>
      <c r="O586" s="200"/>
      <c r="P586" s="200"/>
      <c r="Q586" s="200"/>
    </row>
    <row r="587">
      <c r="A587" s="255"/>
      <c r="B587" s="200"/>
      <c r="C587" s="200"/>
      <c r="D587" s="200"/>
      <c r="E587" s="200"/>
      <c r="F587" s="200"/>
      <c r="G587" s="256"/>
      <c r="H587" s="200"/>
      <c r="I587" s="200"/>
      <c r="J587" s="200"/>
      <c r="K587" s="200"/>
      <c r="L587" s="200"/>
      <c r="M587" s="200"/>
      <c r="N587" s="200"/>
      <c r="O587" s="200"/>
      <c r="P587" s="200"/>
      <c r="Q587" s="200"/>
    </row>
    <row r="588">
      <c r="A588" s="255"/>
      <c r="B588" s="200"/>
      <c r="C588" s="200"/>
      <c r="D588" s="200"/>
      <c r="E588" s="200"/>
      <c r="F588" s="200"/>
      <c r="G588" s="256"/>
      <c r="H588" s="200"/>
      <c r="I588" s="200"/>
      <c r="J588" s="200"/>
      <c r="K588" s="200"/>
      <c r="L588" s="200"/>
      <c r="M588" s="200"/>
      <c r="N588" s="200"/>
      <c r="O588" s="200"/>
      <c r="P588" s="200"/>
      <c r="Q588" s="200"/>
    </row>
    <row r="589">
      <c r="A589" s="255"/>
      <c r="B589" s="200"/>
      <c r="C589" s="200"/>
      <c r="D589" s="200"/>
      <c r="E589" s="200"/>
      <c r="F589" s="200"/>
      <c r="G589" s="256"/>
      <c r="H589" s="200"/>
      <c r="I589" s="200"/>
      <c r="J589" s="200"/>
      <c r="K589" s="200"/>
      <c r="L589" s="200"/>
      <c r="M589" s="200"/>
      <c r="N589" s="200"/>
      <c r="O589" s="200"/>
      <c r="P589" s="200"/>
      <c r="Q589" s="200"/>
    </row>
    <row r="590">
      <c r="A590" s="255"/>
      <c r="B590" s="200"/>
      <c r="C590" s="200"/>
      <c r="D590" s="200"/>
      <c r="E590" s="200"/>
      <c r="F590" s="200"/>
      <c r="G590" s="256"/>
      <c r="H590" s="200"/>
      <c r="I590" s="200"/>
      <c r="J590" s="200"/>
      <c r="K590" s="200"/>
      <c r="L590" s="200"/>
      <c r="M590" s="200"/>
      <c r="N590" s="200"/>
      <c r="O590" s="200"/>
      <c r="P590" s="200"/>
      <c r="Q590" s="200"/>
    </row>
    <row r="591">
      <c r="A591" s="255"/>
      <c r="B591" s="200"/>
      <c r="C591" s="200"/>
      <c r="D591" s="200"/>
      <c r="E591" s="200"/>
      <c r="F591" s="200"/>
      <c r="G591" s="256"/>
      <c r="H591" s="200"/>
      <c r="I591" s="200"/>
      <c r="J591" s="200"/>
      <c r="K591" s="200"/>
      <c r="L591" s="200"/>
      <c r="M591" s="200"/>
      <c r="N591" s="200"/>
      <c r="O591" s="200"/>
      <c r="P591" s="200"/>
      <c r="Q591" s="200"/>
    </row>
    <row r="592">
      <c r="A592" s="255"/>
      <c r="B592" s="200"/>
      <c r="C592" s="200"/>
      <c r="D592" s="200"/>
      <c r="E592" s="200"/>
      <c r="F592" s="200"/>
      <c r="G592" s="256"/>
      <c r="H592" s="200"/>
      <c r="I592" s="200"/>
      <c r="J592" s="200"/>
      <c r="K592" s="200"/>
      <c r="L592" s="200"/>
      <c r="M592" s="200"/>
      <c r="N592" s="200"/>
      <c r="O592" s="200"/>
      <c r="P592" s="200"/>
      <c r="Q592" s="200"/>
    </row>
    <row r="593">
      <c r="A593" s="255"/>
      <c r="B593" s="200"/>
      <c r="C593" s="200"/>
      <c r="D593" s="200"/>
      <c r="E593" s="200"/>
      <c r="F593" s="200"/>
      <c r="G593" s="256"/>
      <c r="H593" s="200"/>
      <c r="I593" s="200"/>
      <c r="J593" s="200"/>
      <c r="K593" s="200"/>
      <c r="L593" s="200"/>
      <c r="M593" s="200"/>
      <c r="N593" s="200"/>
      <c r="O593" s="200"/>
      <c r="P593" s="200"/>
      <c r="Q593" s="200"/>
    </row>
    <row r="594">
      <c r="A594" s="255"/>
      <c r="B594" s="200"/>
      <c r="C594" s="200"/>
      <c r="D594" s="200"/>
      <c r="E594" s="200"/>
      <c r="F594" s="200"/>
      <c r="G594" s="256"/>
      <c r="H594" s="200"/>
      <c r="I594" s="200"/>
      <c r="J594" s="200"/>
      <c r="K594" s="200"/>
      <c r="L594" s="200"/>
      <c r="M594" s="200"/>
      <c r="N594" s="200"/>
      <c r="O594" s="200"/>
      <c r="P594" s="200"/>
      <c r="Q594" s="200"/>
    </row>
    <row r="595">
      <c r="A595" s="255"/>
      <c r="B595" s="200"/>
      <c r="C595" s="200"/>
      <c r="D595" s="200"/>
      <c r="E595" s="200"/>
      <c r="F595" s="200"/>
      <c r="G595" s="256"/>
      <c r="H595" s="200"/>
      <c r="I595" s="200"/>
      <c r="J595" s="200"/>
      <c r="K595" s="200"/>
      <c r="L595" s="200"/>
      <c r="M595" s="200"/>
      <c r="N595" s="200"/>
      <c r="O595" s="200"/>
      <c r="P595" s="200"/>
      <c r="Q595" s="200"/>
    </row>
    <row r="596">
      <c r="A596" s="255"/>
      <c r="B596" s="200"/>
      <c r="C596" s="200"/>
      <c r="D596" s="200"/>
      <c r="E596" s="200"/>
      <c r="F596" s="200"/>
      <c r="G596" s="256"/>
      <c r="H596" s="200"/>
      <c r="I596" s="200"/>
      <c r="J596" s="200"/>
      <c r="K596" s="200"/>
      <c r="L596" s="200"/>
      <c r="M596" s="200"/>
      <c r="N596" s="200"/>
      <c r="O596" s="200"/>
      <c r="P596" s="200"/>
      <c r="Q596" s="200"/>
    </row>
    <row r="597">
      <c r="A597" s="255"/>
      <c r="B597" s="200"/>
      <c r="C597" s="200"/>
      <c r="D597" s="200"/>
      <c r="E597" s="200"/>
      <c r="F597" s="200"/>
      <c r="G597" s="256"/>
      <c r="H597" s="200"/>
      <c r="I597" s="200"/>
      <c r="J597" s="200"/>
      <c r="K597" s="200"/>
      <c r="L597" s="200"/>
      <c r="M597" s="200"/>
      <c r="N597" s="200"/>
      <c r="O597" s="200"/>
      <c r="P597" s="200"/>
      <c r="Q597" s="200"/>
    </row>
    <row r="598">
      <c r="A598" s="255"/>
      <c r="B598" s="200"/>
      <c r="C598" s="200"/>
      <c r="D598" s="200"/>
      <c r="E598" s="200"/>
      <c r="F598" s="200"/>
      <c r="G598" s="256"/>
      <c r="H598" s="200"/>
      <c r="I598" s="200"/>
      <c r="J598" s="200"/>
      <c r="K598" s="200"/>
      <c r="L598" s="200"/>
      <c r="M598" s="200"/>
      <c r="N598" s="200"/>
      <c r="O598" s="200"/>
      <c r="P598" s="200"/>
      <c r="Q598" s="200"/>
    </row>
    <row r="599">
      <c r="A599" s="255"/>
      <c r="B599" s="200"/>
      <c r="C599" s="200"/>
      <c r="D599" s="200"/>
      <c r="E599" s="200"/>
      <c r="F599" s="200"/>
      <c r="G599" s="256"/>
      <c r="H599" s="200"/>
      <c r="I599" s="200"/>
      <c r="J599" s="200"/>
      <c r="K599" s="200"/>
      <c r="L599" s="200"/>
      <c r="M599" s="200"/>
      <c r="N599" s="200"/>
      <c r="O599" s="200"/>
      <c r="P599" s="200"/>
      <c r="Q599" s="200"/>
    </row>
    <row r="600">
      <c r="A600" s="255"/>
      <c r="B600" s="200"/>
      <c r="C600" s="200"/>
      <c r="D600" s="200"/>
      <c r="E600" s="200"/>
      <c r="F600" s="200"/>
      <c r="G600" s="256"/>
      <c r="H600" s="200"/>
      <c r="I600" s="200"/>
      <c r="J600" s="200"/>
      <c r="K600" s="200"/>
      <c r="L600" s="200"/>
      <c r="M600" s="200"/>
      <c r="N600" s="200"/>
      <c r="O600" s="200"/>
      <c r="P600" s="200"/>
      <c r="Q600" s="200"/>
    </row>
    <row r="601">
      <c r="A601" s="255"/>
      <c r="B601" s="200"/>
      <c r="C601" s="200"/>
      <c r="D601" s="200"/>
      <c r="E601" s="200"/>
      <c r="F601" s="200"/>
      <c r="G601" s="256"/>
      <c r="H601" s="200"/>
      <c r="I601" s="200"/>
      <c r="J601" s="200"/>
      <c r="K601" s="200"/>
      <c r="L601" s="200"/>
      <c r="M601" s="200"/>
      <c r="N601" s="200"/>
      <c r="O601" s="200"/>
      <c r="P601" s="200"/>
      <c r="Q601" s="200"/>
    </row>
    <row r="602">
      <c r="A602" s="255"/>
      <c r="B602" s="200"/>
      <c r="C602" s="200"/>
      <c r="D602" s="200"/>
      <c r="E602" s="200"/>
      <c r="F602" s="200"/>
      <c r="G602" s="256"/>
      <c r="H602" s="200"/>
      <c r="I602" s="200"/>
      <c r="J602" s="200"/>
      <c r="K602" s="200"/>
      <c r="L602" s="200"/>
      <c r="M602" s="200"/>
      <c r="N602" s="200"/>
      <c r="O602" s="200"/>
      <c r="P602" s="200"/>
      <c r="Q602" s="200"/>
    </row>
    <row r="603">
      <c r="A603" s="255"/>
      <c r="B603" s="200"/>
      <c r="C603" s="200"/>
      <c r="D603" s="200"/>
      <c r="E603" s="200"/>
      <c r="F603" s="200"/>
      <c r="G603" s="256"/>
      <c r="H603" s="200"/>
      <c r="I603" s="200"/>
      <c r="J603" s="200"/>
      <c r="K603" s="200"/>
      <c r="L603" s="200"/>
      <c r="M603" s="200"/>
      <c r="N603" s="200"/>
      <c r="O603" s="200"/>
      <c r="P603" s="200"/>
      <c r="Q603" s="200"/>
    </row>
    <row r="604">
      <c r="A604" s="255"/>
      <c r="B604" s="200"/>
      <c r="C604" s="200"/>
      <c r="D604" s="200"/>
      <c r="E604" s="200"/>
      <c r="F604" s="200"/>
      <c r="G604" s="256"/>
      <c r="H604" s="200"/>
      <c r="I604" s="200"/>
      <c r="J604" s="200"/>
      <c r="K604" s="200"/>
      <c r="L604" s="200"/>
      <c r="M604" s="200"/>
      <c r="N604" s="200"/>
      <c r="O604" s="200"/>
      <c r="P604" s="200"/>
      <c r="Q604" s="200"/>
    </row>
    <row r="605">
      <c r="A605" s="255"/>
      <c r="B605" s="200"/>
      <c r="C605" s="200"/>
      <c r="D605" s="200"/>
      <c r="E605" s="200"/>
      <c r="F605" s="200"/>
      <c r="G605" s="256"/>
      <c r="H605" s="200"/>
      <c r="I605" s="200"/>
      <c r="J605" s="200"/>
      <c r="K605" s="200"/>
      <c r="L605" s="200"/>
      <c r="M605" s="200"/>
      <c r="N605" s="200"/>
      <c r="O605" s="200"/>
      <c r="P605" s="200"/>
      <c r="Q605" s="200"/>
    </row>
    <row r="606">
      <c r="A606" s="255"/>
      <c r="B606" s="200"/>
      <c r="C606" s="200"/>
      <c r="D606" s="200"/>
      <c r="E606" s="200"/>
      <c r="F606" s="200"/>
      <c r="G606" s="256"/>
      <c r="H606" s="200"/>
      <c r="I606" s="200"/>
      <c r="J606" s="200"/>
      <c r="K606" s="200"/>
      <c r="L606" s="200"/>
      <c r="M606" s="200"/>
      <c r="N606" s="200"/>
      <c r="O606" s="200"/>
      <c r="P606" s="200"/>
      <c r="Q606" s="200"/>
    </row>
    <row r="607">
      <c r="A607" s="255"/>
      <c r="B607" s="200"/>
      <c r="C607" s="200"/>
      <c r="D607" s="200"/>
      <c r="E607" s="200"/>
      <c r="F607" s="200"/>
      <c r="G607" s="256"/>
      <c r="H607" s="200"/>
      <c r="I607" s="200"/>
      <c r="J607" s="200"/>
      <c r="K607" s="200"/>
      <c r="L607" s="200"/>
      <c r="M607" s="200"/>
      <c r="N607" s="200"/>
      <c r="O607" s="200"/>
      <c r="P607" s="200"/>
      <c r="Q607" s="200"/>
    </row>
    <row r="608">
      <c r="A608" s="255"/>
      <c r="B608" s="200"/>
      <c r="C608" s="200"/>
      <c r="D608" s="200"/>
      <c r="E608" s="200"/>
      <c r="F608" s="200"/>
      <c r="G608" s="256"/>
      <c r="H608" s="200"/>
      <c r="I608" s="200"/>
      <c r="J608" s="200"/>
      <c r="K608" s="200"/>
      <c r="L608" s="200"/>
      <c r="M608" s="200"/>
      <c r="N608" s="200"/>
      <c r="O608" s="200"/>
      <c r="P608" s="200"/>
      <c r="Q608" s="200"/>
    </row>
    <row r="609">
      <c r="A609" s="255"/>
      <c r="B609" s="200"/>
      <c r="C609" s="200"/>
      <c r="D609" s="200"/>
      <c r="E609" s="200"/>
      <c r="F609" s="200"/>
      <c r="G609" s="256"/>
      <c r="H609" s="200"/>
      <c r="I609" s="200"/>
      <c r="J609" s="200"/>
      <c r="K609" s="200"/>
      <c r="L609" s="200"/>
      <c r="M609" s="200"/>
      <c r="N609" s="200"/>
      <c r="O609" s="200"/>
      <c r="P609" s="200"/>
      <c r="Q609" s="200"/>
    </row>
    <row r="610">
      <c r="A610" s="255"/>
      <c r="B610" s="200"/>
      <c r="C610" s="200"/>
      <c r="D610" s="200"/>
      <c r="E610" s="200"/>
      <c r="F610" s="200"/>
      <c r="G610" s="256"/>
      <c r="H610" s="200"/>
      <c r="I610" s="200"/>
      <c r="J610" s="200"/>
      <c r="K610" s="200"/>
      <c r="L610" s="200"/>
      <c r="M610" s="200"/>
      <c r="N610" s="200"/>
      <c r="O610" s="200"/>
      <c r="P610" s="200"/>
      <c r="Q610" s="200"/>
    </row>
    <row r="611">
      <c r="A611" s="255"/>
      <c r="B611" s="200"/>
      <c r="C611" s="200"/>
      <c r="D611" s="200"/>
      <c r="E611" s="200"/>
      <c r="F611" s="200"/>
      <c r="G611" s="256"/>
      <c r="H611" s="200"/>
      <c r="I611" s="200"/>
      <c r="J611" s="200"/>
      <c r="K611" s="200"/>
      <c r="L611" s="200"/>
      <c r="M611" s="200"/>
      <c r="N611" s="200"/>
      <c r="O611" s="200"/>
      <c r="P611" s="200"/>
      <c r="Q611" s="200"/>
    </row>
    <row r="612">
      <c r="A612" s="255"/>
      <c r="B612" s="200"/>
      <c r="C612" s="200"/>
      <c r="D612" s="200"/>
      <c r="E612" s="200"/>
      <c r="F612" s="200"/>
      <c r="G612" s="256"/>
      <c r="H612" s="200"/>
      <c r="I612" s="200"/>
      <c r="J612" s="200"/>
      <c r="K612" s="200"/>
      <c r="L612" s="200"/>
      <c r="M612" s="200"/>
      <c r="N612" s="200"/>
      <c r="O612" s="200"/>
      <c r="P612" s="200"/>
      <c r="Q612" s="200"/>
    </row>
    <row r="613">
      <c r="A613" s="255"/>
      <c r="B613" s="200"/>
      <c r="C613" s="200"/>
      <c r="D613" s="200"/>
      <c r="E613" s="200"/>
      <c r="F613" s="200"/>
      <c r="G613" s="256"/>
      <c r="H613" s="200"/>
      <c r="I613" s="200"/>
      <c r="J613" s="200"/>
      <c r="K613" s="200"/>
      <c r="L613" s="200"/>
      <c r="M613" s="200"/>
      <c r="N613" s="200"/>
      <c r="O613" s="200"/>
      <c r="P613" s="200"/>
      <c r="Q613" s="200"/>
    </row>
    <row r="614">
      <c r="A614" s="255"/>
      <c r="B614" s="200"/>
      <c r="C614" s="200"/>
      <c r="D614" s="200"/>
      <c r="E614" s="200"/>
      <c r="F614" s="200"/>
      <c r="G614" s="256"/>
      <c r="H614" s="200"/>
      <c r="I614" s="200"/>
      <c r="J614" s="200"/>
      <c r="K614" s="200"/>
      <c r="L614" s="200"/>
      <c r="M614" s="200"/>
      <c r="N614" s="200"/>
      <c r="O614" s="200"/>
      <c r="P614" s="200"/>
      <c r="Q614" s="200"/>
    </row>
    <row r="615">
      <c r="A615" s="255"/>
      <c r="B615" s="200"/>
      <c r="C615" s="200"/>
      <c r="D615" s="200"/>
      <c r="E615" s="200"/>
      <c r="F615" s="200"/>
      <c r="G615" s="256"/>
      <c r="H615" s="200"/>
      <c r="I615" s="200"/>
      <c r="J615" s="200"/>
      <c r="K615" s="200"/>
      <c r="L615" s="200"/>
      <c r="M615" s="200"/>
      <c r="N615" s="200"/>
      <c r="O615" s="200"/>
      <c r="P615" s="200"/>
      <c r="Q615" s="200"/>
    </row>
    <row r="616">
      <c r="A616" s="255"/>
      <c r="B616" s="200"/>
      <c r="C616" s="200"/>
      <c r="D616" s="200"/>
      <c r="E616" s="200"/>
      <c r="F616" s="200"/>
      <c r="G616" s="256"/>
      <c r="H616" s="200"/>
      <c r="I616" s="200"/>
      <c r="J616" s="200"/>
      <c r="K616" s="200"/>
      <c r="L616" s="200"/>
      <c r="M616" s="200"/>
      <c r="N616" s="200"/>
      <c r="O616" s="200"/>
      <c r="P616" s="200"/>
      <c r="Q616" s="200"/>
    </row>
    <row r="617">
      <c r="A617" s="255"/>
      <c r="B617" s="200"/>
      <c r="C617" s="200"/>
      <c r="D617" s="200"/>
      <c r="E617" s="200"/>
      <c r="F617" s="200"/>
      <c r="G617" s="256"/>
      <c r="H617" s="200"/>
      <c r="I617" s="200"/>
      <c r="J617" s="200"/>
      <c r="K617" s="200"/>
      <c r="L617" s="200"/>
      <c r="M617" s="200"/>
      <c r="N617" s="200"/>
      <c r="O617" s="200"/>
      <c r="P617" s="200"/>
      <c r="Q617" s="200"/>
    </row>
    <row r="618">
      <c r="A618" s="255"/>
      <c r="B618" s="200"/>
      <c r="C618" s="200"/>
      <c r="D618" s="200"/>
      <c r="E618" s="200"/>
      <c r="F618" s="200"/>
      <c r="G618" s="256"/>
      <c r="H618" s="200"/>
      <c r="I618" s="200"/>
      <c r="J618" s="200"/>
      <c r="K618" s="200"/>
      <c r="L618" s="200"/>
      <c r="M618" s="200"/>
      <c r="N618" s="200"/>
      <c r="O618" s="200"/>
      <c r="P618" s="200"/>
      <c r="Q618" s="200"/>
    </row>
    <row r="619">
      <c r="A619" s="255"/>
      <c r="B619" s="200"/>
      <c r="C619" s="200"/>
      <c r="D619" s="200"/>
      <c r="E619" s="200"/>
      <c r="F619" s="200"/>
      <c r="G619" s="256"/>
      <c r="H619" s="200"/>
      <c r="I619" s="200"/>
      <c r="J619" s="200"/>
      <c r="K619" s="200"/>
      <c r="L619" s="200"/>
      <c r="M619" s="200"/>
      <c r="N619" s="200"/>
      <c r="O619" s="200"/>
      <c r="P619" s="200"/>
      <c r="Q619" s="200"/>
    </row>
    <row r="620">
      <c r="A620" s="255"/>
      <c r="B620" s="200"/>
      <c r="C620" s="200"/>
      <c r="D620" s="200"/>
      <c r="E620" s="200"/>
      <c r="F620" s="200"/>
      <c r="G620" s="256"/>
      <c r="H620" s="200"/>
      <c r="I620" s="200"/>
      <c r="J620" s="200"/>
      <c r="K620" s="200"/>
      <c r="L620" s="200"/>
      <c r="M620" s="200"/>
      <c r="N620" s="200"/>
      <c r="O620" s="200"/>
      <c r="P620" s="200"/>
      <c r="Q620" s="200"/>
    </row>
    <row r="621">
      <c r="A621" s="255"/>
      <c r="B621" s="200"/>
      <c r="C621" s="200"/>
      <c r="D621" s="200"/>
      <c r="E621" s="200"/>
      <c r="F621" s="200"/>
      <c r="G621" s="256"/>
      <c r="H621" s="200"/>
      <c r="I621" s="200"/>
      <c r="J621" s="200"/>
      <c r="K621" s="200"/>
      <c r="L621" s="200"/>
      <c r="M621" s="200"/>
      <c r="N621" s="200"/>
      <c r="O621" s="200"/>
      <c r="P621" s="200"/>
      <c r="Q621" s="200"/>
    </row>
    <row r="622">
      <c r="A622" s="255"/>
      <c r="B622" s="200"/>
      <c r="C622" s="200"/>
      <c r="D622" s="200"/>
      <c r="E622" s="200"/>
      <c r="F622" s="200"/>
      <c r="G622" s="256"/>
      <c r="H622" s="200"/>
      <c r="I622" s="200"/>
      <c r="J622" s="200"/>
      <c r="K622" s="200"/>
      <c r="L622" s="200"/>
      <c r="M622" s="200"/>
      <c r="N622" s="200"/>
      <c r="O622" s="200"/>
      <c r="P622" s="200"/>
      <c r="Q622" s="200"/>
    </row>
    <row r="623">
      <c r="A623" s="255"/>
      <c r="B623" s="200"/>
      <c r="C623" s="200"/>
      <c r="D623" s="200"/>
      <c r="E623" s="200"/>
      <c r="F623" s="200"/>
      <c r="G623" s="256"/>
      <c r="H623" s="200"/>
      <c r="I623" s="200"/>
      <c r="J623" s="200"/>
      <c r="K623" s="200"/>
      <c r="L623" s="200"/>
      <c r="M623" s="200"/>
      <c r="N623" s="200"/>
      <c r="O623" s="200"/>
      <c r="P623" s="200"/>
      <c r="Q623" s="200"/>
    </row>
    <row r="624">
      <c r="A624" s="255"/>
      <c r="B624" s="200"/>
      <c r="C624" s="200"/>
      <c r="D624" s="200"/>
      <c r="E624" s="200"/>
      <c r="F624" s="200"/>
      <c r="G624" s="256"/>
      <c r="H624" s="200"/>
      <c r="I624" s="200"/>
      <c r="J624" s="200"/>
      <c r="K624" s="200"/>
      <c r="L624" s="200"/>
      <c r="M624" s="200"/>
      <c r="N624" s="200"/>
      <c r="O624" s="200"/>
      <c r="P624" s="200"/>
      <c r="Q624" s="200"/>
    </row>
    <row r="625">
      <c r="A625" s="255"/>
      <c r="B625" s="200"/>
      <c r="C625" s="200"/>
      <c r="D625" s="200"/>
      <c r="E625" s="200"/>
      <c r="F625" s="200"/>
      <c r="G625" s="256"/>
      <c r="H625" s="200"/>
      <c r="I625" s="200"/>
      <c r="J625" s="200"/>
      <c r="K625" s="200"/>
      <c r="L625" s="200"/>
      <c r="M625" s="200"/>
      <c r="N625" s="200"/>
      <c r="O625" s="200"/>
      <c r="P625" s="200"/>
      <c r="Q625" s="200"/>
    </row>
    <row r="626">
      <c r="A626" s="255"/>
      <c r="B626" s="200"/>
      <c r="C626" s="200"/>
      <c r="D626" s="200"/>
      <c r="E626" s="200"/>
      <c r="F626" s="200"/>
      <c r="G626" s="256"/>
      <c r="H626" s="200"/>
      <c r="I626" s="200"/>
      <c r="J626" s="200"/>
      <c r="K626" s="200"/>
      <c r="L626" s="200"/>
      <c r="M626" s="200"/>
      <c r="N626" s="200"/>
      <c r="O626" s="200"/>
      <c r="P626" s="200"/>
      <c r="Q626" s="200"/>
    </row>
    <row r="627">
      <c r="A627" s="255"/>
      <c r="B627" s="200"/>
      <c r="C627" s="200"/>
      <c r="D627" s="200"/>
      <c r="E627" s="200"/>
      <c r="F627" s="200"/>
      <c r="G627" s="256"/>
      <c r="H627" s="200"/>
      <c r="I627" s="200"/>
      <c r="J627" s="200"/>
      <c r="K627" s="200"/>
      <c r="L627" s="200"/>
      <c r="M627" s="200"/>
      <c r="N627" s="200"/>
      <c r="O627" s="200"/>
      <c r="P627" s="200"/>
      <c r="Q627" s="200"/>
    </row>
    <row r="628">
      <c r="A628" s="255"/>
      <c r="B628" s="200"/>
      <c r="C628" s="200"/>
      <c r="D628" s="200"/>
      <c r="E628" s="200"/>
      <c r="F628" s="200"/>
      <c r="G628" s="256"/>
      <c r="H628" s="200"/>
      <c r="I628" s="200"/>
      <c r="J628" s="200"/>
      <c r="K628" s="200"/>
      <c r="L628" s="200"/>
      <c r="M628" s="200"/>
      <c r="N628" s="200"/>
      <c r="O628" s="200"/>
      <c r="P628" s="200"/>
      <c r="Q628" s="200"/>
    </row>
    <row r="629">
      <c r="A629" s="255"/>
      <c r="B629" s="200"/>
      <c r="C629" s="200"/>
      <c r="D629" s="200"/>
      <c r="E629" s="200"/>
      <c r="F629" s="200"/>
      <c r="G629" s="256"/>
      <c r="H629" s="200"/>
      <c r="I629" s="200"/>
      <c r="J629" s="200"/>
      <c r="K629" s="200"/>
      <c r="L629" s="200"/>
      <c r="M629" s="200"/>
      <c r="N629" s="200"/>
      <c r="O629" s="200"/>
      <c r="P629" s="200"/>
      <c r="Q629" s="200"/>
    </row>
    <row r="630">
      <c r="A630" s="255"/>
      <c r="B630" s="200"/>
      <c r="C630" s="200"/>
      <c r="D630" s="200"/>
      <c r="E630" s="200"/>
      <c r="F630" s="200"/>
      <c r="G630" s="256"/>
      <c r="H630" s="200"/>
      <c r="I630" s="200"/>
      <c r="J630" s="200"/>
      <c r="K630" s="200"/>
      <c r="L630" s="200"/>
      <c r="M630" s="200"/>
      <c r="N630" s="200"/>
      <c r="O630" s="200"/>
      <c r="P630" s="200"/>
      <c r="Q630" s="200"/>
    </row>
    <row r="631">
      <c r="A631" s="255"/>
      <c r="B631" s="200"/>
      <c r="C631" s="200"/>
      <c r="D631" s="200"/>
      <c r="E631" s="200"/>
      <c r="F631" s="200"/>
      <c r="G631" s="256"/>
      <c r="H631" s="200"/>
      <c r="I631" s="200"/>
      <c r="J631" s="200"/>
      <c r="K631" s="200"/>
      <c r="L631" s="200"/>
      <c r="M631" s="200"/>
      <c r="N631" s="200"/>
      <c r="O631" s="200"/>
      <c r="P631" s="200"/>
      <c r="Q631" s="200"/>
    </row>
    <row r="632">
      <c r="A632" s="255"/>
      <c r="B632" s="200"/>
      <c r="C632" s="200"/>
      <c r="D632" s="200"/>
      <c r="E632" s="200"/>
      <c r="F632" s="200"/>
      <c r="G632" s="256"/>
      <c r="H632" s="200"/>
      <c r="I632" s="200"/>
      <c r="J632" s="200"/>
      <c r="K632" s="200"/>
      <c r="L632" s="200"/>
      <c r="M632" s="200"/>
      <c r="N632" s="200"/>
      <c r="O632" s="200"/>
      <c r="P632" s="200"/>
      <c r="Q632" s="200"/>
    </row>
    <row r="633">
      <c r="A633" s="255"/>
      <c r="B633" s="200"/>
      <c r="C633" s="200"/>
      <c r="D633" s="200"/>
      <c r="E633" s="200"/>
      <c r="F633" s="200"/>
      <c r="G633" s="256"/>
      <c r="H633" s="200"/>
      <c r="I633" s="200"/>
      <c r="J633" s="200"/>
      <c r="K633" s="200"/>
      <c r="L633" s="200"/>
      <c r="M633" s="200"/>
      <c r="N633" s="200"/>
      <c r="O633" s="200"/>
      <c r="P633" s="200"/>
      <c r="Q633" s="200"/>
    </row>
    <row r="634">
      <c r="A634" s="255"/>
      <c r="B634" s="200"/>
      <c r="C634" s="200"/>
      <c r="D634" s="200"/>
      <c r="E634" s="200"/>
      <c r="F634" s="200"/>
      <c r="G634" s="256"/>
      <c r="H634" s="200"/>
      <c r="I634" s="200"/>
      <c r="J634" s="200"/>
      <c r="K634" s="200"/>
      <c r="L634" s="200"/>
      <c r="M634" s="200"/>
      <c r="N634" s="200"/>
      <c r="O634" s="200"/>
      <c r="P634" s="200"/>
      <c r="Q634" s="200"/>
    </row>
    <row r="635">
      <c r="A635" s="255"/>
      <c r="B635" s="200"/>
      <c r="C635" s="200"/>
      <c r="D635" s="200"/>
      <c r="E635" s="200"/>
      <c r="F635" s="200"/>
      <c r="G635" s="256"/>
      <c r="H635" s="200"/>
      <c r="I635" s="200"/>
      <c r="J635" s="200"/>
      <c r="K635" s="200"/>
      <c r="L635" s="200"/>
      <c r="M635" s="200"/>
      <c r="N635" s="200"/>
      <c r="O635" s="200"/>
      <c r="P635" s="200"/>
      <c r="Q635" s="200"/>
    </row>
    <row r="636">
      <c r="A636" s="255"/>
      <c r="B636" s="200"/>
      <c r="C636" s="200"/>
      <c r="D636" s="200"/>
      <c r="E636" s="200"/>
      <c r="F636" s="200"/>
      <c r="G636" s="256"/>
      <c r="H636" s="200"/>
      <c r="I636" s="200"/>
      <c r="J636" s="200"/>
      <c r="K636" s="200"/>
      <c r="L636" s="200"/>
      <c r="M636" s="200"/>
      <c r="N636" s="200"/>
      <c r="O636" s="200"/>
      <c r="P636" s="200"/>
      <c r="Q636" s="200"/>
    </row>
    <row r="637">
      <c r="A637" s="255"/>
      <c r="B637" s="200"/>
      <c r="C637" s="200"/>
      <c r="D637" s="200"/>
      <c r="E637" s="200"/>
      <c r="F637" s="200"/>
      <c r="G637" s="256"/>
      <c r="H637" s="200"/>
      <c r="I637" s="200"/>
      <c r="J637" s="200"/>
      <c r="K637" s="200"/>
      <c r="L637" s="200"/>
      <c r="M637" s="200"/>
      <c r="N637" s="200"/>
      <c r="O637" s="200"/>
      <c r="P637" s="200"/>
      <c r="Q637" s="200"/>
    </row>
    <row r="638">
      <c r="A638" s="255"/>
      <c r="B638" s="200"/>
      <c r="C638" s="200"/>
      <c r="D638" s="200"/>
      <c r="E638" s="200"/>
      <c r="F638" s="200"/>
      <c r="G638" s="256"/>
      <c r="H638" s="200"/>
      <c r="I638" s="200"/>
      <c r="J638" s="200"/>
      <c r="K638" s="200"/>
      <c r="L638" s="200"/>
      <c r="M638" s="200"/>
      <c r="N638" s="200"/>
      <c r="O638" s="200"/>
      <c r="P638" s="200"/>
      <c r="Q638" s="200"/>
    </row>
    <row r="639">
      <c r="A639" s="255"/>
      <c r="B639" s="200"/>
      <c r="C639" s="200"/>
      <c r="D639" s="200"/>
      <c r="E639" s="200"/>
      <c r="F639" s="200"/>
      <c r="G639" s="256"/>
      <c r="H639" s="200"/>
      <c r="I639" s="200"/>
      <c r="J639" s="200"/>
      <c r="K639" s="200"/>
      <c r="L639" s="200"/>
      <c r="M639" s="200"/>
      <c r="N639" s="200"/>
      <c r="O639" s="200"/>
      <c r="P639" s="200"/>
      <c r="Q639" s="200"/>
    </row>
    <row r="640">
      <c r="A640" s="255"/>
      <c r="B640" s="200"/>
      <c r="C640" s="200"/>
      <c r="D640" s="200"/>
      <c r="E640" s="200"/>
      <c r="F640" s="200"/>
      <c r="G640" s="256"/>
      <c r="H640" s="200"/>
      <c r="I640" s="200"/>
      <c r="J640" s="200"/>
      <c r="K640" s="200"/>
      <c r="L640" s="200"/>
      <c r="M640" s="200"/>
      <c r="N640" s="200"/>
      <c r="O640" s="200"/>
      <c r="P640" s="200"/>
      <c r="Q640" s="200"/>
    </row>
    <row r="641">
      <c r="A641" s="255"/>
      <c r="B641" s="200"/>
      <c r="C641" s="200"/>
      <c r="D641" s="200"/>
      <c r="E641" s="200"/>
      <c r="F641" s="200"/>
      <c r="G641" s="256"/>
      <c r="H641" s="200"/>
      <c r="I641" s="200"/>
      <c r="J641" s="200"/>
      <c r="K641" s="200"/>
      <c r="L641" s="200"/>
      <c r="M641" s="200"/>
      <c r="N641" s="200"/>
      <c r="O641" s="200"/>
      <c r="P641" s="200"/>
      <c r="Q641" s="200"/>
    </row>
    <row r="642">
      <c r="A642" s="255"/>
      <c r="B642" s="200"/>
      <c r="C642" s="200"/>
      <c r="D642" s="200"/>
      <c r="E642" s="200"/>
      <c r="F642" s="200"/>
      <c r="G642" s="256"/>
      <c r="H642" s="200"/>
      <c r="I642" s="200"/>
      <c r="J642" s="200"/>
      <c r="K642" s="200"/>
      <c r="L642" s="200"/>
      <c r="M642" s="200"/>
      <c r="N642" s="200"/>
      <c r="O642" s="200"/>
      <c r="P642" s="200"/>
      <c r="Q642" s="200"/>
    </row>
    <row r="643">
      <c r="A643" s="255"/>
      <c r="B643" s="200"/>
      <c r="C643" s="200"/>
      <c r="D643" s="200"/>
      <c r="E643" s="200"/>
      <c r="F643" s="200"/>
      <c r="G643" s="256"/>
      <c r="H643" s="200"/>
      <c r="I643" s="200"/>
      <c r="J643" s="200"/>
      <c r="K643" s="200"/>
      <c r="L643" s="200"/>
      <c r="M643" s="200"/>
      <c r="N643" s="200"/>
      <c r="O643" s="200"/>
      <c r="P643" s="200"/>
      <c r="Q643" s="200"/>
    </row>
    <row r="644">
      <c r="A644" s="255"/>
      <c r="B644" s="200"/>
      <c r="C644" s="200"/>
      <c r="D644" s="200"/>
      <c r="E644" s="200"/>
      <c r="F644" s="200"/>
      <c r="G644" s="256"/>
      <c r="H644" s="200"/>
      <c r="I644" s="200"/>
      <c r="J644" s="200"/>
      <c r="K644" s="200"/>
      <c r="L644" s="200"/>
      <c r="M644" s="200"/>
      <c r="N644" s="200"/>
      <c r="O644" s="200"/>
      <c r="P644" s="200"/>
      <c r="Q644" s="200"/>
    </row>
    <row r="645">
      <c r="A645" s="255"/>
      <c r="B645" s="200"/>
      <c r="C645" s="200"/>
      <c r="D645" s="200"/>
      <c r="E645" s="200"/>
      <c r="F645" s="200"/>
      <c r="G645" s="256"/>
      <c r="H645" s="200"/>
      <c r="I645" s="200"/>
      <c r="J645" s="200"/>
      <c r="K645" s="200"/>
      <c r="L645" s="200"/>
      <c r="M645" s="200"/>
      <c r="N645" s="200"/>
      <c r="O645" s="200"/>
      <c r="P645" s="200"/>
      <c r="Q645" s="200"/>
    </row>
    <row r="646">
      <c r="A646" s="255"/>
      <c r="B646" s="200"/>
      <c r="C646" s="200"/>
      <c r="D646" s="200"/>
      <c r="E646" s="200"/>
      <c r="F646" s="200"/>
      <c r="G646" s="256"/>
      <c r="H646" s="200"/>
      <c r="I646" s="200"/>
      <c r="J646" s="200"/>
      <c r="K646" s="200"/>
      <c r="L646" s="200"/>
      <c r="M646" s="200"/>
      <c r="N646" s="200"/>
      <c r="O646" s="200"/>
      <c r="P646" s="200"/>
      <c r="Q646" s="200"/>
    </row>
    <row r="647">
      <c r="A647" s="255"/>
      <c r="B647" s="200"/>
      <c r="C647" s="200"/>
      <c r="D647" s="200"/>
      <c r="E647" s="200"/>
      <c r="F647" s="200"/>
      <c r="G647" s="256"/>
      <c r="H647" s="200"/>
      <c r="I647" s="200"/>
      <c r="J647" s="200"/>
      <c r="K647" s="200"/>
      <c r="L647" s="200"/>
      <c r="M647" s="200"/>
      <c r="N647" s="200"/>
      <c r="O647" s="200"/>
      <c r="P647" s="200"/>
      <c r="Q647" s="200"/>
    </row>
    <row r="648">
      <c r="A648" s="255"/>
      <c r="B648" s="200"/>
      <c r="C648" s="200"/>
      <c r="D648" s="200"/>
      <c r="E648" s="200"/>
      <c r="F648" s="200"/>
      <c r="G648" s="256"/>
      <c r="H648" s="200"/>
      <c r="I648" s="200"/>
      <c r="J648" s="200"/>
      <c r="K648" s="200"/>
      <c r="L648" s="200"/>
      <c r="M648" s="200"/>
      <c r="N648" s="200"/>
      <c r="O648" s="200"/>
      <c r="P648" s="200"/>
      <c r="Q648" s="200"/>
    </row>
    <row r="649">
      <c r="A649" s="255"/>
      <c r="B649" s="200"/>
      <c r="C649" s="200"/>
      <c r="D649" s="200"/>
      <c r="E649" s="200"/>
      <c r="F649" s="200"/>
      <c r="G649" s="256"/>
      <c r="H649" s="200"/>
      <c r="I649" s="200"/>
      <c r="J649" s="200"/>
      <c r="K649" s="200"/>
      <c r="L649" s="200"/>
      <c r="M649" s="200"/>
      <c r="N649" s="200"/>
      <c r="O649" s="200"/>
      <c r="P649" s="200"/>
      <c r="Q649" s="200"/>
    </row>
    <row r="650">
      <c r="A650" s="255"/>
      <c r="B650" s="200"/>
      <c r="C650" s="200"/>
      <c r="D650" s="200"/>
      <c r="E650" s="200"/>
      <c r="F650" s="200"/>
      <c r="G650" s="256"/>
      <c r="H650" s="200"/>
      <c r="I650" s="200"/>
      <c r="J650" s="200"/>
      <c r="K650" s="200"/>
      <c r="L650" s="200"/>
      <c r="M650" s="200"/>
      <c r="N650" s="200"/>
      <c r="O650" s="200"/>
      <c r="P650" s="200"/>
      <c r="Q650" s="200"/>
    </row>
    <row r="651">
      <c r="A651" s="255"/>
      <c r="B651" s="200"/>
      <c r="C651" s="200"/>
      <c r="D651" s="200"/>
      <c r="E651" s="200"/>
      <c r="F651" s="200"/>
      <c r="G651" s="256"/>
      <c r="H651" s="200"/>
      <c r="I651" s="200"/>
      <c r="J651" s="200"/>
      <c r="K651" s="200"/>
      <c r="L651" s="200"/>
      <c r="M651" s="200"/>
      <c r="N651" s="200"/>
      <c r="O651" s="200"/>
      <c r="P651" s="200"/>
      <c r="Q651" s="200"/>
    </row>
    <row r="652">
      <c r="A652" s="255"/>
      <c r="B652" s="200"/>
      <c r="C652" s="200"/>
      <c r="D652" s="200"/>
      <c r="E652" s="200"/>
      <c r="F652" s="200"/>
      <c r="G652" s="256"/>
      <c r="H652" s="200"/>
      <c r="I652" s="200"/>
      <c r="J652" s="200"/>
      <c r="K652" s="200"/>
      <c r="L652" s="200"/>
      <c r="M652" s="200"/>
      <c r="N652" s="200"/>
      <c r="O652" s="200"/>
      <c r="P652" s="200"/>
      <c r="Q652" s="200"/>
    </row>
    <row r="653">
      <c r="A653" s="255"/>
      <c r="B653" s="200"/>
      <c r="C653" s="200"/>
      <c r="D653" s="200"/>
      <c r="E653" s="200"/>
      <c r="F653" s="200"/>
      <c r="G653" s="256"/>
      <c r="H653" s="200"/>
      <c r="I653" s="200"/>
      <c r="J653" s="200"/>
      <c r="K653" s="200"/>
      <c r="L653" s="200"/>
      <c r="M653" s="200"/>
      <c r="N653" s="200"/>
      <c r="O653" s="200"/>
      <c r="P653" s="200"/>
      <c r="Q653" s="200"/>
    </row>
    <row r="654">
      <c r="A654" s="255"/>
      <c r="B654" s="200"/>
      <c r="C654" s="200"/>
      <c r="D654" s="200"/>
      <c r="E654" s="200"/>
      <c r="F654" s="200"/>
      <c r="G654" s="256"/>
      <c r="H654" s="200"/>
      <c r="I654" s="200"/>
      <c r="J654" s="200"/>
      <c r="K654" s="200"/>
      <c r="L654" s="200"/>
      <c r="M654" s="200"/>
      <c r="N654" s="200"/>
      <c r="O654" s="200"/>
      <c r="P654" s="200"/>
      <c r="Q654" s="200"/>
    </row>
    <row r="655">
      <c r="A655" s="255"/>
      <c r="B655" s="200"/>
      <c r="C655" s="200"/>
      <c r="D655" s="200"/>
      <c r="E655" s="200"/>
      <c r="F655" s="200"/>
      <c r="G655" s="256"/>
      <c r="H655" s="200"/>
      <c r="I655" s="200"/>
      <c r="J655" s="200"/>
      <c r="K655" s="200"/>
      <c r="L655" s="200"/>
      <c r="M655" s="200"/>
      <c r="N655" s="200"/>
      <c r="O655" s="200"/>
      <c r="P655" s="200"/>
      <c r="Q655" s="200"/>
    </row>
    <row r="656">
      <c r="A656" s="255"/>
      <c r="B656" s="200"/>
      <c r="C656" s="200"/>
      <c r="D656" s="200"/>
      <c r="E656" s="200"/>
      <c r="F656" s="200"/>
      <c r="G656" s="256"/>
      <c r="H656" s="200"/>
      <c r="I656" s="200"/>
      <c r="J656" s="200"/>
      <c r="K656" s="200"/>
      <c r="L656" s="200"/>
      <c r="M656" s="200"/>
      <c r="N656" s="200"/>
      <c r="O656" s="200"/>
      <c r="P656" s="200"/>
      <c r="Q656" s="200"/>
    </row>
    <row r="657">
      <c r="A657" s="255"/>
      <c r="B657" s="200"/>
      <c r="C657" s="200"/>
      <c r="D657" s="200"/>
      <c r="E657" s="200"/>
      <c r="F657" s="200"/>
      <c r="G657" s="256"/>
      <c r="H657" s="200"/>
      <c r="I657" s="200"/>
      <c r="J657" s="200"/>
      <c r="K657" s="200"/>
      <c r="L657" s="200"/>
      <c r="M657" s="200"/>
      <c r="N657" s="200"/>
      <c r="O657" s="200"/>
      <c r="P657" s="200"/>
      <c r="Q657" s="200"/>
    </row>
    <row r="658">
      <c r="A658" s="255"/>
      <c r="B658" s="200"/>
      <c r="C658" s="200"/>
      <c r="D658" s="200"/>
      <c r="E658" s="200"/>
      <c r="F658" s="200"/>
      <c r="G658" s="256"/>
      <c r="H658" s="200"/>
      <c r="I658" s="200"/>
      <c r="J658" s="200"/>
      <c r="K658" s="200"/>
      <c r="L658" s="200"/>
      <c r="M658" s="200"/>
      <c r="N658" s="200"/>
      <c r="O658" s="200"/>
      <c r="P658" s="200"/>
      <c r="Q658" s="200"/>
    </row>
    <row r="659">
      <c r="A659" s="255"/>
      <c r="B659" s="200"/>
      <c r="C659" s="200"/>
      <c r="D659" s="200"/>
      <c r="E659" s="200"/>
      <c r="F659" s="200"/>
      <c r="G659" s="256"/>
      <c r="H659" s="200"/>
      <c r="I659" s="200"/>
      <c r="J659" s="200"/>
      <c r="K659" s="200"/>
      <c r="L659" s="200"/>
      <c r="M659" s="200"/>
      <c r="N659" s="200"/>
      <c r="O659" s="200"/>
      <c r="P659" s="200"/>
      <c r="Q659" s="200"/>
    </row>
    <row r="660">
      <c r="A660" s="255"/>
      <c r="B660" s="200"/>
      <c r="C660" s="200"/>
      <c r="D660" s="200"/>
      <c r="E660" s="200"/>
      <c r="F660" s="200"/>
      <c r="G660" s="256"/>
      <c r="H660" s="200"/>
      <c r="I660" s="200"/>
      <c r="J660" s="200"/>
      <c r="K660" s="200"/>
      <c r="L660" s="200"/>
      <c r="M660" s="200"/>
      <c r="N660" s="200"/>
      <c r="O660" s="200"/>
      <c r="P660" s="200"/>
      <c r="Q660" s="200"/>
    </row>
    <row r="661">
      <c r="A661" s="255"/>
      <c r="B661" s="200"/>
      <c r="C661" s="200"/>
      <c r="D661" s="200"/>
      <c r="E661" s="200"/>
      <c r="F661" s="200"/>
      <c r="G661" s="256"/>
      <c r="H661" s="200"/>
      <c r="I661" s="200"/>
      <c r="J661" s="200"/>
      <c r="K661" s="200"/>
      <c r="L661" s="200"/>
      <c r="M661" s="200"/>
      <c r="N661" s="200"/>
      <c r="O661" s="200"/>
      <c r="P661" s="200"/>
      <c r="Q661" s="200"/>
    </row>
    <row r="662">
      <c r="A662" s="255"/>
      <c r="B662" s="200"/>
      <c r="C662" s="200"/>
      <c r="D662" s="200"/>
      <c r="E662" s="200"/>
      <c r="F662" s="200"/>
      <c r="G662" s="256"/>
      <c r="H662" s="200"/>
      <c r="I662" s="200"/>
      <c r="J662" s="200"/>
      <c r="K662" s="200"/>
      <c r="L662" s="200"/>
      <c r="M662" s="200"/>
      <c r="N662" s="200"/>
      <c r="O662" s="200"/>
      <c r="P662" s="200"/>
      <c r="Q662" s="200"/>
    </row>
    <row r="663">
      <c r="A663" s="255"/>
      <c r="B663" s="200"/>
      <c r="C663" s="200"/>
      <c r="D663" s="200"/>
      <c r="E663" s="200"/>
      <c r="F663" s="200"/>
      <c r="G663" s="256"/>
      <c r="H663" s="200"/>
      <c r="I663" s="200"/>
      <c r="J663" s="200"/>
      <c r="K663" s="200"/>
      <c r="L663" s="200"/>
      <c r="M663" s="200"/>
      <c r="N663" s="200"/>
      <c r="O663" s="200"/>
      <c r="P663" s="200"/>
      <c r="Q663" s="200"/>
    </row>
    <row r="664">
      <c r="A664" s="255"/>
      <c r="B664" s="200"/>
      <c r="C664" s="200"/>
      <c r="D664" s="200"/>
      <c r="E664" s="200"/>
      <c r="F664" s="200"/>
      <c r="G664" s="256"/>
      <c r="H664" s="200"/>
      <c r="I664" s="200"/>
      <c r="J664" s="200"/>
      <c r="K664" s="200"/>
      <c r="L664" s="200"/>
      <c r="M664" s="200"/>
      <c r="N664" s="200"/>
      <c r="O664" s="200"/>
      <c r="P664" s="200"/>
      <c r="Q664" s="200"/>
    </row>
    <row r="665">
      <c r="A665" s="255"/>
      <c r="B665" s="200"/>
      <c r="C665" s="200"/>
      <c r="D665" s="200"/>
      <c r="E665" s="200"/>
      <c r="F665" s="200"/>
      <c r="G665" s="256"/>
      <c r="H665" s="200"/>
      <c r="I665" s="200"/>
      <c r="J665" s="200"/>
      <c r="K665" s="200"/>
      <c r="L665" s="200"/>
      <c r="M665" s="200"/>
      <c r="N665" s="200"/>
      <c r="O665" s="200"/>
      <c r="P665" s="200"/>
      <c r="Q665" s="200"/>
    </row>
    <row r="666">
      <c r="A666" s="255"/>
      <c r="B666" s="200"/>
      <c r="C666" s="200"/>
      <c r="D666" s="200"/>
      <c r="E666" s="200"/>
      <c r="F666" s="200"/>
      <c r="G666" s="256"/>
      <c r="H666" s="200"/>
      <c r="I666" s="200"/>
      <c r="J666" s="200"/>
      <c r="K666" s="200"/>
      <c r="L666" s="200"/>
      <c r="M666" s="200"/>
      <c r="N666" s="200"/>
      <c r="O666" s="200"/>
      <c r="P666" s="200"/>
      <c r="Q666" s="200"/>
    </row>
    <row r="667">
      <c r="A667" s="255"/>
      <c r="B667" s="200"/>
      <c r="C667" s="200"/>
      <c r="D667" s="200"/>
      <c r="E667" s="200"/>
      <c r="F667" s="200"/>
      <c r="G667" s="256"/>
      <c r="H667" s="200"/>
      <c r="I667" s="200"/>
      <c r="J667" s="200"/>
      <c r="K667" s="200"/>
      <c r="L667" s="200"/>
      <c r="M667" s="200"/>
      <c r="N667" s="200"/>
      <c r="O667" s="200"/>
      <c r="P667" s="200"/>
      <c r="Q667" s="200"/>
    </row>
    <row r="668">
      <c r="A668" s="255"/>
      <c r="B668" s="200"/>
      <c r="C668" s="200"/>
      <c r="D668" s="200"/>
      <c r="E668" s="200"/>
      <c r="F668" s="200"/>
      <c r="G668" s="256"/>
      <c r="H668" s="200"/>
      <c r="I668" s="200"/>
      <c r="J668" s="200"/>
      <c r="K668" s="200"/>
      <c r="L668" s="200"/>
      <c r="M668" s="200"/>
      <c r="N668" s="200"/>
      <c r="O668" s="200"/>
      <c r="P668" s="200"/>
      <c r="Q668" s="200"/>
    </row>
    <row r="669">
      <c r="A669" s="255"/>
      <c r="B669" s="200"/>
      <c r="C669" s="200"/>
      <c r="D669" s="200"/>
      <c r="E669" s="200"/>
      <c r="F669" s="200"/>
      <c r="G669" s="256"/>
      <c r="H669" s="200"/>
      <c r="I669" s="200"/>
      <c r="J669" s="200"/>
      <c r="K669" s="200"/>
      <c r="L669" s="200"/>
      <c r="M669" s="200"/>
      <c r="N669" s="200"/>
      <c r="O669" s="200"/>
      <c r="P669" s="200"/>
      <c r="Q669" s="200"/>
    </row>
    <row r="670">
      <c r="A670" s="255"/>
      <c r="B670" s="200"/>
      <c r="C670" s="200"/>
      <c r="D670" s="200"/>
      <c r="E670" s="200"/>
      <c r="F670" s="200"/>
      <c r="G670" s="256"/>
      <c r="H670" s="200"/>
      <c r="I670" s="200"/>
      <c r="J670" s="200"/>
      <c r="K670" s="200"/>
      <c r="L670" s="200"/>
      <c r="M670" s="200"/>
      <c r="N670" s="200"/>
      <c r="O670" s="200"/>
      <c r="P670" s="200"/>
      <c r="Q670" s="200"/>
    </row>
    <row r="671">
      <c r="A671" s="255"/>
      <c r="B671" s="200"/>
      <c r="C671" s="200"/>
      <c r="D671" s="200"/>
      <c r="E671" s="200"/>
      <c r="F671" s="200"/>
      <c r="G671" s="256"/>
      <c r="H671" s="200"/>
      <c r="I671" s="200"/>
      <c r="J671" s="200"/>
      <c r="K671" s="200"/>
      <c r="L671" s="200"/>
      <c r="M671" s="200"/>
      <c r="N671" s="200"/>
      <c r="O671" s="200"/>
      <c r="P671" s="200"/>
      <c r="Q671" s="200"/>
    </row>
    <row r="672">
      <c r="A672" s="255"/>
      <c r="B672" s="200"/>
      <c r="C672" s="200"/>
      <c r="D672" s="200"/>
      <c r="E672" s="200"/>
      <c r="F672" s="200"/>
      <c r="G672" s="256"/>
      <c r="H672" s="200"/>
      <c r="I672" s="200"/>
      <c r="J672" s="200"/>
      <c r="K672" s="200"/>
      <c r="L672" s="200"/>
      <c r="M672" s="200"/>
      <c r="N672" s="200"/>
      <c r="O672" s="200"/>
      <c r="P672" s="200"/>
      <c r="Q672" s="200"/>
    </row>
    <row r="673">
      <c r="A673" s="255"/>
      <c r="B673" s="200"/>
      <c r="C673" s="200"/>
      <c r="D673" s="200"/>
      <c r="E673" s="200"/>
      <c r="F673" s="200"/>
      <c r="G673" s="256"/>
      <c r="H673" s="200"/>
      <c r="I673" s="200"/>
      <c r="J673" s="200"/>
      <c r="K673" s="200"/>
      <c r="L673" s="200"/>
      <c r="M673" s="200"/>
      <c r="N673" s="200"/>
      <c r="O673" s="200"/>
      <c r="P673" s="200"/>
      <c r="Q673" s="200"/>
    </row>
    <row r="674">
      <c r="A674" s="255"/>
      <c r="B674" s="200"/>
      <c r="C674" s="200"/>
      <c r="D674" s="200"/>
      <c r="E674" s="200"/>
      <c r="F674" s="200"/>
      <c r="G674" s="256"/>
      <c r="H674" s="200"/>
      <c r="I674" s="200"/>
      <c r="J674" s="200"/>
      <c r="K674" s="200"/>
      <c r="L674" s="200"/>
      <c r="M674" s="200"/>
      <c r="N674" s="200"/>
      <c r="O674" s="200"/>
      <c r="P674" s="200"/>
      <c r="Q674" s="200"/>
    </row>
    <row r="675">
      <c r="A675" s="255"/>
      <c r="B675" s="200"/>
      <c r="C675" s="200"/>
      <c r="D675" s="200"/>
      <c r="E675" s="200"/>
      <c r="F675" s="200"/>
      <c r="G675" s="256"/>
      <c r="H675" s="200"/>
      <c r="I675" s="200"/>
      <c r="J675" s="200"/>
      <c r="K675" s="200"/>
      <c r="L675" s="200"/>
      <c r="M675" s="200"/>
      <c r="N675" s="200"/>
      <c r="O675" s="200"/>
      <c r="P675" s="200"/>
      <c r="Q675" s="200"/>
    </row>
    <row r="676">
      <c r="A676" s="255"/>
      <c r="B676" s="200"/>
      <c r="C676" s="200"/>
      <c r="D676" s="200"/>
      <c r="E676" s="200"/>
      <c r="F676" s="200"/>
      <c r="G676" s="256"/>
      <c r="H676" s="200"/>
      <c r="I676" s="200"/>
      <c r="J676" s="200"/>
      <c r="K676" s="200"/>
      <c r="L676" s="200"/>
      <c r="M676" s="200"/>
      <c r="N676" s="200"/>
      <c r="O676" s="200"/>
      <c r="P676" s="200"/>
      <c r="Q676" s="200"/>
    </row>
    <row r="677">
      <c r="A677" s="255"/>
      <c r="B677" s="200"/>
      <c r="C677" s="200"/>
      <c r="D677" s="200"/>
      <c r="E677" s="200"/>
      <c r="F677" s="200"/>
      <c r="G677" s="256"/>
      <c r="H677" s="200"/>
      <c r="I677" s="200"/>
      <c r="J677" s="200"/>
      <c r="K677" s="200"/>
      <c r="L677" s="200"/>
      <c r="M677" s="200"/>
      <c r="N677" s="200"/>
      <c r="O677" s="200"/>
      <c r="P677" s="200"/>
      <c r="Q677" s="200"/>
    </row>
    <row r="678">
      <c r="A678" s="255"/>
      <c r="B678" s="200"/>
      <c r="C678" s="200"/>
      <c r="D678" s="200"/>
      <c r="E678" s="200"/>
      <c r="F678" s="200"/>
      <c r="G678" s="256"/>
      <c r="H678" s="200"/>
      <c r="I678" s="200"/>
      <c r="J678" s="200"/>
      <c r="K678" s="200"/>
      <c r="L678" s="200"/>
      <c r="M678" s="200"/>
      <c r="N678" s="200"/>
      <c r="O678" s="200"/>
      <c r="P678" s="200"/>
      <c r="Q678" s="200"/>
    </row>
    <row r="679">
      <c r="A679" s="255"/>
      <c r="B679" s="200"/>
      <c r="C679" s="200"/>
      <c r="D679" s="200"/>
      <c r="E679" s="200"/>
      <c r="F679" s="200"/>
      <c r="G679" s="256"/>
      <c r="H679" s="200"/>
      <c r="I679" s="200"/>
      <c r="J679" s="200"/>
      <c r="K679" s="200"/>
      <c r="L679" s="200"/>
      <c r="M679" s="200"/>
      <c r="N679" s="200"/>
      <c r="O679" s="200"/>
      <c r="P679" s="200"/>
      <c r="Q679" s="200"/>
    </row>
    <row r="680">
      <c r="A680" s="255"/>
      <c r="B680" s="200"/>
      <c r="C680" s="200"/>
      <c r="D680" s="200"/>
      <c r="E680" s="200"/>
      <c r="F680" s="200"/>
      <c r="G680" s="256"/>
      <c r="H680" s="200"/>
      <c r="I680" s="200"/>
      <c r="J680" s="200"/>
      <c r="K680" s="200"/>
      <c r="L680" s="200"/>
      <c r="M680" s="200"/>
      <c r="N680" s="200"/>
      <c r="O680" s="200"/>
      <c r="P680" s="200"/>
      <c r="Q680" s="200"/>
    </row>
    <row r="681">
      <c r="A681" s="255"/>
      <c r="B681" s="200"/>
      <c r="C681" s="200"/>
      <c r="D681" s="200"/>
      <c r="E681" s="200"/>
      <c r="F681" s="200"/>
      <c r="G681" s="256"/>
      <c r="H681" s="200"/>
      <c r="I681" s="200"/>
      <c r="J681" s="200"/>
      <c r="K681" s="200"/>
      <c r="L681" s="200"/>
      <c r="M681" s="200"/>
      <c r="N681" s="200"/>
      <c r="O681" s="200"/>
      <c r="P681" s="200"/>
      <c r="Q681" s="200"/>
    </row>
    <row r="682">
      <c r="A682" s="255"/>
      <c r="B682" s="200"/>
      <c r="C682" s="200"/>
      <c r="D682" s="200"/>
      <c r="E682" s="200"/>
      <c r="F682" s="200"/>
      <c r="G682" s="256"/>
      <c r="H682" s="200"/>
      <c r="I682" s="200"/>
      <c r="J682" s="200"/>
      <c r="K682" s="200"/>
      <c r="L682" s="200"/>
      <c r="M682" s="200"/>
      <c r="N682" s="200"/>
      <c r="O682" s="200"/>
      <c r="P682" s="200"/>
      <c r="Q682" s="200"/>
    </row>
    <row r="683">
      <c r="A683" s="255"/>
      <c r="B683" s="200"/>
      <c r="C683" s="200"/>
      <c r="D683" s="200"/>
      <c r="E683" s="200"/>
      <c r="F683" s="200"/>
      <c r="G683" s="256"/>
      <c r="H683" s="200"/>
      <c r="I683" s="200"/>
      <c r="J683" s="200"/>
      <c r="K683" s="200"/>
      <c r="L683" s="200"/>
      <c r="M683" s="200"/>
      <c r="N683" s="200"/>
      <c r="O683" s="200"/>
      <c r="P683" s="200"/>
      <c r="Q683" s="200"/>
    </row>
    <row r="684">
      <c r="A684" s="255"/>
      <c r="B684" s="200"/>
      <c r="C684" s="200"/>
      <c r="D684" s="200"/>
      <c r="E684" s="200"/>
      <c r="F684" s="200"/>
      <c r="G684" s="256"/>
      <c r="H684" s="200"/>
      <c r="I684" s="200"/>
      <c r="J684" s="200"/>
      <c r="K684" s="200"/>
      <c r="L684" s="200"/>
      <c r="M684" s="200"/>
      <c r="N684" s="200"/>
      <c r="O684" s="200"/>
      <c r="P684" s="200"/>
      <c r="Q684" s="200"/>
    </row>
    <row r="685">
      <c r="A685" s="255"/>
      <c r="B685" s="200"/>
      <c r="C685" s="200"/>
      <c r="D685" s="200"/>
      <c r="E685" s="200"/>
      <c r="F685" s="200"/>
      <c r="G685" s="256"/>
      <c r="H685" s="200"/>
      <c r="I685" s="200"/>
      <c r="J685" s="200"/>
      <c r="K685" s="200"/>
      <c r="L685" s="200"/>
      <c r="M685" s="200"/>
      <c r="N685" s="200"/>
      <c r="O685" s="200"/>
      <c r="P685" s="200"/>
      <c r="Q685" s="200"/>
    </row>
    <row r="686">
      <c r="A686" s="255"/>
      <c r="B686" s="200"/>
      <c r="C686" s="200"/>
      <c r="D686" s="200"/>
      <c r="E686" s="200"/>
      <c r="F686" s="200"/>
      <c r="G686" s="256"/>
      <c r="H686" s="200"/>
      <c r="I686" s="200"/>
      <c r="J686" s="200"/>
      <c r="K686" s="200"/>
      <c r="L686" s="200"/>
      <c r="M686" s="200"/>
      <c r="N686" s="200"/>
      <c r="O686" s="200"/>
      <c r="P686" s="200"/>
      <c r="Q686" s="200"/>
    </row>
    <row r="687">
      <c r="A687" s="255"/>
      <c r="B687" s="200"/>
      <c r="C687" s="200"/>
      <c r="D687" s="200"/>
      <c r="E687" s="200"/>
      <c r="F687" s="200"/>
      <c r="G687" s="256"/>
      <c r="H687" s="200"/>
      <c r="I687" s="200"/>
      <c r="J687" s="200"/>
      <c r="K687" s="200"/>
      <c r="L687" s="200"/>
      <c r="M687" s="200"/>
      <c r="N687" s="200"/>
      <c r="O687" s="200"/>
      <c r="P687" s="200"/>
      <c r="Q687" s="200"/>
    </row>
    <row r="688">
      <c r="A688" s="255"/>
      <c r="B688" s="200"/>
      <c r="C688" s="200"/>
      <c r="D688" s="200"/>
      <c r="E688" s="200"/>
      <c r="F688" s="200"/>
      <c r="G688" s="256"/>
      <c r="H688" s="200"/>
      <c r="I688" s="200"/>
      <c r="J688" s="200"/>
      <c r="K688" s="200"/>
      <c r="L688" s="200"/>
      <c r="M688" s="200"/>
      <c r="N688" s="200"/>
      <c r="O688" s="200"/>
      <c r="P688" s="200"/>
      <c r="Q688" s="200"/>
    </row>
    <row r="689">
      <c r="A689" s="255"/>
      <c r="B689" s="200"/>
      <c r="C689" s="200"/>
      <c r="D689" s="200"/>
      <c r="E689" s="200"/>
      <c r="F689" s="200"/>
      <c r="G689" s="256"/>
      <c r="H689" s="200"/>
      <c r="I689" s="200"/>
      <c r="J689" s="200"/>
      <c r="K689" s="200"/>
      <c r="L689" s="200"/>
      <c r="M689" s="200"/>
      <c r="N689" s="200"/>
      <c r="O689" s="200"/>
      <c r="P689" s="200"/>
      <c r="Q689" s="200"/>
    </row>
    <row r="690">
      <c r="A690" s="255"/>
      <c r="B690" s="200"/>
      <c r="C690" s="200"/>
      <c r="D690" s="200"/>
      <c r="E690" s="200"/>
      <c r="F690" s="200"/>
      <c r="G690" s="256"/>
      <c r="H690" s="200"/>
      <c r="I690" s="200"/>
      <c r="J690" s="200"/>
      <c r="K690" s="200"/>
      <c r="L690" s="200"/>
      <c r="M690" s="200"/>
      <c r="N690" s="200"/>
      <c r="O690" s="200"/>
      <c r="P690" s="200"/>
      <c r="Q690" s="200"/>
    </row>
    <row r="691">
      <c r="A691" s="255"/>
      <c r="B691" s="200"/>
      <c r="C691" s="200"/>
      <c r="D691" s="200"/>
      <c r="E691" s="200"/>
      <c r="F691" s="200"/>
      <c r="G691" s="256"/>
      <c r="H691" s="200"/>
      <c r="I691" s="200"/>
      <c r="J691" s="200"/>
      <c r="K691" s="200"/>
      <c r="L691" s="200"/>
      <c r="M691" s="200"/>
      <c r="N691" s="200"/>
      <c r="O691" s="200"/>
      <c r="P691" s="200"/>
      <c r="Q691" s="200"/>
    </row>
    <row r="692">
      <c r="A692" s="255"/>
      <c r="B692" s="200"/>
      <c r="C692" s="200"/>
      <c r="D692" s="200"/>
      <c r="E692" s="200"/>
      <c r="F692" s="200"/>
      <c r="G692" s="256"/>
      <c r="H692" s="200"/>
      <c r="I692" s="200"/>
      <c r="J692" s="200"/>
      <c r="K692" s="200"/>
      <c r="L692" s="200"/>
      <c r="M692" s="200"/>
      <c r="N692" s="200"/>
      <c r="O692" s="200"/>
      <c r="P692" s="200"/>
      <c r="Q692" s="200"/>
    </row>
    <row r="693">
      <c r="A693" s="255"/>
      <c r="B693" s="200"/>
      <c r="C693" s="200"/>
      <c r="D693" s="200"/>
      <c r="E693" s="200"/>
      <c r="F693" s="200"/>
      <c r="G693" s="256"/>
      <c r="H693" s="200"/>
      <c r="I693" s="200"/>
      <c r="J693" s="200"/>
      <c r="K693" s="200"/>
      <c r="L693" s="200"/>
      <c r="M693" s="200"/>
      <c r="N693" s="200"/>
      <c r="O693" s="200"/>
      <c r="P693" s="200"/>
      <c r="Q693" s="200"/>
    </row>
    <row r="694">
      <c r="A694" s="255"/>
      <c r="B694" s="200"/>
      <c r="C694" s="200"/>
      <c r="D694" s="200"/>
      <c r="E694" s="200"/>
      <c r="F694" s="200"/>
      <c r="G694" s="256"/>
      <c r="H694" s="200"/>
      <c r="I694" s="200"/>
      <c r="J694" s="200"/>
      <c r="K694" s="200"/>
      <c r="L694" s="200"/>
      <c r="M694" s="200"/>
      <c r="N694" s="200"/>
      <c r="O694" s="200"/>
      <c r="P694" s="200"/>
      <c r="Q694" s="200"/>
    </row>
    <row r="695">
      <c r="A695" s="255"/>
      <c r="B695" s="200"/>
      <c r="C695" s="200"/>
      <c r="D695" s="200"/>
      <c r="E695" s="200"/>
      <c r="F695" s="200"/>
      <c r="G695" s="256"/>
      <c r="H695" s="200"/>
      <c r="I695" s="200"/>
      <c r="J695" s="200"/>
      <c r="K695" s="200"/>
      <c r="L695" s="200"/>
      <c r="M695" s="200"/>
      <c r="N695" s="200"/>
      <c r="O695" s="200"/>
      <c r="P695" s="200"/>
      <c r="Q695" s="200"/>
    </row>
    <row r="696">
      <c r="A696" s="255"/>
      <c r="B696" s="200"/>
      <c r="C696" s="200"/>
      <c r="D696" s="200"/>
      <c r="E696" s="200"/>
      <c r="F696" s="200"/>
      <c r="G696" s="256"/>
      <c r="H696" s="200"/>
      <c r="I696" s="200"/>
      <c r="J696" s="200"/>
      <c r="K696" s="200"/>
      <c r="L696" s="200"/>
      <c r="M696" s="200"/>
      <c r="N696" s="200"/>
      <c r="O696" s="200"/>
      <c r="P696" s="200"/>
      <c r="Q696" s="200"/>
    </row>
    <row r="697">
      <c r="A697" s="255"/>
      <c r="B697" s="200"/>
      <c r="C697" s="200"/>
      <c r="D697" s="200"/>
      <c r="E697" s="200"/>
      <c r="F697" s="200"/>
      <c r="G697" s="256"/>
      <c r="H697" s="200"/>
      <c r="I697" s="200"/>
      <c r="J697" s="200"/>
      <c r="K697" s="200"/>
      <c r="L697" s="200"/>
      <c r="M697" s="200"/>
      <c r="N697" s="200"/>
      <c r="O697" s="200"/>
      <c r="P697" s="200"/>
      <c r="Q697" s="200"/>
    </row>
    <row r="698">
      <c r="A698" s="255"/>
      <c r="B698" s="200"/>
      <c r="C698" s="200"/>
      <c r="D698" s="200"/>
      <c r="E698" s="200"/>
      <c r="F698" s="200"/>
      <c r="G698" s="256"/>
      <c r="H698" s="200"/>
      <c r="I698" s="200"/>
      <c r="J698" s="200"/>
      <c r="K698" s="200"/>
      <c r="L698" s="200"/>
      <c r="M698" s="200"/>
      <c r="N698" s="200"/>
      <c r="O698" s="200"/>
      <c r="P698" s="200"/>
      <c r="Q698" s="200"/>
    </row>
    <row r="699">
      <c r="A699" s="255"/>
      <c r="B699" s="200"/>
      <c r="C699" s="200"/>
      <c r="D699" s="200"/>
      <c r="E699" s="200"/>
      <c r="F699" s="200"/>
      <c r="G699" s="256"/>
      <c r="H699" s="200"/>
      <c r="I699" s="200"/>
      <c r="J699" s="200"/>
      <c r="K699" s="200"/>
      <c r="L699" s="200"/>
      <c r="M699" s="200"/>
      <c r="N699" s="200"/>
      <c r="O699" s="200"/>
      <c r="P699" s="200"/>
      <c r="Q699" s="200"/>
    </row>
    <row r="700">
      <c r="A700" s="255"/>
      <c r="B700" s="200"/>
      <c r="C700" s="200"/>
      <c r="D700" s="200"/>
      <c r="E700" s="200"/>
      <c r="F700" s="200"/>
      <c r="G700" s="256"/>
      <c r="H700" s="200"/>
      <c r="I700" s="200"/>
      <c r="J700" s="200"/>
      <c r="K700" s="200"/>
      <c r="L700" s="200"/>
      <c r="M700" s="200"/>
      <c r="N700" s="200"/>
      <c r="O700" s="200"/>
      <c r="P700" s="200"/>
      <c r="Q700" s="200"/>
    </row>
    <row r="701">
      <c r="A701" s="255"/>
      <c r="B701" s="200"/>
      <c r="C701" s="200"/>
      <c r="D701" s="200"/>
      <c r="E701" s="200"/>
      <c r="F701" s="200"/>
      <c r="G701" s="256"/>
      <c r="H701" s="200"/>
      <c r="I701" s="200"/>
      <c r="J701" s="200"/>
      <c r="K701" s="200"/>
      <c r="L701" s="200"/>
      <c r="M701" s="200"/>
      <c r="N701" s="200"/>
      <c r="O701" s="200"/>
      <c r="P701" s="200"/>
      <c r="Q701" s="200"/>
    </row>
    <row r="702">
      <c r="A702" s="255"/>
      <c r="B702" s="200"/>
      <c r="C702" s="200"/>
      <c r="D702" s="200"/>
      <c r="E702" s="200"/>
      <c r="F702" s="200"/>
      <c r="G702" s="256"/>
      <c r="H702" s="200"/>
      <c r="I702" s="200"/>
      <c r="J702" s="200"/>
      <c r="K702" s="200"/>
      <c r="L702" s="200"/>
      <c r="M702" s="200"/>
      <c r="N702" s="200"/>
      <c r="O702" s="200"/>
      <c r="P702" s="200"/>
      <c r="Q702" s="200"/>
    </row>
    <row r="703">
      <c r="A703" s="255"/>
      <c r="B703" s="200"/>
      <c r="C703" s="200"/>
      <c r="D703" s="200"/>
      <c r="E703" s="200"/>
      <c r="F703" s="200"/>
      <c r="G703" s="256"/>
      <c r="H703" s="200"/>
      <c r="I703" s="200"/>
      <c r="J703" s="200"/>
      <c r="K703" s="200"/>
      <c r="L703" s="200"/>
      <c r="M703" s="200"/>
      <c r="N703" s="200"/>
      <c r="O703" s="200"/>
      <c r="P703" s="200"/>
      <c r="Q703" s="200"/>
    </row>
    <row r="704">
      <c r="A704" s="255"/>
      <c r="B704" s="200"/>
      <c r="C704" s="200"/>
      <c r="D704" s="200"/>
      <c r="E704" s="200"/>
      <c r="F704" s="200"/>
      <c r="G704" s="256"/>
      <c r="H704" s="200"/>
      <c r="I704" s="200"/>
      <c r="J704" s="200"/>
      <c r="K704" s="200"/>
      <c r="L704" s="200"/>
      <c r="M704" s="200"/>
      <c r="N704" s="200"/>
      <c r="O704" s="200"/>
      <c r="P704" s="200"/>
      <c r="Q704" s="200"/>
    </row>
    <row r="705">
      <c r="A705" s="255"/>
      <c r="B705" s="200"/>
      <c r="C705" s="200"/>
      <c r="D705" s="200"/>
      <c r="E705" s="200"/>
      <c r="F705" s="200"/>
      <c r="G705" s="256"/>
      <c r="H705" s="200"/>
      <c r="I705" s="200"/>
      <c r="J705" s="200"/>
      <c r="K705" s="200"/>
      <c r="L705" s="200"/>
      <c r="M705" s="200"/>
      <c r="N705" s="200"/>
      <c r="O705" s="200"/>
      <c r="P705" s="200"/>
      <c r="Q705" s="200"/>
    </row>
    <row r="706">
      <c r="A706" s="255"/>
      <c r="B706" s="200"/>
      <c r="C706" s="200"/>
      <c r="D706" s="200"/>
      <c r="E706" s="200"/>
      <c r="F706" s="200"/>
      <c r="G706" s="256"/>
      <c r="H706" s="200"/>
      <c r="I706" s="200"/>
      <c r="J706" s="200"/>
      <c r="K706" s="200"/>
      <c r="L706" s="200"/>
      <c r="M706" s="200"/>
      <c r="N706" s="200"/>
      <c r="O706" s="200"/>
      <c r="P706" s="200"/>
      <c r="Q706" s="200"/>
    </row>
    <row r="707">
      <c r="A707" s="255"/>
      <c r="B707" s="200"/>
      <c r="C707" s="200"/>
      <c r="D707" s="200"/>
      <c r="E707" s="200"/>
      <c r="F707" s="200"/>
      <c r="G707" s="256"/>
      <c r="H707" s="200"/>
      <c r="I707" s="200"/>
      <c r="J707" s="200"/>
      <c r="K707" s="200"/>
      <c r="L707" s="200"/>
      <c r="M707" s="200"/>
      <c r="N707" s="200"/>
      <c r="O707" s="200"/>
      <c r="P707" s="200"/>
      <c r="Q707" s="200"/>
    </row>
    <row r="708">
      <c r="A708" s="255"/>
      <c r="B708" s="200"/>
      <c r="C708" s="200"/>
      <c r="D708" s="200"/>
      <c r="E708" s="200"/>
      <c r="F708" s="200"/>
      <c r="G708" s="256"/>
      <c r="H708" s="200"/>
      <c r="I708" s="200"/>
      <c r="J708" s="200"/>
      <c r="K708" s="200"/>
      <c r="L708" s="200"/>
      <c r="M708" s="200"/>
      <c r="N708" s="200"/>
      <c r="O708" s="200"/>
      <c r="P708" s="200"/>
      <c r="Q708" s="200"/>
    </row>
    <row r="709">
      <c r="A709" s="255"/>
      <c r="B709" s="200"/>
      <c r="C709" s="200"/>
      <c r="D709" s="200"/>
      <c r="E709" s="200"/>
      <c r="F709" s="200"/>
      <c r="G709" s="256"/>
      <c r="H709" s="200"/>
      <c r="I709" s="200"/>
      <c r="J709" s="200"/>
      <c r="K709" s="200"/>
      <c r="L709" s="200"/>
      <c r="M709" s="200"/>
      <c r="N709" s="200"/>
      <c r="O709" s="200"/>
      <c r="P709" s="200"/>
      <c r="Q709" s="200"/>
    </row>
    <row r="710">
      <c r="A710" s="255"/>
      <c r="B710" s="200"/>
      <c r="C710" s="200"/>
      <c r="D710" s="200"/>
      <c r="E710" s="200"/>
      <c r="F710" s="200"/>
      <c r="G710" s="256"/>
      <c r="H710" s="200"/>
      <c r="I710" s="200"/>
      <c r="J710" s="200"/>
      <c r="K710" s="200"/>
      <c r="L710" s="200"/>
      <c r="M710" s="200"/>
      <c r="N710" s="200"/>
      <c r="O710" s="200"/>
      <c r="P710" s="200"/>
      <c r="Q710" s="200"/>
    </row>
    <row r="711">
      <c r="A711" s="255"/>
      <c r="B711" s="200"/>
      <c r="C711" s="200"/>
      <c r="D711" s="200"/>
      <c r="E711" s="200"/>
      <c r="F711" s="200"/>
      <c r="G711" s="256"/>
      <c r="H711" s="200"/>
      <c r="I711" s="200"/>
      <c r="J711" s="200"/>
      <c r="K711" s="200"/>
      <c r="L711" s="200"/>
      <c r="M711" s="200"/>
      <c r="N711" s="200"/>
      <c r="O711" s="200"/>
      <c r="P711" s="200"/>
      <c r="Q711" s="200"/>
    </row>
    <row r="712">
      <c r="A712" s="255"/>
      <c r="B712" s="200"/>
      <c r="C712" s="200"/>
      <c r="D712" s="200"/>
      <c r="E712" s="200"/>
      <c r="F712" s="200"/>
      <c r="G712" s="256"/>
      <c r="H712" s="200"/>
      <c r="I712" s="200"/>
      <c r="J712" s="200"/>
      <c r="K712" s="200"/>
      <c r="L712" s="200"/>
      <c r="M712" s="200"/>
      <c r="N712" s="200"/>
      <c r="O712" s="200"/>
      <c r="P712" s="200"/>
      <c r="Q712" s="200"/>
    </row>
    <row r="713">
      <c r="A713" s="255"/>
      <c r="B713" s="200"/>
      <c r="C713" s="200"/>
      <c r="D713" s="200"/>
      <c r="E713" s="200"/>
      <c r="F713" s="200"/>
      <c r="G713" s="256"/>
      <c r="H713" s="200"/>
      <c r="I713" s="200"/>
      <c r="J713" s="200"/>
      <c r="K713" s="200"/>
      <c r="L713" s="200"/>
      <c r="M713" s="200"/>
      <c r="N713" s="200"/>
      <c r="O713" s="200"/>
      <c r="P713" s="200"/>
      <c r="Q713" s="200"/>
    </row>
    <row r="714">
      <c r="A714" s="255"/>
      <c r="B714" s="200"/>
      <c r="C714" s="200"/>
      <c r="D714" s="200"/>
      <c r="E714" s="200"/>
      <c r="F714" s="200"/>
      <c r="G714" s="256"/>
      <c r="H714" s="200"/>
      <c r="I714" s="200"/>
      <c r="J714" s="200"/>
      <c r="K714" s="200"/>
      <c r="L714" s="200"/>
      <c r="M714" s="200"/>
      <c r="N714" s="200"/>
      <c r="O714" s="200"/>
      <c r="P714" s="200"/>
      <c r="Q714" s="200"/>
    </row>
    <row r="715">
      <c r="A715" s="255"/>
      <c r="B715" s="200"/>
      <c r="C715" s="200"/>
      <c r="D715" s="200"/>
      <c r="E715" s="200"/>
      <c r="F715" s="200"/>
      <c r="G715" s="256"/>
      <c r="H715" s="200"/>
      <c r="I715" s="200"/>
      <c r="J715" s="200"/>
      <c r="K715" s="200"/>
      <c r="L715" s="200"/>
      <c r="M715" s="200"/>
      <c r="N715" s="200"/>
      <c r="O715" s="200"/>
      <c r="P715" s="200"/>
      <c r="Q715" s="200"/>
    </row>
    <row r="716">
      <c r="A716" s="255"/>
      <c r="B716" s="200"/>
      <c r="C716" s="200"/>
      <c r="D716" s="200"/>
      <c r="E716" s="200"/>
      <c r="F716" s="200"/>
      <c r="G716" s="256"/>
      <c r="H716" s="200"/>
      <c r="I716" s="200"/>
      <c r="J716" s="200"/>
      <c r="K716" s="200"/>
      <c r="L716" s="200"/>
      <c r="M716" s="200"/>
      <c r="N716" s="200"/>
      <c r="O716" s="200"/>
      <c r="P716" s="200"/>
      <c r="Q716" s="200"/>
    </row>
    <row r="717">
      <c r="A717" s="255"/>
      <c r="B717" s="200"/>
      <c r="C717" s="200"/>
      <c r="D717" s="200"/>
      <c r="E717" s="200"/>
      <c r="F717" s="200"/>
      <c r="G717" s="256"/>
      <c r="H717" s="200"/>
      <c r="I717" s="200"/>
      <c r="J717" s="200"/>
      <c r="K717" s="200"/>
      <c r="L717" s="200"/>
      <c r="M717" s="200"/>
      <c r="N717" s="200"/>
      <c r="O717" s="200"/>
      <c r="P717" s="200"/>
      <c r="Q717" s="200"/>
    </row>
    <row r="718">
      <c r="A718" s="255"/>
      <c r="B718" s="200"/>
      <c r="C718" s="200"/>
      <c r="D718" s="200"/>
      <c r="E718" s="200"/>
      <c r="F718" s="200"/>
      <c r="G718" s="256"/>
      <c r="H718" s="200"/>
      <c r="I718" s="200"/>
      <c r="J718" s="200"/>
      <c r="K718" s="200"/>
      <c r="L718" s="200"/>
      <c r="M718" s="200"/>
      <c r="N718" s="200"/>
      <c r="O718" s="200"/>
      <c r="P718" s="200"/>
      <c r="Q718" s="200"/>
    </row>
    <row r="719">
      <c r="A719" s="255"/>
      <c r="B719" s="200"/>
      <c r="C719" s="200"/>
      <c r="D719" s="200"/>
      <c r="E719" s="200"/>
      <c r="F719" s="200"/>
      <c r="G719" s="256"/>
      <c r="H719" s="200"/>
      <c r="I719" s="200"/>
      <c r="J719" s="200"/>
      <c r="K719" s="200"/>
      <c r="L719" s="200"/>
      <c r="M719" s="200"/>
      <c r="N719" s="200"/>
      <c r="O719" s="200"/>
      <c r="P719" s="200"/>
      <c r="Q719" s="200"/>
    </row>
    <row r="720">
      <c r="A720" s="255"/>
      <c r="B720" s="200"/>
      <c r="C720" s="200"/>
      <c r="D720" s="200"/>
      <c r="E720" s="200"/>
      <c r="F720" s="200"/>
      <c r="G720" s="256"/>
      <c r="H720" s="200"/>
      <c r="I720" s="200"/>
      <c r="J720" s="200"/>
      <c r="K720" s="200"/>
      <c r="L720" s="200"/>
      <c r="M720" s="200"/>
      <c r="N720" s="200"/>
      <c r="O720" s="200"/>
      <c r="P720" s="200"/>
      <c r="Q720" s="200"/>
    </row>
    <row r="721">
      <c r="A721" s="255"/>
      <c r="B721" s="200"/>
      <c r="C721" s="200"/>
      <c r="D721" s="200"/>
      <c r="E721" s="200"/>
      <c r="F721" s="200"/>
      <c r="G721" s="256"/>
      <c r="H721" s="200"/>
      <c r="I721" s="200"/>
      <c r="J721" s="200"/>
      <c r="K721" s="200"/>
      <c r="L721" s="200"/>
      <c r="M721" s="200"/>
      <c r="N721" s="200"/>
      <c r="O721" s="200"/>
      <c r="P721" s="200"/>
      <c r="Q721" s="200"/>
    </row>
    <row r="722">
      <c r="A722" s="255"/>
      <c r="B722" s="200"/>
      <c r="C722" s="200"/>
      <c r="D722" s="200"/>
      <c r="E722" s="200"/>
      <c r="F722" s="200"/>
      <c r="G722" s="256"/>
      <c r="H722" s="200"/>
      <c r="I722" s="200"/>
      <c r="J722" s="200"/>
      <c r="K722" s="200"/>
      <c r="L722" s="200"/>
      <c r="M722" s="200"/>
      <c r="N722" s="200"/>
      <c r="O722" s="200"/>
      <c r="P722" s="200"/>
      <c r="Q722" s="200"/>
    </row>
    <row r="723">
      <c r="A723" s="255"/>
      <c r="B723" s="200"/>
      <c r="C723" s="200"/>
      <c r="D723" s="200"/>
      <c r="E723" s="200"/>
      <c r="F723" s="200"/>
      <c r="G723" s="256"/>
      <c r="H723" s="200"/>
      <c r="I723" s="200"/>
      <c r="J723" s="200"/>
      <c r="K723" s="200"/>
      <c r="L723" s="200"/>
      <c r="M723" s="200"/>
      <c r="N723" s="200"/>
      <c r="O723" s="200"/>
      <c r="P723" s="200"/>
      <c r="Q723" s="200"/>
    </row>
    <row r="724">
      <c r="A724" s="255"/>
      <c r="B724" s="200"/>
      <c r="C724" s="200"/>
      <c r="D724" s="200"/>
      <c r="E724" s="200"/>
      <c r="F724" s="200"/>
      <c r="G724" s="256"/>
      <c r="H724" s="200"/>
      <c r="I724" s="200"/>
      <c r="J724" s="200"/>
      <c r="K724" s="200"/>
      <c r="L724" s="200"/>
      <c r="M724" s="200"/>
      <c r="N724" s="200"/>
      <c r="O724" s="200"/>
      <c r="P724" s="200"/>
      <c r="Q724" s="200"/>
    </row>
    <row r="725">
      <c r="A725" s="255"/>
      <c r="B725" s="200"/>
      <c r="C725" s="200"/>
      <c r="D725" s="200"/>
      <c r="E725" s="200"/>
      <c r="F725" s="200"/>
      <c r="G725" s="256"/>
      <c r="H725" s="200"/>
      <c r="I725" s="200"/>
      <c r="J725" s="200"/>
      <c r="K725" s="200"/>
      <c r="L725" s="200"/>
      <c r="M725" s="200"/>
      <c r="N725" s="200"/>
      <c r="O725" s="200"/>
      <c r="P725" s="200"/>
      <c r="Q725" s="200"/>
    </row>
    <row r="726">
      <c r="A726" s="255"/>
      <c r="B726" s="200"/>
      <c r="C726" s="200"/>
      <c r="D726" s="200"/>
      <c r="E726" s="200"/>
      <c r="F726" s="200"/>
      <c r="G726" s="256"/>
      <c r="H726" s="200"/>
      <c r="I726" s="200"/>
      <c r="J726" s="200"/>
      <c r="K726" s="200"/>
      <c r="L726" s="200"/>
      <c r="M726" s="200"/>
      <c r="N726" s="200"/>
      <c r="O726" s="200"/>
      <c r="P726" s="200"/>
      <c r="Q726" s="200"/>
    </row>
    <row r="727">
      <c r="A727" s="255"/>
      <c r="B727" s="200"/>
      <c r="C727" s="200"/>
      <c r="D727" s="200"/>
      <c r="E727" s="200"/>
      <c r="F727" s="200"/>
      <c r="G727" s="256"/>
      <c r="H727" s="200"/>
      <c r="I727" s="200"/>
      <c r="J727" s="200"/>
      <c r="K727" s="200"/>
      <c r="L727" s="200"/>
      <c r="M727" s="200"/>
      <c r="N727" s="200"/>
      <c r="O727" s="200"/>
      <c r="P727" s="200"/>
      <c r="Q727" s="200"/>
    </row>
    <row r="728">
      <c r="A728" s="255"/>
      <c r="B728" s="200"/>
      <c r="C728" s="200"/>
      <c r="D728" s="200"/>
      <c r="E728" s="200"/>
      <c r="F728" s="200"/>
      <c r="G728" s="256"/>
      <c r="H728" s="200"/>
      <c r="I728" s="200"/>
      <c r="J728" s="200"/>
      <c r="K728" s="200"/>
      <c r="L728" s="200"/>
      <c r="M728" s="200"/>
      <c r="N728" s="200"/>
      <c r="O728" s="200"/>
      <c r="P728" s="200"/>
      <c r="Q728" s="200"/>
    </row>
    <row r="729">
      <c r="A729" s="255"/>
      <c r="B729" s="200"/>
      <c r="C729" s="200"/>
      <c r="D729" s="200"/>
      <c r="E729" s="200"/>
      <c r="F729" s="200"/>
      <c r="G729" s="256"/>
      <c r="H729" s="200"/>
      <c r="I729" s="200"/>
      <c r="J729" s="200"/>
      <c r="K729" s="200"/>
      <c r="L729" s="200"/>
      <c r="M729" s="200"/>
      <c r="N729" s="200"/>
      <c r="O729" s="200"/>
      <c r="P729" s="200"/>
      <c r="Q729" s="200"/>
    </row>
    <row r="730">
      <c r="A730" s="255"/>
      <c r="B730" s="200"/>
      <c r="C730" s="200"/>
      <c r="D730" s="200"/>
      <c r="E730" s="200"/>
      <c r="F730" s="200"/>
      <c r="G730" s="256"/>
      <c r="H730" s="200"/>
      <c r="I730" s="200"/>
      <c r="J730" s="200"/>
      <c r="K730" s="200"/>
      <c r="L730" s="200"/>
      <c r="M730" s="200"/>
      <c r="N730" s="200"/>
      <c r="O730" s="200"/>
      <c r="P730" s="200"/>
      <c r="Q730" s="200"/>
    </row>
    <row r="731">
      <c r="A731" s="255"/>
      <c r="B731" s="200"/>
      <c r="C731" s="200"/>
      <c r="D731" s="200"/>
      <c r="E731" s="200"/>
      <c r="F731" s="200"/>
      <c r="G731" s="256"/>
      <c r="H731" s="200"/>
      <c r="I731" s="200"/>
      <c r="J731" s="200"/>
      <c r="K731" s="200"/>
      <c r="L731" s="200"/>
      <c r="M731" s="200"/>
      <c r="N731" s="200"/>
      <c r="O731" s="200"/>
      <c r="P731" s="200"/>
      <c r="Q731" s="200"/>
    </row>
    <row r="732">
      <c r="A732" s="255"/>
      <c r="B732" s="200"/>
      <c r="C732" s="200"/>
      <c r="D732" s="200"/>
      <c r="E732" s="200"/>
      <c r="F732" s="200"/>
      <c r="G732" s="256"/>
      <c r="H732" s="200"/>
      <c r="I732" s="200"/>
      <c r="J732" s="200"/>
      <c r="K732" s="200"/>
      <c r="L732" s="200"/>
      <c r="M732" s="200"/>
      <c r="N732" s="200"/>
      <c r="O732" s="200"/>
      <c r="P732" s="200"/>
      <c r="Q732" s="200"/>
    </row>
    <row r="733">
      <c r="A733" s="255"/>
      <c r="B733" s="200"/>
      <c r="C733" s="200"/>
      <c r="D733" s="200"/>
      <c r="E733" s="200"/>
      <c r="F733" s="200"/>
      <c r="G733" s="256"/>
      <c r="H733" s="200"/>
      <c r="I733" s="200"/>
      <c r="J733" s="200"/>
      <c r="K733" s="200"/>
      <c r="L733" s="200"/>
      <c r="M733" s="200"/>
      <c r="N733" s="200"/>
      <c r="O733" s="200"/>
      <c r="P733" s="200"/>
      <c r="Q733" s="200"/>
    </row>
    <row r="734">
      <c r="A734" s="255"/>
      <c r="B734" s="200"/>
      <c r="C734" s="200"/>
      <c r="D734" s="200"/>
      <c r="E734" s="200"/>
      <c r="F734" s="200"/>
      <c r="G734" s="256"/>
      <c r="H734" s="200"/>
      <c r="I734" s="200"/>
      <c r="J734" s="200"/>
      <c r="K734" s="200"/>
      <c r="L734" s="200"/>
      <c r="M734" s="200"/>
      <c r="N734" s="200"/>
      <c r="O734" s="200"/>
      <c r="P734" s="200"/>
      <c r="Q734" s="200"/>
    </row>
    <row r="735">
      <c r="A735" s="255"/>
      <c r="B735" s="200"/>
      <c r="C735" s="200"/>
      <c r="D735" s="200"/>
      <c r="E735" s="200"/>
      <c r="F735" s="200"/>
      <c r="G735" s="256"/>
      <c r="H735" s="200"/>
      <c r="I735" s="200"/>
      <c r="J735" s="200"/>
      <c r="K735" s="200"/>
      <c r="L735" s="200"/>
      <c r="M735" s="200"/>
      <c r="N735" s="200"/>
      <c r="O735" s="200"/>
      <c r="P735" s="200"/>
      <c r="Q735" s="200"/>
    </row>
    <row r="736">
      <c r="A736" s="255"/>
      <c r="B736" s="200"/>
      <c r="C736" s="200"/>
      <c r="D736" s="200"/>
      <c r="E736" s="200"/>
      <c r="F736" s="200"/>
      <c r="G736" s="256"/>
      <c r="H736" s="200"/>
      <c r="I736" s="200"/>
      <c r="J736" s="200"/>
      <c r="K736" s="200"/>
      <c r="L736" s="200"/>
      <c r="M736" s="200"/>
      <c r="N736" s="200"/>
      <c r="O736" s="200"/>
      <c r="P736" s="200"/>
      <c r="Q736" s="200"/>
    </row>
    <row r="737">
      <c r="A737" s="255"/>
      <c r="B737" s="200"/>
      <c r="C737" s="200"/>
      <c r="D737" s="200"/>
      <c r="E737" s="200"/>
      <c r="F737" s="200"/>
      <c r="G737" s="256"/>
      <c r="H737" s="200"/>
      <c r="I737" s="200"/>
      <c r="J737" s="200"/>
      <c r="K737" s="200"/>
      <c r="L737" s="200"/>
      <c r="M737" s="200"/>
      <c r="N737" s="200"/>
      <c r="O737" s="200"/>
      <c r="P737" s="200"/>
      <c r="Q737" s="200"/>
    </row>
    <row r="738">
      <c r="A738" s="255"/>
      <c r="B738" s="200"/>
      <c r="C738" s="200"/>
      <c r="D738" s="200"/>
      <c r="E738" s="200"/>
      <c r="F738" s="200"/>
      <c r="G738" s="256"/>
      <c r="H738" s="200"/>
      <c r="I738" s="200"/>
      <c r="J738" s="200"/>
      <c r="K738" s="200"/>
      <c r="L738" s="200"/>
      <c r="M738" s="200"/>
      <c r="N738" s="200"/>
      <c r="O738" s="200"/>
      <c r="P738" s="200"/>
      <c r="Q738" s="200"/>
    </row>
    <row r="739">
      <c r="A739" s="255"/>
      <c r="B739" s="200"/>
      <c r="C739" s="200"/>
      <c r="D739" s="200"/>
      <c r="E739" s="200"/>
      <c r="F739" s="200"/>
      <c r="G739" s="256"/>
      <c r="H739" s="200"/>
      <c r="I739" s="200"/>
      <c r="J739" s="200"/>
      <c r="K739" s="200"/>
      <c r="L739" s="200"/>
      <c r="M739" s="200"/>
      <c r="N739" s="200"/>
      <c r="O739" s="200"/>
      <c r="P739" s="200"/>
      <c r="Q739" s="200"/>
    </row>
    <row r="740">
      <c r="A740" s="255"/>
      <c r="B740" s="200"/>
      <c r="C740" s="200"/>
      <c r="D740" s="200"/>
      <c r="E740" s="200"/>
      <c r="F740" s="200"/>
      <c r="G740" s="256"/>
      <c r="H740" s="200"/>
      <c r="I740" s="200"/>
      <c r="J740" s="200"/>
      <c r="K740" s="200"/>
      <c r="L740" s="200"/>
      <c r="M740" s="200"/>
      <c r="N740" s="200"/>
      <c r="O740" s="200"/>
      <c r="P740" s="200"/>
      <c r="Q740" s="200"/>
    </row>
    <row r="741">
      <c r="A741" s="255"/>
      <c r="B741" s="200"/>
      <c r="C741" s="200"/>
      <c r="D741" s="200"/>
      <c r="E741" s="200"/>
      <c r="F741" s="200"/>
      <c r="G741" s="256"/>
      <c r="H741" s="200"/>
      <c r="I741" s="200"/>
      <c r="J741" s="200"/>
      <c r="K741" s="200"/>
      <c r="L741" s="200"/>
      <c r="M741" s="200"/>
      <c r="N741" s="200"/>
      <c r="O741" s="200"/>
      <c r="P741" s="200"/>
      <c r="Q741" s="200"/>
    </row>
    <row r="742">
      <c r="A742" s="255"/>
      <c r="B742" s="200"/>
      <c r="C742" s="200"/>
      <c r="D742" s="200"/>
      <c r="E742" s="200"/>
      <c r="F742" s="200"/>
      <c r="G742" s="256"/>
      <c r="H742" s="200"/>
      <c r="I742" s="200"/>
      <c r="J742" s="200"/>
      <c r="K742" s="200"/>
      <c r="L742" s="200"/>
      <c r="M742" s="200"/>
      <c r="N742" s="200"/>
      <c r="O742" s="200"/>
      <c r="P742" s="200"/>
      <c r="Q742" s="200"/>
    </row>
    <row r="743">
      <c r="A743" s="255"/>
      <c r="B743" s="200"/>
      <c r="C743" s="200"/>
      <c r="D743" s="200"/>
      <c r="E743" s="200"/>
      <c r="F743" s="200"/>
      <c r="G743" s="256"/>
      <c r="H743" s="200"/>
      <c r="I743" s="200"/>
      <c r="J743" s="200"/>
      <c r="K743" s="200"/>
      <c r="L743" s="200"/>
      <c r="M743" s="200"/>
      <c r="N743" s="200"/>
      <c r="O743" s="200"/>
      <c r="P743" s="200"/>
      <c r="Q743" s="200"/>
    </row>
    <row r="744">
      <c r="A744" s="255"/>
      <c r="B744" s="200"/>
      <c r="C744" s="200"/>
      <c r="D744" s="200"/>
      <c r="E744" s="200"/>
      <c r="F744" s="200"/>
      <c r="G744" s="256"/>
      <c r="H744" s="200"/>
      <c r="I744" s="200"/>
      <c r="J744" s="200"/>
      <c r="K744" s="200"/>
      <c r="L744" s="200"/>
      <c r="M744" s="200"/>
      <c r="N744" s="200"/>
      <c r="O744" s="200"/>
      <c r="P744" s="200"/>
      <c r="Q744" s="200"/>
    </row>
    <row r="745">
      <c r="A745" s="255"/>
      <c r="B745" s="200"/>
      <c r="C745" s="200"/>
      <c r="D745" s="200"/>
      <c r="E745" s="200"/>
      <c r="F745" s="200"/>
      <c r="G745" s="256"/>
      <c r="H745" s="200"/>
      <c r="I745" s="200"/>
      <c r="J745" s="200"/>
      <c r="K745" s="200"/>
      <c r="L745" s="200"/>
      <c r="M745" s="200"/>
      <c r="N745" s="200"/>
      <c r="O745" s="200"/>
      <c r="P745" s="200"/>
      <c r="Q745" s="200"/>
    </row>
    <row r="746">
      <c r="A746" s="255"/>
      <c r="B746" s="200"/>
      <c r="C746" s="200"/>
      <c r="D746" s="200"/>
      <c r="E746" s="200"/>
      <c r="F746" s="200"/>
      <c r="G746" s="256"/>
      <c r="H746" s="200"/>
      <c r="I746" s="200"/>
      <c r="J746" s="200"/>
      <c r="K746" s="200"/>
      <c r="L746" s="200"/>
      <c r="M746" s="200"/>
      <c r="N746" s="200"/>
      <c r="O746" s="200"/>
      <c r="P746" s="200"/>
      <c r="Q746" s="200"/>
    </row>
    <row r="747">
      <c r="A747" s="255"/>
      <c r="B747" s="200"/>
      <c r="C747" s="200"/>
      <c r="D747" s="200"/>
      <c r="E747" s="200"/>
      <c r="F747" s="200"/>
      <c r="G747" s="256"/>
      <c r="H747" s="200"/>
      <c r="I747" s="200"/>
      <c r="J747" s="200"/>
      <c r="K747" s="200"/>
      <c r="L747" s="200"/>
      <c r="M747" s="200"/>
      <c r="N747" s="200"/>
      <c r="O747" s="200"/>
      <c r="P747" s="200"/>
      <c r="Q747" s="200"/>
    </row>
    <row r="748">
      <c r="A748" s="255"/>
      <c r="B748" s="200"/>
      <c r="C748" s="200"/>
      <c r="D748" s="200"/>
      <c r="E748" s="200"/>
      <c r="F748" s="200"/>
      <c r="G748" s="256"/>
      <c r="H748" s="200"/>
      <c r="I748" s="200"/>
      <c r="J748" s="200"/>
      <c r="K748" s="200"/>
      <c r="L748" s="200"/>
      <c r="M748" s="200"/>
      <c r="N748" s="200"/>
      <c r="O748" s="200"/>
      <c r="P748" s="200"/>
      <c r="Q748" s="200"/>
    </row>
    <row r="749">
      <c r="A749" s="255"/>
      <c r="B749" s="200"/>
      <c r="C749" s="200"/>
      <c r="D749" s="200"/>
      <c r="E749" s="200"/>
      <c r="F749" s="200"/>
      <c r="G749" s="256"/>
      <c r="H749" s="200"/>
      <c r="I749" s="200"/>
      <c r="J749" s="200"/>
      <c r="K749" s="200"/>
      <c r="L749" s="200"/>
      <c r="M749" s="200"/>
      <c r="N749" s="200"/>
      <c r="O749" s="200"/>
      <c r="P749" s="200"/>
      <c r="Q749" s="200"/>
    </row>
    <row r="750">
      <c r="A750" s="255"/>
      <c r="B750" s="200"/>
      <c r="C750" s="200"/>
      <c r="D750" s="200"/>
      <c r="E750" s="200"/>
      <c r="F750" s="200"/>
      <c r="G750" s="256"/>
      <c r="H750" s="200"/>
      <c r="I750" s="200"/>
      <c r="J750" s="200"/>
      <c r="K750" s="200"/>
      <c r="L750" s="200"/>
      <c r="M750" s="200"/>
      <c r="N750" s="200"/>
      <c r="O750" s="200"/>
      <c r="P750" s="200"/>
      <c r="Q750" s="200"/>
    </row>
    <row r="751">
      <c r="A751" s="255"/>
      <c r="B751" s="200"/>
      <c r="C751" s="200"/>
      <c r="D751" s="200"/>
      <c r="E751" s="200"/>
      <c r="F751" s="200"/>
      <c r="G751" s="256"/>
      <c r="H751" s="200"/>
      <c r="I751" s="200"/>
      <c r="J751" s="200"/>
      <c r="K751" s="200"/>
      <c r="L751" s="200"/>
      <c r="M751" s="200"/>
      <c r="N751" s="200"/>
      <c r="O751" s="200"/>
      <c r="P751" s="200"/>
      <c r="Q751" s="200"/>
    </row>
    <row r="752">
      <c r="A752" s="255"/>
      <c r="B752" s="200"/>
      <c r="C752" s="200"/>
      <c r="D752" s="200"/>
      <c r="E752" s="200"/>
      <c r="F752" s="200"/>
      <c r="G752" s="256"/>
      <c r="H752" s="200"/>
      <c r="I752" s="200"/>
      <c r="J752" s="200"/>
      <c r="K752" s="200"/>
      <c r="L752" s="200"/>
      <c r="M752" s="200"/>
      <c r="N752" s="200"/>
      <c r="O752" s="200"/>
      <c r="P752" s="200"/>
      <c r="Q752" s="200"/>
    </row>
    <row r="753">
      <c r="A753" s="255"/>
      <c r="B753" s="200"/>
      <c r="C753" s="200"/>
      <c r="D753" s="200"/>
      <c r="E753" s="200"/>
      <c r="F753" s="200"/>
      <c r="G753" s="256"/>
      <c r="H753" s="200"/>
      <c r="I753" s="200"/>
      <c r="J753" s="200"/>
      <c r="K753" s="200"/>
      <c r="L753" s="200"/>
      <c r="M753" s="200"/>
      <c r="N753" s="200"/>
      <c r="O753" s="200"/>
      <c r="P753" s="200"/>
      <c r="Q753" s="200"/>
    </row>
    <row r="754">
      <c r="A754" s="255"/>
      <c r="B754" s="200"/>
      <c r="C754" s="200"/>
      <c r="D754" s="200"/>
      <c r="E754" s="200"/>
      <c r="F754" s="200"/>
      <c r="G754" s="256"/>
      <c r="H754" s="200"/>
      <c r="I754" s="200"/>
      <c r="J754" s="200"/>
      <c r="K754" s="200"/>
      <c r="L754" s="200"/>
      <c r="M754" s="200"/>
      <c r="N754" s="200"/>
      <c r="O754" s="200"/>
      <c r="P754" s="200"/>
      <c r="Q754" s="200"/>
    </row>
    <row r="755">
      <c r="A755" s="255"/>
      <c r="B755" s="200"/>
      <c r="C755" s="200"/>
      <c r="D755" s="200"/>
      <c r="E755" s="200"/>
      <c r="F755" s="200"/>
      <c r="G755" s="256"/>
      <c r="H755" s="200"/>
      <c r="I755" s="200"/>
      <c r="J755" s="200"/>
      <c r="K755" s="200"/>
      <c r="L755" s="200"/>
      <c r="M755" s="200"/>
      <c r="N755" s="200"/>
      <c r="O755" s="200"/>
      <c r="P755" s="200"/>
      <c r="Q755" s="200"/>
    </row>
    <row r="756">
      <c r="A756" s="255"/>
      <c r="B756" s="200"/>
      <c r="C756" s="200"/>
      <c r="D756" s="200"/>
      <c r="E756" s="200"/>
      <c r="F756" s="200"/>
      <c r="G756" s="256"/>
      <c r="H756" s="200"/>
      <c r="I756" s="200"/>
      <c r="J756" s="200"/>
      <c r="K756" s="200"/>
      <c r="L756" s="200"/>
      <c r="M756" s="200"/>
      <c r="N756" s="200"/>
      <c r="O756" s="200"/>
      <c r="P756" s="200"/>
      <c r="Q756" s="200"/>
    </row>
    <row r="757">
      <c r="A757" s="255"/>
      <c r="B757" s="200"/>
      <c r="C757" s="200"/>
      <c r="D757" s="200"/>
      <c r="E757" s="200"/>
      <c r="F757" s="200"/>
      <c r="G757" s="256"/>
      <c r="H757" s="200"/>
      <c r="I757" s="200"/>
      <c r="J757" s="200"/>
      <c r="K757" s="200"/>
      <c r="L757" s="200"/>
      <c r="M757" s="200"/>
      <c r="N757" s="200"/>
      <c r="O757" s="200"/>
      <c r="P757" s="200"/>
      <c r="Q757" s="200"/>
    </row>
    <row r="758">
      <c r="A758" s="255"/>
      <c r="B758" s="200"/>
      <c r="C758" s="200"/>
      <c r="D758" s="200"/>
      <c r="E758" s="200"/>
      <c r="F758" s="200"/>
      <c r="G758" s="256"/>
      <c r="H758" s="200"/>
      <c r="I758" s="200"/>
      <c r="J758" s="200"/>
      <c r="K758" s="200"/>
      <c r="L758" s="200"/>
      <c r="M758" s="200"/>
      <c r="N758" s="200"/>
      <c r="O758" s="200"/>
      <c r="P758" s="200"/>
      <c r="Q758" s="200"/>
    </row>
    <row r="759">
      <c r="A759" s="255"/>
      <c r="B759" s="200"/>
      <c r="C759" s="200"/>
      <c r="D759" s="200"/>
      <c r="E759" s="200"/>
      <c r="F759" s="200"/>
      <c r="G759" s="256"/>
      <c r="H759" s="200"/>
      <c r="I759" s="200"/>
      <c r="J759" s="200"/>
      <c r="K759" s="200"/>
      <c r="L759" s="200"/>
      <c r="M759" s="200"/>
      <c r="N759" s="200"/>
      <c r="O759" s="200"/>
      <c r="P759" s="200"/>
      <c r="Q759" s="200"/>
    </row>
    <row r="760">
      <c r="A760" s="255"/>
      <c r="B760" s="200"/>
      <c r="C760" s="200"/>
      <c r="D760" s="200"/>
      <c r="E760" s="200"/>
      <c r="F760" s="200"/>
      <c r="G760" s="256"/>
      <c r="H760" s="200"/>
      <c r="I760" s="200"/>
      <c r="J760" s="200"/>
      <c r="K760" s="200"/>
      <c r="L760" s="200"/>
      <c r="M760" s="200"/>
      <c r="N760" s="200"/>
      <c r="O760" s="200"/>
      <c r="P760" s="200"/>
      <c r="Q760" s="200"/>
    </row>
    <row r="761">
      <c r="A761" s="255"/>
      <c r="B761" s="200"/>
      <c r="C761" s="200"/>
      <c r="D761" s="200"/>
      <c r="E761" s="200"/>
      <c r="F761" s="200"/>
      <c r="G761" s="256"/>
      <c r="H761" s="200"/>
      <c r="I761" s="200"/>
      <c r="J761" s="200"/>
      <c r="K761" s="200"/>
      <c r="L761" s="200"/>
      <c r="M761" s="200"/>
      <c r="N761" s="200"/>
      <c r="O761" s="200"/>
      <c r="P761" s="200"/>
      <c r="Q761" s="200"/>
    </row>
    <row r="762">
      <c r="A762" s="255"/>
      <c r="B762" s="200"/>
      <c r="C762" s="200"/>
      <c r="D762" s="200"/>
      <c r="E762" s="200"/>
      <c r="F762" s="200"/>
      <c r="G762" s="256"/>
      <c r="H762" s="200"/>
      <c r="I762" s="200"/>
      <c r="J762" s="200"/>
      <c r="K762" s="200"/>
      <c r="L762" s="200"/>
      <c r="M762" s="200"/>
      <c r="N762" s="200"/>
      <c r="O762" s="200"/>
      <c r="P762" s="200"/>
      <c r="Q762" s="200"/>
    </row>
    <row r="763">
      <c r="A763" s="255"/>
      <c r="B763" s="200"/>
      <c r="C763" s="200"/>
      <c r="D763" s="200"/>
      <c r="E763" s="200"/>
      <c r="F763" s="200"/>
      <c r="G763" s="256"/>
      <c r="H763" s="200"/>
      <c r="I763" s="200"/>
      <c r="J763" s="200"/>
      <c r="K763" s="200"/>
      <c r="L763" s="200"/>
      <c r="M763" s="200"/>
      <c r="N763" s="200"/>
      <c r="O763" s="200"/>
      <c r="P763" s="200"/>
      <c r="Q763" s="200"/>
    </row>
    <row r="764">
      <c r="A764" s="255"/>
      <c r="B764" s="200"/>
      <c r="C764" s="200"/>
      <c r="D764" s="200"/>
      <c r="E764" s="200"/>
      <c r="F764" s="200"/>
      <c r="G764" s="256"/>
      <c r="H764" s="200"/>
      <c r="I764" s="200"/>
      <c r="J764" s="200"/>
      <c r="K764" s="200"/>
      <c r="L764" s="200"/>
      <c r="M764" s="200"/>
      <c r="N764" s="200"/>
      <c r="O764" s="200"/>
      <c r="P764" s="200"/>
      <c r="Q764" s="200"/>
    </row>
    <row r="765">
      <c r="A765" s="255"/>
      <c r="B765" s="200"/>
      <c r="C765" s="200"/>
      <c r="D765" s="200"/>
      <c r="E765" s="200"/>
      <c r="F765" s="200"/>
      <c r="G765" s="256"/>
      <c r="H765" s="200"/>
      <c r="I765" s="200"/>
      <c r="J765" s="200"/>
      <c r="K765" s="200"/>
      <c r="L765" s="200"/>
      <c r="M765" s="200"/>
      <c r="N765" s="200"/>
      <c r="O765" s="200"/>
      <c r="P765" s="200"/>
      <c r="Q765" s="200"/>
    </row>
    <row r="766">
      <c r="A766" s="255"/>
      <c r="B766" s="200"/>
      <c r="C766" s="200"/>
      <c r="D766" s="200"/>
      <c r="E766" s="200"/>
      <c r="F766" s="200"/>
      <c r="G766" s="256"/>
      <c r="H766" s="200"/>
      <c r="I766" s="200"/>
      <c r="J766" s="200"/>
      <c r="K766" s="200"/>
      <c r="L766" s="200"/>
      <c r="M766" s="200"/>
      <c r="N766" s="200"/>
      <c r="O766" s="200"/>
      <c r="P766" s="200"/>
      <c r="Q766" s="200"/>
    </row>
    <row r="767">
      <c r="A767" s="255"/>
      <c r="B767" s="200"/>
      <c r="C767" s="200"/>
      <c r="D767" s="200"/>
      <c r="E767" s="200"/>
      <c r="F767" s="200"/>
      <c r="G767" s="256"/>
      <c r="H767" s="200"/>
      <c r="I767" s="200"/>
      <c r="J767" s="200"/>
      <c r="K767" s="200"/>
      <c r="L767" s="200"/>
      <c r="M767" s="200"/>
      <c r="N767" s="200"/>
      <c r="O767" s="200"/>
      <c r="P767" s="200"/>
      <c r="Q767" s="200"/>
    </row>
    <row r="768">
      <c r="A768" s="255"/>
      <c r="B768" s="200"/>
      <c r="C768" s="200"/>
      <c r="D768" s="200"/>
      <c r="E768" s="200"/>
      <c r="F768" s="200"/>
      <c r="G768" s="256"/>
      <c r="H768" s="200"/>
      <c r="I768" s="200"/>
      <c r="J768" s="200"/>
      <c r="K768" s="200"/>
      <c r="L768" s="200"/>
      <c r="M768" s="200"/>
      <c r="N768" s="200"/>
      <c r="O768" s="200"/>
      <c r="P768" s="200"/>
      <c r="Q768" s="200"/>
    </row>
    <row r="769">
      <c r="A769" s="255"/>
      <c r="B769" s="200"/>
      <c r="C769" s="200"/>
      <c r="D769" s="200"/>
      <c r="E769" s="200"/>
      <c r="F769" s="200"/>
      <c r="G769" s="256"/>
      <c r="H769" s="200"/>
      <c r="I769" s="200"/>
      <c r="J769" s="200"/>
      <c r="K769" s="200"/>
      <c r="L769" s="200"/>
      <c r="M769" s="200"/>
      <c r="N769" s="200"/>
      <c r="O769" s="200"/>
      <c r="P769" s="200"/>
      <c r="Q769" s="200"/>
    </row>
    <row r="770">
      <c r="A770" s="255"/>
      <c r="B770" s="200"/>
      <c r="C770" s="200"/>
      <c r="D770" s="200"/>
      <c r="E770" s="200"/>
      <c r="F770" s="200"/>
      <c r="G770" s="256"/>
      <c r="H770" s="200"/>
      <c r="I770" s="200"/>
      <c r="J770" s="200"/>
      <c r="K770" s="200"/>
      <c r="L770" s="200"/>
      <c r="M770" s="200"/>
      <c r="N770" s="200"/>
      <c r="O770" s="200"/>
      <c r="P770" s="200"/>
      <c r="Q770" s="200"/>
    </row>
    <row r="771">
      <c r="A771" s="255"/>
      <c r="B771" s="200"/>
      <c r="C771" s="200"/>
      <c r="D771" s="200"/>
      <c r="E771" s="200"/>
      <c r="F771" s="200"/>
      <c r="G771" s="256"/>
      <c r="H771" s="200"/>
      <c r="I771" s="200"/>
      <c r="J771" s="200"/>
      <c r="K771" s="200"/>
      <c r="L771" s="200"/>
      <c r="M771" s="200"/>
      <c r="N771" s="200"/>
      <c r="O771" s="200"/>
      <c r="P771" s="200"/>
      <c r="Q771" s="200"/>
    </row>
    <row r="772">
      <c r="A772" s="255"/>
      <c r="B772" s="200"/>
      <c r="C772" s="200"/>
      <c r="D772" s="200"/>
      <c r="E772" s="200"/>
      <c r="F772" s="200"/>
      <c r="G772" s="256"/>
      <c r="H772" s="200"/>
      <c r="I772" s="200"/>
      <c r="J772" s="200"/>
      <c r="K772" s="200"/>
      <c r="L772" s="200"/>
      <c r="M772" s="200"/>
      <c r="N772" s="200"/>
      <c r="O772" s="200"/>
      <c r="P772" s="200"/>
      <c r="Q772" s="200"/>
    </row>
    <row r="773">
      <c r="A773" s="255"/>
      <c r="B773" s="200"/>
      <c r="C773" s="200"/>
      <c r="D773" s="200"/>
      <c r="E773" s="200"/>
      <c r="F773" s="200"/>
      <c r="G773" s="256"/>
      <c r="H773" s="200"/>
      <c r="I773" s="200"/>
      <c r="J773" s="200"/>
      <c r="K773" s="200"/>
      <c r="L773" s="200"/>
      <c r="M773" s="200"/>
      <c r="N773" s="200"/>
      <c r="O773" s="200"/>
      <c r="P773" s="200"/>
      <c r="Q773" s="200"/>
    </row>
    <row r="774">
      <c r="A774" s="255"/>
      <c r="B774" s="200"/>
      <c r="C774" s="200"/>
      <c r="D774" s="200"/>
      <c r="E774" s="200"/>
      <c r="F774" s="200"/>
      <c r="G774" s="256"/>
      <c r="H774" s="200"/>
      <c r="I774" s="200"/>
      <c r="J774" s="200"/>
      <c r="K774" s="200"/>
      <c r="L774" s="200"/>
      <c r="M774" s="200"/>
      <c r="N774" s="200"/>
      <c r="O774" s="200"/>
      <c r="P774" s="200"/>
      <c r="Q774" s="200"/>
    </row>
    <row r="775">
      <c r="A775" s="255"/>
      <c r="B775" s="200"/>
      <c r="C775" s="200"/>
      <c r="D775" s="200"/>
      <c r="E775" s="200"/>
      <c r="F775" s="200"/>
      <c r="G775" s="256"/>
      <c r="H775" s="200"/>
      <c r="I775" s="200"/>
      <c r="J775" s="200"/>
      <c r="K775" s="200"/>
      <c r="L775" s="200"/>
      <c r="M775" s="200"/>
      <c r="N775" s="200"/>
      <c r="O775" s="200"/>
      <c r="P775" s="200"/>
      <c r="Q775" s="200"/>
    </row>
    <row r="776">
      <c r="A776" s="255"/>
      <c r="B776" s="200"/>
      <c r="C776" s="200"/>
      <c r="D776" s="200"/>
      <c r="E776" s="200"/>
      <c r="F776" s="200"/>
      <c r="G776" s="256"/>
      <c r="H776" s="200"/>
      <c r="I776" s="200"/>
      <c r="J776" s="200"/>
      <c r="K776" s="200"/>
      <c r="L776" s="200"/>
      <c r="M776" s="200"/>
      <c r="N776" s="200"/>
      <c r="O776" s="200"/>
      <c r="P776" s="200"/>
      <c r="Q776" s="200"/>
    </row>
    <row r="777">
      <c r="A777" s="255"/>
      <c r="B777" s="200"/>
      <c r="C777" s="200"/>
      <c r="D777" s="200"/>
      <c r="E777" s="200"/>
      <c r="F777" s="200"/>
      <c r="G777" s="256"/>
      <c r="H777" s="200"/>
      <c r="I777" s="200"/>
      <c r="J777" s="200"/>
      <c r="K777" s="200"/>
      <c r="L777" s="200"/>
      <c r="M777" s="200"/>
      <c r="N777" s="200"/>
      <c r="O777" s="200"/>
      <c r="P777" s="200"/>
      <c r="Q777" s="200"/>
    </row>
    <row r="778">
      <c r="A778" s="255"/>
      <c r="B778" s="200"/>
      <c r="C778" s="200"/>
      <c r="D778" s="200"/>
      <c r="E778" s="200"/>
      <c r="F778" s="200"/>
      <c r="G778" s="256"/>
      <c r="H778" s="200"/>
      <c r="I778" s="200"/>
      <c r="J778" s="200"/>
      <c r="K778" s="200"/>
      <c r="L778" s="200"/>
      <c r="M778" s="200"/>
      <c r="N778" s="200"/>
      <c r="O778" s="200"/>
      <c r="P778" s="200"/>
      <c r="Q778" s="200"/>
    </row>
    <row r="779">
      <c r="A779" s="255"/>
      <c r="B779" s="200"/>
      <c r="C779" s="200"/>
      <c r="D779" s="200"/>
      <c r="E779" s="200"/>
      <c r="F779" s="200"/>
      <c r="G779" s="256"/>
      <c r="H779" s="200"/>
      <c r="I779" s="200"/>
      <c r="J779" s="200"/>
      <c r="K779" s="200"/>
      <c r="L779" s="200"/>
      <c r="M779" s="200"/>
      <c r="N779" s="200"/>
      <c r="O779" s="200"/>
      <c r="P779" s="200"/>
      <c r="Q779" s="200"/>
    </row>
    <row r="780">
      <c r="A780" s="255"/>
      <c r="B780" s="200"/>
      <c r="C780" s="200"/>
      <c r="D780" s="200"/>
      <c r="E780" s="200"/>
      <c r="F780" s="200"/>
      <c r="G780" s="256"/>
      <c r="H780" s="200"/>
      <c r="I780" s="200"/>
      <c r="J780" s="200"/>
      <c r="K780" s="200"/>
      <c r="L780" s="200"/>
      <c r="M780" s="200"/>
      <c r="N780" s="200"/>
      <c r="O780" s="200"/>
      <c r="P780" s="200"/>
      <c r="Q780" s="200"/>
    </row>
    <row r="781">
      <c r="A781" s="255"/>
      <c r="B781" s="200"/>
      <c r="C781" s="200"/>
      <c r="D781" s="200"/>
      <c r="E781" s="200"/>
      <c r="F781" s="200"/>
      <c r="G781" s="256"/>
      <c r="H781" s="200"/>
      <c r="I781" s="200"/>
      <c r="J781" s="200"/>
      <c r="K781" s="200"/>
      <c r="L781" s="200"/>
      <c r="M781" s="200"/>
      <c r="N781" s="200"/>
      <c r="O781" s="200"/>
      <c r="P781" s="200"/>
      <c r="Q781" s="200"/>
    </row>
    <row r="782">
      <c r="A782" s="255"/>
      <c r="B782" s="200"/>
      <c r="C782" s="200"/>
      <c r="D782" s="200"/>
      <c r="E782" s="200"/>
      <c r="F782" s="200"/>
      <c r="G782" s="256"/>
      <c r="H782" s="200"/>
      <c r="I782" s="200"/>
      <c r="J782" s="200"/>
      <c r="K782" s="200"/>
      <c r="L782" s="200"/>
      <c r="M782" s="200"/>
      <c r="N782" s="200"/>
      <c r="O782" s="200"/>
      <c r="P782" s="200"/>
      <c r="Q782" s="200"/>
    </row>
    <row r="783">
      <c r="A783" s="255"/>
      <c r="B783" s="200"/>
      <c r="C783" s="200"/>
      <c r="D783" s="200"/>
      <c r="E783" s="200"/>
      <c r="F783" s="200"/>
      <c r="G783" s="256"/>
      <c r="H783" s="200"/>
      <c r="I783" s="200"/>
      <c r="J783" s="200"/>
      <c r="K783" s="200"/>
      <c r="L783" s="200"/>
      <c r="M783" s="200"/>
      <c r="N783" s="200"/>
      <c r="O783" s="200"/>
      <c r="P783" s="200"/>
      <c r="Q783" s="200"/>
    </row>
    <row r="784">
      <c r="A784" s="255"/>
      <c r="B784" s="200"/>
      <c r="C784" s="200"/>
      <c r="D784" s="200"/>
      <c r="E784" s="200"/>
      <c r="F784" s="200"/>
      <c r="G784" s="256"/>
      <c r="H784" s="200"/>
      <c r="I784" s="200"/>
      <c r="J784" s="200"/>
      <c r="K784" s="200"/>
      <c r="L784" s="200"/>
      <c r="M784" s="200"/>
      <c r="N784" s="200"/>
      <c r="O784" s="200"/>
      <c r="P784" s="200"/>
      <c r="Q784" s="200"/>
    </row>
    <row r="785">
      <c r="A785" s="255"/>
      <c r="B785" s="200"/>
      <c r="C785" s="200"/>
      <c r="D785" s="200"/>
      <c r="E785" s="200"/>
      <c r="F785" s="200"/>
      <c r="G785" s="256"/>
      <c r="H785" s="200"/>
      <c r="I785" s="200"/>
      <c r="J785" s="200"/>
      <c r="K785" s="200"/>
      <c r="L785" s="200"/>
      <c r="M785" s="200"/>
      <c r="N785" s="200"/>
      <c r="O785" s="200"/>
      <c r="P785" s="200"/>
      <c r="Q785" s="200"/>
    </row>
    <row r="786">
      <c r="A786" s="255"/>
      <c r="B786" s="200"/>
      <c r="C786" s="200"/>
      <c r="D786" s="200"/>
      <c r="E786" s="200"/>
      <c r="F786" s="200"/>
      <c r="G786" s="256"/>
      <c r="H786" s="200"/>
      <c r="I786" s="200"/>
      <c r="J786" s="200"/>
      <c r="K786" s="200"/>
      <c r="L786" s="200"/>
      <c r="M786" s="200"/>
      <c r="N786" s="200"/>
      <c r="O786" s="200"/>
      <c r="P786" s="200"/>
      <c r="Q786" s="200"/>
    </row>
    <row r="787">
      <c r="A787" s="255"/>
      <c r="B787" s="200"/>
      <c r="C787" s="200"/>
      <c r="D787" s="200"/>
      <c r="E787" s="200"/>
      <c r="F787" s="200"/>
      <c r="G787" s="256"/>
      <c r="H787" s="200"/>
      <c r="I787" s="200"/>
      <c r="J787" s="200"/>
      <c r="K787" s="200"/>
      <c r="L787" s="200"/>
      <c r="M787" s="200"/>
      <c r="N787" s="200"/>
      <c r="O787" s="200"/>
      <c r="P787" s="200"/>
      <c r="Q787" s="200"/>
    </row>
    <row r="788">
      <c r="A788" s="255"/>
      <c r="B788" s="200"/>
      <c r="C788" s="200"/>
      <c r="D788" s="200"/>
      <c r="E788" s="200"/>
      <c r="F788" s="200"/>
      <c r="G788" s="256"/>
      <c r="H788" s="200"/>
      <c r="I788" s="200"/>
      <c r="J788" s="200"/>
      <c r="K788" s="200"/>
      <c r="L788" s="200"/>
      <c r="M788" s="200"/>
      <c r="N788" s="200"/>
      <c r="O788" s="200"/>
      <c r="P788" s="200"/>
      <c r="Q788" s="200"/>
    </row>
    <row r="789">
      <c r="A789" s="255"/>
      <c r="B789" s="200"/>
      <c r="C789" s="200"/>
      <c r="D789" s="200"/>
      <c r="E789" s="200"/>
      <c r="F789" s="200"/>
      <c r="G789" s="256"/>
      <c r="H789" s="200"/>
      <c r="I789" s="200"/>
      <c r="J789" s="200"/>
      <c r="K789" s="200"/>
      <c r="L789" s="200"/>
      <c r="M789" s="200"/>
      <c r="N789" s="200"/>
      <c r="O789" s="200"/>
      <c r="P789" s="200"/>
      <c r="Q789" s="200"/>
    </row>
    <row r="790">
      <c r="A790" s="255"/>
      <c r="B790" s="200"/>
      <c r="C790" s="200"/>
      <c r="D790" s="200"/>
      <c r="E790" s="200"/>
      <c r="F790" s="200"/>
      <c r="G790" s="256"/>
      <c r="H790" s="200"/>
      <c r="I790" s="200"/>
      <c r="J790" s="200"/>
      <c r="K790" s="200"/>
      <c r="L790" s="200"/>
      <c r="M790" s="200"/>
      <c r="N790" s="200"/>
      <c r="O790" s="200"/>
      <c r="P790" s="200"/>
      <c r="Q790" s="200"/>
    </row>
    <row r="791">
      <c r="A791" s="255"/>
      <c r="B791" s="200"/>
      <c r="C791" s="200"/>
      <c r="D791" s="200"/>
      <c r="E791" s="200"/>
      <c r="F791" s="200"/>
      <c r="G791" s="256"/>
      <c r="H791" s="200"/>
      <c r="I791" s="200"/>
      <c r="J791" s="200"/>
      <c r="K791" s="200"/>
      <c r="L791" s="200"/>
      <c r="M791" s="200"/>
      <c r="N791" s="200"/>
      <c r="O791" s="200"/>
      <c r="P791" s="200"/>
      <c r="Q791" s="200"/>
    </row>
    <row r="792">
      <c r="A792" s="255"/>
      <c r="B792" s="200"/>
      <c r="C792" s="200"/>
      <c r="D792" s="200"/>
      <c r="E792" s="200"/>
      <c r="F792" s="200"/>
      <c r="G792" s="256"/>
      <c r="H792" s="200"/>
      <c r="I792" s="200"/>
      <c r="J792" s="200"/>
      <c r="K792" s="200"/>
      <c r="L792" s="200"/>
      <c r="M792" s="200"/>
      <c r="N792" s="200"/>
      <c r="O792" s="200"/>
      <c r="P792" s="200"/>
      <c r="Q792" s="200"/>
    </row>
    <row r="793">
      <c r="A793" s="255"/>
      <c r="B793" s="200"/>
      <c r="C793" s="200"/>
      <c r="D793" s="200"/>
      <c r="E793" s="200"/>
      <c r="F793" s="200"/>
      <c r="G793" s="256"/>
      <c r="H793" s="200"/>
      <c r="I793" s="200"/>
      <c r="J793" s="200"/>
      <c r="K793" s="200"/>
      <c r="L793" s="200"/>
      <c r="M793" s="200"/>
      <c r="N793" s="200"/>
      <c r="O793" s="200"/>
      <c r="P793" s="200"/>
      <c r="Q793" s="200"/>
    </row>
    <row r="794">
      <c r="A794" s="255"/>
      <c r="B794" s="200"/>
      <c r="C794" s="200"/>
      <c r="D794" s="200"/>
      <c r="E794" s="200"/>
      <c r="F794" s="200"/>
      <c r="G794" s="256"/>
      <c r="H794" s="200"/>
      <c r="I794" s="200"/>
      <c r="J794" s="200"/>
      <c r="K794" s="200"/>
      <c r="L794" s="200"/>
      <c r="M794" s="200"/>
      <c r="N794" s="200"/>
      <c r="O794" s="200"/>
      <c r="P794" s="200"/>
      <c r="Q794" s="200"/>
    </row>
    <row r="795">
      <c r="A795" s="255"/>
      <c r="B795" s="200"/>
      <c r="C795" s="200"/>
      <c r="D795" s="200"/>
      <c r="E795" s="200"/>
      <c r="F795" s="200"/>
      <c r="G795" s="256"/>
      <c r="H795" s="200"/>
      <c r="I795" s="200"/>
      <c r="J795" s="200"/>
      <c r="K795" s="200"/>
      <c r="L795" s="200"/>
      <c r="M795" s="200"/>
      <c r="N795" s="200"/>
      <c r="O795" s="200"/>
      <c r="P795" s="200"/>
      <c r="Q795" s="200"/>
    </row>
    <row r="796">
      <c r="A796" s="255"/>
      <c r="B796" s="200"/>
      <c r="C796" s="200"/>
      <c r="D796" s="200"/>
      <c r="E796" s="200"/>
      <c r="F796" s="200"/>
      <c r="G796" s="256"/>
      <c r="H796" s="200"/>
      <c r="I796" s="200"/>
      <c r="J796" s="200"/>
      <c r="K796" s="200"/>
      <c r="L796" s="200"/>
      <c r="M796" s="200"/>
      <c r="N796" s="200"/>
      <c r="O796" s="200"/>
      <c r="P796" s="200"/>
      <c r="Q796" s="200"/>
    </row>
    <row r="797">
      <c r="A797" s="255"/>
      <c r="B797" s="200"/>
      <c r="C797" s="200"/>
      <c r="D797" s="200"/>
      <c r="E797" s="200"/>
      <c r="F797" s="200"/>
      <c r="G797" s="256"/>
      <c r="H797" s="200"/>
      <c r="I797" s="200"/>
      <c r="J797" s="200"/>
      <c r="K797" s="200"/>
      <c r="L797" s="200"/>
      <c r="M797" s="200"/>
      <c r="N797" s="200"/>
      <c r="O797" s="200"/>
      <c r="P797" s="200"/>
      <c r="Q797" s="200"/>
    </row>
    <row r="798">
      <c r="A798" s="255"/>
      <c r="B798" s="200"/>
      <c r="C798" s="200"/>
      <c r="D798" s="200"/>
      <c r="E798" s="200"/>
      <c r="F798" s="200"/>
      <c r="G798" s="256"/>
      <c r="H798" s="200"/>
      <c r="I798" s="200"/>
      <c r="J798" s="200"/>
      <c r="K798" s="200"/>
      <c r="L798" s="200"/>
      <c r="M798" s="200"/>
      <c r="N798" s="200"/>
      <c r="O798" s="200"/>
      <c r="P798" s="200"/>
      <c r="Q798" s="200"/>
    </row>
    <row r="799">
      <c r="A799" s="255"/>
      <c r="B799" s="200"/>
      <c r="C799" s="200"/>
      <c r="D799" s="200"/>
      <c r="E799" s="200"/>
      <c r="F799" s="200"/>
      <c r="G799" s="256"/>
      <c r="H799" s="200"/>
      <c r="I799" s="200"/>
      <c r="J799" s="200"/>
      <c r="K799" s="200"/>
      <c r="L799" s="200"/>
      <c r="M799" s="200"/>
      <c r="N799" s="200"/>
      <c r="O799" s="200"/>
      <c r="P799" s="200"/>
      <c r="Q799" s="200"/>
    </row>
    <row r="800">
      <c r="A800" s="255"/>
      <c r="B800" s="200"/>
      <c r="C800" s="200"/>
      <c r="D800" s="200"/>
      <c r="E800" s="200"/>
      <c r="F800" s="200"/>
      <c r="G800" s="256"/>
      <c r="H800" s="200"/>
      <c r="I800" s="200"/>
      <c r="J800" s="200"/>
      <c r="K800" s="200"/>
      <c r="L800" s="200"/>
      <c r="M800" s="200"/>
      <c r="N800" s="200"/>
      <c r="O800" s="200"/>
      <c r="P800" s="200"/>
      <c r="Q800" s="200"/>
    </row>
    <row r="801">
      <c r="A801" s="255"/>
      <c r="B801" s="200"/>
      <c r="C801" s="200"/>
      <c r="D801" s="200"/>
      <c r="E801" s="200"/>
      <c r="F801" s="200"/>
      <c r="G801" s="256"/>
      <c r="H801" s="200"/>
      <c r="I801" s="200"/>
      <c r="J801" s="200"/>
      <c r="K801" s="200"/>
      <c r="L801" s="200"/>
      <c r="M801" s="200"/>
      <c r="N801" s="200"/>
      <c r="O801" s="200"/>
      <c r="P801" s="200"/>
      <c r="Q801" s="200"/>
    </row>
    <row r="802">
      <c r="A802" s="255"/>
      <c r="B802" s="200"/>
      <c r="C802" s="200"/>
      <c r="D802" s="200"/>
      <c r="E802" s="200"/>
      <c r="F802" s="200"/>
      <c r="G802" s="256"/>
      <c r="H802" s="200"/>
      <c r="I802" s="200"/>
      <c r="J802" s="200"/>
      <c r="K802" s="200"/>
      <c r="L802" s="200"/>
      <c r="M802" s="200"/>
      <c r="N802" s="200"/>
      <c r="O802" s="200"/>
      <c r="P802" s="200"/>
      <c r="Q802" s="200"/>
    </row>
    <row r="803">
      <c r="A803" s="255"/>
      <c r="B803" s="200"/>
      <c r="C803" s="200"/>
      <c r="D803" s="200"/>
      <c r="E803" s="200"/>
      <c r="F803" s="200"/>
      <c r="G803" s="256"/>
      <c r="H803" s="200"/>
      <c r="I803" s="200"/>
      <c r="J803" s="200"/>
      <c r="K803" s="200"/>
      <c r="L803" s="200"/>
      <c r="M803" s="200"/>
      <c r="N803" s="200"/>
      <c r="O803" s="200"/>
      <c r="P803" s="200"/>
      <c r="Q803" s="200"/>
    </row>
    <row r="804">
      <c r="A804" s="255"/>
      <c r="B804" s="200"/>
      <c r="C804" s="200"/>
      <c r="D804" s="200"/>
      <c r="E804" s="200"/>
      <c r="F804" s="200"/>
      <c r="G804" s="256"/>
      <c r="H804" s="200"/>
      <c r="I804" s="200"/>
      <c r="J804" s="200"/>
      <c r="K804" s="200"/>
      <c r="L804" s="200"/>
      <c r="M804" s="200"/>
      <c r="N804" s="200"/>
      <c r="O804" s="200"/>
      <c r="P804" s="200"/>
      <c r="Q804" s="200"/>
    </row>
    <row r="805">
      <c r="A805" s="255"/>
      <c r="B805" s="200"/>
      <c r="C805" s="200"/>
      <c r="D805" s="200"/>
      <c r="E805" s="200"/>
      <c r="F805" s="200"/>
      <c r="G805" s="256"/>
      <c r="H805" s="200"/>
      <c r="I805" s="200"/>
      <c r="J805" s="200"/>
      <c r="K805" s="200"/>
      <c r="L805" s="200"/>
      <c r="M805" s="200"/>
      <c r="N805" s="200"/>
      <c r="O805" s="200"/>
      <c r="P805" s="200"/>
      <c r="Q805" s="200"/>
    </row>
    <row r="806">
      <c r="A806" s="255"/>
      <c r="B806" s="200"/>
      <c r="C806" s="200"/>
      <c r="D806" s="200"/>
      <c r="E806" s="200"/>
      <c r="F806" s="200"/>
      <c r="G806" s="256"/>
      <c r="H806" s="200"/>
      <c r="I806" s="200"/>
      <c r="J806" s="200"/>
      <c r="K806" s="200"/>
      <c r="L806" s="200"/>
      <c r="M806" s="200"/>
      <c r="N806" s="200"/>
      <c r="O806" s="200"/>
      <c r="P806" s="200"/>
      <c r="Q806" s="200"/>
    </row>
    <row r="807">
      <c r="A807" s="255"/>
      <c r="B807" s="200"/>
      <c r="C807" s="200"/>
      <c r="D807" s="200"/>
      <c r="E807" s="200"/>
      <c r="F807" s="200"/>
      <c r="G807" s="256"/>
      <c r="H807" s="200"/>
      <c r="I807" s="200"/>
      <c r="J807" s="200"/>
      <c r="K807" s="200"/>
      <c r="L807" s="200"/>
      <c r="M807" s="200"/>
      <c r="N807" s="200"/>
      <c r="O807" s="200"/>
      <c r="P807" s="200"/>
      <c r="Q807" s="200"/>
    </row>
    <row r="808">
      <c r="A808" s="255"/>
      <c r="B808" s="200"/>
      <c r="C808" s="200"/>
      <c r="D808" s="200"/>
      <c r="E808" s="200"/>
      <c r="F808" s="200"/>
      <c r="G808" s="256"/>
      <c r="H808" s="200"/>
      <c r="I808" s="200"/>
      <c r="J808" s="200"/>
      <c r="K808" s="200"/>
      <c r="L808" s="200"/>
      <c r="M808" s="200"/>
      <c r="N808" s="200"/>
      <c r="O808" s="200"/>
      <c r="P808" s="200"/>
      <c r="Q808" s="200"/>
    </row>
    <row r="809">
      <c r="A809" s="255"/>
      <c r="B809" s="200"/>
      <c r="C809" s="200"/>
      <c r="D809" s="200"/>
      <c r="E809" s="200"/>
      <c r="F809" s="200"/>
      <c r="G809" s="256"/>
      <c r="H809" s="200"/>
      <c r="I809" s="200"/>
      <c r="J809" s="200"/>
      <c r="K809" s="200"/>
      <c r="L809" s="200"/>
      <c r="M809" s="200"/>
      <c r="N809" s="200"/>
      <c r="O809" s="200"/>
      <c r="P809" s="200"/>
      <c r="Q809" s="200"/>
    </row>
    <row r="810">
      <c r="A810" s="255"/>
      <c r="B810" s="200"/>
      <c r="C810" s="200"/>
      <c r="D810" s="200"/>
      <c r="E810" s="200"/>
      <c r="F810" s="200"/>
      <c r="G810" s="256"/>
      <c r="H810" s="200"/>
      <c r="I810" s="200"/>
      <c r="J810" s="200"/>
      <c r="K810" s="200"/>
      <c r="L810" s="200"/>
      <c r="M810" s="200"/>
      <c r="N810" s="200"/>
      <c r="O810" s="200"/>
      <c r="P810" s="200"/>
      <c r="Q810" s="200"/>
    </row>
    <row r="811">
      <c r="A811" s="255"/>
      <c r="B811" s="200"/>
      <c r="C811" s="200"/>
      <c r="D811" s="200"/>
      <c r="E811" s="200"/>
      <c r="F811" s="200"/>
      <c r="G811" s="256"/>
      <c r="H811" s="200"/>
      <c r="I811" s="200"/>
      <c r="J811" s="200"/>
      <c r="K811" s="200"/>
      <c r="L811" s="200"/>
      <c r="M811" s="200"/>
      <c r="N811" s="200"/>
      <c r="O811" s="200"/>
      <c r="P811" s="200"/>
      <c r="Q811" s="200"/>
    </row>
    <row r="812">
      <c r="A812" s="255"/>
      <c r="B812" s="200"/>
      <c r="C812" s="200"/>
      <c r="D812" s="200"/>
      <c r="E812" s="200"/>
      <c r="F812" s="200"/>
      <c r="G812" s="256"/>
      <c r="H812" s="200"/>
      <c r="I812" s="200"/>
      <c r="J812" s="200"/>
      <c r="K812" s="200"/>
      <c r="L812" s="200"/>
      <c r="M812" s="200"/>
      <c r="N812" s="200"/>
      <c r="O812" s="200"/>
      <c r="P812" s="200"/>
      <c r="Q812" s="200"/>
    </row>
    <row r="813">
      <c r="A813" s="255"/>
      <c r="B813" s="200"/>
      <c r="C813" s="200"/>
      <c r="D813" s="200"/>
      <c r="E813" s="200"/>
      <c r="F813" s="200"/>
      <c r="G813" s="256"/>
      <c r="H813" s="200"/>
      <c r="I813" s="200"/>
      <c r="J813" s="200"/>
      <c r="K813" s="200"/>
      <c r="L813" s="200"/>
      <c r="M813" s="200"/>
      <c r="N813" s="200"/>
      <c r="O813" s="200"/>
      <c r="P813" s="200"/>
      <c r="Q813" s="200"/>
    </row>
    <row r="814">
      <c r="A814" s="255"/>
      <c r="B814" s="200"/>
      <c r="C814" s="200"/>
      <c r="D814" s="200"/>
      <c r="E814" s="200"/>
      <c r="F814" s="200"/>
      <c r="G814" s="256"/>
      <c r="H814" s="200"/>
      <c r="I814" s="200"/>
      <c r="J814" s="200"/>
      <c r="K814" s="200"/>
      <c r="L814" s="200"/>
      <c r="M814" s="200"/>
      <c r="N814" s="200"/>
      <c r="O814" s="200"/>
      <c r="P814" s="200"/>
      <c r="Q814" s="200"/>
    </row>
    <row r="815">
      <c r="A815" s="255"/>
      <c r="B815" s="200"/>
      <c r="C815" s="200"/>
      <c r="D815" s="200"/>
      <c r="E815" s="200"/>
      <c r="F815" s="200"/>
      <c r="G815" s="256"/>
      <c r="H815" s="200"/>
      <c r="I815" s="200"/>
      <c r="J815" s="200"/>
      <c r="K815" s="200"/>
      <c r="L815" s="200"/>
      <c r="M815" s="200"/>
      <c r="N815" s="200"/>
      <c r="O815" s="200"/>
      <c r="P815" s="200"/>
      <c r="Q815" s="200"/>
    </row>
    <row r="816">
      <c r="A816" s="255"/>
      <c r="B816" s="200"/>
      <c r="C816" s="200"/>
      <c r="D816" s="200"/>
      <c r="E816" s="200"/>
      <c r="F816" s="200"/>
      <c r="G816" s="256"/>
      <c r="H816" s="200"/>
      <c r="I816" s="200"/>
      <c r="J816" s="200"/>
      <c r="K816" s="200"/>
      <c r="L816" s="200"/>
      <c r="M816" s="200"/>
      <c r="N816" s="200"/>
      <c r="O816" s="200"/>
      <c r="P816" s="200"/>
      <c r="Q816" s="200"/>
    </row>
    <row r="817">
      <c r="A817" s="255"/>
      <c r="B817" s="200"/>
      <c r="C817" s="200"/>
      <c r="D817" s="200"/>
      <c r="E817" s="200"/>
      <c r="F817" s="200"/>
      <c r="G817" s="256"/>
      <c r="H817" s="200"/>
      <c r="I817" s="200"/>
      <c r="J817" s="200"/>
      <c r="K817" s="200"/>
      <c r="L817" s="200"/>
      <c r="M817" s="200"/>
      <c r="N817" s="200"/>
      <c r="O817" s="200"/>
      <c r="P817" s="200"/>
      <c r="Q817" s="200"/>
    </row>
    <row r="818">
      <c r="A818" s="255"/>
      <c r="B818" s="200"/>
      <c r="C818" s="200"/>
      <c r="D818" s="200"/>
      <c r="E818" s="200"/>
      <c r="F818" s="200"/>
      <c r="G818" s="256"/>
      <c r="H818" s="200"/>
      <c r="I818" s="200"/>
      <c r="J818" s="200"/>
      <c r="K818" s="200"/>
      <c r="L818" s="200"/>
      <c r="M818" s="200"/>
      <c r="N818" s="200"/>
      <c r="O818" s="200"/>
      <c r="P818" s="200"/>
      <c r="Q818" s="200"/>
    </row>
    <row r="819">
      <c r="A819" s="255"/>
      <c r="B819" s="200"/>
      <c r="C819" s="200"/>
      <c r="D819" s="200"/>
      <c r="E819" s="200"/>
      <c r="F819" s="200"/>
      <c r="G819" s="256"/>
      <c r="H819" s="200"/>
      <c r="I819" s="200"/>
      <c r="J819" s="200"/>
      <c r="K819" s="200"/>
      <c r="L819" s="200"/>
      <c r="M819" s="200"/>
      <c r="N819" s="200"/>
      <c r="O819" s="200"/>
      <c r="P819" s="200"/>
      <c r="Q819" s="200"/>
    </row>
    <row r="820">
      <c r="A820" s="255"/>
      <c r="B820" s="200"/>
      <c r="C820" s="200"/>
      <c r="D820" s="200"/>
      <c r="E820" s="200"/>
      <c r="F820" s="200"/>
      <c r="G820" s="256"/>
      <c r="H820" s="200"/>
      <c r="I820" s="200"/>
      <c r="J820" s="200"/>
      <c r="K820" s="200"/>
      <c r="L820" s="200"/>
      <c r="M820" s="200"/>
      <c r="N820" s="200"/>
      <c r="O820" s="200"/>
      <c r="P820" s="200"/>
      <c r="Q820" s="200"/>
    </row>
    <row r="821">
      <c r="A821" s="255"/>
      <c r="B821" s="200"/>
      <c r="C821" s="200"/>
      <c r="D821" s="200"/>
      <c r="E821" s="200"/>
      <c r="F821" s="200"/>
      <c r="G821" s="256"/>
      <c r="H821" s="200"/>
      <c r="I821" s="200"/>
      <c r="J821" s="200"/>
      <c r="K821" s="200"/>
      <c r="L821" s="200"/>
      <c r="M821" s="200"/>
      <c r="N821" s="200"/>
      <c r="O821" s="200"/>
      <c r="P821" s="200"/>
      <c r="Q821" s="200"/>
    </row>
    <row r="822">
      <c r="A822" s="255"/>
      <c r="B822" s="200"/>
      <c r="C822" s="200"/>
      <c r="D822" s="200"/>
      <c r="E822" s="200"/>
      <c r="F822" s="200"/>
      <c r="G822" s="256"/>
      <c r="H822" s="200"/>
      <c r="I822" s="200"/>
      <c r="J822" s="200"/>
      <c r="K822" s="200"/>
      <c r="L822" s="200"/>
      <c r="M822" s="200"/>
      <c r="N822" s="200"/>
      <c r="O822" s="200"/>
      <c r="P822" s="200"/>
      <c r="Q822" s="200"/>
    </row>
    <row r="823">
      <c r="A823" s="255"/>
      <c r="B823" s="200"/>
      <c r="C823" s="200"/>
      <c r="D823" s="200"/>
      <c r="E823" s="200"/>
      <c r="F823" s="200"/>
      <c r="G823" s="256"/>
      <c r="H823" s="200"/>
      <c r="I823" s="200"/>
      <c r="J823" s="200"/>
      <c r="K823" s="200"/>
      <c r="L823" s="200"/>
      <c r="M823" s="200"/>
      <c r="N823" s="200"/>
      <c r="O823" s="200"/>
      <c r="P823" s="200"/>
      <c r="Q823" s="200"/>
    </row>
    <row r="824">
      <c r="A824" s="255"/>
      <c r="B824" s="200"/>
      <c r="C824" s="200"/>
      <c r="D824" s="200"/>
      <c r="E824" s="200"/>
      <c r="F824" s="200"/>
      <c r="G824" s="256"/>
      <c r="H824" s="200"/>
      <c r="I824" s="200"/>
      <c r="J824" s="200"/>
      <c r="K824" s="200"/>
      <c r="L824" s="200"/>
      <c r="M824" s="200"/>
      <c r="N824" s="200"/>
      <c r="O824" s="200"/>
      <c r="P824" s="200"/>
      <c r="Q824" s="200"/>
    </row>
    <row r="825">
      <c r="A825" s="255"/>
      <c r="B825" s="200"/>
      <c r="C825" s="200"/>
      <c r="D825" s="200"/>
      <c r="E825" s="200"/>
      <c r="F825" s="200"/>
      <c r="G825" s="256"/>
      <c r="H825" s="200"/>
      <c r="I825" s="200"/>
      <c r="J825" s="200"/>
      <c r="K825" s="200"/>
      <c r="L825" s="200"/>
      <c r="M825" s="200"/>
      <c r="N825" s="200"/>
      <c r="O825" s="200"/>
      <c r="P825" s="200"/>
      <c r="Q825" s="200"/>
    </row>
    <row r="826">
      <c r="A826" s="255"/>
      <c r="B826" s="200"/>
      <c r="C826" s="200"/>
      <c r="D826" s="200"/>
      <c r="E826" s="200"/>
      <c r="F826" s="200"/>
      <c r="G826" s="256"/>
      <c r="H826" s="200"/>
      <c r="I826" s="200"/>
      <c r="J826" s="200"/>
      <c r="K826" s="200"/>
      <c r="L826" s="200"/>
      <c r="M826" s="200"/>
      <c r="N826" s="200"/>
      <c r="O826" s="200"/>
      <c r="P826" s="200"/>
      <c r="Q826" s="200"/>
    </row>
    <row r="827">
      <c r="A827" s="255"/>
      <c r="B827" s="200"/>
      <c r="C827" s="200"/>
      <c r="D827" s="200"/>
      <c r="E827" s="200"/>
      <c r="F827" s="200"/>
      <c r="G827" s="256"/>
      <c r="H827" s="200"/>
      <c r="I827" s="200"/>
      <c r="J827" s="200"/>
      <c r="K827" s="200"/>
      <c r="L827" s="200"/>
      <c r="M827" s="200"/>
      <c r="N827" s="200"/>
      <c r="O827" s="200"/>
      <c r="P827" s="200"/>
      <c r="Q827" s="200"/>
    </row>
    <row r="828">
      <c r="A828" s="255"/>
      <c r="B828" s="200"/>
      <c r="C828" s="200"/>
      <c r="D828" s="200"/>
      <c r="E828" s="200"/>
      <c r="F828" s="200"/>
      <c r="G828" s="256"/>
      <c r="H828" s="200"/>
      <c r="I828" s="200"/>
      <c r="J828" s="200"/>
      <c r="K828" s="200"/>
      <c r="L828" s="200"/>
      <c r="M828" s="200"/>
      <c r="N828" s="200"/>
      <c r="O828" s="200"/>
      <c r="P828" s="200"/>
      <c r="Q828" s="200"/>
    </row>
    <row r="829">
      <c r="A829" s="255"/>
      <c r="B829" s="200"/>
      <c r="C829" s="200"/>
      <c r="D829" s="200"/>
      <c r="E829" s="200"/>
      <c r="F829" s="200"/>
      <c r="G829" s="256"/>
      <c r="H829" s="200"/>
      <c r="I829" s="200"/>
      <c r="J829" s="200"/>
      <c r="K829" s="200"/>
      <c r="L829" s="200"/>
      <c r="M829" s="200"/>
      <c r="N829" s="200"/>
      <c r="O829" s="200"/>
      <c r="P829" s="200"/>
      <c r="Q829" s="200"/>
    </row>
    <row r="830">
      <c r="A830" s="255"/>
      <c r="B830" s="200"/>
      <c r="C830" s="200"/>
      <c r="D830" s="200"/>
      <c r="E830" s="200"/>
      <c r="F830" s="200"/>
      <c r="G830" s="256"/>
      <c r="H830" s="200"/>
      <c r="I830" s="200"/>
      <c r="J830" s="200"/>
      <c r="K830" s="200"/>
      <c r="L830" s="200"/>
      <c r="M830" s="200"/>
      <c r="N830" s="200"/>
      <c r="O830" s="200"/>
      <c r="P830" s="200"/>
      <c r="Q830" s="200"/>
    </row>
    <row r="831">
      <c r="A831" s="255"/>
      <c r="B831" s="200"/>
      <c r="C831" s="200"/>
      <c r="D831" s="200"/>
      <c r="E831" s="200"/>
      <c r="F831" s="200"/>
      <c r="G831" s="256"/>
      <c r="H831" s="200"/>
      <c r="I831" s="200"/>
      <c r="J831" s="200"/>
      <c r="K831" s="200"/>
      <c r="L831" s="200"/>
      <c r="M831" s="200"/>
      <c r="N831" s="200"/>
      <c r="O831" s="200"/>
      <c r="P831" s="200"/>
      <c r="Q831" s="200"/>
    </row>
    <row r="832">
      <c r="A832" s="255"/>
      <c r="B832" s="200"/>
      <c r="C832" s="200"/>
      <c r="D832" s="200"/>
      <c r="E832" s="200"/>
      <c r="F832" s="200"/>
      <c r="G832" s="256"/>
      <c r="H832" s="200"/>
      <c r="I832" s="200"/>
      <c r="J832" s="200"/>
      <c r="K832" s="200"/>
      <c r="L832" s="200"/>
      <c r="M832" s="200"/>
      <c r="N832" s="200"/>
      <c r="O832" s="200"/>
      <c r="P832" s="200"/>
      <c r="Q832" s="200"/>
    </row>
    <row r="833">
      <c r="A833" s="255"/>
      <c r="B833" s="200"/>
      <c r="C833" s="200"/>
      <c r="D833" s="200"/>
      <c r="E833" s="200"/>
      <c r="F833" s="200"/>
      <c r="G833" s="256"/>
      <c r="H833" s="200"/>
      <c r="I833" s="200"/>
      <c r="J833" s="200"/>
      <c r="K833" s="200"/>
      <c r="L833" s="200"/>
      <c r="M833" s="200"/>
      <c r="N833" s="200"/>
      <c r="O833" s="200"/>
      <c r="P833" s="200"/>
      <c r="Q833" s="200"/>
    </row>
    <row r="834">
      <c r="A834" s="255"/>
      <c r="B834" s="200"/>
      <c r="C834" s="200"/>
      <c r="D834" s="200"/>
      <c r="E834" s="200"/>
      <c r="F834" s="200"/>
      <c r="G834" s="256"/>
      <c r="H834" s="200"/>
      <c r="I834" s="200"/>
      <c r="J834" s="200"/>
      <c r="K834" s="200"/>
      <c r="L834" s="200"/>
      <c r="M834" s="200"/>
      <c r="N834" s="200"/>
      <c r="O834" s="200"/>
      <c r="P834" s="200"/>
      <c r="Q834" s="200"/>
    </row>
    <row r="835">
      <c r="A835" s="255"/>
      <c r="B835" s="200"/>
      <c r="C835" s="200"/>
      <c r="D835" s="200"/>
      <c r="E835" s="200"/>
      <c r="F835" s="200"/>
      <c r="G835" s="256"/>
      <c r="H835" s="200"/>
      <c r="I835" s="200"/>
      <c r="J835" s="200"/>
      <c r="K835" s="200"/>
      <c r="L835" s="200"/>
      <c r="M835" s="200"/>
      <c r="N835" s="200"/>
      <c r="O835" s="200"/>
      <c r="P835" s="200"/>
      <c r="Q835" s="200"/>
    </row>
    <row r="836">
      <c r="A836" s="255"/>
      <c r="B836" s="200"/>
      <c r="C836" s="200"/>
      <c r="D836" s="200"/>
      <c r="E836" s="200"/>
      <c r="F836" s="200"/>
      <c r="G836" s="256"/>
      <c r="H836" s="200"/>
      <c r="I836" s="200"/>
      <c r="J836" s="200"/>
      <c r="K836" s="200"/>
      <c r="L836" s="200"/>
      <c r="M836" s="200"/>
      <c r="N836" s="200"/>
      <c r="O836" s="200"/>
      <c r="P836" s="200"/>
      <c r="Q836" s="200"/>
    </row>
    <row r="837">
      <c r="A837" s="255"/>
      <c r="B837" s="200"/>
      <c r="C837" s="200"/>
      <c r="D837" s="200"/>
      <c r="E837" s="200"/>
      <c r="F837" s="200"/>
      <c r="G837" s="256"/>
      <c r="H837" s="200"/>
      <c r="I837" s="200"/>
      <c r="J837" s="200"/>
      <c r="K837" s="200"/>
      <c r="L837" s="200"/>
      <c r="M837" s="200"/>
      <c r="N837" s="200"/>
      <c r="O837" s="200"/>
      <c r="P837" s="200"/>
      <c r="Q837" s="200"/>
    </row>
    <row r="838">
      <c r="A838" s="255"/>
      <c r="B838" s="200"/>
      <c r="C838" s="200"/>
      <c r="D838" s="200"/>
      <c r="E838" s="200"/>
      <c r="F838" s="200"/>
      <c r="G838" s="256"/>
      <c r="H838" s="200"/>
      <c r="I838" s="200"/>
      <c r="J838" s="200"/>
      <c r="K838" s="200"/>
      <c r="L838" s="200"/>
      <c r="M838" s="200"/>
      <c r="N838" s="200"/>
      <c r="O838" s="200"/>
      <c r="P838" s="200"/>
      <c r="Q838" s="200"/>
    </row>
    <row r="839">
      <c r="A839" s="255"/>
      <c r="B839" s="200"/>
      <c r="C839" s="200"/>
      <c r="D839" s="200"/>
      <c r="E839" s="200"/>
      <c r="F839" s="200"/>
      <c r="G839" s="256"/>
      <c r="H839" s="200"/>
      <c r="I839" s="200"/>
      <c r="J839" s="200"/>
      <c r="K839" s="200"/>
      <c r="L839" s="200"/>
      <c r="M839" s="200"/>
      <c r="N839" s="200"/>
      <c r="O839" s="200"/>
      <c r="P839" s="200"/>
      <c r="Q839" s="200"/>
    </row>
    <row r="840">
      <c r="A840" s="255"/>
      <c r="B840" s="200"/>
      <c r="C840" s="200"/>
      <c r="D840" s="200"/>
      <c r="E840" s="200"/>
      <c r="F840" s="200"/>
      <c r="G840" s="256"/>
      <c r="H840" s="200"/>
      <c r="I840" s="200"/>
      <c r="J840" s="200"/>
      <c r="K840" s="200"/>
      <c r="L840" s="200"/>
      <c r="M840" s="200"/>
      <c r="N840" s="200"/>
      <c r="O840" s="200"/>
      <c r="P840" s="200"/>
      <c r="Q840" s="200"/>
    </row>
    <row r="841">
      <c r="A841" s="255"/>
      <c r="B841" s="200"/>
      <c r="C841" s="200"/>
      <c r="D841" s="200"/>
      <c r="E841" s="200"/>
      <c r="F841" s="200"/>
      <c r="G841" s="256"/>
      <c r="H841" s="200"/>
      <c r="I841" s="200"/>
      <c r="J841" s="200"/>
      <c r="K841" s="200"/>
      <c r="L841" s="200"/>
      <c r="M841" s="200"/>
      <c r="N841" s="200"/>
      <c r="O841" s="200"/>
      <c r="P841" s="200"/>
      <c r="Q841" s="200"/>
    </row>
    <row r="842">
      <c r="A842" s="255"/>
      <c r="B842" s="200"/>
      <c r="C842" s="200"/>
      <c r="D842" s="200"/>
      <c r="E842" s="200"/>
      <c r="F842" s="200"/>
      <c r="G842" s="256"/>
      <c r="H842" s="200"/>
      <c r="I842" s="200"/>
      <c r="J842" s="200"/>
      <c r="K842" s="200"/>
      <c r="L842" s="200"/>
      <c r="M842" s="200"/>
      <c r="N842" s="200"/>
      <c r="O842" s="200"/>
      <c r="P842" s="200"/>
      <c r="Q842" s="200"/>
    </row>
    <row r="843">
      <c r="A843" s="255"/>
      <c r="B843" s="200"/>
      <c r="C843" s="200"/>
      <c r="D843" s="200"/>
      <c r="E843" s="200"/>
      <c r="F843" s="200"/>
      <c r="G843" s="256"/>
      <c r="H843" s="200"/>
      <c r="I843" s="200"/>
      <c r="J843" s="200"/>
      <c r="K843" s="200"/>
      <c r="L843" s="200"/>
      <c r="M843" s="200"/>
      <c r="N843" s="200"/>
      <c r="O843" s="200"/>
      <c r="P843" s="200"/>
      <c r="Q843" s="200"/>
    </row>
    <row r="844">
      <c r="A844" s="255"/>
      <c r="B844" s="200"/>
      <c r="C844" s="200"/>
      <c r="D844" s="200"/>
      <c r="E844" s="200"/>
      <c r="F844" s="200"/>
      <c r="G844" s="256"/>
      <c r="H844" s="200"/>
      <c r="I844" s="200"/>
      <c r="J844" s="200"/>
      <c r="K844" s="200"/>
      <c r="L844" s="200"/>
      <c r="M844" s="200"/>
      <c r="N844" s="200"/>
      <c r="O844" s="200"/>
      <c r="P844" s="200"/>
      <c r="Q844" s="200"/>
    </row>
    <row r="845">
      <c r="A845" s="255"/>
      <c r="B845" s="200"/>
      <c r="C845" s="200"/>
      <c r="D845" s="200"/>
      <c r="E845" s="200"/>
      <c r="F845" s="200"/>
      <c r="G845" s="256"/>
      <c r="H845" s="200"/>
      <c r="I845" s="200"/>
      <c r="J845" s="200"/>
      <c r="K845" s="200"/>
      <c r="L845" s="200"/>
      <c r="M845" s="200"/>
      <c r="N845" s="200"/>
      <c r="O845" s="200"/>
      <c r="P845" s="200"/>
      <c r="Q845" s="200"/>
    </row>
    <row r="846">
      <c r="A846" s="255"/>
      <c r="B846" s="200"/>
      <c r="C846" s="200"/>
      <c r="D846" s="200"/>
      <c r="E846" s="200"/>
      <c r="F846" s="200"/>
      <c r="G846" s="256"/>
      <c r="H846" s="200"/>
      <c r="I846" s="200"/>
      <c r="J846" s="200"/>
      <c r="K846" s="200"/>
      <c r="L846" s="200"/>
      <c r="M846" s="200"/>
      <c r="N846" s="200"/>
      <c r="O846" s="200"/>
      <c r="P846" s="200"/>
      <c r="Q846" s="200"/>
    </row>
    <row r="847">
      <c r="A847" s="255"/>
      <c r="B847" s="200"/>
      <c r="C847" s="200"/>
      <c r="D847" s="200"/>
      <c r="E847" s="200"/>
      <c r="F847" s="200"/>
      <c r="G847" s="256"/>
      <c r="H847" s="200"/>
      <c r="I847" s="200"/>
      <c r="J847" s="200"/>
      <c r="K847" s="200"/>
      <c r="L847" s="200"/>
      <c r="M847" s="200"/>
      <c r="N847" s="200"/>
      <c r="O847" s="200"/>
      <c r="P847" s="200"/>
      <c r="Q847" s="200"/>
    </row>
    <row r="848">
      <c r="A848" s="255"/>
      <c r="B848" s="200"/>
      <c r="C848" s="200"/>
      <c r="D848" s="200"/>
      <c r="E848" s="200"/>
      <c r="F848" s="200"/>
      <c r="G848" s="256"/>
      <c r="H848" s="200"/>
      <c r="I848" s="200"/>
      <c r="J848" s="200"/>
      <c r="K848" s="200"/>
      <c r="L848" s="200"/>
      <c r="M848" s="200"/>
      <c r="N848" s="200"/>
      <c r="O848" s="200"/>
      <c r="P848" s="200"/>
      <c r="Q848" s="200"/>
    </row>
    <row r="849">
      <c r="A849" s="255"/>
      <c r="B849" s="200"/>
      <c r="C849" s="200"/>
      <c r="D849" s="200"/>
      <c r="E849" s="200"/>
      <c r="F849" s="200"/>
      <c r="G849" s="256"/>
      <c r="H849" s="200"/>
      <c r="I849" s="200"/>
      <c r="J849" s="200"/>
      <c r="K849" s="200"/>
      <c r="L849" s="200"/>
      <c r="M849" s="200"/>
      <c r="N849" s="200"/>
      <c r="O849" s="200"/>
      <c r="P849" s="200"/>
      <c r="Q849" s="200"/>
    </row>
    <row r="850">
      <c r="A850" s="255"/>
      <c r="B850" s="200"/>
      <c r="C850" s="200"/>
      <c r="D850" s="200"/>
      <c r="E850" s="200"/>
      <c r="F850" s="200"/>
      <c r="G850" s="256"/>
      <c r="H850" s="200"/>
      <c r="I850" s="200"/>
      <c r="J850" s="200"/>
      <c r="K850" s="200"/>
      <c r="L850" s="200"/>
      <c r="M850" s="200"/>
      <c r="N850" s="200"/>
      <c r="O850" s="200"/>
      <c r="P850" s="200"/>
      <c r="Q850" s="200"/>
    </row>
    <row r="851">
      <c r="A851" s="255"/>
      <c r="B851" s="200"/>
      <c r="C851" s="200"/>
      <c r="D851" s="200"/>
      <c r="E851" s="200"/>
      <c r="F851" s="200"/>
      <c r="G851" s="256"/>
      <c r="H851" s="200"/>
      <c r="I851" s="200"/>
      <c r="J851" s="200"/>
      <c r="K851" s="200"/>
      <c r="L851" s="200"/>
      <c r="M851" s="200"/>
      <c r="N851" s="200"/>
      <c r="O851" s="200"/>
      <c r="P851" s="200"/>
      <c r="Q851" s="200"/>
    </row>
    <row r="852">
      <c r="A852" s="255"/>
      <c r="B852" s="200"/>
      <c r="C852" s="200"/>
      <c r="D852" s="200"/>
      <c r="E852" s="200"/>
      <c r="F852" s="200"/>
      <c r="G852" s="256"/>
      <c r="H852" s="200"/>
      <c r="I852" s="200"/>
      <c r="J852" s="200"/>
      <c r="K852" s="200"/>
      <c r="L852" s="200"/>
      <c r="M852" s="200"/>
      <c r="N852" s="200"/>
      <c r="O852" s="200"/>
      <c r="P852" s="200"/>
      <c r="Q852" s="200"/>
    </row>
    <row r="853">
      <c r="A853" s="255"/>
      <c r="B853" s="200"/>
      <c r="C853" s="200"/>
      <c r="D853" s="200"/>
      <c r="E853" s="200"/>
      <c r="F853" s="200"/>
      <c r="G853" s="256"/>
      <c r="H853" s="200"/>
      <c r="I853" s="200"/>
      <c r="J853" s="200"/>
      <c r="K853" s="200"/>
      <c r="L853" s="200"/>
      <c r="M853" s="200"/>
      <c r="N853" s="200"/>
      <c r="O853" s="200"/>
      <c r="P853" s="200"/>
      <c r="Q853" s="200"/>
    </row>
    <row r="854">
      <c r="A854" s="255"/>
      <c r="B854" s="200"/>
      <c r="C854" s="200"/>
      <c r="D854" s="200"/>
      <c r="E854" s="200"/>
      <c r="F854" s="200"/>
      <c r="G854" s="256"/>
      <c r="H854" s="200"/>
      <c r="I854" s="200"/>
      <c r="J854" s="200"/>
      <c r="K854" s="200"/>
      <c r="L854" s="200"/>
      <c r="M854" s="200"/>
      <c r="N854" s="200"/>
      <c r="O854" s="200"/>
      <c r="P854" s="200"/>
      <c r="Q854" s="200"/>
    </row>
    <row r="855">
      <c r="A855" s="255"/>
      <c r="B855" s="200"/>
      <c r="C855" s="200"/>
      <c r="D855" s="200"/>
      <c r="E855" s="200"/>
      <c r="F855" s="200"/>
      <c r="G855" s="256"/>
      <c r="H855" s="200"/>
      <c r="I855" s="200"/>
      <c r="J855" s="200"/>
      <c r="K855" s="200"/>
      <c r="L855" s="200"/>
      <c r="M855" s="200"/>
      <c r="N855" s="200"/>
      <c r="O855" s="200"/>
      <c r="P855" s="200"/>
      <c r="Q855" s="200"/>
    </row>
    <row r="856">
      <c r="A856" s="255"/>
      <c r="B856" s="200"/>
      <c r="C856" s="200"/>
      <c r="D856" s="200"/>
      <c r="E856" s="200"/>
      <c r="F856" s="200"/>
      <c r="G856" s="256"/>
      <c r="H856" s="200"/>
      <c r="I856" s="200"/>
      <c r="J856" s="200"/>
      <c r="K856" s="200"/>
      <c r="L856" s="200"/>
      <c r="M856" s="200"/>
      <c r="N856" s="200"/>
      <c r="O856" s="200"/>
      <c r="P856" s="200"/>
      <c r="Q856" s="200"/>
    </row>
    <row r="857">
      <c r="A857" s="255"/>
      <c r="B857" s="200"/>
      <c r="C857" s="200"/>
      <c r="D857" s="200"/>
      <c r="E857" s="200"/>
      <c r="F857" s="200"/>
      <c r="G857" s="256"/>
      <c r="H857" s="200"/>
      <c r="I857" s="200"/>
      <c r="J857" s="200"/>
      <c r="K857" s="200"/>
      <c r="L857" s="200"/>
      <c r="M857" s="200"/>
      <c r="N857" s="200"/>
      <c r="O857" s="200"/>
      <c r="P857" s="200"/>
      <c r="Q857" s="200"/>
    </row>
    <row r="858">
      <c r="A858" s="255"/>
      <c r="B858" s="200"/>
      <c r="C858" s="200"/>
      <c r="D858" s="200"/>
      <c r="E858" s="200"/>
      <c r="F858" s="200"/>
      <c r="G858" s="256"/>
      <c r="H858" s="200"/>
      <c r="I858" s="200"/>
      <c r="J858" s="200"/>
      <c r="K858" s="200"/>
      <c r="L858" s="200"/>
      <c r="M858" s="200"/>
      <c r="N858" s="200"/>
      <c r="O858" s="200"/>
      <c r="P858" s="200"/>
      <c r="Q858" s="200"/>
    </row>
    <row r="859">
      <c r="A859" s="255"/>
      <c r="B859" s="200"/>
      <c r="C859" s="200"/>
      <c r="D859" s="200"/>
      <c r="E859" s="200"/>
      <c r="F859" s="200"/>
      <c r="G859" s="256"/>
      <c r="H859" s="200"/>
      <c r="I859" s="200"/>
      <c r="J859" s="200"/>
      <c r="K859" s="200"/>
      <c r="L859" s="200"/>
      <c r="M859" s="200"/>
      <c r="N859" s="200"/>
      <c r="O859" s="200"/>
      <c r="P859" s="200"/>
      <c r="Q859" s="200"/>
    </row>
    <row r="860">
      <c r="A860" s="255"/>
      <c r="B860" s="200"/>
      <c r="C860" s="200"/>
      <c r="D860" s="200"/>
      <c r="E860" s="200"/>
      <c r="F860" s="200"/>
      <c r="G860" s="256"/>
      <c r="H860" s="200"/>
      <c r="I860" s="200"/>
      <c r="J860" s="200"/>
      <c r="K860" s="200"/>
      <c r="L860" s="200"/>
      <c r="M860" s="200"/>
      <c r="N860" s="200"/>
      <c r="O860" s="200"/>
      <c r="P860" s="200"/>
      <c r="Q860" s="200"/>
    </row>
    <row r="861">
      <c r="A861" s="255"/>
      <c r="B861" s="200"/>
      <c r="C861" s="200"/>
      <c r="D861" s="200"/>
      <c r="E861" s="200"/>
      <c r="F861" s="200"/>
      <c r="G861" s="256"/>
      <c r="H861" s="200"/>
      <c r="I861" s="200"/>
      <c r="J861" s="200"/>
      <c r="K861" s="200"/>
      <c r="L861" s="200"/>
      <c r="M861" s="200"/>
      <c r="N861" s="200"/>
      <c r="O861" s="200"/>
      <c r="P861" s="200"/>
      <c r="Q861" s="200"/>
    </row>
    <row r="862">
      <c r="A862" s="255"/>
      <c r="B862" s="200"/>
      <c r="C862" s="200"/>
      <c r="D862" s="200"/>
      <c r="E862" s="200"/>
      <c r="F862" s="200"/>
      <c r="G862" s="256"/>
      <c r="H862" s="200"/>
      <c r="I862" s="200"/>
      <c r="J862" s="200"/>
      <c r="K862" s="200"/>
      <c r="L862" s="200"/>
      <c r="M862" s="200"/>
      <c r="N862" s="200"/>
      <c r="O862" s="200"/>
      <c r="P862" s="200"/>
      <c r="Q862" s="200"/>
    </row>
    <row r="863">
      <c r="A863" s="255"/>
      <c r="B863" s="200"/>
      <c r="C863" s="200"/>
      <c r="D863" s="200"/>
      <c r="E863" s="200"/>
      <c r="F863" s="200"/>
      <c r="G863" s="256"/>
      <c r="H863" s="200"/>
      <c r="I863" s="200"/>
      <c r="J863" s="200"/>
      <c r="K863" s="200"/>
      <c r="L863" s="200"/>
      <c r="M863" s="200"/>
      <c r="N863" s="200"/>
      <c r="O863" s="200"/>
      <c r="P863" s="200"/>
      <c r="Q863" s="200"/>
    </row>
    <row r="864">
      <c r="A864" s="255"/>
      <c r="B864" s="200"/>
      <c r="C864" s="200"/>
      <c r="D864" s="200"/>
      <c r="E864" s="200"/>
      <c r="F864" s="200"/>
      <c r="G864" s="256"/>
      <c r="H864" s="200"/>
      <c r="I864" s="200"/>
      <c r="J864" s="200"/>
      <c r="K864" s="200"/>
      <c r="L864" s="200"/>
      <c r="M864" s="200"/>
      <c r="N864" s="200"/>
      <c r="O864" s="200"/>
      <c r="P864" s="200"/>
      <c r="Q864" s="200"/>
    </row>
    <row r="865">
      <c r="A865" s="255"/>
      <c r="B865" s="200"/>
      <c r="C865" s="200"/>
      <c r="D865" s="200"/>
      <c r="E865" s="200"/>
      <c r="F865" s="200"/>
      <c r="G865" s="256"/>
      <c r="H865" s="200"/>
      <c r="I865" s="200"/>
      <c r="J865" s="200"/>
      <c r="K865" s="200"/>
      <c r="L865" s="200"/>
      <c r="M865" s="200"/>
      <c r="N865" s="200"/>
      <c r="O865" s="200"/>
      <c r="P865" s="200"/>
      <c r="Q865" s="200"/>
    </row>
    <row r="866">
      <c r="A866" s="255"/>
      <c r="B866" s="200"/>
      <c r="C866" s="200"/>
      <c r="D866" s="200"/>
      <c r="E866" s="200"/>
      <c r="F866" s="200"/>
      <c r="G866" s="256"/>
      <c r="H866" s="200"/>
      <c r="I866" s="200"/>
      <c r="J866" s="200"/>
      <c r="K866" s="200"/>
      <c r="L866" s="200"/>
      <c r="M866" s="200"/>
      <c r="N866" s="200"/>
      <c r="O866" s="200"/>
      <c r="P866" s="200"/>
      <c r="Q866" s="200"/>
    </row>
    <row r="867">
      <c r="A867" s="255"/>
      <c r="B867" s="200"/>
      <c r="C867" s="200"/>
      <c r="D867" s="200"/>
      <c r="E867" s="200"/>
      <c r="F867" s="200"/>
      <c r="G867" s="256"/>
      <c r="H867" s="200"/>
      <c r="I867" s="200"/>
      <c r="J867" s="200"/>
      <c r="K867" s="200"/>
      <c r="L867" s="200"/>
      <c r="M867" s="200"/>
      <c r="N867" s="200"/>
      <c r="O867" s="200"/>
      <c r="P867" s="200"/>
      <c r="Q867" s="200"/>
    </row>
    <row r="868">
      <c r="A868" s="255"/>
      <c r="B868" s="200"/>
      <c r="C868" s="200"/>
      <c r="D868" s="200"/>
      <c r="E868" s="200"/>
      <c r="F868" s="200"/>
      <c r="G868" s="256"/>
      <c r="H868" s="200"/>
      <c r="I868" s="200"/>
      <c r="J868" s="200"/>
      <c r="K868" s="200"/>
      <c r="L868" s="200"/>
      <c r="M868" s="200"/>
      <c r="N868" s="200"/>
      <c r="O868" s="200"/>
      <c r="P868" s="200"/>
      <c r="Q868" s="200"/>
    </row>
    <row r="869">
      <c r="A869" s="255"/>
      <c r="B869" s="200"/>
      <c r="C869" s="200"/>
      <c r="D869" s="200"/>
      <c r="E869" s="200"/>
      <c r="F869" s="200"/>
      <c r="G869" s="256"/>
      <c r="H869" s="200"/>
      <c r="I869" s="200"/>
      <c r="J869" s="200"/>
      <c r="K869" s="200"/>
      <c r="L869" s="200"/>
      <c r="M869" s="200"/>
      <c r="N869" s="200"/>
      <c r="O869" s="200"/>
      <c r="P869" s="200"/>
      <c r="Q869" s="200"/>
    </row>
    <row r="870">
      <c r="A870" s="255"/>
      <c r="B870" s="200"/>
      <c r="C870" s="200"/>
      <c r="D870" s="200"/>
      <c r="E870" s="200"/>
      <c r="F870" s="200"/>
      <c r="G870" s="256"/>
      <c r="H870" s="200"/>
      <c r="I870" s="200"/>
      <c r="J870" s="200"/>
      <c r="K870" s="200"/>
      <c r="L870" s="200"/>
      <c r="M870" s="200"/>
      <c r="N870" s="200"/>
      <c r="O870" s="200"/>
      <c r="P870" s="200"/>
      <c r="Q870" s="200"/>
    </row>
    <row r="871">
      <c r="A871" s="255"/>
      <c r="B871" s="200"/>
      <c r="C871" s="200"/>
      <c r="D871" s="200"/>
      <c r="E871" s="200"/>
      <c r="F871" s="200"/>
      <c r="G871" s="256"/>
      <c r="H871" s="200"/>
      <c r="I871" s="200"/>
      <c r="J871" s="200"/>
      <c r="K871" s="200"/>
      <c r="L871" s="200"/>
      <c r="M871" s="200"/>
      <c r="N871" s="200"/>
      <c r="O871" s="200"/>
      <c r="P871" s="200"/>
      <c r="Q871" s="200"/>
    </row>
    <row r="872">
      <c r="A872" s="255"/>
      <c r="B872" s="200"/>
      <c r="C872" s="200"/>
      <c r="D872" s="200"/>
      <c r="E872" s="200"/>
      <c r="F872" s="200"/>
      <c r="G872" s="256"/>
      <c r="H872" s="200"/>
      <c r="I872" s="200"/>
      <c r="J872" s="200"/>
      <c r="K872" s="200"/>
      <c r="L872" s="200"/>
      <c r="M872" s="200"/>
      <c r="N872" s="200"/>
      <c r="O872" s="200"/>
      <c r="P872" s="200"/>
      <c r="Q872" s="200"/>
    </row>
    <row r="873">
      <c r="A873" s="255"/>
      <c r="B873" s="200"/>
      <c r="C873" s="200"/>
      <c r="D873" s="200"/>
      <c r="E873" s="200"/>
      <c r="F873" s="200"/>
      <c r="G873" s="256"/>
      <c r="H873" s="200"/>
      <c r="I873" s="200"/>
      <c r="J873" s="200"/>
      <c r="K873" s="200"/>
      <c r="L873" s="200"/>
      <c r="M873" s="200"/>
      <c r="N873" s="200"/>
      <c r="O873" s="200"/>
      <c r="P873" s="200"/>
      <c r="Q873" s="200"/>
    </row>
    <row r="874">
      <c r="A874" s="255"/>
      <c r="B874" s="200"/>
      <c r="C874" s="200"/>
      <c r="D874" s="200"/>
      <c r="E874" s="200"/>
      <c r="F874" s="200"/>
      <c r="G874" s="256"/>
      <c r="H874" s="200"/>
      <c r="I874" s="200"/>
      <c r="J874" s="200"/>
      <c r="K874" s="200"/>
      <c r="L874" s="200"/>
      <c r="M874" s="200"/>
      <c r="N874" s="200"/>
      <c r="O874" s="200"/>
      <c r="P874" s="200"/>
      <c r="Q874" s="200"/>
    </row>
    <row r="875">
      <c r="A875" s="255"/>
      <c r="B875" s="200"/>
      <c r="C875" s="200"/>
      <c r="D875" s="200"/>
      <c r="E875" s="200"/>
      <c r="F875" s="200"/>
      <c r="G875" s="256"/>
      <c r="H875" s="200"/>
      <c r="I875" s="200"/>
      <c r="J875" s="200"/>
      <c r="K875" s="200"/>
      <c r="L875" s="200"/>
      <c r="M875" s="200"/>
      <c r="N875" s="200"/>
      <c r="O875" s="200"/>
      <c r="P875" s="200"/>
      <c r="Q875" s="200"/>
    </row>
    <row r="876">
      <c r="A876" s="255"/>
      <c r="B876" s="200"/>
      <c r="C876" s="200"/>
      <c r="D876" s="200"/>
      <c r="E876" s="200"/>
      <c r="F876" s="200"/>
      <c r="G876" s="256"/>
      <c r="H876" s="200"/>
      <c r="I876" s="200"/>
      <c r="J876" s="200"/>
      <c r="K876" s="200"/>
      <c r="L876" s="200"/>
      <c r="M876" s="200"/>
      <c r="N876" s="200"/>
      <c r="O876" s="200"/>
      <c r="P876" s="200"/>
      <c r="Q876" s="200"/>
    </row>
    <row r="877">
      <c r="A877" s="255"/>
      <c r="B877" s="200"/>
      <c r="C877" s="200"/>
      <c r="D877" s="200"/>
      <c r="E877" s="200"/>
      <c r="F877" s="200"/>
      <c r="G877" s="256"/>
      <c r="H877" s="200"/>
      <c r="I877" s="200"/>
      <c r="J877" s="200"/>
      <c r="K877" s="200"/>
      <c r="L877" s="200"/>
      <c r="M877" s="200"/>
      <c r="N877" s="200"/>
      <c r="O877" s="200"/>
      <c r="P877" s="200"/>
      <c r="Q877" s="200"/>
    </row>
    <row r="878">
      <c r="A878" s="255"/>
      <c r="B878" s="200"/>
      <c r="C878" s="200"/>
      <c r="D878" s="200"/>
      <c r="E878" s="200"/>
      <c r="F878" s="200"/>
      <c r="G878" s="256"/>
      <c r="H878" s="200"/>
      <c r="I878" s="200"/>
      <c r="J878" s="200"/>
      <c r="K878" s="200"/>
      <c r="L878" s="200"/>
      <c r="M878" s="200"/>
      <c r="N878" s="200"/>
      <c r="O878" s="200"/>
      <c r="P878" s="200"/>
      <c r="Q878" s="200"/>
    </row>
    <row r="879">
      <c r="A879" s="255"/>
      <c r="B879" s="200"/>
      <c r="C879" s="200"/>
      <c r="D879" s="200"/>
      <c r="E879" s="200"/>
      <c r="F879" s="200"/>
      <c r="G879" s="256"/>
      <c r="H879" s="200"/>
      <c r="I879" s="200"/>
      <c r="J879" s="200"/>
      <c r="K879" s="200"/>
      <c r="L879" s="200"/>
      <c r="M879" s="200"/>
      <c r="N879" s="200"/>
      <c r="O879" s="200"/>
      <c r="P879" s="200"/>
      <c r="Q879" s="200"/>
    </row>
    <row r="880">
      <c r="A880" s="255"/>
      <c r="B880" s="200"/>
      <c r="C880" s="200"/>
      <c r="D880" s="200"/>
      <c r="E880" s="200"/>
      <c r="F880" s="200"/>
      <c r="G880" s="256"/>
      <c r="H880" s="200"/>
      <c r="I880" s="200"/>
      <c r="J880" s="200"/>
      <c r="K880" s="200"/>
      <c r="L880" s="200"/>
      <c r="M880" s="200"/>
      <c r="N880" s="200"/>
      <c r="O880" s="200"/>
      <c r="P880" s="200"/>
      <c r="Q880" s="200"/>
    </row>
    <row r="881">
      <c r="A881" s="255"/>
      <c r="B881" s="200"/>
      <c r="C881" s="200"/>
      <c r="D881" s="200"/>
      <c r="E881" s="200"/>
      <c r="F881" s="200"/>
      <c r="G881" s="256"/>
      <c r="H881" s="200"/>
      <c r="I881" s="200"/>
      <c r="J881" s="200"/>
      <c r="K881" s="200"/>
      <c r="L881" s="200"/>
      <c r="M881" s="200"/>
      <c r="N881" s="200"/>
      <c r="O881" s="200"/>
      <c r="P881" s="200"/>
      <c r="Q881" s="200"/>
    </row>
    <row r="882">
      <c r="A882" s="255"/>
      <c r="B882" s="200"/>
      <c r="C882" s="200"/>
      <c r="D882" s="200"/>
      <c r="E882" s="200"/>
      <c r="F882" s="200"/>
      <c r="G882" s="256"/>
      <c r="H882" s="200"/>
      <c r="I882" s="200"/>
      <c r="J882" s="200"/>
      <c r="K882" s="200"/>
      <c r="L882" s="200"/>
      <c r="M882" s="200"/>
      <c r="N882" s="200"/>
      <c r="O882" s="200"/>
      <c r="P882" s="200"/>
      <c r="Q882" s="200"/>
    </row>
    <row r="883">
      <c r="A883" s="255"/>
      <c r="B883" s="200"/>
      <c r="C883" s="200"/>
      <c r="D883" s="200"/>
      <c r="E883" s="200"/>
      <c r="F883" s="200"/>
      <c r="G883" s="256"/>
      <c r="H883" s="200"/>
      <c r="I883" s="200"/>
      <c r="J883" s="200"/>
      <c r="K883" s="200"/>
      <c r="L883" s="200"/>
      <c r="M883" s="200"/>
      <c r="N883" s="200"/>
      <c r="O883" s="200"/>
      <c r="P883" s="200"/>
      <c r="Q883" s="200"/>
    </row>
    <row r="884">
      <c r="A884" s="255"/>
      <c r="B884" s="200"/>
      <c r="C884" s="200"/>
      <c r="D884" s="200"/>
      <c r="E884" s="200"/>
      <c r="F884" s="200"/>
      <c r="G884" s="256"/>
      <c r="H884" s="200"/>
      <c r="I884" s="200"/>
      <c r="J884" s="200"/>
      <c r="K884" s="200"/>
      <c r="L884" s="200"/>
      <c r="M884" s="200"/>
      <c r="N884" s="200"/>
      <c r="O884" s="200"/>
      <c r="P884" s="200"/>
      <c r="Q884" s="200"/>
    </row>
    <row r="885">
      <c r="A885" s="255"/>
      <c r="B885" s="200"/>
      <c r="C885" s="200"/>
      <c r="D885" s="200"/>
      <c r="E885" s="200"/>
      <c r="F885" s="200"/>
      <c r="G885" s="256"/>
      <c r="H885" s="200"/>
      <c r="I885" s="200"/>
      <c r="J885" s="200"/>
      <c r="K885" s="200"/>
      <c r="L885" s="200"/>
      <c r="M885" s="200"/>
      <c r="N885" s="200"/>
      <c r="O885" s="200"/>
      <c r="P885" s="200"/>
      <c r="Q885" s="200"/>
    </row>
    <row r="886">
      <c r="A886" s="255"/>
      <c r="B886" s="200"/>
      <c r="C886" s="200"/>
      <c r="D886" s="200"/>
      <c r="E886" s="200"/>
      <c r="F886" s="200"/>
      <c r="G886" s="256"/>
      <c r="H886" s="200"/>
      <c r="I886" s="200"/>
      <c r="J886" s="200"/>
      <c r="K886" s="200"/>
      <c r="L886" s="200"/>
      <c r="M886" s="200"/>
      <c r="N886" s="200"/>
      <c r="O886" s="200"/>
      <c r="P886" s="200"/>
      <c r="Q886" s="200"/>
    </row>
    <row r="887">
      <c r="A887" s="255"/>
      <c r="B887" s="200"/>
      <c r="C887" s="200"/>
      <c r="D887" s="200"/>
      <c r="E887" s="200"/>
      <c r="F887" s="200"/>
      <c r="G887" s="256"/>
      <c r="H887" s="200"/>
      <c r="I887" s="200"/>
      <c r="J887" s="200"/>
      <c r="K887" s="200"/>
      <c r="L887" s="200"/>
      <c r="M887" s="200"/>
      <c r="N887" s="200"/>
      <c r="O887" s="200"/>
      <c r="P887" s="200"/>
      <c r="Q887" s="200"/>
    </row>
    <row r="888">
      <c r="A888" s="255"/>
      <c r="B888" s="200"/>
      <c r="C888" s="200"/>
      <c r="D888" s="200"/>
      <c r="E888" s="200"/>
      <c r="F888" s="200"/>
      <c r="G888" s="256"/>
      <c r="H888" s="200"/>
      <c r="I888" s="200"/>
      <c r="J888" s="200"/>
      <c r="K888" s="200"/>
      <c r="L888" s="200"/>
      <c r="M888" s="200"/>
      <c r="N888" s="200"/>
      <c r="O888" s="200"/>
      <c r="P888" s="200"/>
      <c r="Q888" s="200"/>
    </row>
    <row r="889">
      <c r="A889" s="255"/>
      <c r="B889" s="200"/>
      <c r="C889" s="200"/>
      <c r="D889" s="200"/>
      <c r="E889" s="200"/>
      <c r="F889" s="200"/>
      <c r="G889" s="256"/>
      <c r="H889" s="200"/>
      <c r="I889" s="200"/>
      <c r="J889" s="200"/>
      <c r="K889" s="200"/>
      <c r="L889" s="200"/>
      <c r="M889" s="200"/>
      <c r="N889" s="200"/>
      <c r="O889" s="200"/>
      <c r="P889" s="200"/>
      <c r="Q889" s="200"/>
    </row>
    <row r="890">
      <c r="A890" s="255"/>
      <c r="B890" s="200"/>
      <c r="C890" s="200"/>
      <c r="D890" s="200"/>
      <c r="E890" s="200"/>
      <c r="F890" s="200"/>
      <c r="G890" s="256"/>
      <c r="H890" s="200"/>
      <c r="I890" s="200"/>
      <c r="J890" s="200"/>
      <c r="K890" s="200"/>
      <c r="L890" s="200"/>
      <c r="M890" s="200"/>
      <c r="N890" s="200"/>
      <c r="O890" s="200"/>
      <c r="P890" s="200"/>
      <c r="Q890" s="200"/>
    </row>
    <row r="891">
      <c r="A891" s="255"/>
      <c r="B891" s="200"/>
      <c r="C891" s="200"/>
      <c r="D891" s="200"/>
      <c r="E891" s="200"/>
      <c r="F891" s="200"/>
      <c r="G891" s="256"/>
      <c r="H891" s="200"/>
      <c r="I891" s="200"/>
      <c r="J891" s="200"/>
      <c r="K891" s="200"/>
      <c r="L891" s="200"/>
      <c r="M891" s="200"/>
      <c r="N891" s="200"/>
      <c r="O891" s="200"/>
      <c r="P891" s="200"/>
      <c r="Q891" s="200"/>
    </row>
    <row r="892">
      <c r="A892" s="255"/>
      <c r="B892" s="200"/>
      <c r="C892" s="200"/>
      <c r="D892" s="200"/>
      <c r="E892" s="200"/>
      <c r="F892" s="200"/>
      <c r="G892" s="256"/>
      <c r="H892" s="200"/>
      <c r="I892" s="200"/>
      <c r="J892" s="200"/>
      <c r="K892" s="200"/>
      <c r="L892" s="200"/>
      <c r="M892" s="200"/>
      <c r="N892" s="200"/>
      <c r="O892" s="200"/>
      <c r="P892" s="200"/>
      <c r="Q892" s="200"/>
    </row>
    <row r="893">
      <c r="A893" s="255"/>
      <c r="B893" s="200"/>
      <c r="C893" s="200"/>
      <c r="D893" s="200"/>
      <c r="E893" s="200"/>
      <c r="F893" s="200"/>
      <c r="G893" s="256"/>
      <c r="H893" s="200"/>
      <c r="I893" s="200"/>
      <c r="J893" s="200"/>
      <c r="K893" s="200"/>
      <c r="L893" s="200"/>
      <c r="M893" s="200"/>
      <c r="N893" s="200"/>
      <c r="O893" s="200"/>
      <c r="P893" s="200"/>
      <c r="Q893" s="200"/>
    </row>
    <row r="894">
      <c r="A894" s="255"/>
      <c r="B894" s="200"/>
      <c r="C894" s="200"/>
      <c r="D894" s="200"/>
      <c r="E894" s="200"/>
      <c r="F894" s="200"/>
      <c r="G894" s="256"/>
      <c r="H894" s="200"/>
      <c r="I894" s="200"/>
      <c r="J894" s="200"/>
      <c r="K894" s="200"/>
      <c r="L894" s="200"/>
      <c r="M894" s="200"/>
      <c r="N894" s="200"/>
      <c r="O894" s="200"/>
      <c r="P894" s="200"/>
      <c r="Q894" s="200"/>
    </row>
    <row r="895">
      <c r="A895" s="255"/>
      <c r="B895" s="200"/>
      <c r="C895" s="200"/>
      <c r="D895" s="200"/>
      <c r="E895" s="200"/>
      <c r="F895" s="200"/>
      <c r="G895" s="256"/>
      <c r="H895" s="200"/>
      <c r="I895" s="200"/>
      <c r="J895" s="200"/>
      <c r="K895" s="200"/>
      <c r="L895" s="200"/>
      <c r="M895" s="200"/>
      <c r="N895" s="200"/>
      <c r="O895" s="200"/>
      <c r="P895" s="200"/>
      <c r="Q895" s="200"/>
    </row>
    <row r="896">
      <c r="A896" s="255"/>
      <c r="B896" s="200"/>
      <c r="C896" s="200"/>
      <c r="D896" s="200"/>
      <c r="E896" s="200"/>
      <c r="F896" s="200"/>
      <c r="G896" s="256"/>
      <c r="H896" s="200"/>
      <c r="I896" s="200"/>
      <c r="J896" s="200"/>
      <c r="K896" s="200"/>
      <c r="L896" s="200"/>
      <c r="M896" s="200"/>
      <c r="N896" s="200"/>
      <c r="O896" s="200"/>
      <c r="P896" s="200"/>
      <c r="Q896" s="200"/>
    </row>
    <row r="897">
      <c r="A897" s="255"/>
      <c r="B897" s="200"/>
      <c r="C897" s="200"/>
      <c r="D897" s="200"/>
      <c r="E897" s="200"/>
      <c r="F897" s="200"/>
      <c r="G897" s="256"/>
      <c r="H897" s="200"/>
      <c r="I897" s="200"/>
      <c r="J897" s="200"/>
      <c r="K897" s="200"/>
      <c r="L897" s="200"/>
      <c r="M897" s="200"/>
      <c r="N897" s="200"/>
      <c r="O897" s="200"/>
      <c r="P897" s="200"/>
      <c r="Q897" s="200"/>
    </row>
    <row r="898">
      <c r="A898" s="255"/>
      <c r="B898" s="200"/>
      <c r="C898" s="200"/>
      <c r="D898" s="200"/>
      <c r="E898" s="200"/>
      <c r="F898" s="200"/>
      <c r="G898" s="256"/>
      <c r="H898" s="200"/>
      <c r="I898" s="200"/>
      <c r="J898" s="200"/>
      <c r="K898" s="200"/>
      <c r="L898" s="200"/>
      <c r="M898" s="200"/>
      <c r="N898" s="200"/>
      <c r="O898" s="200"/>
      <c r="P898" s="200"/>
      <c r="Q898" s="200"/>
    </row>
    <row r="899">
      <c r="A899" s="255"/>
      <c r="B899" s="200"/>
      <c r="C899" s="200"/>
      <c r="D899" s="200"/>
      <c r="E899" s="200"/>
      <c r="F899" s="200"/>
      <c r="G899" s="256"/>
      <c r="H899" s="200"/>
      <c r="I899" s="200"/>
      <c r="J899" s="200"/>
      <c r="K899" s="200"/>
      <c r="L899" s="200"/>
      <c r="M899" s="200"/>
      <c r="N899" s="200"/>
      <c r="O899" s="200"/>
      <c r="P899" s="200"/>
      <c r="Q899" s="200"/>
    </row>
    <row r="900">
      <c r="A900" s="255"/>
      <c r="B900" s="200"/>
      <c r="C900" s="200"/>
      <c r="D900" s="200"/>
      <c r="E900" s="200"/>
      <c r="F900" s="200"/>
      <c r="G900" s="256"/>
      <c r="H900" s="200"/>
      <c r="I900" s="200"/>
      <c r="J900" s="200"/>
      <c r="K900" s="200"/>
      <c r="L900" s="200"/>
      <c r="M900" s="200"/>
      <c r="N900" s="200"/>
      <c r="O900" s="200"/>
      <c r="P900" s="200"/>
      <c r="Q900" s="200"/>
    </row>
  </sheetData>
  <drawing r:id="rId1"/>
</worksheet>
</file>