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harrow\Documents\Projects\Tools\"/>
    </mc:Choice>
  </mc:AlternateContent>
  <bookViews>
    <workbookView xWindow="-870" yWindow="825" windowWidth="15600" windowHeight="7365" tabRatio="665" activeTab="1"/>
  </bookViews>
  <sheets>
    <sheet name="READ ME" sheetId="31" r:id="rId1"/>
    <sheet name="New Format" sheetId="35" r:id="rId2"/>
    <sheet name="input data" sheetId="32" r:id="rId3"/>
    <sheet name="output Corrected U5MR" sheetId="22" r:id="rId4"/>
    <sheet name="UNAIDS 2016" sheetId="36" r:id="rId5"/>
    <sheet name="Base values" sheetId="1" r:id="rId6"/>
    <sheet name="HIV Neg U5MR 50" sheetId="2" r:id="rId7"/>
    <sheet name="HIV Pos Neg U5MR 50" sheetId="3" r:id="rId8"/>
    <sheet name="HIV Pos Pos U5MR 50" sheetId="4" r:id="rId9"/>
    <sheet name="Summary U5MR 50" sheetId="5" r:id="rId10"/>
    <sheet name="HIV Neg U5MR 75" sheetId="16" r:id="rId11"/>
    <sheet name="HIV Pos Neg U5MR 75" sheetId="17" r:id="rId12"/>
    <sheet name="HIV Pos Pos U5MR 75" sheetId="15" r:id="rId13"/>
    <sheet name="Summary U5MR 75" sheetId="14" r:id="rId14"/>
    <sheet name="Neg U5MR 100" sheetId="9" r:id="rId15"/>
    <sheet name="Pos-Neg U5MR 100" sheetId="7" r:id="rId16"/>
    <sheet name="Pos-Pos U5MR 100" sheetId="8" r:id="rId17"/>
    <sheet name="Summary U5MR 100" sheetId="6" r:id="rId18"/>
    <sheet name="HIV Neg U5MR 125" sheetId="21" r:id="rId19"/>
    <sheet name="HIV Pos Neg U5MR 125" sheetId="20" r:id="rId20"/>
    <sheet name="HIV Pos Pos U5MR 125" sheetId="19" r:id="rId21"/>
    <sheet name="Summary U5MR 125" sheetId="18" r:id="rId22"/>
    <sheet name="Neg U5MR 150" sheetId="13" r:id="rId23"/>
    <sheet name="Pos-Neg U5MR 150" sheetId="11" r:id="rId24"/>
    <sheet name="Pos-Pos U5MR 150" sheetId="12" r:id="rId25"/>
    <sheet name="Summary U5MR 150" sheetId="10" r:id="rId26"/>
    <sheet name="HIV Neg U5MR 200" sheetId="30" r:id="rId27"/>
    <sheet name="HIV Pos Neg U5MR 200" sheetId="29" r:id="rId28"/>
    <sheet name="HIV Pos Pos U5MR 200" sheetId="28" r:id="rId29"/>
    <sheet name="Summary U5MR 200" sheetId="27" r:id="rId30"/>
    <sheet name="HIV Neg U5MR 250" sheetId="26" r:id="rId31"/>
    <sheet name="HIV Pos Neg U5MR 250" sheetId="25" r:id="rId32"/>
    <sheet name="HIV Pos Pos U5MR 250" sheetId="24" r:id="rId33"/>
    <sheet name="Summary U5MR 250" sheetId="23" r:id="rId34"/>
  </sheets>
  <externalReferences>
    <externalReference r:id="rId35"/>
  </externalReferences>
  <definedNames>
    <definedName name="_xlnm._FilterDatabase" localSheetId="2" hidden="1">#REF!</definedName>
    <definedName name="_xlnm._FilterDatabase" localSheetId="3" hidden="1">'output Corrected U5MR'!$A$31:$O$77</definedName>
    <definedName name="Countries">[1]Lists!$D$3:$D$201</definedName>
    <definedName name="dbind">'UNAIDS 2016'!$A$1:$J$613</definedName>
    <definedName name="Series_Type">[1]Lists!$F$3</definedName>
    <definedName name="Unit">[1]Lists!$H$3</definedName>
  </definedNames>
  <calcPr calcId="152511"/>
</workbook>
</file>

<file path=xl/calcChain.xml><?xml version="1.0" encoding="utf-8"?>
<calcChain xmlns="http://schemas.openxmlformats.org/spreadsheetml/2006/main">
  <c r="P4" i="14" l="1"/>
  <c r="X38" i="35" l="1"/>
  <c r="X39" i="35"/>
  <c r="X40" i="35"/>
  <c r="X41" i="35"/>
  <c r="X42" i="35"/>
  <c r="X43" i="35"/>
  <c r="X44" i="35"/>
  <c r="X45" i="35"/>
  <c r="X46" i="35"/>
  <c r="X47" i="35"/>
  <c r="X48" i="35"/>
  <c r="X49" i="35"/>
  <c r="X50" i="35"/>
  <c r="X51" i="35"/>
  <c r="X52" i="35"/>
  <c r="X53" i="35"/>
  <c r="X54" i="35"/>
  <c r="X55" i="35"/>
  <c r="AL32" i="35"/>
  <c r="AL33" i="35"/>
  <c r="AL34" i="35"/>
  <c r="AL35" i="35"/>
  <c r="AL36" i="35"/>
  <c r="AL37" i="35"/>
  <c r="AL38" i="35"/>
  <c r="AL39" i="35"/>
  <c r="AL40" i="35"/>
  <c r="AL41" i="35"/>
  <c r="AL42" i="35"/>
  <c r="AL43" i="35"/>
  <c r="AL44" i="35"/>
  <c r="AL45" i="35"/>
  <c r="AL46" i="35"/>
  <c r="AL47" i="35"/>
  <c r="AL48" i="35"/>
  <c r="AL49" i="35"/>
  <c r="AL50" i="35"/>
  <c r="AL51" i="35"/>
  <c r="AL52" i="35"/>
  <c r="AL53" i="35"/>
  <c r="AL54" i="35"/>
  <c r="AL55" i="35"/>
  <c r="Z54" i="35"/>
  <c r="AA54" i="35"/>
  <c r="AB54" i="35"/>
  <c r="AC54" i="35"/>
  <c r="AF54" i="35"/>
  <c r="AG54" i="35"/>
  <c r="AH54" i="35"/>
  <c r="AI54" i="35"/>
  <c r="AJ54" i="35"/>
  <c r="AF31" i="35" l="1"/>
  <c r="AG31" i="35"/>
  <c r="AH31" i="35"/>
  <c r="AI31" i="35"/>
  <c r="AJ31" i="35"/>
  <c r="AF32" i="35"/>
  <c r="AG32" i="35"/>
  <c r="AH32" i="35"/>
  <c r="AI32" i="35"/>
  <c r="AJ32" i="35"/>
  <c r="AF33" i="35"/>
  <c r="AG33" i="35"/>
  <c r="AH33" i="35"/>
  <c r="AI33" i="35"/>
  <c r="AJ33" i="35"/>
  <c r="AA31" i="35"/>
  <c r="AB31" i="35"/>
  <c r="AC31" i="35"/>
  <c r="AM37" i="35" l="1"/>
  <c r="AM38" i="35"/>
  <c r="AM39" i="35"/>
  <c r="AM40" i="35"/>
  <c r="AM41" i="35"/>
  <c r="AM42" i="35"/>
  <c r="AM43" i="35"/>
  <c r="AM44" i="35"/>
  <c r="AM45" i="35"/>
  <c r="AM46" i="35"/>
  <c r="AM47" i="35"/>
  <c r="AM48" i="35"/>
  <c r="AM49" i="35"/>
  <c r="AM50" i="35"/>
  <c r="AM51" i="35"/>
  <c r="AM52" i="35"/>
  <c r="AM53" i="35"/>
  <c r="AF35" i="35"/>
  <c r="AG35" i="35"/>
  <c r="AH35" i="35"/>
  <c r="AI35" i="35"/>
  <c r="AJ35" i="35"/>
  <c r="AF36" i="35"/>
  <c r="AG36" i="35"/>
  <c r="AH36" i="35"/>
  <c r="AI36" i="35"/>
  <c r="AJ36" i="35"/>
  <c r="AF37" i="35"/>
  <c r="AG37" i="35"/>
  <c r="AH37" i="35"/>
  <c r="AI37" i="35"/>
  <c r="AJ37" i="35"/>
  <c r="AF38" i="35"/>
  <c r="AG38" i="35"/>
  <c r="AH38" i="35"/>
  <c r="AI38" i="35"/>
  <c r="AJ38" i="35"/>
  <c r="AF39" i="35"/>
  <c r="AG39" i="35"/>
  <c r="AH39" i="35"/>
  <c r="AI39" i="35"/>
  <c r="AJ39" i="35"/>
  <c r="AF40" i="35"/>
  <c r="AG40" i="35"/>
  <c r="AH40" i="35"/>
  <c r="AI40" i="35"/>
  <c r="AJ40" i="35"/>
  <c r="AF41" i="35"/>
  <c r="AG41" i="35"/>
  <c r="AH41" i="35"/>
  <c r="AI41" i="35"/>
  <c r="AJ41" i="35"/>
  <c r="AF42" i="35"/>
  <c r="AG42" i="35"/>
  <c r="AH42" i="35"/>
  <c r="AI42" i="35"/>
  <c r="AJ42" i="35"/>
  <c r="AF43" i="35"/>
  <c r="AG43" i="35"/>
  <c r="AH43" i="35"/>
  <c r="AI43" i="35"/>
  <c r="AJ43" i="35"/>
  <c r="AF44" i="35"/>
  <c r="AG44" i="35"/>
  <c r="AH44" i="35"/>
  <c r="AI44" i="35"/>
  <c r="AJ44" i="35"/>
  <c r="AF45" i="35"/>
  <c r="AG45" i="35"/>
  <c r="AH45" i="35"/>
  <c r="AI45" i="35"/>
  <c r="AJ45" i="35"/>
  <c r="AF46" i="35"/>
  <c r="AG46" i="35"/>
  <c r="AH46" i="35"/>
  <c r="AI46" i="35"/>
  <c r="AJ46" i="35"/>
  <c r="AF47" i="35"/>
  <c r="AG47" i="35"/>
  <c r="AH47" i="35"/>
  <c r="AI47" i="35"/>
  <c r="AJ47" i="35"/>
  <c r="AF48" i="35"/>
  <c r="AG48" i="35"/>
  <c r="AH48" i="35"/>
  <c r="AI48" i="35"/>
  <c r="AJ48" i="35"/>
  <c r="AF49" i="35"/>
  <c r="AG49" i="35"/>
  <c r="AH49" i="35"/>
  <c r="AI49" i="35"/>
  <c r="AJ49" i="35"/>
  <c r="AF50" i="35"/>
  <c r="AG50" i="35"/>
  <c r="AH50" i="35"/>
  <c r="AI50" i="35"/>
  <c r="AJ50" i="35"/>
  <c r="AF51" i="35"/>
  <c r="AG51" i="35"/>
  <c r="AH51" i="35"/>
  <c r="AI51" i="35"/>
  <c r="AJ51" i="35"/>
  <c r="AF52" i="35"/>
  <c r="AG52" i="35"/>
  <c r="AH52" i="35"/>
  <c r="AI52" i="35"/>
  <c r="AJ52" i="35"/>
  <c r="AF53" i="35"/>
  <c r="AG53" i="35"/>
  <c r="AH53" i="35"/>
  <c r="AI53" i="35"/>
  <c r="AJ53" i="35"/>
  <c r="AJ34" i="35"/>
  <c r="AI34" i="35"/>
  <c r="AL31" i="35"/>
  <c r="A613" i="36" l="1"/>
  <c r="A612" i="36"/>
  <c r="A611" i="36"/>
  <c r="A610" i="36"/>
  <c r="A609" i="36"/>
  <c r="A608" i="36"/>
  <c r="A607" i="36"/>
  <c r="A606" i="36"/>
  <c r="A605" i="36"/>
  <c r="A604" i="36"/>
  <c r="A603" i="36"/>
  <c r="A602" i="36"/>
  <c r="A601" i="36"/>
  <c r="A600" i="36"/>
  <c r="A599" i="36"/>
  <c r="A598" i="36"/>
  <c r="A597" i="36"/>
  <c r="A596" i="36"/>
  <c r="A595" i="36"/>
  <c r="A594" i="36"/>
  <c r="A593" i="36"/>
  <c r="A592" i="36"/>
  <c r="A591" i="36"/>
  <c r="A590" i="36"/>
  <c r="A589" i="36"/>
  <c r="A588" i="36"/>
  <c r="A587" i="36"/>
  <c r="A586" i="36"/>
  <c r="A585" i="36"/>
  <c r="A584" i="36"/>
  <c r="A583" i="36"/>
  <c r="A582" i="36"/>
  <c r="A581" i="36"/>
  <c r="A580" i="36"/>
  <c r="A579" i="36"/>
  <c r="A578" i="36"/>
  <c r="A577" i="36"/>
  <c r="A576" i="36"/>
  <c r="A575" i="36"/>
  <c r="A574" i="36"/>
  <c r="A573" i="36"/>
  <c r="A572" i="36"/>
  <c r="A571" i="36"/>
  <c r="A570" i="36"/>
  <c r="A569" i="36"/>
  <c r="A568" i="36"/>
  <c r="A567" i="36"/>
  <c r="A566" i="36"/>
  <c r="A565" i="36"/>
  <c r="A564" i="36"/>
  <c r="A563" i="36"/>
  <c r="A562" i="36"/>
  <c r="A561" i="36"/>
  <c r="A560" i="36"/>
  <c r="A559" i="36"/>
  <c r="A558" i="36"/>
  <c r="A557" i="36"/>
  <c r="A556" i="36"/>
  <c r="A555" i="36"/>
  <c r="A554" i="36"/>
  <c r="A553" i="36"/>
  <c r="A552" i="36"/>
  <c r="A551" i="36"/>
  <c r="A550" i="36"/>
  <c r="A549" i="36"/>
  <c r="A548" i="36"/>
  <c r="A547" i="36"/>
  <c r="A546" i="36"/>
  <c r="A545" i="36"/>
  <c r="A544" i="36"/>
  <c r="A543" i="36"/>
  <c r="A542" i="36"/>
  <c r="A541" i="36"/>
  <c r="A540" i="36"/>
  <c r="A539" i="36"/>
  <c r="A538" i="36"/>
  <c r="A537" i="36"/>
  <c r="A536" i="36"/>
  <c r="A535" i="36"/>
  <c r="A534" i="36"/>
  <c r="A533" i="36"/>
  <c r="A532" i="36"/>
  <c r="A531" i="36"/>
  <c r="A530" i="36"/>
  <c r="A529" i="36"/>
  <c r="A528" i="36"/>
  <c r="A527" i="36"/>
  <c r="A526" i="36"/>
  <c r="A525" i="36"/>
  <c r="A524" i="36"/>
  <c r="A523" i="36"/>
  <c r="A522" i="36"/>
  <c r="A521" i="36"/>
  <c r="A520" i="36"/>
  <c r="A519" i="36"/>
  <c r="A518" i="36"/>
  <c r="A517" i="36"/>
  <c r="A516" i="36"/>
  <c r="A515" i="36"/>
  <c r="A514" i="36"/>
  <c r="A513" i="36"/>
  <c r="A512" i="36"/>
  <c r="A511" i="36"/>
  <c r="A510" i="36"/>
  <c r="A509" i="36"/>
  <c r="A508" i="36"/>
  <c r="A507" i="36"/>
  <c r="A506" i="36"/>
  <c r="A505" i="36"/>
  <c r="A504" i="36"/>
  <c r="A503" i="36"/>
  <c r="A502" i="36"/>
  <c r="A501" i="36"/>
  <c r="A500" i="36"/>
  <c r="A499" i="36"/>
  <c r="A498" i="36"/>
  <c r="A497" i="36"/>
  <c r="A496" i="36"/>
  <c r="A495" i="36"/>
  <c r="A494" i="36"/>
  <c r="A493" i="36"/>
  <c r="A492" i="36"/>
  <c r="A491" i="36"/>
  <c r="A490" i="36"/>
  <c r="A489" i="36"/>
  <c r="A488" i="36"/>
  <c r="A487" i="36"/>
  <c r="A486" i="36"/>
  <c r="A485" i="36"/>
  <c r="A484" i="36"/>
  <c r="A483" i="36"/>
  <c r="A482" i="36"/>
  <c r="A481" i="36"/>
  <c r="A480" i="36"/>
  <c r="A479" i="36"/>
  <c r="A478" i="36"/>
  <c r="A477" i="36"/>
  <c r="A476" i="36"/>
  <c r="A475" i="36"/>
  <c r="A474" i="36"/>
  <c r="A473" i="36"/>
  <c r="A472" i="36"/>
  <c r="A471" i="36"/>
  <c r="A470" i="36"/>
  <c r="A469" i="36"/>
  <c r="A468" i="36"/>
  <c r="A467" i="36"/>
  <c r="A466" i="36"/>
  <c r="A465" i="36"/>
  <c r="A464" i="36"/>
  <c r="A463" i="36"/>
  <c r="A462" i="36"/>
  <c r="A461" i="36"/>
  <c r="A460" i="36"/>
  <c r="A459" i="36"/>
  <c r="A458" i="36"/>
  <c r="A457" i="36"/>
  <c r="A456" i="36"/>
  <c r="A455" i="36"/>
  <c r="A454" i="36"/>
  <c r="A453" i="36"/>
  <c r="A452" i="36"/>
  <c r="A451" i="36"/>
  <c r="A450" i="36"/>
  <c r="A449" i="36"/>
  <c r="A448" i="36"/>
  <c r="A447" i="36"/>
  <c r="A446" i="36"/>
  <c r="A445" i="36"/>
  <c r="A444" i="36"/>
  <c r="A443" i="36"/>
  <c r="A442" i="36"/>
  <c r="A441" i="36"/>
  <c r="A440" i="36"/>
  <c r="A439" i="36"/>
  <c r="A438" i="36"/>
  <c r="A437" i="36"/>
  <c r="A436" i="36"/>
  <c r="A435" i="36"/>
  <c r="A434" i="36"/>
  <c r="A433" i="36"/>
  <c r="A432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14" i="36"/>
  <c r="A413" i="36"/>
  <c r="A412" i="36"/>
  <c r="A411" i="36"/>
  <c r="A410" i="36"/>
  <c r="A409" i="36"/>
  <c r="A408" i="36"/>
  <c r="A407" i="36"/>
  <c r="A406" i="36"/>
  <c r="A405" i="36"/>
  <c r="A404" i="36"/>
  <c r="A403" i="36"/>
  <c r="A402" i="36"/>
  <c r="A401" i="36"/>
  <c r="A400" i="36"/>
  <c r="A399" i="36"/>
  <c r="A398" i="36"/>
  <c r="A397" i="36"/>
  <c r="A396" i="36"/>
  <c r="A395" i="36"/>
  <c r="A394" i="36"/>
  <c r="A393" i="36"/>
  <c r="A392" i="36"/>
  <c r="A391" i="36"/>
  <c r="A390" i="36"/>
  <c r="A389" i="36"/>
  <c r="A388" i="36"/>
  <c r="A387" i="36"/>
  <c r="A386" i="36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E43" i="35" l="1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Z43" i="35"/>
  <c r="AA43" i="35"/>
  <c r="AB43" i="35"/>
  <c r="AC43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Z44" i="35"/>
  <c r="AA44" i="35"/>
  <c r="AB44" i="35"/>
  <c r="AC44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Z45" i="35"/>
  <c r="AA45" i="35"/>
  <c r="AB45" i="35"/>
  <c r="AC45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Z46" i="35"/>
  <c r="AA46" i="35"/>
  <c r="AB46" i="35"/>
  <c r="AC46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Z47" i="35"/>
  <c r="AA47" i="35"/>
  <c r="AB47" i="35"/>
  <c r="AC47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Z48" i="35"/>
  <c r="AA48" i="35"/>
  <c r="AB48" i="35"/>
  <c r="AC48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Z49" i="35"/>
  <c r="AA49" i="35"/>
  <c r="AB49" i="35"/>
  <c r="AC49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Z50" i="35"/>
  <c r="AA50" i="35"/>
  <c r="AB50" i="35"/>
  <c r="AC50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Z51" i="35"/>
  <c r="AA51" i="35"/>
  <c r="AB51" i="35"/>
  <c r="AC51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Z52" i="35"/>
  <c r="AA52" i="35"/>
  <c r="AB52" i="35"/>
  <c r="AC52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Z53" i="35"/>
  <c r="AA53" i="35"/>
  <c r="AB53" i="35"/>
  <c r="AC53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T36" i="35"/>
  <c r="X36" i="35"/>
  <c r="Z36" i="35"/>
  <c r="AA36" i="35"/>
  <c r="AB36" i="35"/>
  <c r="AC36" i="35"/>
  <c r="T37" i="35"/>
  <c r="X37" i="35"/>
  <c r="Z37" i="35"/>
  <c r="AA37" i="35"/>
  <c r="AB37" i="35"/>
  <c r="AC37" i="35"/>
  <c r="T38" i="35"/>
  <c r="Z38" i="35"/>
  <c r="AA38" i="35"/>
  <c r="AB38" i="35"/>
  <c r="AC38" i="35"/>
  <c r="T39" i="35"/>
  <c r="Z39" i="35"/>
  <c r="AA39" i="35"/>
  <c r="AB39" i="35"/>
  <c r="AC39" i="35"/>
  <c r="T40" i="35"/>
  <c r="Z40" i="35"/>
  <c r="AA40" i="35"/>
  <c r="AB40" i="35"/>
  <c r="AC40" i="35"/>
  <c r="T41" i="35"/>
  <c r="Z41" i="35"/>
  <c r="AA41" i="35"/>
  <c r="AB41" i="35"/>
  <c r="AC41" i="35"/>
  <c r="T42" i="35"/>
  <c r="Z42" i="35"/>
  <c r="AA42" i="35"/>
  <c r="AB42" i="35"/>
  <c r="AC42" i="35"/>
  <c r="A31" i="35" l="1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X31" i="35"/>
  <c r="Z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X32" i="35"/>
  <c r="Z32" i="35"/>
  <c r="AA32" i="35"/>
  <c r="AB32" i="35"/>
  <c r="AC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X33" i="35"/>
  <c r="Z33" i="35"/>
  <c r="AA33" i="35"/>
  <c r="AB33" i="35"/>
  <c r="AC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X34" i="35"/>
  <c r="Z34" i="35"/>
  <c r="AA34" i="35"/>
  <c r="AB34" i="35"/>
  <c r="AC34" i="35"/>
  <c r="AF34" i="35"/>
  <c r="AG34" i="35"/>
  <c r="AH34" i="35"/>
  <c r="A4" i="1" l="1"/>
  <c r="B7" i="32"/>
  <c r="D35" i="35" l="1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A55" i="35" l="1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A37" i="35"/>
  <c r="A36" i="35"/>
  <c r="A35" i="35"/>
  <c r="B1" i="35"/>
  <c r="O2" i="22" s="1"/>
  <c r="A20" i="32" l="1"/>
  <c r="B20" i="32"/>
  <c r="C20" i="32"/>
  <c r="D20" i="32"/>
  <c r="A21" i="32"/>
  <c r="B21" i="32"/>
  <c r="C21" i="32"/>
  <c r="D21" i="32"/>
  <c r="A22" i="32"/>
  <c r="B22" i="32"/>
  <c r="C22" i="32"/>
  <c r="D22" i="32"/>
  <c r="A23" i="32"/>
  <c r="B23" i="32"/>
  <c r="C23" i="32"/>
  <c r="D23" i="32"/>
  <c r="A24" i="32"/>
  <c r="B24" i="32"/>
  <c r="C24" i="32"/>
  <c r="D24" i="32"/>
  <c r="A25" i="32"/>
  <c r="B25" i="32"/>
  <c r="C25" i="32"/>
  <c r="D25" i="32"/>
  <c r="A26" i="32"/>
  <c r="B26" i="32"/>
  <c r="C26" i="32"/>
  <c r="D26" i="32"/>
  <c r="A27" i="32"/>
  <c r="B27" i="32"/>
  <c r="C27" i="32"/>
  <c r="D27" i="32"/>
  <c r="A28" i="32"/>
  <c r="B28" i="32"/>
  <c r="C28" i="32"/>
  <c r="D28" i="32"/>
  <c r="A29" i="32"/>
  <c r="B29" i="32"/>
  <c r="C29" i="32"/>
  <c r="D29" i="32"/>
  <c r="A30" i="32"/>
  <c r="B30" i="32"/>
  <c r="C30" i="32"/>
  <c r="D30" i="32"/>
  <c r="A31" i="32"/>
  <c r="B31" i="32"/>
  <c r="C31" i="32"/>
  <c r="D31" i="32"/>
  <c r="A32" i="32"/>
  <c r="B32" i="32"/>
  <c r="C32" i="32"/>
  <c r="D32" i="32"/>
  <c r="A33" i="32"/>
  <c r="B33" i="32"/>
  <c r="C33" i="32"/>
  <c r="D33" i="32"/>
  <c r="A34" i="32"/>
  <c r="B34" i="32"/>
  <c r="C34" i="32"/>
  <c r="D34" i="32"/>
  <c r="A35" i="32"/>
  <c r="B35" i="32"/>
  <c r="C35" i="32"/>
  <c r="D35" i="32"/>
  <c r="A36" i="32"/>
  <c r="B36" i="32"/>
  <c r="C36" i="32"/>
  <c r="D36" i="32"/>
  <c r="A37" i="32"/>
  <c r="B37" i="32"/>
  <c r="C37" i="32"/>
  <c r="D37" i="32"/>
  <c r="A38" i="32"/>
  <c r="B38" i="32"/>
  <c r="C38" i="32"/>
  <c r="D38" i="32"/>
  <c r="A39" i="32"/>
  <c r="B39" i="32"/>
  <c r="C39" i="32"/>
  <c r="D39" i="32"/>
  <c r="C55" i="35"/>
  <c r="B55" i="35"/>
  <c r="C54" i="35"/>
  <c r="B54" i="35"/>
  <c r="C53" i="35"/>
  <c r="B53" i="35"/>
  <c r="C52" i="35"/>
  <c r="B52" i="35"/>
  <c r="C51" i="35"/>
  <c r="B51" i="35"/>
  <c r="C50" i="35"/>
  <c r="B50" i="35"/>
  <c r="C49" i="35"/>
  <c r="B49" i="35"/>
  <c r="C48" i="35"/>
  <c r="B48" i="35"/>
  <c r="C47" i="35"/>
  <c r="B47" i="35"/>
  <c r="C46" i="35"/>
  <c r="B46" i="35"/>
  <c r="C45" i="35"/>
  <c r="B45" i="35"/>
  <c r="C44" i="35"/>
  <c r="B44" i="35"/>
  <c r="C43" i="35"/>
  <c r="B43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C42" i="35"/>
  <c r="B42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C41" i="35"/>
  <c r="B41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C40" i="35"/>
  <c r="B40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C39" i="35"/>
  <c r="B39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C38" i="35"/>
  <c r="B38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C37" i="35"/>
  <c r="B37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C36" i="35"/>
  <c r="B36" i="35"/>
  <c r="AC35" i="35"/>
  <c r="AB35" i="35"/>
  <c r="AA35" i="35"/>
  <c r="Z35" i="35"/>
  <c r="X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C35" i="35"/>
  <c r="B35" i="35"/>
  <c r="D19" i="32"/>
  <c r="C19" i="32"/>
  <c r="B19" i="32"/>
  <c r="A19" i="32"/>
  <c r="D18" i="32"/>
  <c r="C18" i="32"/>
  <c r="B18" i="32"/>
  <c r="A18" i="32"/>
  <c r="D17" i="32"/>
  <c r="C17" i="32"/>
  <c r="B17" i="32"/>
  <c r="A17" i="32"/>
  <c r="D16" i="32"/>
  <c r="C16" i="32"/>
  <c r="B16" i="32"/>
  <c r="A16" i="32"/>
  <c r="D15" i="32"/>
  <c r="C15" i="32"/>
  <c r="A15" i="32"/>
  <c r="B15" i="32"/>
  <c r="B5" i="32"/>
  <c r="B4" i="32"/>
  <c r="A1" i="32"/>
  <c r="N1" i="36" s="1"/>
  <c r="A2" i="22" l="1"/>
  <c r="B4" i="1"/>
  <c r="C4" i="1"/>
  <c r="E4" i="1"/>
  <c r="D4" i="1"/>
  <c r="O32" i="32"/>
  <c r="O27" i="32" l="1"/>
  <c r="O3" i="32" l="1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8" i="32"/>
  <c r="O29" i="32"/>
  <c r="O30" i="32"/>
  <c r="O31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D26" i="22" l="1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H2" i="22" l="1"/>
  <c r="L7" i="22"/>
  <c r="E7" i="22"/>
  <c r="B2" i="22" l="1"/>
  <c r="A5" i="1"/>
  <c r="L26" i="22"/>
  <c r="AB28" i="10" s="1"/>
  <c r="L25" i="22"/>
  <c r="AB27" i="18" s="1"/>
  <c r="L24" i="22"/>
  <c r="AB26" i="5" s="1"/>
  <c r="L23" i="22"/>
  <c r="AB25" i="14" s="1"/>
  <c r="L22" i="22"/>
  <c r="AB24" i="27" s="1"/>
  <c r="L21" i="22"/>
  <c r="AB23" i="14" s="1"/>
  <c r="L20" i="22"/>
  <c r="AB22" i="27" s="1"/>
  <c r="L19" i="22"/>
  <c r="AB21" i="5" s="1"/>
  <c r="L18" i="22"/>
  <c r="AB20" i="6" s="1"/>
  <c r="L17" i="22"/>
  <c r="AB19" i="18" s="1"/>
  <c r="L16" i="22"/>
  <c r="AB18" i="14" s="1"/>
  <c r="L15" i="22"/>
  <c r="AB17" i="18" s="1"/>
  <c r="L14" i="22"/>
  <c r="AB16" i="14" s="1"/>
  <c r="L13" i="22"/>
  <c r="AB15" i="18" s="1"/>
  <c r="L12" i="22"/>
  <c r="AB14" i="18" s="1"/>
  <c r="L11" i="22"/>
  <c r="AB13" i="23" s="1"/>
  <c r="L10" i="22"/>
  <c r="AB12" i="23" s="1"/>
  <c r="L9" i="22"/>
  <c r="AB11" i="6" s="1"/>
  <c r="L8" i="22"/>
  <c r="AB10" i="10" s="1"/>
  <c r="L6" i="22"/>
  <c r="AB8" i="27" s="1"/>
  <c r="L5" i="22"/>
  <c r="AB7" i="18" s="1"/>
  <c r="L4" i="22"/>
  <c r="AB6" i="14" s="1"/>
  <c r="L3" i="22"/>
  <c r="AB5" i="23" s="1"/>
  <c r="Z4" i="23"/>
  <c r="AC4" i="23" s="1"/>
  <c r="AD5" i="23" s="1"/>
  <c r="Z6" i="27"/>
  <c r="AC6" i="27" s="1"/>
  <c r="Z7" i="23"/>
  <c r="AC7" i="23" s="1"/>
  <c r="Z8" i="10"/>
  <c r="AC8" i="10" s="1"/>
  <c r="Z9" i="23"/>
  <c r="AC9" i="23" s="1"/>
  <c r="Z10" i="27"/>
  <c r="AC10" i="27" s="1"/>
  <c r="Z11" i="6"/>
  <c r="AC11" i="6" s="1"/>
  <c r="Z12" i="27"/>
  <c r="AC12" i="27" s="1"/>
  <c r="Z13" i="6"/>
  <c r="AC13" i="6" s="1"/>
  <c r="Z14" i="10"/>
  <c r="AC14" i="10" s="1"/>
  <c r="Z15" i="6"/>
  <c r="AC15" i="6" s="1"/>
  <c r="Z16" i="18"/>
  <c r="AC16" i="18" s="1"/>
  <c r="Z17" i="14"/>
  <c r="AC17" i="14" s="1"/>
  <c r="Z19" i="6"/>
  <c r="AC19" i="6" s="1"/>
  <c r="Z20" i="5"/>
  <c r="AC20" i="5" s="1"/>
  <c r="Z21" i="18"/>
  <c r="AC21" i="18" s="1"/>
  <c r="Z22" i="10"/>
  <c r="AC22" i="10" s="1"/>
  <c r="Z23" i="14"/>
  <c r="AC23" i="14" s="1"/>
  <c r="Z24" i="6"/>
  <c r="AC24" i="6" s="1"/>
  <c r="Z25" i="18"/>
  <c r="AC25" i="18" s="1"/>
  <c r="Z26" i="14"/>
  <c r="AC26" i="14" s="1"/>
  <c r="Z27" i="14"/>
  <c r="AC27" i="14" s="1"/>
  <c r="Z9" i="27"/>
  <c r="AC9" i="27" s="1"/>
  <c r="Z9" i="10"/>
  <c r="AC9" i="10" s="1"/>
  <c r="Z9" i="18"/>
  <c r="AC9" i="18" s="1"/>
  <c r="Z9" i="6"/>
  <c r="AC9" i="6" s="1"/>
  <c r="Z9" i="14"/>
  <c r="AC9" i="14" s="1"/>
  <c r="Z9" i="5"/>
  <c r="AC9" i="5" s="1"/>
  <c r="J19" i="11"/>
  <c r="J17" i="11"/>
  <c r="G13" i="23"/>
  <c r="J11" i="15"/>
  <c r="J9" i="20"/>
  <c r="J9" i="18"/>
  <c r="J9" i="3"/>
  <c r="J7" i="6"/>
  <c r="J6" i="29"/>
  <c r="J6" i="27"/>
  <c r="J6" i="20"/>
  <c r="J6" i="17"/>
  <c r="J6" i="14"/>
  <c r="G5" i="23"/>
  <c r="J5" i="5"/>
  <c r="L2" i="22"/>
  <c r="AB4" i="6" s="1"/>
  <c r="J4" i="11"/>
  <c r="J4" i="12"/>
  <c r="J4" i="10"/>
  <c r="J4" i="14"/>
  <c r="Z29" i="23"/>
  <c r="AC29" i="23" s="1"/>
  <c r="AB29" i="23"/>
  <c r="AA29" i="23"/>
  <c r="E26" i="22"/>
  <c r="AA28" i="6" s="1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6" i="22"/>
  <c r="AA8" i="10" s="1"/>
  <c r="E5" i="22"/>
  <c r="AA7" i="27" s="1"/>
  <c r="E4" i="22"/>
  <c r="AA6" i="10" s="1"/>
  <c r="E3" i="22"/>
  <c r="AA5" i="18" s="1"/>
  <c r="E2" i="22"/>
  <c r="A4" i="23"/>
  <c r="S4" i="23" s="1"/>
  <c r="W4" i="23"/>
  <c r="U4" i="23"/>
  <c r="Q4" i="23"/>
  <c r="O4" i="23"/>
  <c r="Z29" i="27"/>
  <c r="AC29" i="27" s="1"/>
  <c r="AB29" i="27"/>
  <c r="AA29" i="27"/>
  <c r="A4" i="27"/>
  <c r="U4" i="27" s="1"/>
  <c r="W4" i="27"/>
  <c r="O4" i="27"/>
  <c r="Z29" i="10"/>
  <c r="AC29" i="10" s="1"/>
  <c r="AB29" i="10"/>
  <c r="AA29" i="10"/>
  <c r="AB9" i="10"/>
  <c r="A5" i="10"/>
  <c r="A4" i="10"/>
  <c r="S4" i="10" s="1"/>
  <c r="O4" i="10"/>
  <c r="Z29" i="18"/>
  <c r="AC29" i="18" s="1"/>
  <c r="AB29" i="18"/>
  <c r="AA29" i="18"/>
  <c r="AB9" i="18"/>
  <c r="A4" i="18"/>
  <c r="S4" i="18" s="1"/>
  <c r="Z29" i="6"/>
  <c r="AC29" i="6" s="1"/>
  <c r="AB29" i="6"/>
  <c r="AA29" i="6"/>
  <c r="AB9" i="6"/>
  <c r="A5" i="6"/>
  <c r="A4" i="6"/>
  <c r="S4" i="6" s="1"/>
  <c r="O4" i="6"/>
  <c r="Z29" i="14"/>
  <c r="AC29" i="14" s="1"/>
  <c r="AB29" i="14"/>
  <c r="AA29" i="14"/>
  <c r="AB9" i="14"/>
  <c r="AA9" i="14"/>
  <c r="A5" i="14"/>
  <c r="A4" i="14"/>
  <c r="S4" i="14"/>
  <c r="O4" i="14"/>
  <c r="G32" i="5"/>
  <c r="J32" i="5"/>
  <c r="G32" i="6"/>
  <c r="J32" i="6"/>
  <c r="G32" i="10"/>
  <c r="J32" i="10"/>
  <c r="G32" i="23"/>
  <c r="J32" i="23"/>
  <c r="C86" i="1"/>
  <c r="G33" i="14" s="1"/>
  <c r="C85" i="1"/>
  <c r="C84" i="1"/>
  <c r="G31" i="14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5" i="28"/>
  <c r="A6" i="28" s="1"/>
  <c r="A7" i="28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5" i="12"/>
  <c r="A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5" i="20"/>
  <c r="A6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5" i="8"/>
  <c r="A6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5" i="9"/>
  <c r="A6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G29" i="5"/>
  <c r="A5" i="2"/>
  <c r="A5" i="18" s="1"/>
  <c r="A6" i="2"/>
  <c r="A6" i="5" s="1"/>
  <c r="Z29" i="5"/>
  <c r="AC29" i="5" s="1"/>
  <c r="AB29" i="5"/>
  <c r="AA29" i="5"/>
  <c r="C83" i="1"/>
  <c r="C82" i="1"/>
  <c r="J29" i="23" s="1"/>
  <c r="C81" i="1"/>
  <c r="C80" i="1"/>
  <c r="C79" i="1"/>
  <c r="C78" i="1"/>
  <c r="C77" i="1"/>
  <c r="C76" i="1"/>
  <c r="G23" i="18" s="1"/>
  <c r="C75" i="1"/>
  <c r="C74" i="1"/>
  <c r="C73" i="1"/>
  <c r="C72" i="1"/>
  <c r="G19" i="5" s="1"/>
  <c r="C71" i="1"/>
  <c r="C70" i="1"/>
  <c r="C69" i="1"/>
  <c r="C68" i="1"/>
  <c r="G15" i="18" s="1"/>
  <c r="C67" i="1"/>
  <c r="C66" i="1"/>
  <c r="G13" i="18" s="1"/>
  <c r="C65" i="1"/>
  <c r="C64" i="1"/>
  <c r="G11" i="5" s="1"/>
  <c r="C63" i="1"/>
  <c r="C62" i="1"/>
  <c r="J9" i="4" s="1"/>
  <c r="C61" i="1"/>
  <c r="G8" i="5" s="1"/>
  <c r="C60" i="1"/>
  <c r="J7" i="23" s="1"/>
  <c r="F59" i="1"/>
  <c r="C59" i="1"/>
  <c r="G6" i="23" s="1"/>
  <c r="F58" i="1"/>
  <c r="C58" i="1"/>
  <c r="J5" i="12" s="1"/>
  <c r="F57" i="1"/>
  <c r="C57" i="1"/>
  <c r="J4" i="28" s="1"/>
  <c r="F56" i="1"/>
  <c r="F55" i="1"/>
  <c r="F54" i="1"/>
  <c r="X47" i="1"/>
  <c r="U47" i="1"/>
  <c r="V45" i="1" s="1"/>
  <c r="H31" i="29" s="1"/>
  <c r="R47" i="1"/>
  <c r="S45" i="1" s="1"/>
  <c r="O47" i="1"/>
  <c r="P45" i="1" s="1"/>
  <c r="H31" i="17" s="1"/>
  <c r="I47" i="1"/>
  <c r="F47" i="1"/>
  <c r="G40" i="1" s="1"/>
  <c r="C47" i="1"/>
  <c r="D44" i="1" s="1"/>
  <c r="Y45" i="1"/>
  <c r="J45" i="1"/>
  <c r="D45" i="1"/>
  <c r="Y44" i="1"/>
  <c r="H33" i="25" s="1"/>
  <c r="V44" i="1"/>
  <c r="S44" i="1"/>
  <c r="P44" i="1"/>
  <c r="G32" i="16" s="1"/>
  <c r="J44" i="1"/>
  <c r="G33" i="2" s="1"/>
  <c r="Y43" i="1"/>
  <c r="V43" i="1"/>
  <c r="G33" i="29" s="1"/>
  <c r="S43" i="1"/>
  <c r="F33" i="20" s="1"/>
  <c r="P43" i="1"/>
  <c r="J43" i="1"/>
  <c r="G31" i="2" s="1"/>
  <c r="D43" i="1"/>
  <c r="Y42" i="1"/>
  <c r="F32" i="25" s="1"/>
  <c r="V42" i="1"/>
  <c r="S42" i="1"/>
  <c r="P42" i="1"/>
  <c r="J42" i="1"/>
  <c r="Y41" i="1"/>
  <c r="V41" i="1"/>
  <c r="S41" i="1"/>
  <c r="P41" i="1"/>
  <c r="J41" i="1"/>
  <c r="D41" i="1"/>
  <c r="Y40" i="1"/>
  <c r="J40" i="1"/>
  <c r="D33" i="3" s="1"/>
  <c r="D40" i="1"/>
  <c r="D33" i="11" s="1"/>
  <c r="AB9" i="5"/>
  <c r="AA9" i="5"/>
  <c r="A5" i="5"/>
  <c r="A4" i="5"/>
  <c r="U4" i="5"/>
  <c r="S4" i="5"/>
  <c r="O4" i="5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2" i="27"/>
  <c r="A2" i="23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5" i="16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" i="18"/>
  <c r="A2" i="14"/>
  <c r="A2" i="10"/>
  <c r="A2" i="6"/>
  <c r="A2" i="5"/>
  <c r="B5" i="1" l="1"/>
  <c r="C5" i="1"/>
  <c r="D5" i="1"/>
  <c r="E5" i="1"/>
  <c r="U6" i="5"/>
  <c r="O6" i="5"/>
  <c r="S6" i="5"/>
  <c r="H31" i="11"/>
  <c r="H32" i="11"/>
  <c r="H31" i="20"/>
  <c r="H29" i="20"/>
  <c r="E32" i="11"/>
  <c r="H32" i="25"/>
  <c r="G33" i="27"/>
  <c r="J33" i="18"/>
  <c r="G32" i="21"/>
  <c r="G31" i="26"/>
  <c r="G33" i="25"/>
  <c r="E32" i="3"/>
  <c r="E32" i="25"/>
  <c r="H30" i="11"/>
  <c r="G30" i="16"/>
  <c r="G33" i="26"/>
  <c r="F31" i="20"/>
  <c r="J5" i="18"/>
  <c r="J7" i="7"/>
  <c r="J11" i="10"/>
  <c r="S40" i="1"/>
  <c r="D33" i="21" s="1"/>
  <c r="D42" i="1"/>
  <c r="F33" i="13" s="1"/>
  <c r="F32" i="21"/>
  <c r="H32" i="20"/>
  <c r="H30" i="3"/>
  <c r="F31" i="4"/>
  <c r="H33" i="4"/>
  <c r="G30" i="30"/>
  <c r="G31" i="3"/>
  <c r="G32" i="20"/>
  <c r="G30" i="29"/>
  <c r="O4" i="18"/>
  <c r="Q4" i="27"/>
  <c r="J5" i="20"/>
  <c r="J11" i="11"/>
  <c r="D33" i="25"/>
  <c r="E33" i="20"/>
  <c r="G42" i="1"/>
  <c r="F32" i="9" s="1"/>
  <c r="F31" i="29"/>
  <c r="G33" i="17"/>
  <c r="H33" i="29"/>
  <c r="J31" i="27"/>
  <c r="G31" i="18"/>
  <c r="J31" i="14"/>
  <c r="G30" i="21"/>
  <c r="G32" i="30"/>
  <c r="G30" i="17"/>
  <c r="H33" i="20"/>
  <c r="S4" i="27"/>
  <c r="G4" i="18"/>
  <c r="J6" i="18"/>
  <c r="J6" i="25"/>
  <c r="G13" i="6"/>
  <c r="AB28" i="6"/>
  <c r="AB28" i="27"/>
  <c r="AB28" i="23"/>
  <c r="AB28" i="5"/>
  <c r="AB27" i="5"/>
  <c r="AB28" i="14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AA11" i="5"/>
  <c r="AA13" i="5"/>
  <c r="AA15" i="18"/>
  <c r="AA17" i="5"/>
  <c r="AA19" i="5"/>
  <c r="AA23" i="14"/>
  <c r="AA25" i="14"/>
  <c r="AA27" i="27"/>
  <c r="AA10" i="23"/>
  <c r="AA12" i="5"/>
  <c r="AA14" i="5"/>
  <c r="AA16" i="5"/>
  <c r="AA18" i="5"/>
  <c r="AA20" i="5"/>
  <c r="AA26" i="14"/>
  <c r="AA28" i="27"/>
  <c r="H3" i="22"/>
  <c r="H4" i="22" s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O3" i="22"/>
  <c r="O4" i="22" s="1"/>
  <c r="O5" i="22" s="1"/>
  <c r="O6" i="22" s="1"/>
  <c r="O7" i="22" s="1"/>
  <c r="O8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B24" i="6"/>
  <c r="AB20" i="14"/>
  <c r="Z25" i="14"/>
  <c r="AC25" i="14" s="1"/>
  <c r="Z26" i="10"/>
  <c r="AC26" i="10" s="1"/>
  <c r="AB27" i="23"/>
  <c r="Z27" i="5"/>
  <c r="AC27" i="5" s="1"/>
  <c r="AB13" i="6"/>
  <c r="AB19" i="10"/>
  <c r="AB22" i="14"/>
  <c r="AB18" i="6"/>
  <c r="AB27" i="14"/>
  <c r="AB27" i="6"/>
  <c r="AB15" i="10"/>
  <c r="Z17" i="10"/>
  <c r="AC17" i="10" s="1"/>
  <c r="Z21" i="27"/>
  <c r="AC21" i="27" s="1"/>
  <c r="AB7" i="5"/>
  <c r="AB8" i="6"/>
  <c r="AA25" i="5"/>
  <c r="Z22" i="5"/>
  <c r="AC22" i="5" s="1"/>
  <c r="Z14" i="27"/>
  <c r="AC14" i="27" s="1"/>
  <c r="AA23" i="10"/>
  <c r="AB11" i="14"/>
  <c r="AB13" i="14"/>
  <c r="AB26" i="6"/>
  <c r="AB12" i="18"/>
  <c r="AB13" i="10"/>
  <c r="AB26" i="27"/>
  <c r="Z11" i="10"/>
  <c r="AC11" i="10" s="1"/>
  <c r="AA28" i="5"/>
  <c r="AA28" i="14"/>
  <c r="AB16" i="6"/>
  <c r="AA28" i="18"/>
  <c r="AB10" i="27"/>
  <c r="Z24" i="27"/>
  <c r="AC24" i="27" s="1"/>
  <c r="Z7" i="27"/>
  <c r="AC7" i="27" s="1"/>
  <c r="AA15" i="27"/>
  <c r="AA27" i="5"/>
  <c r="AB26" i="14"/>
  <c r="AB22" i="18"/>
  <c r="AB28" i="18"/>
  <c r="AB26" i="10"/>
  <c r="AB18" i="27"/>
  <c r="Z20" i="18"/>
  <c r="AC20" i="18" s="1"/>
  <c r="Z7" i="18"/>
  <c r="AC7" i="18" s="1"/>
  <c r="Z7" i="10"/>
  <c r="AC7" i="10" s="1"/>
  <c r="Z4" i="27"/>
  <c r="AC4" i="27" s="1"/>
  <c r="AD5" i="27" s="1"/>
  <c r="Z28" i="14"/>
  <c r="AC28" i="14" s="1"/>
  <c r="Z24" i="14"/>
  <c r="AC24" i="14" s="1"/>
  <c r="Z4" i="6"/>
  <c r="AC4" i="6" s="1"/>
  <c r="AD5" i="6" s="1"/>
  <c r="Z8" i="18"/>
  <c r="AC8" i="18" s="1"/>
  <c r="Z24" i="10"/>
  <c r="AC24" i="10" s="1"/>
  <c r="AA23" i="5"/>
  <c r="AB24" i="14"/>
  <c r="AB22" i="6"/>
  <c r="AB26" i="18"/>
  <c r="Z11" i="18"/>
  <c r="AC11" i="18" s="1"/>
  <c r="Z28" i="10"/>
  <c r="AC28" i="10" s="1"/>
  <c r="Z28" i="27"/>
  <c r="AC28" i="27" s="1"/>
  <c r="Z11" i="27"/>
  <c r="AC11" i="27" s="1"/>
  <c r="Z12" i="18"/>
  <c r="AC12" i="18" s="1"/>
  <c r="Z12" i="14"/>
  <c r="AC12" i="14" s="1"/>
  <c r="Z12" i="10"/>
  <c r="AC12" i="10" s="1"/>
  <c r="AB4" i="10"/>
  <c r="Z10" i="18"/>
  <c r="AC10" i="18" s="1"/>
  <c r="Z6" i="18"/>
  <c r="AC6" i="18" s="1"/>
  <c r="Z10" i="10"/>
  <c r="AC10" i="10" s="1"/>
  <c r="Z6" i="10"/>
  <c r="AC6" i="10" s="1"/>
  <c r="Z12" i="5"/>
  <c r="AC12" i="5" s="1"/>
  <c r="Z5" i="27"/>
  <c r="AC5" i="27" s="1"/>
  <c r="Z7" i="5"/>
  <c r="AC7" i="5" s="1"/>
  <c r="AA15" i="5"/>
  <c r="Z16" i="5"/>
  <c r="AC16" i="5" s="1"/>
  <c r="Z10" i="5"/>
  <c r="AC10" i="5" s="1"/>
  <c r="Z16" i="14"/>
  <c r="AC16" i="14" s="1"/>
  <c r="Z10" i="14"/>
  <c r="AC10" i="14" s="1"/>
  <c r="Z4" i="14"/>
  <c r="AC4" i="14" s="1"/>
  <c r="AD5" i="14" s="1"/>
  <c r="AA15" i="6"/>
  <c r="AB6" i="5"/>
  <c r="AA10" i="5"/>
  <c r="AB5" i="14"/>
  <c r="AB8" i="18"/>
  <c r="AB10" i="18"/>
  <c r="AB5" i="10"/>
  <c r="AA10" i="6"/>
  <c r="AA15" i="14"/>
  <c r="AA27" i="14"/>
  <c r="AA27" i="6"/>
  <c r="AB4" i="14"/>
  <c r="AA8" i="14"/>
  <c r="AA6" i="18"/>
  <c r="AA27" i="18"/>
  <c r="AB6" i="6"/>
  <c r="AB5" i="18"/>
  <c r="AB6" i="18"/>
  <c r="AB5" i="27"/>
  <c r="B4" i="4"/>
  <c r="Z6" i="6"/>
  <c r="AC6" i="6" s="1"/>
  <c r="Z19" i="14"/>
  <c r="AC19" i="14" s="1"/>
  <c r="AA5" i="5"/>
  <c r="AA24" i="5"/>
  <c r="AA26" i="5"/>
  <c r="AA7" i="14"/>
  <c r="AA10" i="14"/>
  <c r="AB4" i="5"/>
  <c r="AB5" i="5"/>
  <c r="AA7" i="5"/>
  <c r="AB8" i="5"/>
  <c r="AB10" i="5"/>
  <c r="AB11" i="5"/>
  <c r="AB12" i="5"/>
  <c r="AB13" i="5"/>
  <c r="AB14" i="5"/>
  <c r="AB15" i="5"/>
  <c r="AB16" i="5"/>
  <c r="AB17" i="5"/>
  <c r="AB18" i="5"/>
  <c r="AB19" i="5"/>
  <c r="AB20" i="5"/>
  <c r="AB22" i="5"/>
  <c r="AB23" i="5"/>
  <c r="AB24" i="5"/>
  <c r="AB25" i="5"/>
  <c r="AB7" i="14"/>
  <c r="AB8" i="14"/>
  <c r="AB10" i="14"/>
  <c r="AB12" i="14"/>
  <c r="AB14" i="14"/>
  <c r="AB15" i="14"/>
  <c r="AB17" i="14"/>
  <c r="AB19" i="14"/>
  <c r="AB21" i="14"/>
  <c r="AA24" i="14"/>
  <c r="AB5" i="6"/>
  <c r="AB7" i="6"/>
  <c r="AB10" i="6"/>
  <c r="AB12" i="6"/>
  <c r="AB14" i="6"/>
  <c r="AB15" i="6"/>
  <c r="AB17" i="6"/>
  <c r="AB19" i="6"/>
  <c r="AB21" i="6"/>
  <c r="AB23" i="6"/>
  <c r="AB25" i="6"/>
  <c r="AB4" i="18"/>
  <c r="AB11" i="18"/>
  <c r="AB13" i="18"/>
  <c r="AB16" i="18"/>
  <c r="AB18" i="18"/>
  <c r="AB20" i="18"/>
  <c r="AB24" i="18"/>
  <c r="AA7" i="10"/>
  <c r="AA10" i="10"/>
  <c r="AA12" i="10"/>
  <c r="AB14" i="10"/>
  <c r="AB17" i="10"/>
  <c r="AB21" i="10"/>
  <c r="AB24" i="10"/>
  <c r="AB27" i="10"/>
  <c r="AB4" i="27"/>
  <c r="AB12" i="27"/>
  <c r="AB16" i="27"/>
  <c r="AB20" i="27"/>
  <c r="AB27" i="27"/>
  <c r="AB4" i="23"/>
  <c r="AB10" i="23"/>
  <c r="AB11" i="23"/>
  <c r="Z23" i="5"/>
  <c r="AC23" i="5" s="1"/>
  <c r="Z21" i="5"/>
  <c r="AC21" i="5" s="1"/>
  <c r="Z11" i="5"/>
  <c r="AC11" i="5" s="1"/>
  <c r="Z11" i="14"/>
  <c r="AC11" i="14" s="1"/>
  <c r="Z23" i="18"/>
  <c r="AC23" i="18" s="1"/>
  <c r="Z27" i="10"/>
  <c r="AC27" i="10" s="1"/>
  <c r="Z25" i="10"/>
  <c r="AC25" i="10" s="1"/>
  <c r="Z23" i="10"/>
  <c r="AC23" i="10" s="1"/>
  <c r="Z21" i="10"/>
  <c r="AC21" i="10" s="1"/>
  <c r="AA27" i="10"/>
  <c r="AA28" i="10"/>
  <c r="AA14" i="14"/>
  <c r="AA12" i="6"/>
  <c r="AA13" i="6"/>
  <c r="AA14" i="6"/>
  <c r="AA10" i="18"/>
  <c r="AA11" i="18"/>
  <c r="AA14" i="18"/>
  <c r="AA14" i="27"/>
  <c r="Z18" i="5"/>
  <c r="AC18" i="5" s="1"/>
  <c r="Z14" i="5"/>
  <c r="AC14" i="5" s="1"/>
  <c r="Z4" i="5"/>
  <c r="AC4" i="5" s="1"/>
  <c r="Z14" i="14"/>
  <c r="AC14" i="14" s="1"/>
  <c r="Z28" i="6"/>
  <c r="AC28" i="6" s="1"/>
  <c r="Z14" i="6"/>
  <c r="AC14" i="6" s="1"/>
  <c r="Z12" i="6"/>
  <c r="AC12" i="6" s="1"/>
  <c r="Z10" i="6"/>
  <c r="AC10" i="6" s="1"/>
  <c r="Z18" i="18"/>
  <c r="AC18" i="18" s="1"/>
  <c r="Z14" i="18"/>
  <c r="AC14" i="18" s="1"/>
  <c r="Z4" i="18"/>
  <c r="AC4" i="18" s="1"/>
  <c r="AD5" i="18" s="1"/>
  <c r="Z4" i="10"/>
  <c r="AC4" i="10" s="1"/>
  <c r="AD5" i="10" s="1"/>
  <c r="Z26" i="27"/>
  <c r="AC26" i="27" s="1"/>
  <c r="AA10" i="27"/>
  <c r="AA16" i="18"/>
  <c r="AA18" i="18"/>
  <c r="AA20" i="18"/>
  <c r="AA26" i="27"/>
  <c r="Z14" i="23"/>
  <c r="AC14" i="23" s="1"/>
  <c r="Z12" i="23"/>
  <c r="AC12" i="23" s="1"/>
  <c r="Z11" i="23"/>
  <c r="AC11" i="23" s="1"/>
  <c r="Z10" i="23"/>
  <c r="AC10" i="23" s="1"/>
  <c r="AA17" i="18"/>
  <c r="AA19" i="18"/>
  <c r="AA21" i="18"/>
  <c r="AA25" i="27"/>
  <c r="AA27" i="23"/>
  <c r="AA28" i="23"/>
  <c r="Z19" i="10"/>
  <c r="AC19" i="10" s="1"/>
  <c r="Z15" i="10"/>
  <c r="AC15" i="10" s="1"/>
  <c r="AB12" i="10"/>
  <c r="AB13" i="27"/>
  <c r="AB24" i="23"/>
  <c r="AB26" i="23"/>
  <c r="Z5" i="5"/>
  <c r="AC5" i="5" s="1"/>
  <c r="Z7" i="14"/>
  <c r="AC7" i="14" s="1"/>
  <c r="Z7" i="6"/>
  <c r="AC7" i="6" s="1"/>
  <c r="AA14" i="23"/>
  <c r="AA14" i="10"/>
  <c r="Z27" i="23"/>
  <c r="AC27" i="23" s="1"/>
  <c r="Z27" i="27"/>
  <c r="AC27" i="27" s="1"/>
  <c r="Z27" i="18"/>
  <c r="AC27" i="18" s="1"/>
  <c r="Z27" i="6"/>
  <c r="AC27" i="6" s="1"/>
  <c r="Z25" i="23"/>
  <c r="AC25" i="23" s="1"/>
  <c r="Z25" i="27"/>
  <c r="AC25" i="27" s="1"/>
  <c r="Z25" i="6"/>
  <c r="AC25" i="6" s="1"/>
  <c r="Z25" i="5"/>
  <c r="AC25" i="5" s="1"/>
  <c r="Z23" i="23"/>
  <c r="AC23" i="23" s="1"/>
  <c r="Z23" i="27"/>
  <c r="AC23" i="27" s="1"/>
  <c r="Z23" i="6"/>
  <c r="AC23" i="6" s="1"/>
  <c r="Z21" i="23"/>
  <c r="AC21" i="23" s="1"/>
  <c r="Z21" i="6"/>
  <c r="AC21" i="6" s="1"/>
  <c r="Z21" i="14"/>
  <c r="AC21" i="14" s="1"/>
  <c r="Z17" i="23"/>
  <c r="AC17" i="23" s="1"/>
  <c r="Z17" i="27"/>
  <c r="AC17" i="27" s="1"/>
  <c r="Z17" i="18"/>
  <c r="AC17" i="18" s="1"/>
  <c r="Z17" i="6"/>
  <c r="AC17" i="6" s="1"/>
  <c r="Z17" i="5"/>
  <c r="AC17" i="5" s="1"/>
  <c r="Z13" i="10"/>
  <c r="AC13" i="10" s="1"/>
  <c r="Z13" i="14"/>
  <c r="AC13" i="14" s="1"/>
  <c r="Z13" i="5"/>
  <c r="AC13" i="5" s="1"/>
  <c r="Z6" i="23"/>
  <c r="AC6" i="23" s="1"/>
  <c r="Z6" i="14"/>
  <c r="AC6" i="14" s="1"/>
  <c r="Z6" i="5"/>
  <c r="AC6" i="5" s="1"/>
  <c r="AA15" i="23"/>
  <c r="AA15" i="10"/>
  <c r="Z5" i="23"/>
  <c r="AC5" i="23" s="1"/>
  <c r="AD6" i="23" s="1"/>
  <c r="Z5" i="10"/>
  <c r="AC5" i="10" s="1"/>
  <c r="Z5" i="18"/>
  <c r="AC5" i="18" s="1"/>
  <c r="Z5" i="6"/>
  <c r="AC5" i="6" s="1"/>
  <c r="Z5" i="14"/>
  <c r="AC5" i="14" s="1"/>
  <c r="AB6" i="23"/>
  <c r="AB6" i="27"/>
  <c r="AB6" i="10"/>
  <c r="AB7" i="23"/>
  <c r="AB7" i="27"/>
  <c r="AB7" i="10"/>
  <c r="AB8" i="23"/>
  <c r="AB8" i="10"/>
  <c r="AB9" i="23"/>
  <c r="AB9" i="27"/>
  <c r="AB11" i="27"/>
  <c r="AB11" i="10"/>
  <c r="AB14" i="23"/>
  <c r="AB14" i="27"/>
  <c r="AB15" i="23"/>
  <c r="AB15" i="27"/>
  <c r="AB16" i="23"/>
  <c r="AB16" i="10"/>
  <c r="AB17" i="23"/>
  <c r="AB17" i="27"/>
  <c r="AB18" i="23"/>
  <c r="AB18" i="10"/>
  <c r="AB19" i="23"/>
  <c r="AB19" i="27"/>
  <c r="AB20" i="23"/>
  <c r="AB20" i="10"/>
  <c r="AB21" i="23"/>
  <c r="AB21" i="27"/>
  <c r="AB21" i="18"/>
  <c r="AB22" i="23"/>
  <c r="AB22" i="10"/>
  <c r="AB23" i="23"/>
  <c r="AB23" i="27"/>
  <c r="AB23" i="10"/>
  <c r="AB23" i="18"/>
  <c r="AB25" i="23"/>
  <c r="AB25" i="27"/>
  <c r="AB25" i="10"/>
  <c r="AB25" i="18"/>
  <c r="AA12" i="23"/>
  <c r="AA12" i="27"/>
  <c r="AA12" i="18"/>
  <c r="AA12" i="14"/>
  <c r="AA13" i="18"/>
  <c r="AA13" i="14"/>
  <c r="Z19" i="23"/>
  <c r="AC19" i="23" s="1"/>
  <c r="Z19" i="27"/>
  <c r="AC19" i="27" s="1"/>
  <c r="Z19" i="18"/>
  <c r="AC19" i="18" s="1"/>
  <c r="Z19" i="5"/>
  <c r="AC19" i="5" s="1"/>
  <c r="Z15" i="23"/>
  <c r="AC15" i="23" s="1"/>
  <c r="Z15" i="27"/>
  <c r="AC15" i="27" s="1"/>
  <c r="Z15" i="18"/>
  <c r="AC15" i="18" s="1"/>
  <c r="Z15" i="14"/>
  <c r="AC15" i="14" s="1"/>
  <c r="Z15" i="5"/>
  <c r="AC15" i="5" s="1"/>
  <c r="Z13" i="23"/>
  <c r="AC13" i="23" s="1"/>
  <c r="Z13" i="27"/>
  <c r="AC13" i="27" s="1"/>
  <c r="Z13" i="18"/>
  <c r="AC13" i="18" s="1"/>
  <c r="Z8" i="23"/>
  <c r="AC8" i="23" s="1"/>
  <c r="Z8" i="27"/>
  <c r="AC8" i="27" s="1"/>
  <c r="Z8" i="6"/>
  <c r="AC8" i="6" s="1"/>
  <c r="Z8" i="14"/>
  <c r="AC8" i="14" s="1"/>
  <c r="Z8" i="5"/>
  <c r="AC8" i="5" s="1"/>
  <c r="AA7" i="23"/>
  <c r="AA7" i="18"/>
  <c r="AA7" i="6"/>
  <c r="AA8" i="18"/>
  <c r="AA8" i="6"/>
  <c r="AA9" i="27"/>
  <c r="AA9" i="18"/>
  <c r="AA9" i="6"/>
  <c r="AA23" i="23"/>
  <c r="AA23" i="27"/>
  <c r="AA23" i="18"/>
  <c r="AA23" i="6"/>
  <c r="AA24" i="18"/>
  <c r="AA24" i="6"/>
  <c r="AA25" i="23"/>
  <c r="AA25" i="10"/>
  <c r="AA25" i="18"/>
  <c r="AA25" i="6"/>
  <c r="AA26" i="23"/>
  <c r="AA26" i="10"/>
  <c r="AA26" i="18"/>
  <c r="AA26" i="6"/>
  <c r="Z28" i="23"/>
  <c r="AC28" i="23" s="1"/>
  <c r="Z28" i="18"/>
  <c r="AC28" i="18" s="1"/>
  <c r="Z28" i="5"/>
  <c r="AC28" i="5" s="1"/>
  <c r="Z26" i="23"/>
  <c r="AC26" i="23" s="1"/>
  <c r="Z26" i="18"/>
  <c r="AC26" i="18" s="1"/>
  <c r="Z26" i="6"/>
  <c r="AC26" i="6" s="1"/>
  <c r="Z26" i="5"/>
  <c r="AC26" i="5" s="1"/>
  <c r="Z24" i="23"/>
  <c r="AC24" i="23" s="1"/>
  <c r="Z24" i="18"/>
  <c r="AC24" i="18" s="1"/>
  <c r="Z24" i="5"/>
  <c r="AC24" i="5" s="1"/>
  <c r="Z22" i="23"/>
  <c r="AC22" i="23" s="1"/>
  <c r="Z22" i="27"/>
  <c r="AC22" i="27" s="1"/>
  <c r="Z22" i="18"/>
  <c r="AC22" i="18" s="1"/>
  <c r="Z22" i="6"/>
  <c r="AC22" i="6" s="1"/>
  <c r="Z22" i="14"/>
  <c r="AC22" i="14" s="1"/>
  <c r="Z20" i="23"/>
  <c r="AC20" i="23" s="1"/>
  <c r="Z20" i="27"/>
  <c r="AC20" i="27" s="1"/>
  <c r="Z20" i="10"/>
  <c r="AC20" i="10" s="1"/>
  <c r="Z20" i="6"/>
  <c r="AC20" i="6" s="1"/>
  <c r="Z20" i="14"/>
  <c r="AC20" i="14" s="1"/>
  <c r="Z18" i="23"/>
  <c r="AC18" i="23" s="1"/>
  <c r="Z18" i="27"/>
  <c r="AC18" i="27" s="1"/>
  <c r="Z18" i="10"/>
  <c r="AC18" i="10" s="1"/>
  <c r="Z18" i="6"/>
  <c r="AC18" i="6" s="1"/>
  <c r="Z18" i="14"/>
  <c r="AC18" i="14" s="1"/>
  <c r="Z16" i="23"/>
  <c r="AC16" i="23" s="1"/>
  <c r="Z16" i="27"/>
  <c r="AC16" i="27" s="1"/>
  <c r="Z16" i="10"/>
  <c r="AC16" i="10" s="1"/>
  <c r="Z16" i="6"/>
  <c r="AC16" i="6" s="1"/>
  <c r="AA5" i="27"/>
  <c r="AA5" i="23"/>
  <c r="AA5" i="10"/>
  <c r="AA11" i="23"/>
  <c r="AA11" i="27"/>
  <c r="AA11" i="10"/>
  <c r="AA16" i="23"/>
  <c r="AA16" i="27"/>
  <c r="AA16" i="10"/>
  <c r="AA17" i="23"/>
  <c r="AA17" i="27"/>
  <c r="AA17" i="10"/>
  <c r="AA18" i="23"/>
  <c r="AA18" i="27"/>
  <c r="AA18" i="10"/>
  <c r="AA19" i="23"/>
  <c r="AA19" i="27"/>
  <c r="AA19" i="10"/>
  <c r="AA20" i="23"/>
  <c r="AA20" i="27"/>
  <c r="AA20" i="10"/>
  <c r="AA5" i="14"/>
  <c r="AA6" i="14"/>
  <c r="AA11" i="14"/>
  <c r="AA16" i="14"/>
  <c r="AA17" i="14"/>
  <c r="AA18" i="14"/>
  <c r="AA19" i="14"/>
  <c r="AA20" i="14"/>
  <c r="AA21" i="14"/>
  <c r="AA5" i="6"/>
  <c r="AA6" i="6"/>
  <c r="AA11" i="6"/>
  <c r="AA16" i="6"/>
  <c r="AA17" i="6"/>
  <c r="AA18" i="6"/>
  <c r="AA19" i="6"/>
  <c r="AA20" i="6"/>
  <c r="AA21" i="6"/>
  <c r="AA9" i="23"/>
  <c r="AA9" i="10"/>
  <c r="AA13" i="23"/>
  <c r="AA13" i="27"/>
  <c r="AA13" i="10"/>
  <c r="F32" i="17"/>
  <c r="F32" i="16"/>
  <c r="F33" i="16"/>
  <c r="F31" i="16"/>
  <c r="G30" i="11"/>
  <c r="G32" i="11"/>
  <c r="H31" i="3"/>
  <c r="D33" i="19"/>
  <c r="D33" i="15"/>
  <c r="D33" i="28"/>
  <c r="G33" i="4"/>
  <c r="G30" i="15"/>
  <c r="G31" i="8"/>
  <c r="G32" i="19"/>
  <c r="G33" i="12"/>
  <c r="G30" i="28"/>
  <c r="G31" i="24"/>
  <c r="G31" i="4"/>
  <c r="G32" i="15"/>
  <c r="G33" i="8"/>
  <c r="G30" i="19"/>
  <c r="G31" i="12"/>
  <c r="G32" i="28"/>
  <c r="G33" i="24"/>
  <c r="G10" i="23"/>
  <c r="J10" i="28"/>
  <c r="G10" i="10"/>
  <c r="J10" i="19"/>
  <c r="G10" i="6"/>
  <c r="J10" i="15"/>
  <c r="J10" i="25"/>
  <c r="G10" i="27"/>
  <c r="J10" i="12"/>
  <c r="G10" i="18"/>
  <c r="J10" i="8"/>
  <c r="G10" i="14"/>
  <c r="J10" i="5"/>
  <c r="J10" i="24"/>
  <c r="J10" i="29"/>
  <c r="J10" i="27"/>
  <c r="J10" i="17"/>
  <c r="J10" i="14"/>
  <c r="J10" i="23"/>
  <c r="J10" i="7"/>
  <c r="J10" i="6"/>
  <c r="G10" i="5"/>
  <c r="J10" i="20"/>
  <c r="J10" i="18"/>
  <c r="J10" i="4"/>
  <c r="J10" i="11"/>
  <c r="J10" i="10"/>
  <c r="J10" i="3"/>
  <c r="J14" i="23"/>
  <c r="J14" i="29"/>
  <c r="J14" i="27"/>
  <c r="J14" i="11"/>
  <c r="J14" i="10"/>
  <c r="J14" i="20"/>
  <c r="J14" i="18"/>
  <c r="J14" i="7"/>
  <c r="J14" i="6"/>
  <c r="J14" i="17"/>
  <c r="J14" i="14"/>
  <c r="G14" i="5"/>
  <c r="J14" i="24"/>
  <c r="J14" i="3"/>
  <c r="J14" i="4"/>
  <c r="G14" i="27"/>
  <c r="G14" i="18"/>
  <c r="G14" i="14"/>
  <c r="G14" i="23"/>
  <c r="G14" i="10"/>
  <c r="G14" i="6"/>
  <c r="J14" i="12"/>
  <c r="J14" i="28"/>
  <c r="J14" i="15"/>
  <c r="J14" i="5"/>
  <c r="J14" i="25"/>
  <c r="J14" i="19"/>
  <c r="J14" i="8"/>
  <c r="J18" i="24"/>
  <c r="J18" i="28"/>
  <c r="J18" i="11"/>
  <c r="J18" i="10"/>
  <c r="G18" i="18"/>
  <c r="J18" i="15"/>
  <c r="G18" i="5"/>
  <c r="J18" i="23"/>
  <c r="G18" i="27"/>
  <c r="J18" i="19"/>
  <c r="J18" i="7"/>
  <c r="J18" i="6"/>
  <c r="G18" i="14"/>
  <c r="J18" i="3"/>
  <c r="J18" i="4"/>
  <c r="G18" i="23"/>
  <c r="J18" i="20"/>
  <c r="J18" i="18"/>
  <c r="J18" i="12"/>
  <c r="G18" i="6"/>
  <c r="J18" i="5"/>
  <c r="J18" i="25"/>
  <c r="J18" i="29"/>
  <c r="J18" i="27"/>
  <c r="J18" i="8"/>
  <c r="G18" i="10"/>
  <c r="J18" i="14"/>
  <c r="J18" i="17"/>
  <c r="G22" i="23"/>
  <c r="G22" i="27"/>
  <c r="G22" i="10"/>
  <c r="G22" i="18"/>
  <c r="G22" i="6"/>
  <c r="G22" i="14"/>
  <c r="J22" i="25"/>
  <c r="J22" i="23"/>
  <c r="J22" i="29"/>
  <c r="J22" i="27"/>
  <c r="J22" i="11"/>
  <c r="J22" i="10"/>
  <c r="J22" i="20"/>
  <c r="J22" i="18"/>
  <c r="J22" i="7"/>
  <c r="J22" i="6"/>
  <c r="J22" i="17"/>
  <c r="J22" i="14"/>
  <c r="G22" i="5"/>
  <c r="J22" i="24"/>
  <c r="J22" i="12"/>
  <c r="J22" i="8"/>
  <c r="J22" i="28"/>
  <c r="J22" i="19"/>
  <c r="J22" i="15"/>
  <c r="J22" i="5"/>
  <c r="J22" i="3"/>
  <c r="J22" i="4"/>
  <c r="J26" i="24"/>
  <c r="G26" i="23"/>
  <c r="G26" i="27"/>
  <c r="G26" i="10"/>
  <c r="G26" i="18"/>
  <c r="G26" i="6"/>
  <c r="G26" i="14"/>
  <c r="J26" i="12"/>
  <c r="J26" i="8"/>
  <c r="J26" i="15"/>
  <c r="J26" i="5"/>
  <c r="J26" i="29"/>
  <c r="J26" i="27"/>
  <c r="J26" i="20"/>
  <c r="J26" i="18"/>
  <c r="J26" i="17"/>
  <c r="J26" i="14"/>
  <c r="J26" i="3"/>
  <c r="J26" i="11"/>
  <c r="J26" i="10"/>
  <c r="G26" i="5"/>
  <c r="J26" i="25"/>
  <c r="J26" i="19"/>
  <c r="J26" i="23"/>
  <c r="J26" i="7"/>
  <c r="J26" i="4"/>
  <c r="J26" i="6"/>
  <c r="J26" i="28"/>
  <c r="J30" i="24"/>
  <c r="J30" i="28"/>
  <c r="J30" i="11"/>
  <c r="J30" i="29"/>
  <c r="J30" i="19"/>
  <c r="J30" i="7"/>
  <c r="J30" i="3"/>
  <c r="J30" i="12"/>
  <c r="J30" i="20"/>
  <c r="J30" i="17"/>
  <c r="J30" i="25"/>
  <c r="J30" i="8"/>
  <c r="J30" i="15"/>
  <c r="J30" i="4"/>
  <c r="J30" i="23"/>
  <c r="G30" i="27"/>
  <c r="G30" i="10"/>
  <c r="G30" i="18"/>
  <c r="J30" i="6"/>
  <c r="G30" i="14"/>
  <c r="G30" i="23"/>
  <c r="J30" i="27"/>
  <c r="J30" i="10"/>
  <c r="J30" i="18"/>
  <c r="G30" i="6"/>
  <c r="J30" i="14"/>
  <c r="G30" i="5"/>
  <c r="E33" i="16"/>
  <c r="G31" i="13"/>
  <c r="E33" i="30"/>
  <c r="E32" i="26"/>
  <c r="H32" i="3"/>
  <c r="E32" i="17"/>
  <c r="F33" i="17"/>
  <c r="H29" i="24"/>
  <c r="D33" i="24"/>
  <c r="G31" i="28"/>
  <c r="H32" i="28"/>
  <c r="E32" i="12"/>
  <c r="F33" i="12"/>
  <c r="H30" i="19"/>
  <c r="F31" i="8"/>
  <c r="G32" i="8"/>
  <c r="H33" i="8"/>
  <c r="E33" i="15"/>
  <c r="G30" i="4"/>
  <c r="H31" i="4"/>
  <c r="W4" i="14"/>
  <c r="U4" i="14"/>
  <c r="W5" i="6"/>
  <c r="S5" i="6"/>
  <c r="O5" i="6"/>
  <c r="U5" i="6"/>
  <c r="Q5" i="6"/>
  <c r="W4" i="18"/>
  <c r="U4" i="18"/>
  <c r="W5" i="10"/>
  <c r="S5" i="10"/>
  <c r="O5" i="10"/>
  <c r="U5" i="10"/>
  <c r="Q5" i="10"/>
  <c r="AA8" i="23"/>
  <c r="AA8" i="27"/>
  <c r="AA8" i="5"/>
  <c r="AA21" i="23"/>
  <c r="AA21" i="27"/>
  <c r="AA21" i="5"/>
  <c r="AA22" i="23"/>
  <c r="AA22" i="10"/>
  <c r="AA22" i="18"/>
  <c r="AA22" i="6"/>
  <c r="AA22" i="14"/>
  <c r="AA22" i="5"/>
  <c r="W4" i="5"/>
  <c r="Q4" i="5"/>
  <c r="V40" i="1"/>
  <c r="E33" i="17"/>
  <c r="F33" i="11"/>
  <c r="G30" i="3"/>
  <c r="G32" i="3"/>
  <c r="G32" i="25"/>
  <c r="G30" i="25"/>
  <c r="H30" i="17"/>
  <c r="H33" i="16"/>
  <c r="H31" i="16"/>
  <c r="H29" i="16"/>
  <c r="H32" i="17"/>
  <c r="H32" i="16"/>
  <c r="H30" i="16"/>
  <c r="E32" i="15"/>
  <c r="J33" i="29"/>
  <c r="J33" i="25"/>
  <c r="J33" i="12"/>
  <c r="J33" i="20"/>
  <c r="J33" i="11"/>
  <c r="J33" i="19"/>
  <c r="J33" i="8"/>
  <c r="J33" i="3"/>
  <c r="J33" i="24"/>
  <c r="J33" i="15"/>
  <c r="J33" i="4"/>
  <c r="J33" i="7"/>
  <c r="J33" i="28"/>
  <c r="J33" i="17"/>
  <c r="G33" i="5"/>
  <c r="J33" i="6"/>
  <c r="G33" i="10"/>
  <c r="J33" i="23"/>
  <c r="J33" i="5"/>
  <c r="G33" i="6"/>
  <c r="J33" i="10"/>
  <c r="G33" i="23"/>
  <c r="J31" i="18"/>
  <c r="J33" i="14"/>
  <c r="G30" i="2"/>
  <c r="E33" i="2"/>
  <c r="E32" i="16"/>
  <c r="G33" i="16"/>
  <c r="G31" i="21"/>
  <c r="G30" i="13"/>
  <c r="E32" i="30"/>
  <c r="G33" i="30"/>
  <c r="G32" i="26"/>
  <c r="F32" i="3"/>
  <c r="G33" i="3"/>
  <c r="H29" i="17"/>
  <c r="E32" i="20"/>
  <c r="G32" i="29"/>
  <c r="E33" i="25"/>
  <c r="G30" i="24"/>
  <c r="H31" i="24"/>
  <c r="F32" i="28"/>
  <c r="G33" i="28"/>
  <c r="H29" i="12"/>
  <c r="D33" i="12"/>
  <c r="G31" i="19"/>
  <c r="H32" i="19"/>
  <c r="E32" i="8"/>
  <c r="F33" i="8"/>
  <c r="H30" i="15"/>
  <c r="G32" i="4"/>
  <c r="Q4" i="14"/>
  <c r="Q4" i="18"/>
  <c r="AA21" i="10"/>
  <c r="AA22" i="27"/>
  <c r="W5" i="5"/>
  <c r="O5" i="5"/>
  <c r="U5" i="5"/>
  <c r="S5" i="5"/>
  <c r="F32" i="29"/>
  <c r="F32" i="30"/>
  <c r="F33" i="30"/>
  <c r="F31" i="30"/>
  <c r="G45" i="1"/>
  <c r="G41" i="1"/>
  <c r="G43" i="1"/>
  <c r="F31" i="7" s="1"/>
  <c r="F32" i="4"/>
  <c r="F33" i="15"/>
  <c r="F31" i="19"/>
  <c r="F32" i="12"/>
  <c r="F33" i="28"/>
  <c r="F31" i="15"/>
  <c r="F32" i="8"/>
  <c r="F33" i="19"/>
  <c r="F31" i="28"/>
  <c r="F32" i="24"/>
  <c r="H30" i="4"/>
  <c r="H31" i="15"/>
  <c r="H32" i="8"/>
  <c r="H33" i="19"/>
  <c r="H29" i="19"/>
  <c r="H30" i="12"/>
  <c r="H31" i="28"/>
  <c r="H32" i="24"/>
  <c r="H32" i="4"/>
  <c r="H33" i="15"/>
  <c r="H29" i="15"/>
  <c r="H30" i="8"/>
  <c r="H31" i="19"/>
  <c r="H32" i="12"/>
  <c r="H33" i="28"/>
  <c r="H29" i="28"/>
  <c r="H30" i="24"/>
  <c r="G8" i="23"/>
  <c r="J8" i="28"/>
  <c r="G8" i="10"/>
  <c r="J8" i="19"/>
  <c r="G8" i="6"/>
  <c r="J8" i="15"/>
  <c r="J8" i="25"/>
  <c r="G8" i="27"/>
  <c r="J8" i="12"/>
  <c r="G8" i="18"/>
  <c r="J8" i="8"/>
  <c r="G8" i="14"/>
  <c r="J8" i="5"/>
  <c r="J8" i="24"/>
  <c r="J8" i="29"/>
  <c r="J8" i="27"/>
  <c r="J8" i="23"/>
  <c r="J8" i="7"/>
  <c r="J8" i="6"/>
  <c r="J8" i="17"/>
  <c r="J8" i="14"/>
  <c r="J8" i="3"/>
  <c r="J8" i="20"/>
  <c r="J8" i="18"/>
  <c r="J8" i="11"/>
  <c r="J8" i="10"/>
  <c r="J8" i="4"/>
  <c r="J12" i="23"/>
  <c r="J12" i="29"/>
  <c r="J12" i="27"/>
  <c r="J12" i="11"/>
  <c r="J12" i="10"/>
  <c r="J12" i="20"/>
  <c r="J12" i="18"/>
  <c r="J12" i="7"/>
  <c r="J12" i="6"/>
  <c r="J12" i="17"/>
  <c r="J12" i="14"/>
  <c r="G12" i="5"/>
  <c r="J12" i="24"/>
  <c r="J12" i="3"/>
  <c r="J12" i="4"/>
  <c r="G12" i="23"/>
  <c r="G12" i="10"/>
  <c r="G12" i="6"/>
  <c r="G12" i="27"/>
  <c r="G12" i="18"/>
  <c r="G12" i="14"/>
  <c r="J12" i="25"/>
  <c r="J12" i="19"/>
  <c r="J12" i="12"/>
  <c r="J12" i="28"/>
  <c r="J12" i="5"/>
  <c r="J12" i="8"/>
  <c r="J12" i="15"/>
  <c r="J16" i="23"/>
  <c r="J16" i="29"/>
  <c r="J16" i="27"/>
  <c r="J16" i="11"/>
  <c r="J16" i="10"/>
  <c r="J16" i="20"/>
  <c r="J16" i="18"/>
  <c r="J16" i="7"/>
  <c r="J16" i="6"/>
  <c r="J16" i="17"/>
  <c r="J16" i="14"/>
  <c r="G16" i="5"/>
  <c r="J16" i="24"/>
  <c r="J16" i="3"/>
  <c r="J16" i="4"/>
  <c r="G16" i="23"/>
  <c r="G16" i="10"/>
  <c r="G16" i="6"/>
  <c r="G16" i="27"/>
  <c r="G16" i="18"/>
  <c r="G16" i="14"/>
  <c r="J16" i="28"/>
  <c r="J16" i="15"/>
  <c r="J16" i="5"/>
  <c r="J16" i="8"/>
  <c r="J16" i="25"/>
  <c r="J16" i="12"/>
  <c r="J16" i="19"/>
  <c r="G20" i="23"/>
  <c r="J20" i="23"/>
  <c r="G20" i="27"/>
  <c r="J20" i="25"/>
  <c r="J20" i="24"/>
  <c r="J20" i="27"/>
  <c r="J20" i="12"/>
  <c r="G20" i="10"/>
  <c r="J20" i="19"/>
  <c r="J20" i="7"/>
  <c r="J20" i="6"/>
  <c r="G20" i="14"/>
  <c r="J20" i="3"/>
  <c r="J20" i="4"/>
  <c r="J20" i="29"/>
  <c r="J20" i="28"/>
  <c r="G20" i="18"/>
  <c r="J20" i="15"/>
  <c r="G20" i="5"/>
  <c r="J20" i="10"/>
  <c r="J20" i="17"/>
  <c r="J20" i="14"/>
  <c r="J20" i="11"/>
  <c r="J20" i="8"/>
  <c r="J20" i="20"/>
  <c r="J20" i="18"/>
  <c r="G20" i="6"/>
  <c r="J20" i="5"/>
  <c r="J24" i="24"/>
  <c r="J24" i="28"/>
  <c r="J24" i="11"/>
  <c r="J24" i="10"/>
  <c r="G24" i="18"/>
  <c r="J24" i="15"/>
  <c r="G24" i="5"/>
  <c r="G24" i="23"/>
  <c r="J24" i="12"/>
  <c r="J24" i="20"/>
  <c r="J24" i="18"/>
  <c r="G24" i="6"/>
  <c r="J24" i="5"/>
  <c r="J24" i="25"/>
  <c r="J24" i="29"/>
  <c r="J24" i="27"/>
  <c r="J24" i="8"/>
  <c r="J24" i="23"/>
  <c r="J24" i="19"/>
  <c r="G24" i="14"/>
  <c r="J24" i="17"/>
  <c r="J24" i="14"/>
  <c r="G24" i="10"/>
  <c r="G24" i="27"/>
  <c r="J24" i="3"/>
  <c r="J24" i="6"/>
  <c r="J24" i="7"/>
  <c r="J24" i="4"/>
  <c r="J28" i="24"/>
  <c r="J28" i="25"/>
  <c r="J28" i="29"/>
  <c r="G28" i="23"/>
  <c r="G28" i="6"/>
  <c r="J28" i="15"/>
  <c r="J28" i="14"/>
  <c r="J28" i="4"/>
  <c r="J28" i="23"/>
  <c r="J28" i="11"/>
  <c r="G28" i="18"/>
  <c r="J28" i="28"/>
  <c r="G28" i="27"/>
  <c r="J28" i="12"/>
  <c r="J28" i="20"/>
  <c r="J28" i="8"/>
  <c r="J28" i="3"/>
  <c r="J28" i="5"/>
  <c r="J28" i="27"/>
  <c r="G28" i="10"/>
  <c r="J28" i="19"/>
  <c r="J28" i="6"/>
  <c r="J28" i="10"/>
  <c r="J28" i="18"/>
  <c r="G28" i="14"/>
  <c r="J28" i="7"/>
  <c r="J28" i="17"/>
  <c r="G28" i="5"/>
  <c r="E32" i="2"/>
  <c r="E33" i="21"/>
  <c r="G33" i="13"/>
  <c r="E33" i="3"/>
  <c r="D33" i="20"/>
  <c r="G31" i="11"/>
  <c r="E32" i="29"/>
  <c r="F33" i="29"/>
  <c r="H30" i="25"/>
  <c r="F31" i="24"/>
  <c r="G32" i="24"/>
  <c r="H33" i="24"/>
  <c r="E33" i="28"/>
  <c r="G30" i="12"/>
  <c r="H31" i="12"/>
  <c r="F32" i="19"/>
  <c r="G33" i="19"/>
  <c r="H29" i="8"/>
  <c r="D33" i="8"/>
  <c r="G31" i="15"/>
  <c r="H32" i="15"/>
  <c r="E32" i="4"/>
  <c r="F33" i="4"/>
  <c r="W5" i="14"/>
  <c r="S5" i="14"/>
  <c r="O5" i="14"/>
  <c r="U5" i="14"/>
  <c r="Q5" i="14"/>
  <c r="W4" i="6"/>
  <c r="U4" i="6"/>
  <c r="W5" i="18"/>
  <c r="S5" i="18"/>
  <c r="O5" i="18"/>
  <c r="U5" i="18"/>
  <c r="Q5" i="18"/>
  <c r="W4" i="10"/>
  <c r="U4" i="10"/>
  <c r="AA4" i="23"/>
  <c r="AA4" i="27"/>
  <c r="AA4" i="10"/>
  <c r="AA4" i="18"/>
  <c r="AA4" i="6"/>
  <c r="AA4" i="14"/>
  <c r="AA4" i="5"/>
  <c r="Q5" i="5"/>
  <c r="Q6" i="5"/>
  <c r="W6" i="5"/>
  <c r="P40" i="1"/>
  <c r="E33" i="29"/>
  <c r="F33" i="3"/>
  <c r="F31" i="25"/>
  <c r="G31" i="20"/>
  <c r="G33" i="20"/>
  <c r="G44" i="1"/>
  <c r="H30" i="29"/>
  <c r="H33" i="30"/>
  <c r="H31" i="30"/>
  <c r="H29" i="30"/>
  <c r="H32" i="29"/>
  <c r="H32" i="30"/>
  <c r="H30" i="30"/>
  <c r="A6" i="23"/>
  <c r="A6" i="10"/>
  <c r="A6" i="18"/>
  <c r="A6" i="6"/>
  <c r="A6" i="14"/>
  <c r="A7" i="2"/>
  <c r="J30" i="5"/>
  <c r="J31" i="25"/>
  <c r="J31" i="28"/>
  <c r="J31" i="8"/>
  <c r="J31" i="17"/>
  <c r="J31" i="29"/>
  <c r="J31" i="19"/>
  <c r="J31" i="24"/>
  <c r="J31" i="7"/>
  <c r="J31" i="15"/>
  <c r="J31" i="4"/>
  <c r="J31" i="12"/>
  <c r="J31" i="20"/>
  <c r="J31" i="11"/>
  <c r="J31" i="3"/>
  <c r="J31" i="5"/>
  <c r="G31" i="6"/>
  <c r="J31" i="10"/>
  <c r="G31" i="23"/>
  <c r="G31" i="5"/>
  <c r="J31" i="6"/>
  <c r="G31" i="10"/>
  <c r="J31" i="23"/>
  <c r="G31" i="27"/>
  <c r="J33" i="27"/>
  <c r="G33" i="18"/>
  <c r="G32" i="2"/>
  <c r="G31" i="16"/>
  <c r="E32" i="21"/>
  <c r="G33" i="21"/>
  <c r="G32" i="13"/>
  <c r="G31" i="30"/>
  <c r="G30" i="26"/>
  <c r="E33" i="26"/>
  <c r="F31" i="17"/>
  <c r="G32" i="17"/>
  <c r="H33" i="17"/>
  <c r="G30" i="20"/>
  <c r="F32" i="11"/>
  <c r="G33" i="11"/>
  <c r="H29" i="29"/>
  <c r="G31" i="25"/>
  <c r="E32" i="24"/>
  <c r="F33" i="24"/>
  <c r="H30" i="28"/>
  <c r="F31" i="12"/>
  <c r="G32" i="12"/>
  <c r="H33" i="12"/>
  <c r="E33" i="19"/>
  <c r="G30" i="8"/>
  <c r="H31" i="8"/>
  <c r="F32" i="15"/>
  <c r="G33" i="15"/>
  <c r="H29" i="4"/>
  <c r="D33" i="4"/>
  <c r="Q4" i="6"/>
  <c r="Q4" i="10"/>
  <c r="A6" i="27"/>
  <c r="AA6" i="27"/>
  <c r="AA6" i="23"/>
  <c r="AA6" i="5"/>
  <c r="A6" i="1"/>
  <c r="J5" i="23"/>
  <c r="G5" i="27"/>
  <c r="J5" i="19"/>
  <c r="J5" i="7"/>
  <c r="J5" i="6"/>
  <c r="G5" i="14"/>
  <c r="J5" i="3"/>
  <c r="J5" i="4"/>
  <c r="J5" i="25"/>
  <c r="J5" i="29"/>
  <c r="J5" i="27"/>
  <c r="G5" i="10"/>
  <c r="J5" i="8"/>
  <c r="J5" i="17"/>
  <c r="J5" i="14"/>
  <c r="G7" i="23"/>
  <c r="J7" i="28"/>
  <c r="G7" i="10"/>
  <c r="J7" i="19"/>
  <c r="G7" i="6"/>
  <c r="J7" i="15"/>
  <c r="J7" i="25"/>
  <c r="G7" i="27"/>
  <c r="J7" i="12"/>
  <c r="G7" i="18"/>
  <c r="J7" i="8"/>
  <c r="G7" i="14"/>
  <c r="J7" i="5"/>
  <c r="J7" i="11"/>
  <c r="J7" i="10"/>
  <c r="G7" i="5"/>
  <c r="J7" i="24"/>
  <c r="J7" i="29"/>
  <c r="J7" i="27"/>
  <c r="J7" i="3"/>
  <c r="J7" i="4"/>
  <c r="J11" i="25"/>
  <c r="J11" i="29"/>
  <c r="J11" i="27"/>
  <c r="G11" i="10"/>
  <c r="J11" i="8"/>
  <c r="J11" i="17"/>
  <c r="J11" i="14"/>
  <c r="G11" i="23"/>
  <c r="J11" i="12"/>
  <c r="J11" i="20"/>
  <c r="J11" i="18"/>
  <c r="G11" i="6"/>
  <c r="J11" i="5"/>
  <c r="G11" i="27"/>
  <c r="J11" i="7"/>
  <c r="J11" i="6"/>
  <c r="J11" i="3"/>
  <c r="J11" i="4"/>
  <c r="J11" i="23"/>
  <c r="J11" i="19"/>
  <c r="G11" i="14"/>
  <c r="J11" i="24"/>
  <c r="J11" i="28"/>
  <c r="G11" i="18"/>
  <c r="J15" i="24"/>
  <c r="J15" i="3"/>
  <c r="J15" i="4"/>
  <c r="J15" i="23"/>
  <c r="J15" i="29"/>
  <c r="J15" i="27"/>
  <c r="J15" i="11"/>
  <c r="J15" i="10"/>
  <c r="J15" i="20"/>
  <c r="J15" i="18"/>
  <c r="J15" i="7"/>
  <c r="J15" i="6"/>
  <c r="J15" i="17"/>
  <c r="J15" i="14"/>
  <c r="G15" i="5"/>
  <c r="J15" i="25"/>
  <c r="J15" i="28"/>
  <c r="J15" i="19"/>
  <c r="J15" i="15"/>
  <c r="J15" i="5"/>
  <c r="J15" i="12"/>
  <c r="J15" i="8"/>
  <c r="G15" i="27"/>
  <c r="G15" i="14"/>
  <c r="G15" i="23"/>
  <c r="G15" i="6"/>
  <c r="G19" i="23"/>
  <c r="J19" i="12"/>
  <c r="J19" i="20"/>
  <c r="J19" i="18"/>
  <c r="G19" i="6"/>
  <c r="J19" i="5"/>
  <c r="J19" i="25"/>
  <c r="J19" i="29"/>
  <c r="J19" i="27"/>
  <c r="G19" i="10"/>
  <c r="J19" i="8"/>
  <c r="J19" i="17"/>
  <c r="J19" i="14"/>
  <c r="J19" i="23"/>
  <c r="J19" i="19"/>
  <c r="G19" i="14"/>
  <c r="G19" i="27"/>
  <c r="J19" i="7"/>
  <c r="J19" i="6"/>
  <c r="J19" i="3"/>
  <c r="J19" i="4"/>
  <c r="J19" i="24"/>
  <c r="J19" i="28"/>
  <c r="G19" i="18"/>
  <c r="J19" i="10"/>
  <c r="J19" i="15"/>
  <c r="J23" i="25"/>
  <c r="J23" i="28"/>
  <c r="J23" i="12"/>
  <c r="J23" i="19"/>
  <c r="J23" i="8"/>
  <c r="J23" i="15"/>
  <c r="J23" i="5"/>
  <c r="J23" i="24"/>
  <c r="J23" i="3"/>
  <c r="J23" i="4"/>
  <c r="J23" i="29"/>
  <c r="J23" i="27"/>
  <c r="J23" i="20"/>
  <c r="J23" i="18"/>
  <c r="J23" i="17"/>
  <c r="J23" i="14"/>
  <c r="G23" i="5"/>
  <c r="G23" i="23"/>
  <c r="G23" i="10"/>
  <c r="G23" i="6"/>
  <c r="J23" i="23"/>
  <c r="J23" i="7"/>
  <c r="J23" i="6"/>
  <c r="J23" i="11"/>
  <c r="J23" i="10"/>
  <c r="G23" i="27"/>
  <c r="G23" i="14"/>
  <c r="J27" i="23"/>
  <c r="J27" i="29"/>
  <c r="J27" i="27"/>
  <c r="J27" i="11"/>
  <c r="J27" i="10"/>
  <c r="J27" i="20"/>
  <c r="J27" i="18"/>
  <c r="J27" i="7"/>
  <c r="J27" i="6"/>
  <c r="J27" i="17"/>
  <c r="J27" i="14"/>
  <c r="G27" i="18"/>
  <c r="J27" i="8"/>
  <c r="G27" i="5"/>
  <c r="G27" i="23"/>
  <c r="J27" i="28"/>
  <c r="G27" i="6"/>
  <c r="J27" i="15"/>
  <c r="J27" i="5"/>
  <c r="J27" i="25"/>
  <c r="G27" i="10"/>
  <c r="J27" i="12"/>
  <c r="G27" i="14"/>
  <c r="J27" i="3"/>
  <c r="J27" i="4"/>
  <c r="J27" i="24"/>
  <c r="J27" i="19"/>
  <c r="G27" i="27"/>
  <c r="G29" i="14"/>
  <c r="G29" i="6"/>
  <c r="G29" i="18"/>
  <c r="G29" i="10"/>
  <c r="G29" i="27"/>
  <c r="J32" i="24"/>
  <c r="J32" i="25"/>
  <c r="J32" i="11"/>
  <c r="J32" i="15"/>
  <c r="J32" i="4"/>
  <c r="J32" i="28"/>
  <c r="J32" i="29"/>
  <c r="J32" i="7"/>
  <c r="J32" i="3"/>
  <c r="J32" i="20"/>
  <c r="J32" i="8"/>
  <c r="J32" i="12"/>
  <c r="J32" i="17"/>
  <c r="J32" i="19"/>
  <c r="J32" i="27"/>
  <c r="G32" i="18"/>
  <c r="J32" i="14"/>
  <c r="H29" i="2"/>
  <c r="H31" i="2"/>
  <c r="F32" i="2"/>
  <c r="D33" i="2"/>
  <c r="H33" i="2"/>
  <c r="H30" i="21"/>
  <c r="F31" i="21"/>
  <c r="H32" i="21"/>
  <c r="F33" i="21"/>
  <c r="H29" i="13"/>
  <c r="H31" i="13"/>
  <c r="F32" i="13"/>
  <c r="D33" i="13"/>
  <c r="H33" i="13"/>
  <c r="H29" i="26"/>
  <c r="H31" i="26"/>
  <c r="F32" i="26"/>
  <c r="D33" i="26"/>
  <c r="H33" i="26"/>
  <c r="H29" i="3"/>
  <c r="F31" i="3"/>
  <c r="H33" i="3"/>
  <c r="G31" i="17"/>
  <c r="H30" i="20"/>
  <c r="F32" i="20"/>
  <c r="H29" i="11"/>
  <c r="H33" i="11"/>
  <c r="G31" i="29"/>
  <c r="H31" i="25"/>
  <c r="F33" i="25"/>
  <c r="E33" i="12"/>
  <c r="E32" i="19"/>
  <c r="E33" i="4"/>
  <c r="AA24" i="23"/>
  <c r="AA24" i="27"/>
  <c r="AA24" i="10"/>
  <c r="G4" i="6"/>
  <c r="J4" i="20"/>
  <c r="J5" i="10"/>
  <c r="J5" i="11"/>
  <c r="J6" i="4"/>
  <c r="J6" i="3"/>
  <c r="J6" i="19"/>
  <c r="G6" i="10"/>
  <c r="G15" i="10"/>
  <c r="J4" i="25"/>
  <c r="J4" i="23"/>
  <c r="G4" i="27"/>
  <c r="J4" i="19"/>
  <c r="J4" i="18"/>
  <c r="J4" i="7"/>
  <c r="G4" i="14"/>
  <c r="J4" i="3"/>
  <c r="J4" i="4"/>
  <c r="J4" i="5"/>
  <c r="J4" i="24"/>
  <c r="G4" i="23"/>
  <c r="J4" i="29"/>
  <c r="G4" i="10"/>
  <c r="J4" i="8"/>
  <c r="J4" i="6"/>
  <c r="J4" i="17"/>
  <c r="J6" i="23"/>
  <c r="J6" i="24"/>
  <c r="J6" i="11"/>
  <c r="J6" i="10"/>
  <c r="J6" i="7"/>
  <c r="J6" i="6"/>
  <c r="G6" i="5"/>
  <c r="G6" i="27"/>
  <c r="J6" i="12"/>
  <c r="G6" i="18"/>
  <c r="J6" i="8"/>
  <c r="G6" i="14"/>
  <c r="J6" i="5"/>
  <c r="G9" i="23"/>
  <c r="J9" i="28"/>
  <c r="G9" i="10"/>
  <c r="J9" i="19"/>
  <c r="G9" i="6"/>
  <c r="J9" i="15"/>
  <c r="J9" i="25"/>
  <c r="G9" i="27"/>
  <c r="J9" i="12"/>
  <c r="G9" i="18"/>
  <c r="J9" i="8"/>
  <c r="G9" i="14"/>
  <c r="J9" i="5"/>
  <c r="J9" i="24"/>
  <c r="J9" i="29"/>
  <c r="J9" i="27"/>
  <c r="J9" i="17"/>
  <c r="J9" i="14"/>
  <c r="J9" i="23"/>
  <c r="J9" i="7"/>
  <c r="J9" i="6"/>
  <c r="G9" i="5"/>
  <c r="J13" i="24"/>
  <c r="J13" i="3"/>
  <c r="J13" i="4"/>
  <c r="J13" i="23"/>
  <c r="J13" i="29"/>
  <c r="J13" i="27"/>
  <c r="J13" i="11"/>
  <c r="J13" i="10"/>
  <c r="J13" i="20"/>
  <c r="J13" i="18"/>
  <c r="J13" i="7"/>
  <c r="J13" i="6"/>
  <c r="J13" i="17"/>
  <c r="J13" i="14"/>
  <c r="G13" i="5"/>
  <c r="J13" i="12"/>
  <c r="J13" i="8"/>
  <c r="J13" i="25"/>
  <c r="J13" i="28"/>
  <c r="J13" i="19"/>
  <c r="J13" i="15"/>
  <c r="J13" i="5"/>
  <c r="G13" i="10"/>
  <c r="G13" i="27"/>
  <c r="G13" i="14"/>
  <c r="J17" i="25"/>
  <c r="J17" i="28"/>
  <c r="J17" i="12"/>
  <c r="G17" i="23"/>
  <c r="G17" i="27"/>
  <c r="G17" i="10"/>
  <c r="J17" i="24"/>
  <c r="J17" i="3"/>
  <c r="J17" i="4"/>
  <c r="J17" i="20"/>
  <c r="J17" i="18"/>
  <c r="J17" i="7"/>
  <c r="J17" i="6"/>
  <c r="J17" i="17"/>
  <c r="J17" i="14"/>
  <c r="G17" i="5"/>
  <c r="J17" i="29"/>
  <c r="J17" i="27"/>
  <c r="J17" i="8"/>
  <c r="J17" i="19"/>
  <c r="J17" i="15"/>
  <c r="J17" i="5"/>
  <c r="J17" i="10"/>
  <c r="G17" i="6"/>
  <c r="J17" i="23"/>
  <c r="G17" i="18"/>
  <c r="J21" i="25"/>
  <c r="J21" i="28"/>
  <c r="J21" i="12"/>
  <c r="J21" i="19"/>
  <c r="J21" i="8"/>
  <c r="J21" i="15"/>
  <c r="J21" i="5"/>
  <c r="J21" i="24"/>
  <c r="J21" i="3"/>
  <c r="J21" i="4"/>
  <c r="G21" i="23"/>
  <c r="G21" i="10"/>
  <c r="G21" i="27"/>
  <c r="G21" i="18"/>
  <c r="G21" i="14"/>
  <c r="J21" i="29"/>
  <c r="J21" i="27"/>
  <c r="J21" i="6"/>
  <c r="J21" i="14"/>
  <c r="J21" i="20"/>
  <c r="J21" i="18"/>
  <c r="J21" i="7"/>
  <c r="J21" i="17"/>
  <c r="J21" i="23"/>
  <c r="G21" i="6"/>
  <c r="G21" i="5"/>
  <c r="J21" i="10"/>
  <c r="J21" i="11"/>
  <c r="J25" i="25"/>
  <c r="J25" i="29"/>
  <c r="J25" i="27"/>
  <c r="J25" i="24"/>
  <c r="J25" i="23"/>
  <c r="J25" i="28"/>
  <c r="J25" i="12"/>
  <c r="J25" i="20"/>
  <c r="J25" i="18"/>
  <c r="G25" i="6"/>
  <c r="J25" i="5"/>
  <c r="G25" i="27"/>
  <c r="J25" i="19"/>
  <c r="J25" i="7"/>
  <c r="J25" i="6"/>
  <c r="G25" i="14"/>
  <c r="J25" i="3"/>
  <c r="J25" i="4"/>
  <c r="G25" i="23"/>
  <c r="G25" i="18"/>
  <c r="G25" i="10"/>
  <c r="J25" i="17"/>
  <c r="J25" i="14"/>
  <c r="J25" i="11"/>
  <c r="J25" i="10"/>
  <c r="J25" i="15"/>
  <c r="G25" i="5"/>
  <c r="J25" i="8"/>
  <c r="J29" i="29"/>
  <c r="J29" i="12"/>
  <c r="J29" i="20"/>
  <c r="J29" i="24"/>
  <c r="J29" i="17"/>
  <c r="J29" i="28"/>
  <c r="J29" i="11"/>
  <c r="J29" i="8"/>
  <c r="J29" i="3"/>
  <c r="J29" i="25"/>
  <c r="J29" i="15"/>
  <c r="J29" i="19"/>
  <c r="J29" i="4"/>
  <c r="J29" i="7"/>
  <c r="A5" i="23"/>
  <c r="A5" i="27"/>
  <c r="J29" i="5"/>
  <c r="J29" i="14"/>
  <c r="J29" i="6"/>
  <c r="J29" i="18"/>
  <c r="J29" i="10"/>
  <c r="J29" i="27"/>
  <c r="G29" i="23"/>
  <c r="G32" i="27"/>
  <c r="J32" i="18"/>
  <c r="G32" i="14"/>
  <c r="H30" i="2"/>
  <c r="F31" i="2"/>
  <c r="H32" i="2"/>
  <c r="F33" i="2"/>
  <c r="H29" i="21"/>
  <c r="H31" i="21"/>
  <c r="H33" i="21"/>
  <c r="H30" i="13"/>
  <c r="F31" i="13"/>
  <c r="H32" i="13"/>
  <c r="H30" i="26"/>
  <c r="F31" i="26"/>
  <c r="H32" i="26"/>
  <c r="F33" i="26"/>
  <c r="H29" i="25"/>
  <c r="E33" i="24"/>
  <c r="E32" i="28"/>
  <c r="E33" i="8"/>
  <c r="G4" i="5"/>
  <c r="J4" i="15"/>
  <c r="J4" i="27"/>
  <c r="G5" i="5"/>
  <c r="J5" i="15"/>
  <c r="G5" i="6"/>
  <c r="G5" i="18"/>
  <c r="J5" i="28"/>
  <c r="J5" i="24"/>
  <c r="J6" i="15"/>
  <c r="G6" i="6"/>
  <c r="J6" i="28"/>
  <c r="J7" i="14"/>
  <c r="J7" i="17"/>
  <c r="J7" i="18"/>
  <c r="J7" i="20"/>
  <c r="J9" i="10"/>
  <c r="J9" i="11"/>
  <c r="G17" i="14"/>
  <c r="AD5" i="5" l="1"/>
  <c r="O9" i="22"/>
  <c r="O10" i="22" s="1"/>
  <c r="O11" i="22" s="1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B6" i="1"/>
  <c r="C6" i="1"/>
  <c r="D6" i="1"/>
  <c r="E6" i="1"/>
  <c r="E32" i="13"/>
  <c r="F31" i="11"/>
  <c r="E33" i="13"/>
  <c r="E33" i="11"/>
  <c r="F4" i="1"/>
  <c r="G4" i="1" s="1"/>
  <c r="AD6" i="27"/>
  <c r="AD7" i="27" s="1"/>
  <c r="AD6" i="14"/>
  <c r="AD7" i="14" s="1"/>
  <c r="C4" i="4"/>
  <c r="H4" i="6"/>
  <c r="H4" i="27"/>
  <c r="B4" i="24"/>
  <c r="C4" i="24" s="1"/>
  <c r="B4" i="19"/>
  <c r="B4" i="28"/>
  <c r="C4" i="28" s="1"/>
  <c r="B4" i="12"/>
  <c r="C4" i="12" s="1"/>
  <c r="B4" i="15"/>
  <c r="B4" i="8"/>
  <c r="C4" i="8" s="1"/>
  <c r="AD6" i="18"/>
  <c r="AD7" i="18" s="1"/>
  <c r="AD6" i="6"/>
  <c r="AD7" i="6" s="1"/>
  <c r="F5" i="1"/>
  <c r="B5" i="20" s="1"/>
  <c r="H4" i="23"/>
  <c r="H4" i="10"/>
  <c r="H4" i="5"/>
  <c r="AD6" i="10"/>
  <c r="U6" i="27"/>
  <c r="Q6" i="27"/>
  <c r="W6" i="27"/>
  <c r="S6" i="27"/>
  <c r="O6" i="27"/>
  <c r="D33" i="16"/>
  <c r="D33" i="17"/>
  <c r="G32" i="7"/>
  <c r="G30" i="7"/>
  <c r="G30" i="9"/>
  <c r="G33" i="7"/>
  <c r="G31" i="9"/>
  <c r="G31" i="7"/>
  <c r="G32" i="9"/>
  <c r="G33" i="9"/>
  <c r="F33" i="7"/>
  <c r="W5" i="23"/>
  <c r="S5" i="23"/>
  <c r="O5" i="23"/>
  <c r="U5" i="23"/>
  <c r="Q5" i="23"/>
  <c r="AD7" i="23"/>
  <c r="A7" i="1"/>
  <c r="A7" i="23"/>
  <c r="A7" i="27"/>
  <c r="A7" i="18"/>
  <c r="A7" i="14"/>
  <c r="A8" i="2"/>
  <c r="A7" i="10"/>
  <c r="A7" i="6"/>
  <c r="A7" i="5"/>
  <c r="S6" i="10"/>
  <c r="O6" i="10"/>
  <c r="U6" i="10"/>
  <c r="Q6" i="10"/>
  <c r="W6" i="10"/>
  <c r="F32" i="7"/>
  <c r="E32" i="7"/>
  <c r="E33" i="7"/>
  <c r="E33" i="9"/>
  <c r="E32" i="9"/>
  <c r="F31" i="9"/>
  <c r="D33" i="30"/>
  <c r="D33" i="29"/>
  <c r="D33" i="9"/>
  <c r="S6" i="6"/>
  <c r="O6" i="6"/>
  <c r="U6" i="6"/>
  <c r="Q6" i="6"/>
  <c r="W6" i="6"/>
  <c r="U5" i="27"/>
  <c r="Q5" i="27"/>
  <c r="W5" i="27"/>
  <c r="S5" i="27"/>
  <c r="O5" i="27"/>
  <c r="S6" i="18"/>
  <c r="O6" i="18"/>
  <c r="U6" i="18"/>
  <c r="Q6" i="18"/>
  <c r="W6" i="18"/>
  <c r="B5" i="12"/>
  <c r="B5" i="4"/>
  <c r="B5" i="19"/>
  <c r="B5" i="24"/>
  <c r="B5" i="28"/>
  <c r="B5" i="8"/>
  <c r="B5" i="15"/>
  <c r="S6" i="14"/>
  <c r="O6" i="14"/>
  <c r="U6" i="14"/>
  <c r="Q6" i="14"/>
  <c r="W6" i="14"/>
  <c r="S6" i="23"/>
  <c r="O6" i="23"/>
  <c r="W6" i="23"/>
  <c r="U6" i="23"/>
  <c r="Q6" i="23"/>
  <c r="H33" i="7"/>
  <c r="H29" i="7"/>
  <c r="H32" i="9"/>
  <c r="H30" i="9"/>
  <c r="H31" i="7"/>
  <c r="H33" i="9"/>
  <c r="H31" i="9"/>
  <c r="H29" i="9"/>
  <c r="H32" i="7"/>
  <c r="H30" i="7"/>
  <c r="F33" i="9"/>
  <c r="D33" i="7"/>
  <c r="AD6" i="5" l="1"/>
  <c r="B7" i="1"/>
  <c r="C7" i="1"/>
  <c r="D7" i="1"/>
  <c r="E7" i="1"/>
  <c r="B4" i="29"/>
  <c r="C4" i="29" s="1"/>
  <c r="B4" i="11"/>
  <c r="C4" i="11" s="1"/>
  <c r="B4" i="7"/>
  <c r="C4" i="7" s="1"/>
  <c r="B4" i="20"/>
  <c r="E4" i="18" s="1"/>
  <c r="B4" i="25"/>
  <c r="C4" i="25" s="1"/>
  <c r="B4" i="3"/>
  <c r="E4" i="6" s="1"/>
  <c r="L4" i="6" s="1"/>
  <c r="B4" i="21"/>
  <c r="B4" i="18" s="1"/>
  <c r="B4" i="2"/>
  <c r="B4" i="23" s="1"/>
  <c r="B4" i="16"/>
  <c r="C4" i="16" s="1"/>
  <c r="B4" i="17"/>
  <c r="C4" i="17" s="1"/>
  <c r="B4" i="13"/>
  <c r="B4" i="10" s="1"/>
  <c r="B4" i="26"/>
  <c r="C4" i="26" s="1"/>
  <c r="B5" i="7"/>
  <c r="C5" i="7" s="1"/>
  <c r="B4" i="30"/>
  <c r="C4" i="30" s="1"/>
  <c r="B4" i="9"/>
  <c r="C4" i="9" s="1"/>
  <c r="G5" i="1"/>
  <c r="B5" i="26" s="1"/>
  <c r="B5" i="3"/>
  <c r="E5" i="23" s="1"/>
  <c r="B5" i="11"/>
  <c r="D4" i="11" s="1"/>
  <c r="B5" i="17"/>
  <c r="C5" i="17" s="1"/>
  <c r="B5" i="29"/>
  <c r="D4" i="29" s="1"/>
  <c r="B5" i="25"/>
  <c r="C5" i="25" s="1"/>
  <c r="C4" i="19"/>
  <c r="H4" i="18"/>
  <c r="H4" i="14"/>
  <c r="C4" i="15"/>
  <c r="AD7" i="10"/>
  <c r="AD8" i="14"/>
  <c r="AD8" i="6"/>
  <c r="A8" i="23"/>
  <c r="A8" i="27"/>
  <c r="A9" i="2"/>
  <c r="A8" i="10"/>
  <c r="A8" i="18"/>
  <c r="A8" i="6"/>
  <c r="A8" i="14"/>
  <c r="A8" i="5"/>
  <c r="S7" i="23"/>
  <c r="O7" i="23"/>
  <c r="W7" i="23"/>
  <c r="Q7" i="23"/>
  <c r="U7" i="23"/>
  <c r="AD8" i="23"/>
  <c r="C5" i="15"/>
  <c r="H5" i="14"/>
  <c r="D4" i="15"/>
  <c r="H5" i="18"/>
  <c r="D4" i="19"/>
  <c r="C5" i="19"/>
  <c r="W7" i="5"/>
  <c r="U7" i="5"/>
  <c r="S7" i="5"/>
  <c r="O7" i="5"/>
  <c r="Q7" i="5"/>
  <c r="U7" i="14"/>
  <c r="W7" i="14"/>
  <c r="O7" i="14"/>
  <c r="S7" i="14"/>
  <c r="Q7" i="14"/>
  <c r="AD8" i="18"/>
  <c r="C5" i="24"/>
  <c r="D4" i="24"/>
  <c r="C5" i="8"/>
  <c r="D4" i="8"/>
  <c r="H5" i="10"/>
  <c r="H5" i="5"/>
  <c r="D4" i="4"/>
  <c r="H5" i="23"/>
  <c r="C5" i="4"/>
  <c r="H5" i="27"/>
  <c r="H5" i="6"/>
  <c r="AD8" i="27"/>
  <c r="U7" i="6"/>
  <c r="W7" i="6"/>
  <c r="S7" i="6"/>
  <c r="Q7" i="6"/>
  <c r="O7" i="6"/>
  <c r="U7" i="18"/>
  <c r="W7" i="18"/>
  <c r="O7" i="18"/>
  <c r="S7" i="18"/>
  <c r="Q7" i="18"/>
  <c r="B6" i="28"/>
  <c r="B6" i="19"/>
  <c r="B6" i="15"/>
  <c r="B6" i="24"/>
  <c r="B6" i="8"/>
  <c r="B6" i="12"/>
  <c r="B6" i="4"/>
  <c r="A8" i="1"/>
  <c r="C5" i="28"/>
  <c r="D4" i="28"/>
  <c r="D4" i="12"/>
  <c r="C5" i="12"/>
  <c r="U7" i="10"/>
  <c r="W7" i="10"/>
  <c r="S7" i="10"/>
  <c r="Q7" i="10"/>
  <c r="O7" i="10"/>
  <c r="W7" i="27"/>
  <c r="Q7" i="27"/>
  <c r="U7" i="27"/>
  <c r="S7" i="27"/>
  <c r="O7" i="27"/>
  <c r="F6" i="1"/>
  <c r="G6" i="1" s="1"/>
  <c r="E5" i="18"/>
  <c r="D4" i="20"/>
  <c r="C5" i="20"/>
  <c r="AD7" i="5" l="1"/>
  <c r="B8" i="1"/>
  <c r="C8" i="1"/>
  <c r="D8" i="1"/>
  <c r="E8" i="1"/>
  <c r="L4" i="18"/>
  <c r="C4" i="20"/>
  <c r="B4" i="14"/>
  <c r="E4" i="14"/>
  <c r="L4" i="14" s="1"/>
  <c r="E4" i="10"/>
  <c r="L4" i="10" s="1"/>
  <c r="B4" i="27"/>
  <c r="C4" i="21"/>
  <c r="E4" i="27"/>
  <c r="L4" i="27" s="1"/>
  <c r="C4" i="3"/>
  <c r="B4" i="6"/>
  <c r="K4" i="6" s="1"/>
  <c r="D4" i="7"/>
  <c r="C4" i="13"/>
  <c r="E4" i="23"/>
  <c r="L4" i="23" s="1"/>
  <c r="E4" i="5"/>
  <c r="L4" i="5" s="1"/>
  <c r="D4" i="3"/>
  <c r="C4" i="2"/>
  <c r="B4" i="5"/>
  <c r="C5" i="3"/>
  <c r="C5" i="29"/>
  <c r="E5" i="6"/>
  <c r="L5" i="6" s="1"/>
  <c r="E5" i="10"/>
  <c r="L5" i="10" s="1"/>
  <c r="E5" i="5"/>
  <c r="L5" i="5" s="1"/>
  <c r="L5" i="18"/>
  <c r="D4" i="25"/>
  <c r="B5" i="30"/>
  <c r="D4" i="30" s="1"/>
  <c r="E5" i="27"/>
  <c r="L5" i="27" s="1"/>
  <c r="E5" i="14"/>
  <c r="L5" i="14" s="1"/>
  <c r="B5" i="13"/>
  <c r="B5" i="10" s="1"/>
  <c r="B5" i="9"/>
  <c r="D4" i="9" s="1"/>
  <c r="D4" i="17"/>
  <c r="C5" i="11"/>
  <c r="B5" i="21"/>
  <c r="C5" i="21" s="1"/>
  <c r="B5" i="16"/>
  <c r="D4" i="16" s="1"/>
  <c r="B5" i="2"/>
  <c r="D4" i="2" s="1"/>
  <c r="K4" i="18"/>
  <c r="AD8" i="10"/>
  <c r="AD9" i="14"/>
  <c r="AD9" i="6"/>
  <c r="B6" i="26"/>
  <c r="B6" i="2"/>
  <c r="B6" i="13"/>
  <c r="B6" i="9"/>
  <c r="B6" i="21"/>
  <c r="B6" i="30"/>
  <c r="B6" i="16"/>
  <c r="F7" i="1"/>
  <c r="D5" i="8"/>
  <c r="C6" i="8"/>
  <c r="E4" i="8"/>
  <c r="E4" i="28"/>
  <c r="C6" i="28"/>
  <c r="D5" i="28"/>
  <c r="U8" i="6"/>
  <c r="Q8" i="6"/>
  <c r="S8" i="6"/>
  <c r="O8" i="6"/>
  <c r="W8" i="6"/>
  <c r="B6" i="25"/>
  <c r="B6" i="3"/>
  <c r="B6" i="11"/>
  <c r="B6" i="7"/>
  <c r="B6" i="29"/>
  <c r="B6" i="17"/>
  <c r="B6" i="20"/>
  <c r="A9" i="1"/>
  <c r="AD9" i="27"/>
  <c r="C5" i="26"/>
  <c r="D4" i="26"/>
  <c r="AD9" i="23"/>
  <c r="U8" i="18"/>
  <c r="Q8" i="18"/>
  <c r="S8" i="18"/>
  <c r="O8" i="18"/>
  <c r="W8" i="18"/>
  <c r="S8" i="23"/>
  <c r="O8" i="23"/>
  <c r="W8" i="23"/>
  <c r="U8" i="23"/>
  <c r="Q8" i="23"/>
  <c r="B7" i="24"/>
  <c r="B7" i="4"/>
  <c r="B7" i="19"/>
  <c r="B7" i="12"/>
  <c r="B7" i="8"/>
  <c r="B7" i="28"/>
  <c r="B7" i="15"/>
  <c r="H6" i="23"/>
  <c r="H6" i="27"/>
  <c r="C6" i="4"/>
  <c r="E4" i="4"/>
  <c r="H6" i="10"/>
  <c r="D5" i="4"/>
  <c r="H6" i="5"/>
  <c r="H6" i="6"/>
  <c r="H6" i="14"/>
  <c r="E4" i="15"/>
  <c r="C6" i="15"/>
  <c r="D5" i="15"/>
  <c r="W8" i="5"/>
  <c r="Q8" i="5"/>
  <c r="O8" i="5"/>
  <c r="S8" i="5"/>
  <c r="U8" i="5"/>
  <c r="U8" i="10"/>
  <c r="Q8" i="10"/>
  <c r="S8" i="10"/>
  <c r="O8" i="10"/>
  <c r="W8" i="10"/>
  <c r="S8" i="27"/>
  <c r="O8" i="27"/>
  <c r="W8" i="27"/>
  <c r="U8" i="27"/>
  <c r="Q8" i="27"/>
  <c r="C6" i="24"/>
  <c r="D5" i="24"/>
  <c r="E4" i="24"/>
  <c r="AD9" i="18"/>
  <c r="E4" i="12"/>
  <c r="C6" i="12"/>
  <c r="D5" i="12"/>
  <c r="H6" i="18"/>
  <c r="C6" i="19"/>
  <c r="D5" i="19"/>
  <c r="E4" i="19"/>
  <c r="L5" i="23"/>
  <c r="U8" i="14"/>
  <c r="Q8" i="14"/>
  <c r="S8" i="14"/>
  <c r="O8" i="14"/>
  <c r="W8" i="14"/>
  <c r="A9" i="27"/>
  <c r="A9" i="10"/>
  <c r="A9" i="18"/>
  <c r="A9" i="6"/>
  <c r="A9" i="14"/>
  <c r="A9" i="5"/>
  <c r="A10" i="2"/>
  <c r="A9" i="23"/>
  <c r="AD8" i="5" l="1"/>
  <c r="B9" i="1"/>
  <c r="C9" i="1"/>
  <c r="D9" i="1"/>
  <c r="E9" i="1"/>
  <c r="K4" i="10"/>
  <c r="K4" i="27"/>
  <c r="K4" i="14"/>
  <c r="K5" i="10"/>
  <c r="C5" i="9"/>
  <c r="K4" i="5"/>
  <c r="D4" i="13"/>
  <c r="K4" i="23"/>
  <c r="D4" i="21"/>
  <c r="C5" i="30"/>
  <c r="B5" i="27"/>
  <c r="K5" i="27" s="1"/>
  <c r="C5" i="2"/>
  <c r="B5" i="6"/>
  <c r="K5" i="6" s="1"/>
  <c r="B5" i="14"/>
  <c r="K5" i="14" s="1"/>
  <c r="C5" i="13"/>
  <c r="B5" i="5"/>
  <c r="K5" i="5" s="1"/>
  <c r="B5" i="23"/>
  <c r="K5" i="23" s="1"/>
  <c r="B5" i="18"/>
  <c r="K5" i="18" s="1"/>
  <c r="C5" i="16"/>
  <c r="AD9" i="10"/>
  <c r="AD10" i="6"/>
  <c r="AD10" i="14"/>
  <c r="Q9" i="6"/>
  <c r="W9" i="6"/>
  <c r="O9" i="6"/>
  <c r="U9" i="6"/>
  <c r="S9" i="6"/>
  <c r="AD10" i="18"/>
  <c r="C7" i="28"/>
  <c r="F4" i="28"/>
  <c r="E5" i="28"/>
  <c r="D6" i="28"/>
  <c r="F8" i="1"/>
  <c r="G8" i="1" s="1"/>
  <c r="C6" i="17"/>
  <c r="D5" i="17"/>
  <c r="E4" i="17"/>
  <c r="E6" i="14"/>
  <c r="L6" i="14" s="1"/>
  <c r="E6" i="23"/>
  <c r="L6" i="23" s="1"/>
  <c r="C6" i="3"/>
  <c r="E6" i="10"/>
  <c r="L6" i="10" s="1"/>
  <c r="E6" i="6"/>
  <c r="L6" i="6" s="1"/>
  <c r="E6" i="5"/>
  <c r="L6" i="5" s="1"/>
  <c r="E4" i="3"/>
  <c r="E6" i="27"/>
  <c r="L6" i="27" s="1"/>
  <c r="D5" i="3"/>
  <c r="B7" i="3"/>
  <c r="B7" i="29"/>
  <c r="B7" i="20"/>
  <c r="B7" i="17"/>
  <c r="B7" i="11"/>
  <c r="B7" i="7"/>
  <c r="B7" i="25"/>
  <c r="E4" i="30"/>
  <c r="C6" i="30"/>
  <c r="D5" i="30"/>
  <c r="C7" i="8"/>
  <c r="D6" i="8"/>
  <c r="F4" i="8"/>
  <c r="E5" i="8"/>
  <c r="D6" i="24"/>
  <c r="F4" i="24"/>
  <c r="C7" i="24"/>
  <c r="E5" i="24"/>
  <c r="A10" i="1"/>
  <c r="C6" i="29"/>
  <c r="D5" i="29"/>
  <c r="E4" i="29"/>
  <c r="D5" i="25"/>
  <c r="C6" i="25"/>
  <c r="E4" i="25"/>
  <c r="G7" i="1"/>
  <c r="D5" i="21"/>
  <c r="C6" i="21"/>
  <c r="E4" i="21"/>
  <c r="B6" i="18"/>
  <c r="D5" i="26"/>
  <c r="E4" i="26"/>
  <c r="C6" i="26"/>
  <c r="W9" i="5"/>
  <c r="O9" i="5"/>
  <c r="U9" i="5"/>
  <c r="S9" i="5"/>
  <c r="Q9" i="5"/>
  <c r="Q9" i="10"/>
  <c r="W9" i="10"/>
  <c r="O9" i="10"/>
  <c r="U9" i="10"/>
  <c r="S9" i="10"/>
  <c r="C7" i="12"/>
  <c r="D6" i="12"/>
  <c r="F4" i="12"/>
  <c r="E5" i="12"/>
  <c r="AD10" i="23"/>
  <c r="B8" i="24"/>
  <c r="B8" i="4"/>
  <c r="B8" i="12"/>
  <c r="B8" i="28"/>
  <c r="B8" i="8"/>
  <c r="B8" i="15"/>
  <c r="B8" i="19"/>
  <c r="D5" i="7"/>
  <c r="C6" i="7"/>
  <c r="E4" i="7"/>
  <c r="E4" i="9"/>
  <c r="C6" i="9"/>
  <c r="D5" i="9"/>
  <c r="W9" i="23"/>
  <c r="S9" i="23"/>
  <c r="O9" i="23"/>
  <c r="Q9" i="23"/>
  <c r="U9" i="23"/>
  <c r="H7" i="5"/>
  <c r="H7" i="27"/>
  <c r="E5" i="4"/>
  <c r="H7" i="23"/>
  <c r="H7" i="6"/>
  <c r="D6" i="4"/>
  <c r="H7" i="10"/>
  <c r="C7" i="4"/>
  <c r="F4" i="4"/>
  <c r="AD10" i="27"/>
  <c r="B6" i="23"/>
  <c r="B6" i="6"/>
  <c r="C6" i="2"/>
  <c r="B6" i="5"/>
  <c r="E4" i="2"/>
  <c r="B6" i="27"/>
  <c r="D5" i="2"/>
  <c r="A10" i="23"/>
  <c r="A10" i="10"/>
  <c r="A10" i="18"/>
  <c r="A10" i="6"/>
  <c r="A10" i="14"/>
  <c r="A11" i="2"/>
  <c r="A10" i="5"/>
  <c r="A10" i="27"/>
  <c r="U9" i="18"/>
  <c r="S9" i="18"/>
  <c r="Q9" i="18"/>
  <c r="W9" i="18"/>
  <c r="O9" i="18"/>
  <c r="U9" i="14"/>
  <c r="S9" i="14"/>
  <c r="Q9" i="14"/>
  <c r="W9" i="14"/>
  <c r="O9" i="14"/>
  <c r="W9" i="27"/>
  <c r="S9" i="27"/>
  <c r="O9" i="27"/>
  <c r="Q9" i="27"/>
  <c r="U9" i="27"/>
  <c r="C7" i="15"/>
  <c r="H7" i="14"/>
  <c r="F4" i="15"/>
  <c r="E5" i="15"/>
  <c r="D6" i="15"/>
  <c r="C7" i="19"/>
  <c r="E5" i="19"/>
  <c r="F4" i="19"/>
  <c r="D6" i="19"/>
  <c r="H7" i="18"/>
  <c r="C6" i="20"/>
  <c r="E4" i="20"/>
  <c r="E6" i="18"/>
  <c r="L6" i="18" s="1"/>
  <c r="D5" i="20"/>
  <c r="E4" i="11"/>
  <c r="D5" i="11"/>
  <c r="C6" i="11"/>
  <c r="E4" i="16"/>
  <c r="C6" i="16"/>
  <c r="D5" i="16"/>
  <c r="B6" i="14"/>
  <c r="B6" i="10"/>
  <c r="D5" i="13"/>
  <c r="C6" i="13"/>
  <c r="E4" i="13"/>
  <c r="AD9" i="5" l="1"/>
  <c r="AD10" i="5" s="1"/>
  <c r="AD11" i="5" s="1"/>
  <c r="AD12" i="5" s="1"/>
  <c r="B10" i="1"/>
  <c r="C10" i="1"/>
  <c r="D10" i="1"/>
  <c r="E10" i="1"/>
  <c r="K6" i="5"/>
  <c r="K6" i="14"/>
  <c r="K6" i="23"/>
  <c r="K6" i="6"/>
  <c r="K6" i="18"/>
  <c r="AD10" i="10"/>
  <c r="AD11" i="14"/>
  <c r="AD11" i="6"/>
  <c r="U10" i="27"/>
  <c r="S10" i="27"/>
  <c r="O10" i="27"/>
  <c r="W10" i="27"/>
  <c r="Q10" i="27"/>
  <c r="C8" i="8"/>
  <c r="D7" i="8"/>
  <c r="E6" i="8"/>
  <c r="G4" i="8"/>
  <c r="F5" i="8"/>
  <c r="B7" i="2"/>
  <c r="B7" i="26"/>
  <c r="B7" i="13"/>
  <c r="B7" i="30"/>
  <c r="B7" i="21"/>
  <c r="B7" i="16"/>
  <c r="B7" i="9"/>
  <c r="B9" i="24"/>
  <c r="B9" i="4"/>
  <c r="B9" i="12"/>
  <c r="B9" i="28"/>
  <c r="B9" i="15"/>
  <c r="B9" i="19"/>
  <c r="B9" i="8"/>
  <c r="C7" i="11"/>
  <c r="F4" i="11"/>
  <c r="D6" i="11"/>
  <c r="E5" i="11"/>
  <c r="B8" i="2"/>
  <c r="B8" i="30"/>
  <c r="B8" i="9"/>
  <c r="B8" i="16"/>
  <c r="B8" i="21"/>
  <c r="B8" i="26"/>
  <c r="B8" i="13"/>
  <c r="Q10" i="5"/>
  <c r="W10" i="5"/>
  <c r="S10" i="5"/>
  <c r="U10" i="5"/>
  <c r="O10" i="5"/>
  <c r="U10" i="18"/>
  <c r="O10" i="18"/>
  <c r="W10" i="18"/>
  <c r="S10" i="18"/>
  <c r="Q10" i="18"/>
  <c r="K6" i="27"/>
  <c r="E7" i="14"/>
  <c r="L7" i="14" s="1"/>
  <c r="F4" i="17"/>
  <c r="D6" i="17"/>
  <c r="E5" i="17"/>
  <c r="C7" i="17"/>
  <c r="A11" i="27"/>
  <c r="A11" i="10"/>
  <c r="A11" i="18"/>
  <c r="A11" i="6"/>
  <c r="A11" i="14"/>
  <c r="A11" i="23"/>
  <c r="A12" i="2"/>
  <c r="A11" i="5"/>
  <c r="U10" i="10"/>
  <c r="S10" i="10"/>
  <c r="Q10" i="10"/>
  <c r="O10" i="10"/>
  <c r="W10" i="10"/>
  <c r="C8" i="19"/>
  <c r="G4" i="19"/>
  <c r="H8" i="18"/>
  <c r="D7" i="19"/>
  <c r="F5" i="19"/>
  <c r="E6" i="19"/>
  <c r="C8" i="12"/>
  <c r="F5" i="12"/>
  <c r="E6" i="12"/>
  <c r="D7" i="12"/>
  <c r="G4" i="12"/>
  <c r="AD11" i="23"/>
  <c r="F9" i="1"/>
  <c r="C7" i="25"/>
  <c r="D6" i="25"/>
  <c r="E5" i="25"/>
  <c r="F4" i="25"/>
  <c r="E7" i="18"/>
  <c r="L7" i="18" s="1"/>
  <c r="C7" i="20"/>
  <c r="D6" i="20"/>
  <c r="E5" i="20"/>
  <c r="F4" i="20"/>
  <c r="AD11" i="18"/>
  <c r="U10" i="6"/>
  <c r="S10" i="6"/>
  <c r="Q10" i="6"/>
  <c r="O10" i="6"/>
  <c r="W10" i="6"/>
  <c r="AD11" i="27"/>
  <c r="D7" i="24"/>
  <c r="E6" i="24"/>
  <c r="C8" i="24"/>
  <c r="G4" i="24"/>
  <c r="F5" i="24"/>
  <c r="E7" i="27"/>
  <c r="L7" i="27" s="1"/>
  <c r="E7" i="10"/>
  <c r="L7" i="10" s="1"/>
  <c r="E7" i="6"/>
  <c r="L7" i="6" s="1"/>
  <c r="E7" i="23"/>
  <c r="L7" i="23" s="1"/>
  <c r="E5" i="3"/>
  <c r="D6" i="3"/>
  <c r="E7" i="5"/>
  <c r="L7" i="5" s="1"/>
  <c r="C7" i="3"/>
  <c r="F4" i="3"/>
  <c r="K6" i="10"/>
  <c r="C8" i="28"/>
  <c r="G4" i="28"/>
  <c r="D7" i="28"/>
  <c r="E6" i="28"/>
  <c r="F5" i="28"/>
  <c r="U10" i="14"/>
  <c r="O10" i="14"/>
  <c r="W10" i="14"/>
  <c r="S10" i="14"/>
  <c r="Q10" i="14"/>
  <c r="W10" i="23"/>
  <c r="Q10" i="23"/>
  <c r="U10" i="23"/>
  <c r="S10" i="23"/>
  <c r="O10" i="23"/>
  <c r="C8" i="15"/>
  <c r="H8" i="14"/>
  <c r="D7" i="15"/>
  <c r="E6" i="15"/>
  <c r="G4" i="15"/>
  <c r="F5" i="15"/>
  <c r="H8" i="5"/>
  <c r="D7" i="4"/>
  <c r="H8" i="23"/>
  <c r="H8" i="6"/>
  <c r="C8" i="4"/>
  <c r="G4" i="4"/>
  <c r="F5" i="4"/>
  <c r="E6" i="4"/>
  <c r="H8" i="10"/>
  <c r="H8" i="27"/>
  <c r="A11" i="1"/>
  <c r="E5" i="7"/>
  <c r="C7" i="7"/>
  <c r="D6" i="7"/>
  <c r="F4" i="7"/>
  <c r="F4" i="29"/>
  <c r="D6" i="29"/>
  <c r="E5" i="29"/>
  <c r="C7" i="29"/>
  <c r="B8" i="3"/>
  <c r="B8" i="29"/>
  <c r="B8" i="20"/>
  <c r="B8" i="17"/>
  <c r="B8" i="11"/>
  <c r="B8" i="7"/>
  <c r="B8" i="25"/>
  <c r="B11" i="1" l="1"/>
  <c r="C11" i="1"/>
  <c r="D11" i="1"/>
  <c r="E11" i="1"/>
  <c r="AD11" i="10"/>
  <c r="AD12" i="6"/>
  <c r="AD12" i="14"/>
  <c r="D7" i="29"/>
  <c r="C8" i="29"/>
  <c r="G4" i="29"/>
  <c r="F5" i="29"/>
  <c r="E6" i="29"/>
  <c r="F10" i="1"/>
  <c r="W11" i="5"/>
  <c r="U11" i="5"/>
  <c r="S11" i="5"/>
  <c r="O11" i="5"/>
  <c r="Q11" i="5"/>
  <c r="C8" i="21"/>
  <c r="B8" i="18"/>
  <c r="D7" i="21"/>
  <c r="E6" i="21"/>
  <c r="G4" i="21"/>
  <c r="F5" i="21"/>
  <c r="B8" i="5"/>
  <c r="D7" i="2"/>
  <c r="C8" i="2"/>
  <c r="F5" i="2"/>
  <c r="B8" i="6"/>
  <c r="E6" i="2"/>
  <c r="B8" i="23"/>
  <c r="B8" i="27"/>
  <c r="G4" i="2"/>
  <c r="E7" i="19"/>
  <c r="C9" i="19"/>
  <c r="D8" i="19"/>
  <c r="F6" i="19"/>
  <c r="H9" i="18"/>
  <c r="H4" i="19"/>
  <c r="G5" i="19"/>
  <c r="C7" i="21"/>
  <c r="D6" i="21"/>
  <c r="F4" i="21"/>
  <c r="B7" i="18"/>
  <c r="K7" i="18" s="1"/>
  <c r="E5" i="21"/>
  <c r="E8" i="27"/>
  <c r="L8" i="27" s="1"/>
  <c r="E8" i="10"/>
  <c r="L8" i="10" s="1"/>
  <c r="E8" i="6"/>
  <c r="L8" i="6" s="1"/>
  <c r="D7" i="3"/>
  <c r="C8" i="3"/>
  <c r="G4" i="3"/>
  <c r="E8" i="5"/>
  <c r="L8" i="5" s="1"/>
  <c r="F5" i="3"/>
  <c r="E6" i="3"/>
  <c r="E8" i="23"/>
  <c r="L8" i="23" s="1"/>
  <c r="A12" i="1"/>
  <c r="AD12" i="27"/>
  <c r="B9" i="3"/>
  <c r="B9" i="29"/>
  <c r="B9" i="20"/>
  <c r="B9" i="17"/>
  <c r="B9" i="11"/>
  <c r="B9" i="7"/>
  <c r="B9" i="25"/>
  <c r="AD13" i="5"/>
  <c r="AD12" i="23"/>
  <c r="A13" i="2"/>
  <c r="A12" i="23"/>
  <c r="A12" i="27"/>
  <c r="A12" i="10"/>
  <c r="A12" i="6"/>
  <c r="A12" i="5"/>
  <c r="A12" i="18"/>
  <c r="A12" i="14"/>
  <c r="S11" i="18"/>
  <c r="Q11" i="18"/>
  <c r="W11" i="18"/>
  <c r="O11" i="18"/>
  <c r="U11" i="18"/>
  <c r="C8" i="16"/>
  <c r="E6" i="16"/>
  <c r="F5" i="16"/>
  <c r="B8" i="14"/>
  <c r="G4" i="16"/>
  <c r="D7" i="16"/>
  <c r="E7" i="15"/>
  <c r="C9" i="15"/>
  <c r="F6" i="15"/>
  <c r="G5" i="15"/>
  <c r="H9" i="14"/>
  <c r="D8" i="15"/>
  <c r="H4" i="15"/>
  <c r="D8" i="24"/>
  <c r="G5" i="24"/>
  <c r="C9" i="24"/>
  <c r="F6" i="24"/>
  <c r="E7" i="24"/>
  <c r="H4" i="24"/>
  <c r="C7" i="30"/>
  <c r="D6" i="30"/>
  <c r="E5" i="30"/>
  <c r="F4" i="30"/>
  <c r="E8" i="14"/>
  <c r="L8" i="14" s="1"/>
  <c r="D7" i="17"/>
  <c r="G4" i="17"/>
  <c r="F5" i="17"/>
  <c r="C8" i="17"/>
  <c r="E6" i="17"/>
  <c r="B10" i="24"/>
  <c r="B10" i="4"/>
  <c r="B10" i="12"/>
  <c r="B10" i="28"/>
  <c r="B10" i="15"/>
  <c r="B10" i="8"/>
  <c r="B10" i="19"/>
  <c r="AD12" i="18"/>
  <c r="G9" i="1"/>
  <c r="W11" i="23"/>
  <c r="S11" i="23"/>
  <c r="O11" i="23"/>
  <c r="U11" i="23"/>
  <c r="Q11" i="23"/>
  <c r="W11" i="10"/>
  <c r="O11" i="10"/>
  <c r="U11" i="10"/>
  <c r="S11" i="10"/>
  <c r="Q11" i="10"/>
  <c r="C8" i="13"/>
  <c r="G4" i="13"/>
  <c r="B8" i="10"/>
  <c r="D7" i="13"/>
  <c r="E6" i="13"/>
  <c r="F5" i="13"/>
  <c r="C8" i="9"/>
  <c r="F5" i="9"/>
  <c r="D7" i="9"/>
  <c r="E6" i="9"/>
  <c r="G4" i="9"/>
  <c r="E7" i="28"/>
  <c r="C9" i="28"/>
  <c r="F6" i="28"/>
  <c r="G5" i="28"/>
  <c r="D8" i="28"/>
  <c r="H4" i="28"/>
  <c r="C7" i="9"/>
  <c r="F4" i="9"/>
  <c r="E5" i="9"/>
  <c r="D6" i="9"/>
  <c r="C7" i="13"/>
  <c r="E5" i="13"/>
  <c r="F4" i="13"/>
  <c r="B7" i="10"/>
  <c r="K7" i="10" s="1"/>
  <c r="D6" i="13"/>
  <c r="D7" i="7"/>
  <c r="E6" i="7"/>
  <c r="G4" i="7"/>
  <c r="F5" i="7"/>
  <c r="C8" i="7"/>
  <c r="W11" i="6"/>
  <c r="O11" i="6"/>
  <c r="U11" i="6"/>
  <c r="S11" i="6"/>
  <c r="Q11" i="6"/>
  <c r="H9" i="5"/>
  <c r="D8" i="4"/>
  <c r="H9" i="23"/>
  <c r="H9" i="6"/>
  <c r="H4" i="4"/>
  <c r="H9" i="27"/>
  <c r="G5" i="4"/>
  <c r="C9" i="4"/>
  <c r="E7" i="4"/>
  <c r="H9" i="10"/>
  <c r="F6" i="4"/>
  <c r="B7" i="5"/>
  <c r="K7" i="5" s="1"/>
  <c r="B7" i="6"/>
  <c r="K7" i="6" s="1"/>
  <c r="E5" i="2"/>
  <c r="D6" i="2"/>
  <c r="B7" i="23"/>
  <c r="K7" i="23" s="1"/>
  <c r="B7" i="27"/>
  <c r="K7" i="27" s="1"/>
  <c r="F4" i="2"/>
  <c r="C7" i="2"/>
  <c r="D7" i="11"/>
  <c r="C8" i="11"/>
  <c r="E6" i="11"/>
  <c r="G4" i="11"/>
  <c r="F5" i="11"/>
  <c r="C8" i="25"/>
  <c r="E6" i="25"/>
  <c r="G4" i="25"/>
  <c r="F5" i="25"/>
  <c r="D7" i="25"/>
  <c r="E8" i="18"/>
  <c r="L8" i="18" s="1"/>
  <c r="D7" i="20"/>
  <c r="F5" i="20"/>
  <c r="C8" i="20"/>
  <c r="G4" i="20"/>
  <c r="E6" i="20"/>
  <c r="S11" i="14"/>
  <c r="Q11" i="14"/>
  <c r="W11" i="14"/>
  <c r="O11" i="14"/>
  <c r="U11" i="14"/>
  <c r="U11" i="27"/>
  <c r="Q11" i="27"/>
  <c r="W11" i="27"/>
  <c r="S11" i="27"/>
  <c r="O11" i="27"/>
  <c r="C8" i="26"/>
  <c r="F5" i="26"/>
  <c r="D7" i="26"/>
  <c r="G4" i="26"/>
  <c r="E6" i="26"/>
  <c r="C8" i="30"/>
  <c r="E6" i="30"/>
  <c r="F5" i="30"/>
  <c r="D7" i="30"/>
  <c r="G4" i="30"/>
  <c r="C9" i="8"/>
  <c r="E7" i="8"/>
  <c r="G5" i="8"/>
  <c r="D8" i="8"/>
  <c r="F6" i="8"/>
  <c r="H4" i="8"/>
  <c r="C9" i="12"/>
  <c r="E7" i="12"/>
  <c r="H4" i="12"/>
  <c r="D8" i="12"/>
  <c r="G5" i="12"/>
  <c r="F6" i="12"/>
  <c r="C7" i="16"/>
  <c r="B7" i="14"/>
  <c r="K7" i="14" s="1"/>
  <c r="D6" i="16"/>
  <c r="E5" i="16"/>
  <c r="F4" i="16"/>
  <c r="C7" i="26"/>
  <c r="D6" i="26"/>
  <c r="F4" i="26"/>
  <c r="E5" i="26"/>
  <c r="B12" i="1" l="1"/>
  <c r="C12" i="1"/>
  <c r="D12" i="1"/>
  <c r="E12" i="1"/>
  <c r="K8" i="10"/>
  <c r="K4" i="12"/>
  <c r="I4" i="12"/>
  <c r="I4" i="10" s="1"/>
  <c r="K4" i="28"/>
  <c r="I4" i="28"/>
  <c r="I4" i="27" s="1"/>
  <c r="K4" i="24"/>
  <c r="I4" i="24"/>
  <c r="I4" i="23" s="1"/>
  <c r="K4" i="15"/>
  <c r="I4" i="15"/>
  <c r="I4" i="14" s="1"/>
  <c r="K4" i="19"/>
  <c r="I4" i="19"/>
  <c r="I4" i="18" s="1"/>
  <c r="K4" i="8"/>
  <c r="I4" i="8"/>
  <c r="I4" i="6" s="1"/>
  <c r="K4" i="4"/>
  <c r="I4" i="4"/>
  <c r="I4" i="5" s="1"/>
  <c r="K8" i="14"/>
  <c r="K8" i="23"/>
  <c r="AD12" i="10"/>
  <c r="AD13" i="14"/>
  <c r="AD13" i="6"/>
  <c r="E8" i="15"/>
  <c r="C10" i="15"/>
  <c r="F7" i="15"/>
  <c r="G6" i="15"/>
  <c r="H5" i="15"/>
  <c r="H10" i="14"/>
  <c r="D9" i="15"/>
  <c r="F7" i="24"/>
  <c r="G6" i="24"/>
  <c r="D9" i="24"/>
  <c r="C10" i="24"/>
  <c r="H5" i="24"/>
  <c r="E8" i="24"/>
  <c r="W12" i="14"/>
  <c r="U12" i="14"/>
  <c r="S12" i="14"/>
  <c r="Q12" i="14"/>
  <c r="O12" i="14"/>
  <c r="W12" i="10"/>
  <c r="Q12" i="10"/>
  <c r="O12" i="10"/>
  <c r="U12" i="10"/>
  <c r="S12" i="10"/>
  <c r="E9" i="27"/>
  <c r="L9" i="27" s="1"/>
  <c r="E9" i="10"/>
  <c r="L9" i="10" s="1"/>
  <c r="E9" i="6"/>
  <c r="L9" i="6" s="1"/>
  <c r="D8" i="3"/>
  <c r="E9" i="5"/>
  <c r="L9" i="5" s="1"/>
  <c r="H4" i="3"/>
  <c r="E9" i="23"/>
  <c r="L9" i="23" s="1"/>
  <c r="C9" i="3"/>
  <c r="E7" i="3"/>
  <c r="G5" i="3"/>
  <c r="F6" i="3"/>
  <c r="B9" i="2"/>
  <c r="B9" i="30"/>
  <c r="B9" i="16"/>
  <c r="B9" i="9"/>
  <c r="B9" i="26"/>
  <c r="B9" i="13"/>
  <c r="B9" i="21"/>
  <c r="E8" i="28"/>
  <c r="C10" i="28"/>
  <c r="F7" i="28"/>
  <c r="G6" i="28"/>
  <c r="H5" i="28"/>
  <c r="K5" i="28" s="1"/>
  <c r="D9" i="28"/>
  <c r="W12" i="18"/>
  <c r="U12" i="18"/>
  <c r="S12" i="18"/>
  <c r="Q12" i="18"/>
  <c r="O12" i="18"/>
  <c r="W12" i="27"/>
  <c r="U12" i="27"/>
  <c r="Q12" i="27"/>
  <c r="S12" i="27"/>
  <c r="O12" i="27"/>
  <c r="AD13" i="23"/>
  <c r="AD14" i="5"/>
  <c r="E9" i="14"/>
  <c r="L9" i="14" s="1"/>
  <c r="D8" i="17"/>
  <c r="E7" i="17"/>
  <c r="C9" i="17"/>
  <c r="F6" i="17"/>
  <c r="G5" i="17"/>
  <c r="H4" i="17"/>
  <c r="B11" i="4"/>
  <c r="B11" i="19"/>
  <c r="B11" i="24"/>
  <c r="B11" i="28"/>
  <c r="B11" i="15"/>
  <c r="B11" i="12"/>
  <c r="B11" i="8"/>
  <c r="B10" i="3"/>
  <c r="B10" i="29"/>
  <c r="B10" i="20"/>
  <c r="B10" i="17"/>
  <c r="B10" i="11"/>
  <c r="B10" i="7"/>
  <c r="B10" i="25"/>
  <c r="E8" i="19"/>
  <c r="C10" i="19"/>
  <c r="D9" i="19"/>
  <c r="H10" i="18"/>
  <c r="G6" i="19"/>
  <c r="H5" i="19"/>
  <c r="F7" i="19"/>
  <c r="C10" i="12"/>
  <c r="E8" i="12"/>
  <c r="D9" i="12"/>
  <c r="F7" i="12"/>
  <c r="G6" i="12"/>
  <c r="H5" i="12"/>
  <c r="W12" i="5"/>
  <c r="Q12" i="5"/>
  <c r="U12" i="5"/>
  <c r="O12" i="5"/>
  <c r="S12" i="5"/>
  <c r="W12" i="23"/>
  <c r="U12" i="23"/>
  <c r="Q12" i="23"/>
  <c r="S12" i="23"/>
  <c r="O12" i="23"/>
  <c r="C9" i="25"/>
  <c r="E7" i="25"/>
  <c r="F6" i="25"/>
  <c r="D8" i="25"/>
  <c r="H4" i="25"/>
  <c r="G5" i="25"/>
  <c r="E9" i="18"/>
  <c r="L9" i="18" s="1"/>
  <c r="D8" i="20"/>
  <c r="H4" i="20"/>
  <c r="E7" i="20"/>
  <c r="G5" i="20"/>
  <c r="F6" i="20"/>
  <c r="C9" i="20"/>
  <c r="AD13" i="27"/>
  <c r="K8" i="6"/>
  <c r="K8" i="5"/>
  <c r="G10" i="1"/>
  <c r="D8" i="11"/>
  <c r="C9" i="11"/>
  <c r="G5" i="11"/>
  <c r="F6" i="11"/>
  <c r="H4" i="11"/>
  <c r="E7" i="11"/>
  <c r="F11" i="1"/>
  <c r="G11" i="1" s="1"/>
  <c r="AD13" i="18"/>
  <c r="C10" i="8"/>
  <c r="E8" i="8"/>
  <c r="H5" i="8"/>
  <c r="K5" i="8" s="1"/>
  <c r="F7" i="8"/>
  <c r="D9" i="8"/>
  <c r="G6" i="8"/>
  <c r="H10" i="5"/>
  <c r="F7" i="4"/>
  <c r="D9" i="4"/>
  <c r="H10" i="23"/>
  <c r="H10" i="6"/>
  <c r="G6" i="4"/>
  <c r="E8" i="4"/>
  <c r="C10" i="4"/>
  <c r="H10" i="10"/>
  <c r="H10" i="27"/>
  <c r="H5" i="4"/>
  <c r="W12" i="6"/>
  <c r="Q12" i="6"/>
  <c r="O12" i="6"/>
  <c r="U12" i="6"/>
  <c r="S12" i="6"/>
  <c r="A13" i="27"/>
  <c r="A13" i="23"/>
  <c r="A13" i="10"/>
  <c r="A13" i="18"/>
  <c r="A13" i="6"/>
  <c r="A13" i="14"/>
  <c r="A14" i="2"/>
  <c r="A13" i="5"/>
  <c r="D8" i="7"/>
  <c r="E7" i="7"/>
  <c r="F6" i="7"/>
  <c r="H4" i="7"/>
  <c r="C9" i="7"/>
  <c r="G5" i="7"/>
  <c r="D8" i="29"/>
  <c r="C9" i="29"/>
  <c r="E7" i="29"/>
  <c r="F6" i="29"/>
  <c r="H4" i="29"/>
  <c r="G5" i="29"/>
  <c r="A13" i="1"/>
  <c r="K8" i="27"/>
  <c r="K8" i="18"/>
  <c r="B13" i="1" l="1"/>
  <c r="C13" i="1"/>
  <c r="D13" i="1"/>
  <c r="E13" i="1"/>
  <c r="L4" i="28"/>
  <c r="L4" i="12"/>
  <c r="K4" i="29"/>
  <c r="I4" i="29"/>
  <c r="F4" i="27" s="1"/>
  <c r="K5" i="4"/>
  <c r="I5" i="4"/>
  <c r="I5" i="5" s="1"/>
  <c r="K4" i="11"/>
  <c r="I4" i="11"/>
  <c r="F4" i="10" s="1"/>
  <c r="K5" i="19"/>
  <c r="I5" i="19"/>
  <c r="I5" i="18" s="1"/>
  <c r="K5" i="24"/>
  <c r="I5" i="24"/>
  <c r="I5" i="23" s="1"/>
  <c r="L4" i="4"/>
  <c r="L4" i="8"/>
  <c r="L4" i="19"/>
  <c r="L4" i="15"/>
  <c r="L4" i="24"/>
  <c r="I5" i="8"/>
  <c r="I5" i="6" s="1"/>
  <c r="K4" i="7"/>
  <c r="I4" i="7"/>
  <c r="F4" i="6" s="1"/>
  <c r="K4" i="20"/>
  <c r="I4" i="20"/>
  <c r="F4" i="18" s="1"/>
  <c r="K4" i="25"/>
  <c r="I4" i="25"/>
  <c r="F4" i="23" s="1"/>
  <c r="K5" i="12"/>
  <c r="I5" i="12"/>
  <c r="I5" i="10" s="1"/>
  <c r="K4" i="17"/>
  <c r="I4" i="17"/>
  <c r="F4" i="14" s="1"/>
  <c r="K4" i="3"/>
  <c r="I4" i="3"/>
  <c r="F4" i="5" s="1"/>
  <c r="K5" i="15"/>
  <c r="I5" i="15"/>
  <c r="I5" i="14" s="1"/>
  <c r="I5" i="28"/>
  <c r="I5" i="27" s="1"/>
  <c r="AD13" i="10"/>
  <c r="AD14" i="6"/>
  <c r="AD14" i="14"/>
  <c r="AD14" i="18"/>
  <c r="E10" i="27"/>
  <c r="L10" i="27" s="1"/>
  <c r="F7" i="3"/>
  <c r="E10" i="10"/>
  <c r="L10" i="10" s="1"/>
  <c r="E10" i="6"/>
  <c r="L10" i="6" s="1"/>
  <c r="D9" i="3"/>
  <c r="E10" i="5"/>
  <c r="L10" i="5" s="1"/>
  <c r="G6" i="3"/>
  <c r="E8" i="3"/>
  <c r="E10" i="23"/>
  <c r="L10" i="23" s="1"/>
  <c r="C10" i="3"/>
  <c r="H5" i="3"/>
  <c r="E9" i="28"/>
  <c r="C11" i="28"/>
  <c r="G7" i="28"/>
  <c r="F8" i="28"/>
  <c r="D10" i="28"/>
  <c r="H6" i="28"/>
  <c r="K6" i="28" s="1"/>
  <c r="AD15" i="5"/>
  <c r="C9" i="30"/>
  <c r="E7" i="30"/>
  <c r="H4" i="30"/>
  <c r="I4" i="30" s="1"/>
  <c r="C4" i="27" s="1"/>
  <c r="D8" i="30"/>
  <c r="G5" i="30"/>
  <c r="F6" i="30"/>
  <c r="C11" i="8"/>
  <c r="G7" i="8"/>
  <c r="E9" i="8"/>
  <c r="F8" i="8"/>
  <c r="H6" i="8"/>
  <c r="K6" i="8" s="1"/>
  <c r="D10" i="8"/>
  <c r="F8" i="24"/>
  <c r="C11" i="24"/>
  <c r="D10" i="24"/>
  <c r="G7" i="24"/>
  <c r="E9" i="24"/>
  <c r="H6" i="24"/>
  <c r="K6" i="24" s="1"/>
  <c r="E7" i="26"/>
  <c r="F6" i="26"/>
  <c r="C9" i="26"/>
  <c r="D8" i="26"/>
  <c r="G5" i="26"/>
  <c r="H4" i="26"/>
  <c r="I4" i="26" s="1"/>
  <c r="C4" i="23" s="1"/>
  <c r="B9" i="5"/>
  <c r="K9" i="5" s="1"/>
  <c r="D8" i="2"/>
  <c r="H4" i="2"/>
  <c r="I4" i="2" s="1"/>
  <c r="C4" i="5" s="1"/>
  <c r="G5" i="2"/>
  <c r="B9" i="6"/>
  <c r="K9" i="6" s="1"/>
  <c r="C9" i="2"/>
  <c r="E7" i="2"/>
  <c r="B9" i="23"/>
  <c r="K9" i="23" s="1"/>
  <c r="B9" i="27"/>
  <c r="K9" i="27" s="1"/>
  <c r="F6" i="2"/>
  <c r="F12" i="1"/>
  <c r="G12" i="1" s="1"/>
  <c r="Q13" i="6"/>
  <c r="S13" i="6"/>
  <c r="O13" i="6"/>
  <c r="U13" i="6"/>
  <c r="W13" i="6"/>
  <c r="S13" i="27"/>
  <c r="O13" i="27"/>
  <c r="W13" i="27"/>
  <c r="U13" i="27"/>
  <c r="Q13" i="27"/>
  <c r="C10" i="25"/>
  <c r="E8" i="25"/>
  <c r="H5" i="25"/>
  <c r="D9" i="25"/>
  <c r="G6" i="25"/>
  <c r="F7" i="25"/>
  <c r="E10" i="18"/>
  <c r="L10" i="18" s="1"/>
  <c r="F7" i="20"/>
  <c r="D9" i="20"/>
  <c r="E8" i="20"/>
  <c r="G6" i="20"/>
  <c r="C10" i="20"/>
  <c r="H5" i="20"/>
  <c r="C11" i="12"/>
  <c r="G7" i="12"/>
  <c r="E9" i="12"/>
  <c r="H6" i="12"/>
  <c r="D10" i="12"/>
  <c r="F8" i="12"/>
  <c r="H11" i="18"/>
  <c r="E9" i="19"/>
  <c r="G7" i="19"/>
  <c r="D10" i="19"/>
  <c r="F8" i="19"/>
  <c r="C11" i="19"/>
  <c r="H6" i="19"/>
  <c r="AD14" i="23"/>
  <c r="E7" i="9"/>
  <c r="C9" i="9"/>
  <c r="F6" i="9"/>
  <c r="G5" i="9"/>
  <c r="D8" i="9"/>
  <c r="H4" i="9"/>
  <c r="I4" i="9" s="1"/>
  <c r="C4" i="6" s="1"/>
  <c r="B12" i="28"/>
  <c r="B12" i="12"/>
  <c r="B12" i="19"/>
  <c r="B12" i="8"/>
  <c r="B12" i="15"/>
  <c r="B12" i="24"/>
  <c r="B12" i="4"/>
  <c r="A14" i="1"/>
  <c r="A14" i="27"/>
  <c r="A14" i="23"/>
  <c r="A15" i="2"/>
  <c r="A14" i="10"/>
  <c r="A14" i="6"/>
  <c r="A14" i="5"/>
  <c r="A14" i="18"/>
  <c r="A14" i="14"/>
  <c r="Q13" i="10"/>
  <c r="S13" i="10"/>
  <c r="O13" i="10"/>
  <c r="U13" i="10"/>
  <c r="W13" i="10"/>
  <c r="B11" i="2"/>
  <c r="B11" i="30"/>
  <c r="B11" i="16"/>
  <c r="B11" i="21"/>
  <c r="B11" i="26"/>
  <c r="B11" i="9"/>
  <c r="B11" i="13"/>
  <c r="D9" i="11"/>
  <c r="F7" i="11"/>
  <c r="C10" i="11"/>
  <c r="E8" i="11"/>
  <c r="H5" i="11"/>
  <c r="G6" i="11"/>
  <c r="E7" i="13"/>
  <c r="C9" i="13"/>
  <c r="D8" i="13"/>
  <c r="F6" i="13"/>
  <c r="B9" i="10"/>
  <c r="K9" i="10" s="1"/>
  <c r="H4" i="13"/>
  <c r="I4" i="13" s="1"/>
  <c r="C4" i="10" s="1"/>
  <c r="G5" i="13"/>
  <c r="Q13" i="14"/>
  <c r="S13" i="14"/>
  <c r="O13" i="14"/>
  <c r="W13" i="14"/>
  <c r="U13" i="14"/>
  <c r="W13" i="23"/>
  <c r="Q13" i="23"/>
  <c r="S13" i="23"/>
  <c r="O13" i="23"/>
  <c r="U13" i="23"/>
  <c r="B10" i="2"/>
  <c r="B10" i="30"/>
  <c r="B10" i="16"/>
  <c r="B10" i="9"/>
  <c r="B10" i="21"/>
  <c r="B10" i="26"/>
  <c r="B10" i="13"/>
  <c r="E10" i="14"/>
  <c r="L10" i="14" s="1"/>
  <c r="F7" i="17"/>
  <c r="D9" i="17"/>
  <c r="G6" i="17"/>
  <c r="H5" i="17"/>
  <c r="C10" i="17"/>
  <c r="E8" i="17"/>
  <c r="W13" i="5"/>
  <c r="O13" i="5"/>
  <c r="U13" i="5"/>
  <c r="S13" i="5"/>
  <c r="Q13" i="5"/>
  <c r="Q13" i="18"/>
  <c r="S13" i="18"/>
  <c r="O13" i="18"/>
  <c r="W13" i="18"/>
  <c r="U13" i="18"/>
  <c r="B11" i="7"/>
  <c r="B11" i="3"/>
  <c r="B11" i="11"/>
  <c r="B11" i="20"/>
  <c r="B11" i="25"/>
  <c r="B11" i="29"/>
  <c r="B11" i="17"/>
  <c r="AD14" i="27"/>
  <c r="D9" i="7"/>
  <c r="F7" i="7"/>
  <c r="E8" i="7"/>
  <c r="H5" i="7"/>
  <c r="C10" i="7"/>
  <c r="G6" i="7"/>
  <c r="F7" i="29"/>
  <c r="D9" i="29"/>
  <c r="G6" i="29"/>
  <c r="H5" i="29"/>
  <c r="C10" i="29"/>
  <c r="E8" i="29"/>
  <c r="H11" i="14"/>
  <c r="C11" i="15"/>
  <c r="E9" i="15"/>
  <c r="G7" i="15"/>
  <c r="F8" i="15"/>
  <c r="D10" i="15"/>
  <c r="H6" i="15"/>
  <c r="H11" i="5"/>
  <c r="H11" i="27"/>
  <c r="F8" i="4"/>
  <c r="H11" i="10"/>
  <c r="D10" i="4"/>
  <c r="H11" i="6"/>
  <c r="E9" i="4"/>
  <c r="G7" i="4"/>
  <c r="H6" i="4"/>
  <c r="H11" i="23"/>
  <c r="C11" i="4"/>
  <c r="C9" i="21"/>
  <c r="E7" i="21"/>
  <c r="B9" i="18"/>
  <c r="K9" i="18" s="1"/>
  <c r="G5" i="21"/>
  <c r="D8" i="21"/>
  <c r="F6" i="21"/>
  <c r="H4" i="21"/>
  <c r="I4" i="21" s="1"/>
  <c r="C4" i="18" s="1"/>
  <c r="M4" i="18" s="1"/>
  <c r="C9" i="16"/>
  <c r="E7" i="16"/>
  <c r="H4" i="16"/>
  <c r="I4" i="16" s="1"/>
  <c r="C4" i="14" s="1"/>
  <c r="B9" i="14"/>
  <c r="K9" i="14" s="1"/>
  <c r="D8" i="16"/>
  <c r="G5" i="16"/>
  <c r="F6" i="16"/>
  <c r="B14" i="1" l="1"/>
  <c r="C14" i="1"/>
  <c r="D14" i="1"/>
  <c r="E14" i="1"/>
  <c r="M4" i="5"/>
  <c r="M4" i="27"/>
  <c r="M4" i="10"/>
  <c r="M4" i="6"/>
  <c r="L4" i="29"/>
  <c r="N4" i="27" s="1"/>
  <c r="L4" i="3"/>
  <c r="N4" i="5" s="1"/>
  <c r="L5" i="12"/>
  <c r="L4" i="25"/>
  <c r="N4" i="23" s="1"/>
  <c r="L4" i="20"/>
  <c r="N4" i="18" s="1"/>
  <c r="X4" i="18" s="1"/>
  <c r="L5" i="24"/>
  <c r="L4" i="11"/>
  <c r="N4" i="10" s="1"/>
  <c r="M4" i="14"/>
  <c r="M4" i="23"/>
  <c r="K6" i="15"/>
  <c r="I6" i="15"/>
  <c r="I6" i="14" s="1"/>
  <c r="K6" i="12"/>
  <c r="I6" i="12"/>
  <c r="I6" i="10" s="1"/>
  <c r="K5" i="20"/>
  <c r="I5" i="20"/>
  <c r="F5" i="18" s="1"/>
  <c r="K5" i="25"/>
  <c r="I5" i="25"/>
  <c r="F5" i="23" s="1"/>
  <c r="L5" i="28"/>
  <c r="L5" i="19"/>
  <c r="L5" i="8"/>
  <c r="L5" i="4"/>
  <c r="I6" i="24"/>
  <c r="I6" i="23" s="1"/>
  <c r="I6" i="8"/>
  <c r="I6" i="6" s="1"/>
  <c r="K6" i="4"/>
  <c r="I6" i="4"/>
  <c r="I6" i="5" s="1"/>
  <c r="K5" i="29"/>
  <c r="I5" i="29"/>
  <c r="F5" i="27" s="1"/>
  <c r="K5" i="7"/>
  <c r="I5" i="7"/>
  <c r="F5" i="6" s="1"/>
  <c r="K5" i="17"/>
  <c r="I5" i="17"/>
  <c r="F5" i="14" s="1"/>
  <c r="K5" i="11"/>
  <c r="I5" i="11"/>
  <c r="F5" i="10" s="1"/>
  <c r="K6" i="19"/>
  <c r="I6" i="19"/>
  <c r="I6" i="18" s="1"/>
  <c r="K5" i="3"/>
  <c r="I5" i="3"/>
  <c r="F5" i="5" s="1"/>
  <c r="L4" i="17"/>
  <c r="N4" i="14" s="1"/>
  <c r="L4" i="7"/>
  <c r="N4" i="6" s="1"/>
  <c r="L5" i="15"/>
  <c r="I6" i="28"/>
  <c r="I6" i="27" s="1"/>
  <c r="AD14" i="10"/>
  <c r="AD15" i="6"/>
  <c r="AD15" i="14"/>
  <c r="B12" i="26"/>
  <c r="B12" i="30"/>
  <c r="B12" i="13"/>
  <c r="B12" i="21"/>
  <c r="B12" i="9"/>
  <c r="B12" i="16"/>
  <c r="B12" i="2"/>
  <c r="C11" i="17"/>
  <c r="F8" i="17"/>
  <c r="D10" i="17"/>
  <c r="G7" i="17"/>
  <c r="H6" i="17"/>
  <c r="E11" i="14"/>
  <c r="L11" i="14" s="1"/>
  <c r="E9" i="17"/>
  <c r="W14" i="6"/>
  <c r="O14" i="6"/>
  <c r="U14" i="6"/>
  <c r="S14" i="6"/>
  <c r="Q14" i="6"/>
  <c r="S14" i="27"/>
  <c r="O14" i="27"/>
  <c r="Q14" i="27"/>
  <c r="U14" i="27"/>
  <c r="W14" i="27"/>
  <c r="C12" i="4"/>
  <c r="H12" i="23"/>
  <c r="H12" i="27"/>
  <c r="H12" i="10"/>
  <c r="H12" i="6"/>
  <c r="D11" i="4"/>
  <c r="F9" i="4"/>
  <c r="H12" i="5"/>
  <c r="H7" i="4"/>
  <c r="E10" i="4"/>
  <c r="G8" i="4"/>
  <c r="H12" i="18"/>
  <c r="D11" i="19"/>
  <c r="C12" i="19"/>
  <c r="E10" i="19"/>
  <c r="G8" i="19"/>
  <c r="F9" i="19"/>
  <c r="H7" i="19"/>
  <c r="I7" i="19" s="1"/>
  <c r="I7" i="18" s="1"/>
  <c r="AD15" i="23"/>
  <c r="AD15" i="27"/>
  <c r="E11" i="6"/>
  <c r="L11" i="6" s="1"/>
  <c r="E11" i="10"/>
  <c r="L11" i="10" s="1"/>
  <c r="E11" i="23"/>
  <c r="L11" i="23" s="1"/>
  <c r="F8" i="3"/>
  <c r="E11" i="5"/>
  <c r="L11" i="5" s="1"/>
  <c r="D10" i="3"/>
  <c r="E9" i="3"/>
  <c r="G7" i="3"/>
  <c r="C11" i="3"/>
  <c r="H6" i="3"/>
  <c r="E11" i="27"/>
  <c r="L11" i="27" s="1"/>
  <c r="C10" i="16"/>
  <c r="E8" i="16"/>
  <c r="F7" i="16"/>
  <c r="D9" i="16"/>
  <c r="G6" i="16"/>
  <c r="B10" i="14"/>
  <c r="K10" i="14" s="1"/>
  <c r="H5" i="16"/>
  <c r="I5" i="16" s="1"/>
  <c r="C5" i="14" s="1"/>
  <c r="W14" i="10"/>
  <c r="O14" i="10"/>
  <c r="U14" i="10"/>
  <c r="S14" i="10"/>
  <c r="Q14" i="10"/>
  <c r="C12" i="24"/>
  <c r="D11" i="24"/>
  <c r="F9" i="24"/>
  <c r="H7" i="24"/>
  <c r="G8" i="24"/>
  <c r="E10" i="24"/>
  <c r="G8" i="12"/>
  <c r="C12" i="12"/>
  <c r="E10" i="12"/>
  <c r="H7" i="12"/>
  <c r="K7" i="12" s="1"/>
  <c r="F9" i="12"/>
  <c r="D11" i="12"/>
  <c r="C11" i="25"/>
  <c r="G7" i="25"/>
  <c r="H6" i="25"/>
  <c r="I6" i="25" s="1"/>
  <c r="F6" i="23" s="1"/>
  <c r="E9" i="25"/>
  <c r="D10" i="25"/>
  <c r="F8" i="25"/>
  <c r="D10" i="7"/>
  <c r="F8" i="7"/>
  <c r="G7" i="7"/>
  <c r="C11" i="7"/>
  <c r="H6" i="7"/>
  <c r="K6" i="7" s="1"/>
  <c r="E9" i="7"/>
  <c r="E8" i="26"/>
  <c r="C10" i="26"/>
  <c r="D9" i="26"/>
  <c r="G6" i="26"/>
  <c r="F7" i="26"/>
  <c r="H5" i="26"/>
  <c r="I5" i="26" s="1"/>
  <c r="C5" i="23" s="1"/>
  <c r="C10" i="30"/>
  <c r="E8" i="30"/>
  <c r="D9" i="30"/>
  <c r="F7" i="30"/>
  <c r="G6" i="30"/>
  <c r="H5" i="30"/>
  <c r="I5" i="30" s="1"/>
  <c r="C5" i="27" s="1"/>
  <c r="B11" i="18"/>
  <c r="G7" i="21"/>
  <c r="C11" i="21"/>
  <c r="E9" i="21"/>
  <c r="F8" i="21"/>
  <c r="H6" i="21"/>
  <c r="D10" i="21"/>
  <c r="W14" i="18"/>
  <c r="S14" i="18"/>
  <c r="Q14" i="18"/>
  <c r="O14" i="18"/>
  <c r="U14" i="18"/>
  <c r="A15" i="27"/>
  <c r="A15" i="23"/>
  <c r="A15" i="10"/>
  <c r="A15" i="6"/>
  <c r="A16" i="2"/>
  <c r="A15" i="18"/>
  <c r="A15" i="14"/>
  <c r="A15" i="5"/>
  <c r="D11" i="15"/>
  <c r="H12" i="14"/>
  <c r="C12" i="15"/>
  <c r="E10" i="15"/>
  <c r="G8" i="15"/>
  <c r="F9" i="15"/>
  <c r="H7" i="15"/>
  <c r="I7" i="15" s="1"/>
  <c r="I7" i="14" s="1"/>
  <c r="D11" i="28"/>
  <c r="C12" i="28"/>
  <c r="E10" i="28"/>
  <c r="G8" i="28"/>
  <c r="H7" i="28"/>
  <c r="F9" i="28"/>
  <c r="C11" i="11"/>
  <c r="D10" i="11"/>
  <c r="F8" i="11"/>
  <c r="E9" i="11"/>
  <c r="G7" i="11"/>
  <c r="H6" i="11"/>
  <c r="K6" i="11" s="1"/>
  <c r="E8" i="9"/>
  <c r="C10" i="9"/>
  <c r="F7" i="9"/>
  <c r="G6" i="9"/>
  <c r="D9" i="9"/>
  <c r="H5" i="9"/>
  <c r="I5" i="9" s="1"/>
  <c r="C5" i="6" s="1"/>
  <c r="M5" i="6" s="1"/>
  <c r="C11" i="9"/>
  <c r="E9" i="9"/>
  <c r="G7" i="9"/>
  <c r="D10" i="9"/>
  <c r="F8" i="9"/>
  <c r="H6" i="9"/>
  <c r="G7" i="30"/>
  <c r="E9" i="30"/>
  <c r="H6" i="30"/>
  <c r="D10" i="30"/>
  <c r="C11" i="30"/>
  <c r="F8" i="30"/>
  <c r="B13" i="28"/>
  <c r="B13" i="12"/>
  <c r="B13" i="19"/>
  <c r="B13" i="8"/>
  <c r="B13" i="15"/>
  <c r="B13" i="4"/>
  <c r="B13" i="24"/>
  <c r="AD16" i="5"/>
  <c r="C11" i="29"/>
  <c r="F8" i="29"/>
  <c r="D10" i="29"/>
  <c r="G7" i="29"/>
  <c r="H6" i="29"/>
  <c r="E9" i="29"/>
  <c r="E8" i="13"/>
  <c r="C10" i="13"/>
  <c r="D9" i="13"/>
  <c r="H5" i="13"/>
  <c r="I5" i="13" s="1"/>
  <c r="C5" i="10" s="1"/>
  <c r="B10" i="10"/>
  <c r="K10" i="10" s="1"/>
  <c r="G6" i="13"/>
  <c r="F7" i="13"/>
  <c r="C11" i="26"/>
  <c r="E9" i="26"/>
  <c r="G7" i="26"/>
  <c r="H6" i="26"/>
  <c r="D10" i="26"/>
  <c r="F8" i="26"/>
  <c r="B11" i="27"/>
  <c r="B11" i="5"/>
  <c r="F8" i="2"/>
  <c r="B11" i="6"/>
  <c r="D10" i="2"/>
  <c r="E9" i="2"/>
  <c r="G7" i="2"/>
  <c r="H6" i="2"/>
  <c r="C11" i="2"/>
  <c r="B11" i="23"/>
  <c r="W14" i="14"/>
  <c r="S14" i="14"/>
  <c r="Q14" i="14"/>
  <c r="O14" i="14"/>
  <c r="U14" i="14"/>
  <c r="C11" i="20"/>
  <c r="E11" i="18"/>
  <c r="L11" i="18" s="1"/>
  <c r="F8" i="20"/>
  <c r="D10" i="20"/>
  <c r="E9" i="20"/>
  <c r="H6" i="20"/>
  <c r="G7" i="20"/>
  <c r="C10" i="21"/>
  <c r="E8" i="21"/>
  <c r="B10" i="18"/>
  <c r="K10" i="18" s="1"/>
  <c r="F7" i="21"/>
  <c r="H5" i="21"/>
  <c r="I5" i="21" s="1"/>
  <c r="C5" i="18" s="1"/>
  <c r="D9" i="21"/>
  <c r="G6" i="21"/>
  <c r="F7" i="2"/>
  <c r="B10" i="5"/>
  <c r="K10" i="5" s="1"/>
  <c r="D9" i="2"/>
  <c r="G6" i="2"/>
  <c r="E8" i="2"/>
  <c r="B10" i="6"/>
  <c r="K10" i="6" s="1"/>
  <c r="C10" i="2"/>
  <c r="B10" i="23"/>
  <c r="K10" i="23" s="1"/>
  <c r="B10" i="27"/>
  <c r="K10" i="27" s="1"/>
  <c r="H5" i="2"/>
  <c r="I5" i="2" s="1"/>
  <c r="C5" i="5" s="1"/>
  <c r="C11" i="13"/>
  <c r="E9" i="13"/>
  <c r="G7" i="13"/>
  <c r="D10" i="13"/>
  <c r="B11" i="10"/>
  <c r="F8" i="13"/>
  <c r="H6" i="13"/>
  <c r="B11" i="14"/>
  <c r="G7" i="16"/>
  <c r="E9" i="16"/>
  <c r="C11" i="16"/>
  <c r="H6" i="16"/>
  <c r="D10" i="16"/>
  <c r="F8" i="16"/>
  <c r="Q14" i="5"/>
  <c r="W14" i="5"/>
  <c r="U14" i="5"/>
  <c r="O14" i="5"/>
  <c r="S14" i="5"/>
  <c r="W14" i="23"/>
  <c r="U14" i="23"/>
  <c r="Q14" i="23"/>
  <c r="S14" i="23"/>
  <c r="O14" i="23"/>
  <c r="F13" i="1"/>
  <c r="A15" i="1"/>
  <c r="G8" i="8"/>
  <c r="C12" i="8"/>
  <c r="D11" i="8"/>
  <c r="E10" i="8"/>
  <c r="F9" i="8"/>
  <c r="H7" i="8"/>
  <c r="K7" i="8" s="1"/>
  <c r="B12" i="25"/>
  <c r="B12" i="3"/>
  <c r="B12" i="20"/>
  <c r="B12" i="11"/>
  <c r="B12" i="7"/>
  <c r="B12" i="17"/>
  <c r="B12" i="29"/>
  <c r="AD15" i="18"/>
  <c r="B15" i="1" l="1"/>
  <c r="C15" i="1"/>
  <c r="D15" i="1"/>
  <c r="E15" i="1"/>
  <c r="X4" i="5"/>
  <c r="X4" i="27"/>
  <c r="X4" i="10"/>
  <c r="I6" i="9"/>
  <c r="C6" i="6" s="1"/>
  <c r="M6" i="6" s="1"/>
  <c r="X4" i="6"/>
  <c r="L5" i="11"/>
  <c r="N5" i="10" s="1"/>
  <c r="L5" i="7"/>
  <c r="N5" i="6" s="1"/>
  <c r="X5" i="6" s="1"/>
  <c r="X4" i="23"/>
  <c r="L6" i="19"/>
  <c r="L5" i="17"/>
  <c r="N5" i="14" s="1"/>
  <c r="L5" i="29"/>
  <c r="N5" i="27" s="1"/>
  <c r="K7" i="19"/>
  <c r="L7" i="19" s="1"/>
  <c r="M5" i="5"/>
  <c r="K7" i="15"/>
  <c r="L7" i="15" s="1"/>
  <c r="L6" i="24"/>
  <c r="K6" i="25"/>
  <c r="L6" i="25" s="1"/>
  <c r="M5" i="23"/>
  <c r="I6" i="16"/>
  <c r="C6" i="14" s="1"/>
  <c r="K11" i="14"/>
  <c r="M5" i="18"/>
  <c r="I6" i="30"/>
  <c r="C6" i="27" s="1"/>
  <c r="M5" i="27"/>
  <c r="X4" i="14"/>
  <c r="I6" i="13"/>
  <c r="C6" i="10" s="1"/>
  <c r="M6" i="10" s="1"/>
  <c r="K11" i="6"/>
  <c r="K11" i="5"/>
  <c r="I6" i="26"/>
  <c r="C6" i="23" s="1"/>
  <c r="M5" i="14"/>
  <c r="L6" i="4"/>
  <c r="L5" i="25"/>
  <c r="N5" i="23" s="1"/>
  <c r="L5" i="20"/>
  <c r="N5" i="18" s="1"/>
  <c r="K11" i="10"/>
  <c r="M5" i="10"/>
  <c r="L6" i="15"/>
  <c r="I6" i="21"/>
  <c r="C6" i="18" s="1"/>
  <c r="I6" i="2"/>
  <c r="C6" i="5" s="1"/>
  <c r="L5" i="3"/>
  <c r="N5" i="5" s="1"/>
  <c r="X5" i="5" s="1"/>
  <c r="K6" i="29"/>
  <c r="I6" i="29"/>
  <c r="F6" i="27" s="1"/>
  <c r="K7" i="24"/>
  <c r="I7" i="24"/>
  <c r="I7" i="23" s="1"/>
  <c r="K6" i="3"/>
  <c r="I6" i="3"/>
  <c r="F6" i="5" s="1"/>
  <c r="K6" i="17"/>
  <c r="I6" i="17"/>
  <c r="F6" i="14" s="1"/>
  <c r="L6" i="28"/>
  <c r="L6" i="8"/>
  <c r="L6" i="12"/>
  <c r="I7" i="8"/>
  <c r="I7" i="6" s="1"/>
  <c r="I7" i="12"/>
  <c r="I7" i="10" s="1"/>
  <c r="K6" i="20"/>
  <c r="I6" i="20"/>
  <c r="F6" i="18" s="1"/>
  <c r="K7" i="28"/>
  <c r="I7" i="28"/>
  <c r="I7" i="27" s="1"/>
  <c r="K7" i="4"/>
  <c r="I7" i="4"/>
  <c r="I7" i="5" s="1"/>
  <c r="I6" i="11"/>
  <c r="F6" i="10" s="1"/>
  <c r="I6" i="7"/>
  <c r="F6" i="6" s="1"/>
  <c r="K11" i="18"/>
  <c r="AD15" i="10"/>
  <c r="AD16" i="14"/>
  <c r="AD16" i="6"/>
  <c r="C12" i="20"/>
  <c r="F9" i="20"/>
  <c r="H7" i="20"/>
  <c r="D11" i="20"/>
  <c r="E10" i="20"/>
  <c r="E12" i="18"/>
  <c r="L12" i="18" s="1"/>
  <c r="G8" i="20"/>
  <c r="F14" i="1"/>
  <c r="D12" i="28"/>
  <c r="G9" i="28"/>
  <c r="E11" i="28"/>
  <c r="H8" i="28"/>
  <c r="K8" i="28" s="1"/>
  <c r="F10" i="28"/>
  <c r="C13" i="28"/>
  <c r="W15" i="18"/>
  <c r="S15" i="18"/>
  <c r="O15" i="18"/>
  <c r="U15" i="18"/>
  <c r="Q15" i="18"/>
  <c r="U15" i="23"/>
  <c r="Q15" i="23"/>
  <c r="S15" i="23"/>
  <c r="W15" i="23"/>
  <c r="O15" i="23"/>
  <c r="E10" i="9"/>
  <c r="G8" i="9"/>
  <c r="C12" i="9"/>
  <c r="D11" i="9"/>
  <c r="H7" i="9"/>
  <c r="I7" i="9" s="1"/>
  <c r="C7" i="6" s="1"/>
  <c r="F9" i="9"/>
  <c r="E10" i="26"/>
  <c r="G8" i="26"/>
  <c r="C12" i="26"/>
  <c r="F9" i="26"/>
  <c r="D11" i="26"/>
  <c r="H7" i="26"/>
  <c r="I7" i="26" s="1"/>
  <c r="C7" i="23" s="1"/>
  <c r="C12" i="17"/>
  <c r="D11" i="17"/>
  <c r="F9" i="17"/>
  <c r="H7" i="17"/>
  <c r="K7" i="17" s="1"/>
  <c r="G8" i="17"/>
  <c r="E12" i="14"/>
  <c r="L12" i="14" s="1"/>
  <c r="E10" i="17"/>
  <c r="E12" i="23"/>
  <c r="L12" i="23" s="1"/>
  <c r="C12" i="3"/>
  <c r="E12" i="5"/>
  <c r="L12" i="5" s="1"/>
  <c r="D11" i="3"/>
  <c r="F9" i="3"/>
  <c r="H7" i="3"/>
  <c r="K7" i="3" s="1"/>
  <c r="E12" i="6"/>
  <c r="L12" i="6" s="1"/>
  <c r="E10" i="3"/>
  <c r="E12" i="27"/>
  <c r="L12" i="27" s="1"/>
  <c r="E12" i="10"/>
  <c r="L12" i="10" s="1"/>
  <c r="G8" i="3"/>
  <c r="A16" i="27"/>
  <c r="A17" i="2"/>
  <c r="A16" i="23"/>
  <c r="A16" i="18"/>
  <c r="A16" i="14"/>
  <c r="A16" i="5"/>
  <c r="A16" i="10"/>
  <c r="A16" i="6"/>
  <c r="U15" i="27"/>
  <c r="Q15" i="27"/>
  <c r="S15" i="27"/>
  <c r="W15" i="27"/>
  <c r="O15" i="27"/>
  <c r="B12" i="18"/>
  <c r="D11" i="21"/>
  <c r="G8" i="21"/>
  <c r="E10" i="21"/>
  <c r="F9" i="21"/>
  <c r="C12" i="21"/>
  <c r="H7" i="21"/>
  <c r="I7" i="21" s="1"/>
  <c r="C7" i="18" s="1"/>
  <c r="AD16" i="18"/>
  <c r="C12" i="7"/>
  <c r="D11" i="7"/>
  <c r="H7" i="7"/>
  <c r="F9" i="7"/>
  <c r="G8" i="7"/>
  <c r="E10" i="7"/>
  <c r="C12" i="25"/>
  <c r="G8" i="25"/>
  <c r="D11" i="25"/>
  <c r="E10" i="25"/>
  <c r="H7" i="25"/>
  <c r="K7" i="25" s="1"/>
  <c r="F9" i="25"/>
  <c r="A16" i="1"/>
  <c r="K11" i="23"/>
  <c r="AD17" i="5"/>
  <c r="C13" i="24"/>
  <c r="F10" i="24"/>
  <c r="H8" i="24"/>
  <c r="K8" i="24" s="1"/>
  <c r="E11" i="24"/>
  <c r="D12" i="24"/>
  <c r="G9" i="24"/>
  <c r="H13" i="18"/>
  <c r="D12" i="19"/>
  <c r="E11" i="19"/>
  <c r="G9" i="19"/>
  <c r="C13" i="19"/>
  <c r="F10" i="19"/>
  <c r="H8" i="19"/>
  <c r="K8" i="19" s="1"/>
  <c r="W15" i="5"/>
  <c r="U15" i="5"/>
  <c r="S15" i="5"/>
  <c r="O15" i="5"/>
  <c r="Q15" i="5"/>
  <c r="W15" i="6"/>
  <c r="S15" i="6"/>
  <c r="O15" i="6"/>
  <c r="U15" i="6"/>
  <c r="Q15" i="6"/>
  <c r="B12" i="27"/>
  <c r="B12" i="6"/>
  <c r="C12" i="2"/>
  <c r="B12" i="23"/>
  <c r="D11" i="2"/>
  <c r="F9" i="2"/>
  <c r="H7" i="2"/>
  <c r="I7" i="2" s="1"/>
  <c r="C7" i="5" s="1"/>
  <c r="E10" i="2"/>
  <c r="B12" i="5"/>
  <c r="G8" i="2"/>
  <c r="B12" i="10"/>
  <c r="D11" i="13"/>
  <c r="E10" i="13"/>
  <c r="G8" i="13"/>
  <c r="F9" i="13"/>
  <c r="C12" i="13"/>
  <c r="H7" i="13"/>
  <c r="I7" i="13" s="1"/>
  <c r="C7" i="10" s="1"/>
  <c r="C12" i="29"/>
  <c r="F9" i="29"/>
  <c r="D11" i="29"/>
  <c r="H7" i="29"/>
  <c r="K7" i="29" s="1"/>
  <c r="E10" i="29"/>
  <c r="G8" i="29"/>
  <c r="B13" i="25"/>
  <c r="B13" i="11"/>
  <c r="B13" i="7"/>
  <c r="B13" i="29"/>
  <c r="B13" i="20"/>
  <c r="B13" i="17"/>
  <c r="B13" i="3"/>
  <c r="H13" i="14"/>
  <c r="D12" i="15"/>
  <c r="G9" i="15"/>
  <c r="E11" i="15"/>
  <c r="H8" i="15"/>
  <c r="K8" i="15" s="1"/>
  <c r="F10" i="15"/>
  <c r="C13" i="15"/>
  <c r="D12" i="8"/>
  <c r="E11" i="8"/>
  <c r="G9" i="8"/>
  <c r="F10" i="8"/>
  <c r="H8" i="8"/>
  <c r="K8" i="8" s="1"/>
  <c r="C13" i="8"/>
  <c r="AD16" i="27"/>
  <c r="D11" i="11"/>
  <c r="C12" i="11"/>
  <c r="H7" i="11"/>
  <c r="F9" i="11"/>
  <c r="E10" i="11"/>
  <c r="G8" i="11"/>
  <c r="B14" i="28"/>
  <c r="B14" i="12"/>
  <c r="B14" i="19"/>
  <c r="B14" i="8"/>
  <c r="B14" i="15"/>
  <c r="B14" i="24"/>
  <c r="B14" i="4"/>
  <c r="G13" i="1"/>
  <c r="K11" i="27"/>
  <c r="H13" i="23"/>
  <c r="H13" i="27"/>
  <c r="H13" i="10"/>
  <c r="H13" i="6"/>
  <c r="C13" i="4"/>
  <c r="F10" i="4"/>
  <c r="E11" i="4"/>
  <c r="H8" i="4"/>
  <c r="G9" i="4"/>
  <c r="D12" i="4"/>
  <c r="H13" i="5"/>
  <c r="D12" i="12"/>
  <c r="E11" i="12"/>
  <c r="G9" i="12"/>
  <c r="C13" i="12"/>
  <c r="H8" i="12"/>
  <c r="F10" i="12"/>
  <c r="W15" i="14"/>
  <c r="S15" i="14"/>
  <c r="O15" i="14"/>
  <c r="U15" i="14"/>
  <c r="Q15" i="14"/>
  <c r="W15" i="10"/>
  <c r="S15" i="10"/>
  <c r="O15" i="10"/>
  <c r="U15" i="10"/>
  <c r="Q15" i="10"/>
  <c r="AD16" i="23"/>
  <c r="B12" i="14"/>
  <c r="D11" i="16"/>
  <c r="G8" i="16"/>
  <c r="E10" i="16"/>
  <c r="C12" i="16"/>
  <c r="H7" i="16"/>
  <c r="I7" i="16" s="1"/>
  <c r="C7" i="14" s="1"/>
  <c r="F9" i="16"/>
  <c r="D11" i="30"/>
  <c r="G8" i="30"/>
  <c r="E10" i="30"/>
  <c r="C12" i="30"/>
  <c r="H7" i="30"/>
  <c r="I7" i="30" s="1"/>
  <c r="C7" i="27" s="1"/>
  <c r="F9" i="30"/>
  <c r="B16" i="1" l="1"/>
  <c r="C16" i="1"/>
  <c r="D16" i="1"/>
  <c r="E16" i="1"/>
  <c r="V4" i="10"/>
  <c r="M6" i="27"/>
  <c r="X5" i="14"/>
  <c r="X5" i="27"/>
  <c r="V4" i="18"/>
  <c r="V4" i="6"/>
  <c r="V4" i="5"/>
  <c r="V4" i="23"/>
  <c r="N6" i="23"/>
  <c r="M6" i="18"/>
  <c r="X5" i="18"/>
  <c r="K12" i="27"/>
  <c r="X5" i="23"/>
  <c r="M6" i="14"/>
  <c r="V4" i="27"/>
  <c r="X5" i="10"/>
  <c r="V4" i="14"/>
  <c r="K12" i="10"/>
  <c r="L6" i="17"/>
  <c r="N6" i="14" s="1"/>
  <c r="M6" i="23"/>
  <c r="M6" i="5"/>
  <c r="L6" i="29"/>
  <c r="N6" i="27" s="1"/>
  <c r="K12" i="14"/>
  <c r="L6" i="20"/>
  <c r="N6" i="18" s="1"/>
  <c r="K12" i="23"/>
  <c r="L6" i="3"/>
  <c r="N6" i="5" s="1"/>
  <c r="L6" i="11"/>
  <c r="N6" i="10" s="1"/>
  <c r="V5" i="10" s="1"/>
  <c r="L7" i="24"/>
  <c r="I8" i="15"/>
  <c r="I8" i="14" s="1"/>
  <c r="I8" i="8"/>
  <c r="I8" i="6" s="1"/>
  <c r="I8" i="19"/>
  <c r="I8" i="18" s="1"/>
  <c r="I8" i="24"/>
  <c r="I8" i="23" s="1"/>
  <c r="I8" i="28"/>
  <c r="I8" i="27" s="1"/>
  <c r="K8" i="12"/>
  <c r="I8" i="12"/>
  <c r="I8" i="10" s="1"/>
  <c r="K8" i="4"/>
  <c r="I8" i="4"/>
  <c r="I8" i="5" s="1"/>
  <c r="K7" i="11"/>
  <c r="M7" i="10" s="1"/>
  <c r="I7" i="11"/>
  <c r="F7" i="10" s="1"/>
  <c r="K7" i="20"/>
  <c r="M7" i="18" s="1"/>
  <c r="I7" i="20"/>
  <c r="F7" i="18" s="1"/>
  <c r="L7" i="12"/>
  <c r="I7" i="25"/>
  <c r="F7" i="23" s="1"/>
  <c r="K7" i="7"/>
  <c r="M7" i="6" s="1"/>
  <c r="I7" i="7"/>
  <c r="F7" i="6" s="1"/>
  <c r="L6" i="7"/>
  <c r="N6" i="6" s="1"/>
  <c r="V5" i="6" s="1"/>
  <c r="L7" i="4"/>
  <c r="L7" i="28"/>
  <c r="L7" i="8"/>
  <c r="I7" i="29"/>
  <c r="F7" i="27" s="1"/>
  <c r="I7" i="17"/>
  <c r="F7" i="14" s="1"/>
  <c r="I7" i="3"/>
  <c r="F7" i="5" s="1"/>
  <c r="AD16" i="10"/>
  <c r="AD17" i="6"/>
  <c r="AD17" i="14"/>
  <c r="M7" i="27"/>
  <c r="B13" i="26"/>
  <c r="B13" i="30"/>
  <c r="B13" i="13"/>
  <c r="B13" i="21"/>
  <c r="B13" i="9"/>
  <c r="B13" i="16"/>
  <c r="B13" i="2"/>
  <c r="C13" i="29"/>
  <c r="E11" i="29"/>
  <c r="D12" i="29"/>
  <c r="F10" i="29"/>
  <c r="H8" i="29"/>
  <c r="K8" i="29" s="1"/>
  <c r="G9" i="29"/>
  <c r="S16" i="14"/>
  <c r="O16" i="14"/>
  <c r="W16" i="14"/>
  <c r="Q16" i="14"/>
  <c r="U16" i="14"/>
  <c r="W16" i="27"/>
  <c r="Q16" i="27"/>
  <c r="U16" i="27"/>
  <c r="S16" i="27"/>
  <c r="O16" i="27"/>
  <c r="M7" i="14"/>
  <c r="AD17" i="23"/>
  <c r="C14" i="4"/>
  <c r="F11" i="4"/>
  <c r="H14" i="23"/>
  <c r="H14" i="27"/>
  <c r="H14" i="10"/>
  <c r="H14" i="6"/>
  <c r="E12" i="4"/>
  <c r="H14" i="5"/>
  <c r="D13" i="4"/>
  <c r="H9" i="4"/>
  <c r="K9" i="4" s="1"/>
  <c r="G10" i="4"/>
  <c r="E13" i="5"/>
  <c r="L13" i="5" s="1"/>
  <c r="E13" i="23"/>
  <c r="L13" i="23" s="1"/>
  <c r="C13" i="3"/>
  <c r="E13" i="27"/>
  <c r="L13" i="27" s="1"/>
  <c r="F10" i="3"/>
  <c r="E13" i="10"/>
  <c r="L13" i="10" s="1"/>
  <c r="E13" i="6"/>
  <c r="L13" i="6" s="1"/>
  <c r="E11" i="3"/>
  <c r="H8" i="3"/>
  <c r="K8" i="3" s="1"/>
  <c r="D12" i="3"/>
  <c r="G9" i="3"/>
  <c r="C13" i="7"/>
  <c r="H8" i="7"/>
  <c r="D12" i="7"/>
  <c r="E11" i="7"/>
  <c r="F10" i="7"/>
  <c r="G9" i="7"/>
  <c r="S16" i="6"/>
  <c r="O16" i="6"/>
  <c r="W16" i="6"/>
  <c r="Q16" i="6"/>
  <c r="U16" i="6"/>
  <c r="M7" i="5"/>
  <c r="M7" i="23"/>
  <c r="C14" i="24"/>
  <c r="E12" i="24"/>
  <c r="F11" i="24"/>
  <c r="D13" i="24"/>
  <c r="H9" i="24"/>
  <c r="K9" i="24" s="1"/>
  <c r="G10" i="24"/>
  <c r="D13" i="12"/>
  <c r="C14" i="12"/>
  <c r="G10" i="12"/>
  <c r="F11" i="12"/>
  <c r="E12" i="12"/>
  <c r="H9" i="12"/>
  <c r="K9" i="12" s="1"/>
  <c r="C13" i="17"/>
  <c r="E11" i="17"/>
  <c r="E13" i="14"/>
  <c r="L13" i="14" s="1"/>
  <c r="D12" i="17"/>
  <c r="F10" i="17"/>
  <c r="H8" i="17"/>
  <c r="K8" i="17" s="1"/>
  <c r="G9" i="17"/>
  <c r="C13" i="11"/>
  <c r="H8" i="11"/>
  <c r="K8" i="11" s="1"/>
  <c r="D12" i="11"/>
  <c r="F10" i="11"/>
  <c r="E11" i="11"/>
  <c r="G9" i="11"/>
  <c r="K12" i="6"/>
  <c r="AD18" i="5"/>
  <c r="F15" i="1"/>
  <c r="G15" i="1" s="1"/>
  <c r="A17" i="1"/>
  <c r="K12" i="18"/>
  <c r="S16" i="10"/>
  <c r="O16" i="10"/>
  <c r="W16" i="10"/>
  <c r="Q16" i="10"/>
  <c r="U16" i="10"/>
  <c r="W16" i="23"/>
  <c r="Q16" i="23"/>
  <c r="U16" i="23"/>
  <c r="S16" i="23"/>
  <c r="O16" i="23"/>
  <c r="D13" i="8"/>
  <c r="C14" i="8"/>
  <c r="G10" i="8"/>
  <c r="H9" i="8"/>
  <c r="K9" i="8" s="1"/>
  <c r="E12" i="8"/>
  <c r="F11" i="8"/>
  <c r="B15" i="28"/>
  <c r="B15" i="12"/>
  <c r="B15" i="19"/>
  <c r="B15" i="8"/>
  <c r="B15" i="15"/>
  <c r="B15" i="4"/>
  <c r="B15" i="24"/>
  <c r="B14" i="25"/>
  <c r="B14" i="3"/>
  <c r="B14" i="11"/>
  <c r="B14" i="29"/>
  <c r="B14" i="17"/>
  <c r="B14" i="20"/>
  <c r="B14" i="7"/>
  <c r="F11" i="19"/>
  <c r="H14" i="18"/>
  <c r="D13" i="19"/>
  <c r="C14" i="19"/>
  <c r="G10" i="19"/>
  <c r="E12" i="19"/>
  <c r="H9" i="19"/>
  <c r="K9" i="19" s="1"/>
  <c r="S16" i="18"/>
  <c r="O16" i="18"/>
  <c r="W16" i="18"/>
  <c r="Q16" i="18"/>
  <c r="U16" i="18"/>
  <c r="H14" i="14"/>
  <c r="D13" i="15"/>
  <c r="F11" i="15"/>
  <c r="C14" i="15"/>
  <c r="G10" i="15"/>
  <c r="H9" i="15"/>
  <c r="K9" i="15" s="1"/>
  <c r="E12" i="15"/>
  <c r="D13" i="28"/>
  <c r="F11" i="28"/>
  <c r="C14" i="28"/>
  <c r="G10" i="28"/>
  <c r="H9" i="28"/>
  <c r="K9" i="28" s="1"/>
  <c r="E12" i="28"/>
  <c r="AD17" i="27"/>
  <c r="C13" i="20"/>
  <c r="E11" i="20"/>
  <c r="E13" i="18"/>
  <c r="L13" i="18" s="1"/>
  <c r="D12" i="20"/>
  <c r="F10" i="20"/>
  <c r="H8" i="20"/>
  <c r="K8" i="20" s="1"/>
  <c r="G9" i="20"/>
  <c r="D12" i="25"/>
  <c r="E11" i="25"/>
  <c r="G9" i="25"/>
  <c r="C13" i="25"/>
  <c r="F10" i="25"/>
  <c r="H8" i="25"/>
  <c r="K12" i="5"/>
  <c r="AD17" i="18"/>
  <c r="W16" i="5"/>
  <c r="Q16" i="5"/>
  <c r="O16" i="5"/>
  <c r="S16" i="5"/>
  <c r="U16" i="5"/>
  <c r="A17" i="23"/>
  <c r="A17" i="10"/>
  <c r="A17" i="6"/>
  <c r="A17" i="5"/>
  <c r="A17" i="18"/>
  <c r="A17" i="14"/>
  <c r="A18" i="2"/>
  <c r="A17" i="27"/>
  <c r="G14" i="1"/>
  <c r="B17" i="1" l="1"/>
  <c r="C17" i="1"/>
  <c r="D17" i="1"/>
  <c r="E17" i="1"/>
  <c r="L7" i="25"/>
  <c r="N7" i="23" s="1"/>
  <c r="R4" i="23" s="1"/>
  <c r="V5" i="14"/>
  <c r="V5" i="5"/>
  <c r="V5" i="23"/>
  <c r="L7" i="17"/>
  <c r="N7" i="14" s="1"/>
  <c r="V6" i="14" s="1"/>
  <c r="X6" i="18"/>
  <c r="X6" i="23"/>
  <c r="T4" i="23"/>
  <c r="T4" i="18"/>
  <c r="V5" i="18"/>
  <c r="T4" i="14"/>
  <c r="V5" i="27"/>
  <c r="T4" i="27"/>
  <c r="X6" i="14"/>
  <c r="T4" i="5"/>
  <c r="X6" i="27"/>
  <c r="X6" i="5"/>
  <c r="L8" i="8"/>
  <c r="X6" i="10"/>
  <c r="L7" i="20"/>
  <c r="N7" i="18" s="1"/>
  <c r="T5" i="18" s="1"/>
  <c r="L7" i="7"/>
  <c r="N7" i="6" s="1"/>
  <c r="L7" i="29"/>
  <c r="N7" i="27" s="1"/>
  <c r="X6" i="6"/>
  <c r="L7" i="11"/>
  <c r="N7" i="10" s="1"/>
  <c r="V6" i="10" s="1"/>
  <c r="T4" i="10"/>
  <c r="L8" i="15"/>
  <c r="L8" i="4"/>
  <c r="I8" i="3"/>
  <c r="F8" i="5" s="1"/>
  <c r="I8" i="20"/>
  <c r="F8" i="18" s="1"/>
  <c r="I8" i="11"/>
  <c r="F8" i="10" s="1"/>
  <c r="I9" i="24"/>
  <c r="I9" i="23" s="1"/>
  <c r="I9" i="4"/>
  <c r="I9" i="5" s="1"/>
  <c r="I9" i="28"/>
  <c r="I9" i="27" s="1"/>
  <c r="I9" i="15"/>
  <c r="I9" i="14" s="1"/>
  <c r="I9" i="8"/>
  <c r="I9" i="6" s="1"/>
  <c r="L7" i="3"/>
  <c r="N7" i="5" s="1"/>
  <c r="T5" i="5" s="1"/>
  <c r="L8" i="28"/>
  <c r="I8" i="17"/>
  <c r="F8" i="14" s="1"/>
  <c r="L8" i="24"/>
  <c r="L8" i="19"/>
  <c r="I8" i="29"/>
  <c r="F8" i="27" s="1"/>
  <c r="I9" i="19"/>
  <c r="I9" i="18" s="1"/>
  <c r="I9" i="12"/>
  <c r="I9" i="10" s="1"/>
  <c r="K8" i="7"/>
  <c r="I8" i="7"/>
  <c r="F8" i="6" s="1"/>
  <c r="L8" i="12"/>
  <c r="K8" i="25"/>
  <c r="I8" i="25"/>
  <c r="F8" i="23" s="1"/>
  <c r="T4" i="6"/>
  <c r="AD17" i="10"/>
  <c r="AD18" i="14"/>
  <c r="AD18" i="6"/>
  <c r="B14" i="26"/>
  <c r="B14" i="30"/>
  <c r="B14" i="13"/>
  <c r="B14" i="21"/>
  <c r="B14" i="9"/>
  <c r="B14" i="16"/>
  <c r="B14" i="2"/>
  <c r="U17" i="14"/>
  <c r="Q17" i="14"/>
  <c r="W17" i="14"/>
  <c r="S17" i="14"/>
  <c r="O17" i="14"/>
  <c r="U17" i="10"/>
  <c r="Q17" i="10"/>
  <c r="W17" i="10"/>
  <c r="S17" i="10"/>
  <c r="O17" i="10"/>
  <c r="AD18" i="18"/>
  <c r="E12" i="29"/>
  <c r="C14" i="29"/>
  <c r="H9" i="29"/>
  <c r="K9" i="29" s="1"/>
  <c r="D13" i="29"/>
  <c r="G10" i="29"/>
  <c r="F11" i="29"/>
  <c r="H15" i="14"/>
  <c r="D14" i="15"/>
  <c r="F12" i="15"/>
  <c r="E13" i="15"/>
  <c r="G11" i="15"/>
  <c r="H10" i="15"/>
  <c r="I10" i="15" s="1"/>
  <c r="I10" i="14" s="1"/>
  <c r="C15" i="15"/>
  <c r="D14" i="28"/>
  <c r="F12" i="28"/>
  <c r="E13" i="28"/>
  <c r="G11" i="28"/>
  <c r="H10" i="28"/>
  <c r="K10" i="28" s="1"/>
  <c r="C15" i="28"/>
  <c r="A18" i="1"/>
  <c r="B13" i="14"/>
  <c r="K13" i="14" s="1"/>
  <c r="D12" i="16"/>
  <c r="E11" i="16"/>
  <c r="G9" i="16"/>
  <c r="C13" i="16"/>
  <c r="H8" i="16"/>
  <c r="I8" i="16" s="1"/>
  <c r="C8" i="14" s="1"/>
  <c r="M8" i="14" s="1"/>
  <c r="F10" i="16"/>
  <c r="D12" i="30"/>
  <c r="G9" i="30"/>
  <c r="C13" i="30"/>
  <c r="E11" i="30"/>
  <c r="H8" i="30"/>
  <c r="I8" i="30" s="1"/>
  <c r="C8" i="27" s="1"/>
  <c r="M8" i="27" s="1"/>
  <c r="F10" i="30"/>
  <c r="U17" i="18"/>
  <c r="Q17" i="18"/>
  <c r="W17" i="18"/>
  <c r="S17" i="18"/>
  <c r="O17" i="18"/>
  <c r="U17" i="23"/>
  <c r="Q17" i="23"/>
  <c r="O17" i="23"/>
  <c r="W17" i="23"/>
  <c r="S17" i="23"/>
  <c r="E12" i="7"/>
  <c r="F11" i="7"/>
  <c r="C14" i="7"/>
  <c r="H9" i="7"/>
  <c r="K9" i="7" s="1"/>
  <c r="G10" i="7"/>
  <c r="D13" i="7"/>
  <c r="E12" i="11"/>
  <c r="C14" i="11"/>
  <c r="F11" i="11"/>
  <c r="H9" i="11"/>
  <c r="I9" i="11" s="1"/>
  <c r="F9" i="10" s="1"/>
  <c r="G10" i="11"/>
  <c r="D13" i="11"/>
  <c r="D14" i="8"/>
  <c r="F12" i="8"/>
  <c r="G11" i="8"/>
  <c r="E13" i="8"/>
  <c r="H10" i="8"/>
  <c r="K10" i="8" s="1"/>
  <c r="C15" i="8"/>
  <c r="B16" i="28"/>
  <c r="B16" i="12"/>
  <c r="B16" i="19"/>
  <c r="B16" i="8"/>
  <c r="B16" i="15"/>
  <c r="B16" i="24"/>
  <c r="B16" i="4"/>
  <c r="B15" i="26"/>
  <c r="B15" i="30"/>
  <c r="B15" i="13"/>
  <c r="B15" i="21"/>
  <c r="B15" i="9"/>
  <c r="B15" i="16"/>
  <c r="B15" i="2"/>
  <c r="AD19" i="5"/>
  <c r="K9" i="11"/>
  <c r="AD18" i="23"/>
  <c r="D12" i="9"/>
  <c r="E11" i="9"/>
  <c r="C13" i="9"/>
  <c r="G9" i="9"/>
  <c r="H8" i="9"/>
  <c r="I8" i="9" s="1"/>
  <c r="C8" i="6" s="1"/>
  <c r="F10" i="9"/>
  <c r="D12" i="26"/>
  <c r="E11" i="26"/>
  <c r="C13" i="26"/>
  <c r="G9" i="26"/>
  <c r="F10" i="26"/>
  <c r="H8" i="26"/>
  <c r="I8" i="26" s="1"/>
  <c r="C8" i="23" s="1"/>
  <c r="W17" i="27"/>
  <c r="S17" i="27"/>
  <c r="O17" i="27"/>
  <c r="Q17" i="27"/>
  <c r="U17" i="27"/>
  <c r="W17" i="5"/>
  <c r="O17" i="5"/>
  <c r="U17" i="5"/>
  <c r="S17" i="5"/>
  <c r="Q17" i="5"/>
  <c r="AD18" i="27"/>
  <c r="E12" i="20"/>
  <c r="C14" i="20"/>
  <c r="F11" i="20"/>
  <c r="H9" i="20"/>
  <c r="K9" i="20" s="1"/>
  <c r="E14" i="18"/>
  <c r="L14" i="18" s="1"/>
  <c r="G10" i="20"/>
  <c r="D13" i="20"/>
  <c r="E14" i="23"/>
  <c r="L14" i="23" s="1"/>
  <c r="C14" i="3"/>
  <c r="F11" i="3"/>
  <c r="E14" i="5"/>
  <c r="L14" i="5" s="1"/>
  <c r="E12" i="3"/>
  <c r="D13" i="3"/>
  <c r="H9" i="3"/>
  <c r="K9" i="3" s="1"/>
  <c r="E14" i="10"/>
  <c r="L14" i="10" s="1"/>
  <c r="G10" i="3"/>
  <c r="E14" i="6"/>
  <c r="L14" i="6" s="1"/>
  <c r="E14" i="27"/>
  <c r="L14" i="27" s="1"/>
  <c r="E13" i="24"/>
  <c r="C15" i="24"/>
  <c r="G11" i="24"/>
  <c r="F12" i="24"/>
  <c r="H10" i="24"/>
  <c r="K10" i="24" s="1"/>
  <c r="D14" i="24"/>
  <c r="H15" i="18"/>
  <c r="D14" i="19"/>
  <c r="F12" i="19"/>
  <c r="E13" i="19"/>
  <c r="G11" i="19"/>
  <c r="C15" i="19"/>
  <c r="H10" i="19"/>
  <c r="K10" i="19" s="1"/>
  <c r="F16" i="1"/>
  <c r="G16" i="1" s="1"/>
  <c r="B15" i="25"/>
  <c r="B15" i="29"/>
  <c r="B15" i="20"/>
  <c r="B15" i="17"/>
  <c r="B15" i="11"/>
  <c r="B15" i="7"/>
  <c r="B15" i="3"/>
  <c r="B13" i="18"/>
  <c r="K13" i="18" s="1"/>
  <c r="D12" i="21"/>
  <c r="G9" i="21"/>
  <c r="C13" i="21"/>
  <c r="F10" i="21"/>
  <c r="H8" i="21"/>
  <c r="I8" i="21" s="1"/>
  <c r="C8" i="18" s="1"/>
  <c r="M8" i="18" s="1"/>
  <c r="E11" i="21"/>
  <c r="A18" i="27"/>
  <c r="A18" i="10"/>
  <c r="A18" i="18"/>
  <c r="A18" i="6"/>
  <c r="A18" i="14"/>
  <c r="A19" i="2"/>
  <c r="A18" i="5"/>
  <c r="A18" i="23"/>
  <c r="U17" i="6"/>
  <c r="Q17" i="6"/>
  <c r="W17" i="6"/>
  <c r="S17" i="6"/>
  <c r="O17" i="6"/>
  <c r="E12" i="17"/>
  <c r="C14" i="17"/>
  <c r="H9" i="17"/>
  <c r="K9" i="17" s="1"/>
  <c r="D13" i="17"/>
  <c r="G10" i="17"/>
  <c r="E14" i="14"/>
  <c r="L14" i="14" s="1"/>
  <c r="F11" i="17"/>
  <c r="D13" i="25"/>
  <c r="G10" i="25"/>
  <c r="C14" i="25"/>
  <c r="H9" i="25"/>
  <c r="K9" i="25" s="1"/>
  <c r="F11" i="25"/>
  <c r="E12" i="25"/>
  <c r="H15" i="23"/>
  <c r="H15" i="27"/>
  <c r="H15" i="10"/>
  <c r="H15" i="6"/>
  <c r="E13" i="4"/>
  <c r="C15" i="4"/>
  <c r="F12" i="4"/>
  <c r="H10" i="4"/>
  <c r="K10" i="4" s="1"/>
  <c r="G11" i="4"/>
  <c r="D14" i="4"/>
  <c r="H15" i="5"/>
  <c r="D14" i="12"/>
  <c r="G11" i="12"/>
  <c r="F12" i="12"/>
  <c r="E13" i="12"/>
  <c r="C15" i="12"/>
  <c r="H10" i="12"/>
  <c r="K10" i="12" s="1"/>
  <c r="B13" i="23"/>
  <c r="K13" i="23" s="1"/>
  <c r="B13" i="27"/>
  <c r="K13" i="27" s="1"/>
  <c r="B13" i="6"/>
  <c r="K13" i="6" s="1"/>
  <c r="C13" i="2"/>
  <c r="B13" i="5"/>
  <c r="K13" i="5" s="1"/>
  <c r="F10" i="2"/>
  <c r="E11" i="2"/>
  <c r="H8" i="2"/>
  <c r="I8" i="2" s="1"/>
  <c r="C8" i="5" s="1"/>
  <c r="M8" i="5" s="1"/>
  <c r="G9" i="2"/>
  <c r="D12" i="2"/>
  <c r="E11" i="13"/>
  <c r="B13" i="10"/>
  <c r="K13" i="10" s="1"/>
  <c r="D12" i="13"/>
  <c r="C13" i="13"/>
  <c r="G9" i="13"/>
  <c r="F10" i="13"/>
  <c r="H8" i="13"/>
  <c r="I8" i="13" s="1"/>
  <c r="C8" i="10" s="1"/>
  <c r="M8" i="10" s="1"/>
  <c r="R4" i="10" l="1"/>
  <c r="B18" i="1"/>
  <c r="C18" i="1"/>
  <c r="D18" i="1"/>
  <c r="E18" i="1"/>
  <c r="R4" i="14"/>
  <c r="X7" i="14"/>
  <c r="T5" i="14"/>
  <c r="X7" i="23"/>
  <c r="T5" i="6"/>
  <c r="V6" i="6"/>
  <c r="T5" i="23"/>
  <c r="V6" i="23"/>
  <c r="L8" i="7"/>
  <c r="N8" i="6" s="1"/>
  <c r="R4" i="6"/>
  <c r="T5" i="27"/>
  <c r="R4" i="27"/>
  <c r="X7" i="27"/>
  <c r="V6" i="18"/>
  <c r="X7" i="18"/>
  <c r="M8" i="6"/>
  <c r="L8" i="29"/>
  <c r="N8" i="27" s="1"/>
  <c r="V7" i="27" s="1"/>
  <c r="V6" i="5"/>
  <c r="X7" i="6"/>
  <c r="L8" i="20"/>
  <c r="N8" i="18" s="1"/>
  <c r="T6" i="18" s="1"/>
  <c r="L8" i="17"/>
  <c r="N8" i="14" s="1"/>
  <c r="X8" i="14" s="1"/>
  <c r="L8" i="25"/>
  <c r="N8" i="23" s="1"/>
  <c r="K10" i="15"/>
  <c r="L10" i="15" s="1"/>
  <c r="M8" i="23"/>
  <c r="R4" i="18"/>
  <c r="X7" i="10"/>
  <c r="L8" i="3"/>
  <c r="N8" i="5" s="1"/>
  <c r="R5" i="5" s="1"/>
  <c r="X7" i="5"/>
  <c r="L8" i="11"/>
  <c r="N8" i="10" s="1"/>
  <c r="P4" i="10" s="1"/>
  <c r="T5" i="10"/>
  <c r="R4" i="5"/>
  <c r="L9" i="4"/>
  <c r="L9" i="28"/>
  <c r="L9" i="12"/>
  <c r="V6" i="27"/>
  <c r="L9" i="8"/>
  <c r="L9" i="19"/>
  <c r="L9" i="24"/>
  <c r="I9" i="29"/>
  <c r="F9" i="27" s="1"/>
  <c r="I10" i="4"/>
  <c r="I10" i="5" s="1"/>
  <c r="I9" i="7"/>
  <c r="F9" i="6" s="1"/>
  <c r="I9" i="17"/>
  <c r="F9" i="14" s="1"/>
  <c r="I10" i="19"/>
  <c r="I10" i="18" s="1"/>
  <c r="I10" i="28"/>
  <c r="I10" i="27" s="1"/>
  <c r="L9" i="15"/>
  <c r="I10" i="24"/>
  <c r="I10" i="23" s="1"/>
  <c r="I9" i="25"/>
  <c r="F9" i="23" s="1"/>
  <c r="I9" i="3"/>
  <c r="F9" i="5" s="1"/>
  <c r="I10" i="8"/>
  <c r="I10" i="6" s="1"/>
  <c r="I10" i="12"/>
  <c r="I10" i="10" s="1"/>
  <c r="I9" i="20"/>
  <c r="F9" i="18" s="1"/>
  <c r="AD18" i="10"/>
  <c r="AD19" i="6"/>
  <c r="AD19" i="14"/>
  <c r="Q18" i="5"/>
  <c r="W18" i="5"/>
  <c r="S18" i="5"/>
  <c r="U18" i="5"/>
  <c r="O18" i="5"/>
  <c r="U18" i="18"/>
  <c r="Q18" i="18"/>
  <c r="S18" i="18"/>
  <c r="O18" i="18"/>
  <c r="W18" i="18"/>
  <c r="C15" i="7"/>
  <c r="E13" i="7"/>
  <c r="D14" i="7"/>
  <c r="H10" i="7"/>
  <c r="K10" i="7" s="1"/>
  <c r="F12" i="7"/>
  <c r="G11" i="7"/>
  <c r="C15" i="29"/>
  <c r="E13" i="29"/>
  <c r="G11" i="29"/>
  <c r="D14" i="29"/>
  <c r="H10" i="29"/>
  <c r="K10" i="29" s="1"/>
  <c r="F12" i="29"/>
  <c r="AD19" i="27"/>
  <c r="L9" i="11"/>
  <c r="F12" i="16"/>
  <c r="B15" i="14"/>
  <c r="D14" i="16"/>
  <c r="C15" i="16"/>
  <c r="G11" i="16"/>
  <c r="E13" i="16"/>
  <c r="H10" i="16"/>
  <c r="F12" i="30"/>
  <c r="D14" i="30"/>
  <c r="C15" i="30"/>
  <c r="G11" i="30"/>
  <c r="H10" i="30"/>
  <c r="E13" i="30"/>
  <c r="F13" i="15"/>
  <c r="H11" i="15"/>
  <c r="K11" i="15" s="1"/>
  <c r="H16" i="14"/>
  <c r="D15" i="15"/>
  <c r="C16" i="15"/>
  <c r="G12" i="15"/>
  <c r="E14" i="15"/>
  <c r="F13" i="28"/>
  <c r="H11" i="28"/>
  <c r="D15" i="28"/>
  <c r="C16" i="28"/>
  <c r="G12" i="28"/>
  <c r="E14" i="28"/>
  <c r="B14" i="18"/>
  <c r="K14" i="18" s="1"/>
  <c r="D13" i="21"/>
  <c r="F11" i="21"/>
  <c r="E12" i="21"/>
  <c r="G10" i="21"/>
  <c r="C14" i="21"/>
  <c r="H9" i="21"/>
  <c r="I9" i="21" s="1"/>
  <c r="C9" i="18" s="1"/>
  <c r="M9" i="18" s="1"/>
  <c r="A19" i="27"/>
  <c r="A19" i="23"/>
  <c r="A19" i="18"/>
  <c r="A19" i="14"/>
  <c r="A19" i="10"/>
  <c r="A19" i="6"/>
  <c r="A20" i="2"/>
  <c r="A19" i="5"/>
  <c r="U18" i="10"/>
  <c r="Q18" i="10"/>
  <c r="S18" i="10"/>
  <c r="O18" i="10"/>
  <c r="W18" i="10"/>
  <c r="C15" i="11"/>
  <c r="E13" i="11"/>
  <c r="D14" i="11"/>
  <c r="H10" i="11"/>
  <c r="K10" i="11" s="1"/>
  <c r="G11" i="11"/>
  <c r="F12" i="11"/>
  <c r="D14" i="25"/>
  <c r="F12" i="25"/>
  <c r="G11" i="25"/>
  <c r="E13" i="25"/>
  <c r="C15" i="25"/>
  <c r="H10" i="25"/>
  <c r="K10" i="25" s="1"/>
  <c r="AD19" i="23"/>
  <c r="F12" i="9"/>
  <c r="G11" i="9"/>
  <c r="D14" i="9"/>
  <c r="C15" i="9"/>
  <c r="H10" i="9"/>
  <c r="E13" i="9"/>
  <c r="F12" i="26"/>
  <c r="G11" i="26"/>
  <c r="D14" i="26"/>
  <c r="C15" i="26"/>
  <c r="E13" i="26"/>
  <c r="H10" i="26"/>
  <c r="F13" i="8"/>
  <c r="D15" i="8"/>
  <c r="G12" i="8"/>
  <c r="H11" i="8"/>
  <c r="C16" i="8"/>
  <c r="E14" i="8"/>
  <c r="A19" i="1"/>
  <c r="B14" i="27"/>
  <c r="K14" i="27" s="1"/>
  <c r="B14" i="6"/>
  <c r="K14" i="6" s="1"/>
  <c r="C14" i="2"/>
  <c r="F11" i="2"/>
  <c r="B14" i="23"/>
  <c r="K14" i="23" s="1"/>
  <c r="E12" i="2"/>
  <c r="D13" i="2"/>
  <c r="H9" i="2"/>
  <c r="I9" i="2" s="1"/>
  <c r="C9" i="5" s="1"/>
  <c r="M9" i="5" s="1"/>
  <c r="B14" i="5"/>
  <c r="K14" i="5" s="1"/>
  <c r="G10" i="2"/>
  <c r="B14" i="10"/>
  <c r="K14" i="10" s="1"/>
  <c r="D13" i="13"/>
  <c r="E12" i="13"/>
  <c r="G10" i="13"/>
  <c r="F11" i="13"/>
  <c r="C14" i="13"/>
  <c r="H9" i="13"/>
  <c r="I9" i="13" s="1"/>
  <c r="C9" i="10" s="1"/>
  <c r="M9" i="10" s="1"/>
  <c r="U18" i="14"/>
  <c r="Q18" i="14"/>
  <c r="S18" i="14"/>
  <c r="O18" i="14"/>
  <c r="W18" i="14"/>
  <c r="S18" i="27"/>
  <c r="O18" i="27"/>
  <c r="W18" i="27"/>
  <c r="Q18" i="27"/>
  <c r="U18" i="27"/>
  <c r="C15" i="17"/>
  <c r="E13" i="17"/>
  <c r="G11" i="17"/>
  <c r="E15" i="14"/>
  <c r="L15" i="14" s="1"/>
  <c r="D14" i="17"/>
  <c r="H10" i="17"/>
  <c r="K10" i="17" s="1"/>
  <c r="F12" i="17"/>
  <c r="B16" i="26"/>
  <c r="B16" i="30"/>
  <c r="B16" i="13"/>
  <c r="B16" i="21"/>
  <c r="B16" i="9"/>
  <c r="B16" i="16"/>
  <c r="B16" i="2"/>
  <c r="AD20" i="5"/>
  <c r="F12" i="21"/>
  <c r="B15" i="18"/>
  <c r="D14" i="21"/>
  <c r="C15" i="21"/>
  <c r="G11" i="21"/>
  <c r="E13" i="21"/>
  <c r="H10" i="21"/>
  <c r="C16" i="4"/>
  <c r="G12" i="4"/>
  <c r="H16" i="23"/>
  <c r="H16" i="27"/>
  <c r="H16" i="10"/>
  <c r="H16" i="6"/>
  <c r="E14" i="4"/>
  <c r="H11" i="4"/>
  <c r="K11" i="4" s="1"/>
  <c r="H16" i="5"/>
  <c r="D15" i="4"/>
  <c r="F13" i="4"/>
  <c r="F13" i="19"/>
  <c r="H16" i="18"/>
  <c r="D15" i="19"/>
  <c r="H11" i="19"/>
  <c r="K11" i="19" s="1"/>
  <c r="C16" i="19"/>
  <c r="G12" i="19"/>
  <c r="E14" i="19"/>
  <c r="F17" i="1"/>
  <c r="G17" i="1" s="1"/>
  <c r="AD19" i="18"/>
  <c r="B14" i="14"/>
  <c r="K14" i="14" s="1"/>
  <c r="D13" i="16"/>
  <c r="F11" i="16"/>
  <c r="E12" i="16"/>
  <c r="G10" i="16"/>
  <c r="H9" i="16"/>
  <c r="I9" i="16" s="1"/>
  <c r="C9" i="14" s="1"/>
  <c r="M9" i="14" s="1"/>
  <c r="C14" i="16"/>
  <c r="D13" i="30"/>
  <c r="F11" i="30"/>
  <c r="E12" i="30"/>
  <c r="G10" i="30"/>
  <c r="C14" i="30"/>
  <c r="H9" i="30"/>
  <c r="I9" i="30" s="1"/>
  <c r="C9" i="27" s="1"/>
  <c r="M9" i="27" s="1"/>
  <c r="U18" i="23"/>
  <c r="Q18" i="23"/>
  <c r="W18" i="23"/>
  <c r="S18" i="23"/>
  <c r="O18" i="23"/>
  <c r="U18" i="6"/>
  <c r="Q18" i="6"/>
  <c r="S18" i="6"/>
  <c r="O18" i="6"/>
  <c r="W18" i="6"/>
  <c r="E15" i="5"/>
  <c r="L15" i="5" s="1"/>
  <c r="E13" i="3"/>
  <c r="E15" i="23"/>
  <c r="L15" i="23" s="1"/>
  <c r="C15" i="3"/>
  <c r="E15" i="10"/>
  <c r="L15" i="10" s="1"/>
  <c r="E15" i="6"/>
  <c r="L15" i="6" s="1"/>
  <c r="E15" i="27"/>
  <c r="L15" i="27" s="1"/>
  <c r="F12" i="3"/>
  <c r="H10" i="3"/>
  <c r="D14" i="3"/>
  <c r="G11" i="3"/>
  <c r="C15" i="20"/>
  <c r="G11" i="20"/>
  <c r="E13" i="20"/>
  <c r="E15" i="18"/>
  <c r="L15" i="18" s="1"/>
  <c r="D14" i="20"/>
  <c r="H10" i="20"/>
  <c r="F12" i="20"/>
  <c r="B16" i="25"/>
  <c r="B16" i="3"/>
  <c r="B16" i="29"/>
  <c r="B16" i="17"/>
  <c r="B16" i="7"/>
  <c r="B16" i="11"/>
  <c r="B16" i="20"/>
  <c r="B15" i="23"/>
  <c r="E13" i="2"/>
  <c r="B15" i="27"/>
  <c r="B15" i="6"/>
  <c r="C15" i="2"/>
  <c r="B15" i="5"/>
  <c r="F12" i="2"/>
  <c r="H10" i="2"/>
  <c r="G11" i="2"/>
  <c r="D14" i="2"/>
  <c r="F12" i="13"/>
  <c r="B15" i="10"/>
  <c r="D14" i="13"/>
  <c r="G11" i="13"/>
  <c r="C15" i="13"/>
  <c r="E13" i="13"/>
  <c r="H10" i="13"/>
  <c r="C16" i="24"/>
  <c r="G12" i="24"/>
  <c r="H11" i="24"/>
  <c r="E14" i="24"/>
  <c r="D15" i="24"/>
  <c r="F13" i="24"/>
  <c r="F13" i="12"/>
  <c r="D15" i="12"/>
  <c r="G12" i="12"/>
  <c r="C16" i="12"/>
  <c r="H11" i="12"/>
  <c r="E14" i="12"/>
  <c r="B17" i="4"/>
  <c r="B17" i="24"/>
  <c r="B17" i="28"/>
  <c r="B17" i="19"/>
  <c r="B17" i="8"/>
  <c r="B17" i="15"/>
  <c r="B17" i="12"/>
  <c r="D13" i="9"/>
  <c r="E12" i="9"/>
  <c r="F11" i="9"/>
  <c r="G10" i="9"/>
  <c r="C14" i="9"/>
  <c r="H9" i="9"/>
  <c r="I9" i="9" s="1"/>
  <c r="C9" i="6" s="1"/>
  <c r="M9" i="6" s="1"/>
  <c r="D13" i="26"/>
  <c r="E12" i="26"/>
  <c r="F11" i="26"/>
  <c r="G10" i="26"/>
  <c r="H9" i="26"/>
  <c r="I9" i="26" s="1"/>
  <c r="C9" i="23" s="1"/>
  <c r="M9" i="23" s="1"/>
  <c r="C14" i="26"/>
  <c r="B19" i="1" l="1"/>
  <c r="C19" i="1"/>
  <c r="D19" i="1"/>
  <c r="E19" i="1"/>
  <c r="T6" i="14"/>
  <c r="R5" i="27"/>
  <c r="R5" i="6"/>
  <c r="L9" i="25"/>
  <c r="R5" i="18"/>
  <c r="V7" i="14"/>
  <c r="I10" i="9"/>
  <c r="C10" i="6" s="1"/>
  <c r="M10" i="6" s="1"/>
  <c r="X8" i="6"/>
  <c r="L9" i="17"/>
  <c r="N9" i="14" s="1"/>
  <c r="V8" i="14" s="1"/>
  <c r="X8" i="18"/>
  <c r="P4" i="6"/>
  <c r="T6" i="6"/>
  <c r="X8" i="27"/>
  <c r="P4" i="27"/>
  <c r="R5" i="14"/>
  <c r="V7" i="6"/>
  <c r="V7" i="23"/>
  <c r="T6" i="27"/>
  <c r="I10" i="30"/>
  <c r="C10" i="27" s="1"/>
  <c r="M10" i="27" s="1"/>
  <c r="P4" i="18"/>
  <c r="V7" i="18"/>
  <c r="L9" i="3"/>
  <c r="N9" i="5" s="1"/>
  <c r="L9" i="29"/>
  <c r="N9" i="27" s="1"/>
  <c r="V8" i="27" s="1"/>
  <c r="X8" i="5"/>
  <c r="L9" i="7"/>
  <c r="N9" i="6" s="1"/>
  <c r="T7" i="6" s="1"/>
  <c r="R5" i="23"/>
  <c r="T6" i="5"/>
  <c r="P4" i="5"/>
  <c r="AE4" i="5" s="1"/>
  <c r="X8" i="23"/>
  <c r="N9" i="10"/>
  <c r="V8" i="10" s="1"/>
  <c r="T6" i="23"/>
  <c r="P4" i="23"/>
  <c r="L10" i="4"/>
  <c r="V7" i="5"/>
  <c r="X8" i="10"/>
  <c r="T6" i="10"/>
  <c r="K15" i="10"/>
  <c r="K15" i="5"/>
  <c r="N9" i="23"/>
  <c r="P5" i="23" s="1"/>
  <c r="V7" i="10"/>
  <c r="I10" i="26"/>
  <c r="C10" i="23" s="1"/>
  <c r="M10" i="23" s="1"/>
  <c r="I10" i="16"/>
  <c r="C10" i="14" s="1"/>
  <c r="M10" i="14" s="1"/>
  <c r="R5" i="10"/>
  <c r="K15" i="6"/>
  <c r="L10" i="19"/>
  <c r="AE4" i="6"/>
  <c r="AA2" i="22" s="1"/>
  <c r="T2" i="22" s="1"/>
  <c r="I10" i="21"/>
  <c r="C10" i="18" s="1"/>
  <c r="AE4" i="10"/>
  <c r="AC2" i="22" s="1"/>
  <c r="V2" i="22" s="1"/>
  <c r="K11" i="12"/>
  <c r="I11" i="12"/>
  <c r="I11" i="10" s="1"/>
  <c r="K11" i="24"/>
  <c r="I11" i="24"/>
  <c r="I11" i="23" s="1"/>
  <c r="K10" i="20"/>
  <c r="I10" i="20"/>
  <c r="F10" i="18" s="1"/>
  <c r="K10" i="3"/>
  <c r="I10" i="3"/>
  <c r="F10" i="5" s="1"/>
  <c r="I10" i="13"/>
  <c r="C10" i="10" s="1"/>
  <c r="M10" i="10" s="1"/>
  <c r="I10" i="2"/>
  <c r="C10" i="5" s="1"/>
  <c r="I10" i="29"/>
  <c r="F10" i="27" s="1"/>
  <c r="I11" i="15"/>
  <c r="I11" i="14" s="1"/>
  <c r="I11" i="4"/>
  <c r="I11" i="5" s="1"/>
  <c r="I10" i="7"/>
  <c r="F10" i="6" s="1"/>
  <c r="I10" i="11"/>
  <c r="F10" i="10" s="1"/>
  <c r="I10" i="17"/>
  <c r="F10" i="14" s="1"/>
  <c r="I10" i="25"/>
  <c r="F10" i="23" s="1"/>
  <c r="K11" i="8"/>
  <c r="I11" i="8"/>
  <c r="I11" i="6" s="1"/>
  <c r="K11" i="28"/>
  <c r="I11" i="28"/>
  <c r="I11" i="27" s="1"/>
  <c r="L9" i="20"/>
  <c r="N9" i="18" s="1"/>
  <c r="V8" i="18" s="1"/>
  <c r="L10" i="8"/>
  <c r="L10" i="24"/>
  <c r="L10" i="28"/>
  <c r="L10" i="12"/>
  <c r="I11" i="19"/>
  <c r="I11" i="18" s="1"/>
  <c r="AD19" i="10"/>
  <c r="AD20" i="6"/>
  <c r="AD20" i="14"/>
  <c r="H17" i="23"/>
  <c r="H17" i="10"/>
  <c r="H17" i="6"/>
  <c r="E15" i="4"/>
  <c r="H17" i="27"/>
  <c r="C17" i="4"/>
  <c r="G13" i="4"/>
  <c r="F14" i="4"/>
  <c r="H12" i="4"/>
  <c r="H17" i="5"/>
  <c r="D16" i="4"/>
  <c r="E14" i="7"/>
  <c r="C16" i="7"/>
  <c r="G12" i="7"/>
  <c r="H11" i="7"/>
  <c r="I11" i="7" s="1"/>
  <c r="F11" i="6" s="1"/>
  <c r="F13" i="7"/>
  <c r="D15" i="7"/>
  <c r="B17" i="2"/>
  <c r="B17" i="9"/>
  <c r="B17" i="16"/>
  <c r="B17" i="26"/>
  <c r="B17" i="30"/>
  <c r="B17" i="21"/>
  <c r="B17" i="13"/>
  <c r="AD21" i="5"/>
  <c r="D15" i="9"/>
  <c r="F13" i="9"/>
  <c r="E14" i="9"/>
  <c r="C16" i="9"/>
  <c r="G12" i="9"/>
  <c r="H11" i="9"/>
  <c r="I11" i="9" s="1"/>
  <c r="C11" i="6" s="1"/>
  <c r="D15" i="26"/>
  <c r="F13" i="26"/>
  <c r="E14" i="26"/>
  <c r="H11" i="26"/>
  <c r="I11" i="26" s="1"/>
  <c r="C11" i="23" s="1"/>
  <c r="G12" i="26"/>
  <c r="C16" i="26"/>
  <c r="B18" i="8"/>
  <c r="B18" i="12"/>
  <c r="B18" i="24"/>
  <c r="B18" i="28"/>
  <c r="B18" i="15"/>
  <c r="B18" i="4"/>
  <c r="B18" i="19"/>
  <c r="W19" i="6"/>
  <c r="S19" i="6"/>
  <c r="U19" i="6"/>
  <c r="Q19" i="6"/>
  <c r="O19" i="6"/>
  <c r="K15" i="27"/>
  <c r="E14" i="17"/>
  <c r="C16" i="17"/>
  <c r="G12" i="17"/>
  <c r="F13" i="17"/>
  <c r="H11" i="17"/>
  <c r="I11" i="17" s="1"/>
  <c r="F11" i="14" s="1"/>
  <c r="E16" i="14"/>
  <c r="L16" i="14" s="1"/>
  <c r="D15" i="17"/>
  <c r="C17" i="12"/>
  <c r="D16" i="12"/>
  <c r="H12" i="12"/>
  <c r="K12" i="12" s="1"/>
  <c r="F14" i="12"/>
  <c r="E15" i="12"/>
  <c r="G13" i="12"/>
  <c r="C17" i="28"/>
  <c r="D16" i="28"/>
  <c r="H12" i="28"/>
  <c r="K12" i="28" s="1"/>
  <c r="F14" i="28"/>
  <c r="E15" i="28"/>
  <c r="G13" i="28"/>
  <c r="E14" i="20"/>
  <c r="C16" i="20"/>
  <c r="G12" i="20"/>
  <c r="F13" i="20"/>
  <c r="D15" i="20"/>
  <c r="H11" i="20"/>
  <c r="K11" i="20" s="1"/>
  <c r="E16" i="18"/>
  <c r="L16" i="18" s="1"/>
  <c r="E14" i="29"/>
  <c r="C16" i="29"/>
  <c r="G12" i="29"/>
  <c r="F13" i="29"/>
  <c r="H11" i="29"/>
  <c r="D15" i="29"/>
  <c r="B16" i="27"/>
  <c r="B16" i="6"/>
  <c r="C16" i="2"/>
  <c r="G12" i="2"/>
  <c r="B16" i="23"/>
  <c r="E14" i="2"/>
  <c r="H11" i="2"/>
  <c r="I11" i="2" s="1"/>
  <c r="C11" i="5" s="1"/>
  <c r="D15" i="2"/>
  <c r="F13" i="2"/>
  <c r="B16" i="5"/>
  <c r="B16" i="10"/>
  <c r="D15" i="13"/>
  <c r="F13" i="13"/>
  <c r="E14" i="13"/>
  <c r="H11" i="13"/>
  <c r="I11" i="13" s="1"/>
  <c r="C11" i="10" s="1"/>
  <c r="G12" i="13"/>
  <c r="C16" i="13"/>
  <c r="W19" i="5"/>
  <c r="U19" i="5"/>
  <c r="S19" i="5"/>
  <c r="O19" i="5"/>
  <c r="Q19" i="5"/>
  <c r="W19" i="14"/>
  <c r="S19" i="14"/>
  <c r="U19" i="14"/>
  <c r="Q19" i="14"/>
  <c r="O19" i="14"/>
  <c r="H17" i="14"/>
  <c r="D16" i="15"/>
  <c r="H12" i="15"/>
  <c r="I12" i="15" s="1"/>
  <c r="I12" i="14" s="1"/>
  <c r="F14" i="15"/>
  <c r="E15" i="15"/>
  <c r="C17" i="15"/>
  <c r="G13" i="15"/>
  <c r="E15" i="24"/>
  <c r="G13" i="24"/>
  <c r="F14" i="24"/>
  <c r="C17" i="24"/>
  <c r="D16" i="24"/>
  <c r="H12" i="24"/>
  <c r="I12" i="24" s="1"/>
  <c r="I12" i="23" s="1"/>
  <c r="K15" i="23"/>
  <c r="E14" i="11"/>
  <c r="H11" i="11"/>
  <c r="C16" i="11"/>
  <c r="G12" i="11"/>
  <c r="F13" i="11"/>
  <c r="D15" i="11"/>
  <c r="E16" i="23"/>
  <c r="L16" i="23" s="1"/>
  <c r="C16" i="3"/>
  <c r="G12" i="3"/>
  <c r="E16" i="5"/>
  <c r="L16" i="5" s="1"/>
  <c r="E14" i="3"/>
  <c r="H11" i="3"/>
  <c r="K11" i="3" s="1"/>
  <c r="D15" i="3"/>
  <c r="E16" i="10"/>
  <c r="L16" i="10" s="1"/>
  <c r="E16" i="27"/>
  <c r="L16" i="27" s="1"/>
  <c r="F13" i="3"/>
  <c r="E16" i="6"/>
  <c r="L16" i="6" s="1"/>
  <c r="B17" i="29"/>
  <c r="B17" i="11"/>
  <c r="B17" i="3"/>
  <c r="B17" i="25"/>
  <c r="B17" i="7"/>
  <c r="B17" i="20"/>
  <c r="B17" i="17"/>
  <c r="B16" i="14"/>
  <c r="D15" i="16"/>
  <c r="F13" i="16"/>
  <c r="H11" i="16"/>
  <c r="I11" i="16" s="1"/>
  <c r="C11" i="14" s="1"/>
  <c r="E14" i="16"/>
  <c r="G12" i="16"/>
  <c r="C16" i="16"/>
  <c r="D15" i="30"/>
  <c r="F13" i="30"/>
  <c r="H11" i="30"/>
  <c r="I11" i="30" s="1"/>
  <c r="C11" i="27" s="1"/>
  <c r="E14" i="30"/>
  <c r="G12" i="30"/>
  <c r="C16" i="30"/>
  <c r="A20" i="1"/>
  <c r="AD20" i="23"/>
  <c r="A20" i="10"/>
  <c r="A20" i="18"/>
  <c r="A20" i="6"/>
  <c r="A20" i="14"/>
  <c r="A21" i="2"/>
  <c r="A20" i="27"/>
  <c r="A20" i="23"/>
  <c r="A20" i="5"/>
  <c r="W19" i="18"/>
  <c r="S19" i="18"/>
  <c r="U19" i="18"/>
  <c r="Q19" i="18"/>
  <c r="O19" i="18"/>
  <c r="D16" i="8"/>
  <c r="H12" i="8"/>
  <c r="F14" i="8"/>
  <c r="E15" i="8"/>
  <c r="G13" i="8"/>
  <c r="C17" i="8"/>
  <c r="F13" i="25"/>
  <c r="D15" i="25"/>
  <c r="C16" i="25"/>
  <c r="H11" i="25"/>
  <c r="K11" i="25" s="1"/>
  <c r="G12" i="25"/>
  <c r="E14" i="25"/>
  <c r="U19" i="23"/>
  <c r="Q19" i="23"/>
  <c r="O19" i="23"/>
  <c r="W19" i="23"/>
  <c r="S19" i="23"/>
  <c r="K15" i="14"/>
  <c r="H17" i="18"/>
  <c r="D16" i="19"/>
  <c r="H12" i="19"/>
  <c r="K12" i="19" s="1"/>
  <c r="F14" i="19"/>
  <c r="E15" i="19"/>
  <c r="G13" i="19"/>
  <c r="C17" i="19"/>
  <c r="AD20" i="18"/>
  <c r="K15" i="18"/>
  <c r="B16" i="18"/>
  <c r="D15" i="21"/>
  <c r="H11" i="21"/>
  <c r="I11" i="21" s="1"/>
  <c r="C11" i="18" s="1"/>
  <c r="F13" i="21"/>
  <c r="E14" i="21"/>
  <c r="C16" i="21"/>
  <c r="G12" i="21"/>
  <c r="F18" i="1"/>
  <c r="G18" i="1" s="1"/>
  <c r="W19" i="10"/>
  <c r="S19" i="10"/>
  <c r="U19" i="10"/>
  <c r="Q19" i="10"/>
  <c r="O19" i="10"/>
  <c r="U19" i="27"/>
  <c r="Q19" i="27"/>
  <c r="O19" i="27"/>
  <c r="S19" i="27"/>
  <c r="W19" i="27"/>
  <c r="AD20" i="27"/>
  <c r="B20" i="1" l="1"/>
  <c r="C20" i="1"/>
  <c r="D20" i="1"/>
  <c r="E20" i="1"/>
  <c r="AE4" i="18"/>
  <c r="AB2" i="22" s="1"/>
  <c r="U2" i="22" s="1"/>
  <c r="AE4" i="23"/>
  <c r="AE2" i="22" s="1"/>
  <c r="X2" i="22" s="1"/>
  <c r="R6" i="10"/>
  <c r="AE4" i="14"/>
  <c r="Z2" i="22" s="1"/>
  <c r="S2" i="22" s="1"/>
  <c r="AE4" i="27"/>
  <c r="AD2" i="22" s="1"/>
  <c r="W2" i="22" s="1"/>
  <c r="R6" i="6"/>
  <c r="L10" i="29"/>
  <c r="N10" i="27" s="1"/>
  <c r="X10" i="27" s="1"/>
  <c r="K12" i="15"/>
  <c r="L12" i="15" s="1"/>
  <c r="P5" i="27"/>
  <c r="X9" i="27"/>
  <c r="T7" i="27"/>
  <c r="T7" i="23"/>
  <c r="P5" i="14"/>
  <c r="P5" i="5"/>
  <c r="V8" i="5"/>
  <c r="T7" i="14"/>
  <c r="X9" i="14"/>
  <c r="K11" i="17"/>
  <c r="M11" i="14" s="1"/>
  <c r="V8" i="6"/>
  <c r="X9" i="6"/>
  <c r="R6" i="27"/>
  <c r="L10" i="11"/>
  <c r="N10" i="10" s="1"/>
  <c r="T8" i="10" s="1"/>
  <c r="L10" i="25"/>
  <c r="N10" i="23" s="1"/>
  <c r="L10" i="3"/>
  <c r="N10" i="5" s="1"/>
  <c r="R6" i="14"/>
  <c r="M10" i="18"/>
  <c r="M10" i="5"/>
  <c r="X9" i="10"/>
  <c r="X9" i="5"/>
  <c r="T7" i="5"/>
  <c r="X9" i="23"/>
  <c r="L10" i="20"/>
  <c r="N10" i="18" s="1"/>
  <c r="P5" i="6"/>
  <c r="R6" i="23"/>
  <c r="X9" i="18"/>
  <c r="R6" i="5"/>
  <c r="T7" i="10"/>
  <c r="K16" i="18"/>
  <c r="K12" i="24"/>
  <c r="L12" i="24" s="1"/>
  <c r="K11" i="7"/>
  <c r="M11" i="6" s="1"/>
  <c r="P5" i="10"/>
  <c r="V8" i="23"/>
  <c r="L10" i="7"/>
  <c r="N10" i="6" s="1"/>
  <c r="V9" i="6" s="1"/>
  <c r="L10" i="17"/>
  <c r="N10" i="14" s="1"/>
  <c r="V9" i="14" s="1"/>
  <c r="L11" i="4"/>
  <c r="L11" i="12"/>
  <c r="L11" i="28"/>
  <c r="K12" i="8"/>
  <c r="I12" i="8"/>
  <c r="I12" i="6" s="1"/>
  <c r="K11" i="11"/>
  <c r="M11" i="10" s="1"/>
  <c r="I11" i="11"/>
  <c r="F11" i="10" s="1"/>
  <c r="K11" i="29"/>
  <c r="M11" i="27" s="1"/>
  <c r="I11" i="29"/>
  <c r="F11" i="27" s="1"/>
  <c r="K12" i="4"/>
  <c r="I12" i="4"/>
  <c r="I12" i="5" s="1"/>
  <c r="L11" i="8"/>
  <c r="I11" i="3"/>
  <c r="F11" i="5" s="1"/>
  <c r="P5" i="18"/>
  <c r="I12" i="19"/>
  <c r="I12" i="18" s="1"/>
  <c r="L11" i="24"/>
  <c r="L11" i="15"/>
  <c r="I12" i="28"/>
  <c r="I12" i="27" s="1"/>
  <c r="I11" i="20"/>
  <c r="F11" i="18" s="1"/>
  <c r="R6" i="18"/>
  <c r="T7" i="18"/>
  <c r="I11" i="25"/>
  <c r="F11" i="23" s="1"/>
  <c r="L11" i="19"/>
  <c r="I12" i="12"/>
  <c r="I12" i="10" s="1"/>
  <c r="K16" i="10"/>
  <c r="AD20" i="10"/>
  <c r="AD21" i="14"/>
  <c r="AD21" i="6"/>
  <c r="M11" i="5"/>
  <c r="M11" i="18"/>
  <c r="B18" i="13"/>
  <c r="B18" i="26"/>
  <c r="B18" i="9"/>
  <c r="B18" i="21"/>
  <c r="B18" i="30"/>
  <c r="B18" i="2"/>
  <c r="B18" i="16"/>
  <c r="U20" i="27"/>
  <c r="Q20" i="27"/>
  <c r="S20" i="27"/>
  <c r="O20" i="27"/>
  <c r="W20" i="27"/>
  <c r="S20" i="18"/>
  <c r="O20" i="18"/>
  <c r="U20" i="18"/>
  <c r="Q20" i="18"/>
  <c r="W20" i="18"/>
  <c r="F19" i="1"/>
  <c r="G19" i="1" s="1"/>
  <c r="C17" i="7"/>
  <c r="G13" i="7"/>
  <c r="E15" i="7"/>
  <c r="H12" i="7"/>
  <c r="K12" i="7" s="1"/>
  <c r="D16" i="7"/>
  <c r="F14" i="7"/>
  <c r="C17" i="29"/>
  <c r="G13" i="29"/>
  <c r="E15" i="29"/>
  <c r="D16" i="29"/>
  <c r="H12" i="29"/>
  <c r="F14" i="29"/>
  <c r="C18" i="28"/>
  <c r="F15" i="28"/>
  <c r="H13" i="28"/>
  <c r="K13" i="28" s="1"/>
  <c r="G14" i="28"/>
  <c r="D17" i="28"/>
  <c r="E16" i="28"/>
  <c r="AD22" i="5"/>
  <c r="C17" i="21"/>
  <c r="F14" i="21"/>
  <c r="B17" i="18"/>
  <c r="D16" i="21"/>
  <c r="H12" i="21"/>
  <c r="I12" i="21" s="1"/>
  <c r="C12" i="18" s="1"/>
  <c r="G13" i="21"/>
  <c r="E15" i="21"/>
  <c r="F14" i="9"/>
  <c r="D16" i="9"/>
  <c r="H12" i="9"/>
  <c r="I12" i="9" s="1"/>
  <c r="C12" i="6" s="1"/>
  <c r="C17" i="9"/>
  <c r="G13" i="9"/>
  <c r="E15" i="9"/>
  <c r="M11" i="23"/>
  <c r="L11" i="17"/>
  <c r="A21" i="23"/>
  <c r="A21" i="18"/>
  <c r="A21" i="6"/>
  <c r="A21" i="14"/>
  <c r="A21" i="27"/>
  <c r="A21" i="10"/>
  <c r="A22" i="2"/>
  <c r="A21" i="5"/>
  <c r="S20" i="10"/>
  <c r="O20" i="10"/>
  <c r="U20" i="10"/>
  <c r="Q20" i="10"/>
  <c r="W20" i="10"/>
  <c r="A21" i="1"/>
  <c r="K16" i="14"/>
  <c r="C17" i="25"/>
  <c r="D16" i="25"/>
  <c r="H12" i="25"/>
  <c r="K12" i="25" s="1"/>
  <c r="F14" i="25"/>
  <c r="E15" i="25"/>
  <c r="G13" i="25"/>
  <c r="K16" i="5"/>
  <c r="K16" i="6"/>
  <c r="C18" i="19"/>
  <c r="F15" i="19"/>
  <c r="D17" i="19"/>
  <c r="H13" i="19"/>
  <c r="G14" i="19"/>
  <c r="H18" i="18"/>
  <c r="E16" i="19"/>
  <c r="D17" i="24"/>
  <c r="C18" i="24"/>
  <c r="G14" i="24"/>
  <c r="E16" i="24"/>
  <c r="H13" i="24"/>
  <c r="F15" i="24"/>
  <c r="C17" i="30"/>
  <c r="F14" i="30"/>
  <c r="D16" i="30"/>
  <c r="H12" i="30"/>
  <c r="I12" i="30" s="1"/>
  <c r="C12" i="27" s="1"/>
  <c r="G13" i="30"/>
  <c r="E15" i="30"/>
  <c r="E15" i="2"/>
  <c r="B17" i="23"/>
  <c r="B17" i="6"/>
  <c r="C17" i="2"/>
  <c r="G13" i="2"/>
  <c r="B17" i="5"/>
  <c r="F14" i="2"/>
  <c r="H12" i="2"/>
  <c r="I12" i="2" s="1"/>
  <c r="C12" i="5" s="1"/>
  <c r="D16" i="2"/>
  <c r="B17" i="27"/>
  <c r="AD21" i="27"/>
  <c r="B18" i="25"/>
  <c r="B18" i="29"/>
  <c r="B18" i="17"/>
  <c r="B18" i="20"/>
  <c r="B18" i="3"/>
  <c r="B18" i="11"/>
  <c r="B18" i="7"/>
  <c r="W20" i="5"/>
  <c r="Q20" i="5"/>
  <c r="U20" i="5"/>
  <c r="O20" i="5"/>
  <c r="S20" i="5"/>
  <c r="S20" i="14"/>
  <c r="O20" i="14"/>
  <c r="U20" i="14"/>
  <c r="Q20" i="14"/>
  <c r="W20" i="14"/>
  <c r="AD21" i="23"/>
  <c r="B19" i="24"/>
  <c r="B19" i="28"/>
  <c r="B19" i="15"/>
  <c r="B19" i="4"/>
  <c r="B19" i="19"/>
  <c r="B19" i="12"/>
  <c r="B19" i="8"/>
  <c r="C17" i="17"/>
  <c r="G13" i="17"/>
  <c r="E15" i="17"/>
  <c r="E17" i="14"/>
  <c r="L17" i="14" s="1"/>
  <c r="D16" i="17"/>
  <c r="H12" i="17"/>
  <c r="F14" i="17"/>
  <c r="E17" i="27"/>
  <c r="L17" i="27" s="1"/>
  <c r="E17" i="10"/>
  <c r="L17" i="10" s="1"/>
  <c r="E17" i="5"/>
  <c r="L17" i="5" s="1"/>
  <c r="E15" i="3"/>
  <c r="C17" i="3"/>
  <c r="G13" i="3"/>
  <c r="E17" i="23"/>
  <c r="L17" i="23" s="1"/>
  <c r="F14" i="3"/>
  <c r="E17" i="6"/>
  <c r="L17" i="6" s="1"/>
  <c r="D16" i="3"/>
  <c r="H12" i="3"/>
  <c r="K12" i="3" s="1"/>
  <c r="K16" i="23"/>
  <c r="K16" i="27"/>
  <c r="H18" i="23"/>
  <c r="H18" i="6"/>
  <c r="C18" i="4"/>
  <c r="H18" i="10"/>
  <c r="G14" i="4"/>
  <c r="H18" i="27"/>
  <c r="E16" i="4"/>
  <c r="D17" i="4"/>
  <c r="H13" i="4"/>
  <c r="I13" i="4" s="1"/>
  <c r="I13" i="5" s="1"/>
  <c r="F15" i="4"/>
  <c r="H18" i="5"/>
  <c r="F15" i="12"/>
  <c r="H13" i="12"/>
  <c r="K13" i="12" s="1"/>
  <c r="C18" i="12"/>
  <c r="D17" i="12"/>
  <c r="G14" i="12"/>
  <c r="E16" i="12"/>
  <c r="C17" i="26"/>
  <c r="F14" i="26"/>
  <c r="D16" i="26"/>
  <c r="H12" i="26"/>
  <c r="I12" i="26" s="1"/>
  <c r="C12" i="23" s="1"/>
  <c r="G13" i="26"/>
  <c r="E15" i="26"/>
  <c r="AD21" i="18"/>
  <c r="U20" i="23"/>
  <c r="Q20" i="23"/>
  <c r="W20" i="23"/>
  <c r="S20" i="23"/>
  <c r="O20" i="23"/>
  <c r="S20" i="6"/>
  <c r="O20" i="6"/>
  <c r="U20" i="6"/>
  <c r="Q20" i="6"/>
  <c r="W20" i="6"/>
  <c r="C17" i="20"/>
  <c r="G13" i="20"/>
  <c r="E15" i="20"/>
  <c r="E17" i="18"/>
  <c r="L17" i="18" s="1"/>
  <c r="D16" i="20"/>
  <c r="H12" i="20"/>
  <c r="F14" i="20"/>
  <c r="G13" i="11"/>
  <c r="C17" i="11"/>
  <c r="E15" i="11"/>
  <c r="H12" i="11"/>
  <c r="K12" i="11" s="1"/>
  <c r="D16" i="11"/>
  <c r="F14" i="11"/>
  <c r="C18" i="15"/>
  <c r="H18" i="14"/>
  <c r="F15" i="15"/>
  <c r="D17" i="15"/>
  <c r="H13" i="15"/>
  <c r="G14" i="15"/>
  <c r="E16" i="15"/>
  <c r="C18" i="8"/>
  <c r="F15" i="8"/>
  <c r="D17" i="8"/>
  <c r="H13" i="8"/>
  <c r="G14" i="8"/>
  <c r="E16" i="8"/>
  <c r="C17" i="13"/>
  <c r="F14" i="13"/>
  <c r="D16" i="13"/>
  <c r="H12" i="13"/>
  <c r="I12" i="13" s="1"/>
  <c r="C12" i="10" s="1"/>
  <c r="B17" i="10"/>
  <c r="G13" i="13"/>
  <c r="E15" i="13"/>
  <c r="F14" i="16"/>
  <c r="B17" i="14"/>
  <c r="D16" i="16"/>
  <c r="H12" i="16"/>
  <c r="I12" i="16" s="1"/>
  <c r="C12" i="14" s="1"/>
  <c r="G13" i="16"/>
  <c r="C17" i="16"/>
  <c r="E15" i="16"/>
  <c r="Y2" i="22" l="1"/>
  <c r="R2" i="22" s="1"/>
  <c r="Q2" i="22" s="1"/>
  <c r="B21" i="1"/>
  <c r="C21" i="1"/>
  <c r="D21" i="1"/>
  <c r="E21" i="1"/>
  <c r="P6" i="6"/>
  <c r="L11" i="7"/>
  <c r="N11" i="6" s="1"/>
  <c r="T9" i="6" s="1"/>
  <c r="V9" i="18"/>
  <c r="P6" i="27"/>
  <c r="T8" i="27"/>
  <c r="P6" i="18"/>
  <c r="R7" i="27"/>
  <c r="K17" i="14"/>
  <c r="V9" i="27"/>
  <c r="R7" i="10"/>
  <c r="V9" i="10"/>
  <c r="T8" i="5"/>
  <c r="X10" i="10"/>
  <c r="L11" i="3"/>
  <c r="N11" i="5" s="1"/>
  <c r="P7" i="5" s="1"/>
  <c r="P6" i="10"/>
  <c r="R7" i="14"/>
  <c r="X10" i="23"/>
  <c r="R7" i="23"/>
  <c r="P6" i="23"/>
  <c r="V9" i="23"/>
  <c r="T8" i="23"/>
  <c r="X10" i="5"/>
  <c r="P6" i="5"/>
  <c r="R7" i="5"/>
  <c r="N11" i="14"/>
  <c r="X11" i="14" s="1"/>
  <c r="L11" i="11"/>
  <c r="N11" i="10" s="1"/>
  <c r="T9" i="10" s="1"/>
  <c r="P6" i="14"/>
  <c r="V9" i="5"/>
  <c r="L11" i="29"/>
  <c r="N11" i="27" s="1"/>
  <c r="X11" i="27" s="1"/>
  <c r="R7" i="18"/>
  <c r="T8" i="14"/>
  <c r="T8" i="18"/>
  <c r="L11" i="20"/>
  <c r="N11" i="18" s="1"/>
  <c r="V10" i="18" s="1"/>
  <c r="X10" i="18"/>
  <c r="X10" i="14"/>
  <c r="X10" i="6"/>
  <c r="T8" i="6"/>
  <c r="R7" i="6"/>
  <c r="K13" i="4"/>
  <c r="L13" i="4" s="1"/>
  <c r="K17" i="10"/>
  <c r="L11" i="25"/>
  <c r="N11" i="23" s="1"/>
  <c r="V10" i="23" s="1"/>
  <c r="K12" i="20"/>
  <c r="M12" i="18" s="1"/>
  <c r="I12" i="20"/>
  <c r="F12" i="18" s="1"/>
  <c r="K12" i="17"/>
  <c r="M12" i="14" s="1"/>
  <c r="I12" i="17"/>
  <c r="F12" i="14" s="1"/>
  <c r="T9" i="5"/>
  <c r="L12" i="28"/>
  <c r="I12" i="7"/>
  <c r="F12" i="6" s="1"/>
  <c r="I12" i="25"/>
  <c r="F12" i="23" s="1"/>
  <c r="K12" i="29"/>
  <c r="M12" i="27" s="1"/>
  <c r="I12" i="29"/>
  <c r="F12" i="27" s="1"/>
  <c r="L12" i="12"/>
  <c r="L12" i="4"/>
  <c r="L12" i="8"/>
  <c r="L12" i="19"/>
  <c r="I12" i="11"/>
  <c r="F12" i="10" s="1"/>
  <c r="I12" i="3"/>
  <c r="F12" i="5" s="1"/>
  <c r="K13" i="15"/>
  <c r="I13" i="15"/>
  <c r="I13" i="14" s="1"/>
  <c r="I13" i="12"/>
  <c r="I13" i="10" s="1"/>
  <c r="I13" i="28"/>
  <c r="I13" i="27" s="1"/>
  <c r="K13" i="8"/>
  <c r="I13" i="8"/>
  <c r="I13" i="6" s="1"/>
  <c r="K13" i="24"/>
  <c r="I13" i="24"/>
  <c r="I13" i="23" s="1"/>
  <c r="K13" i="19"/>
  <c r="I13" i="19"/>
  <c r="I13" i="18" s="1"/>
  <c r="K17" i="6"/>
  <c r="AD21" i="10"/>
  <c r="AD22" i="6"/>
  <c r="AD22" i="14"/>
  <c r="M12" i="5"/>
  <c r="M12" i="23"/>
  <c r="AD22" i="18"/>
  <c r="H19" i="27"/>
  <c r="H19" i="5"/>
  <c r="H19" i="10"/>
  <c r="D18" i="4"/>
  <c r="E17" i="4"/>
  <c r="G15" i="4"/>
  <c r="H19" i="23"/>
  <c r="C19" i="4"/>
  <c r="F16" i="4"/>
  <c r="H19" i="6"/>
  <c r="H14" i="4"/>
  <c r="C18" i="7"/>
  <c r="E16" i="7"/>
  <c r="G14" i="7"/>
  <c r="F15" i="7"/>
  <c r="D17" i="7"/>
  <c r="H13" i="7"/>
  <c r="K13" i="7" s="1"/>
  <c r="E18" i="14"/>
  <c r="L18" i="14" s="1"/>
  <c r="E16" i="17"/>
  <c r="C18" i="17"/>
  <c r="G14" i="17"/>
  <c r="F15" i="17"/>
  <c r="H13" i="17"/>
  <c r="D17" i="17"/>
  <c r="AD22" i="27"/>
  <c r="F20" i="1"/>
  <c r="G20" i="1" s="1"/>
  <c r="A22" i="23"/>
  <c r="A22" i="27"/>
  <c r="A23" i="2"/>
  <c r="A22" i="5"/>
  <c r="A22" i="10"/>
  <c r="A22" i="18"/>
  <c r="A22" i="14"/>
  <c r="A22" i="6"/>
  <c r="S21" i="6"/>
  <c r="Q21" i="6"/>
  <c r="W21" i="6"/>
  <c r="O21" i="6"/>
  <c r="U21" i="6"/>
  <c r="B19" i="21"/>
  <c r="B19" i="2"/>
  <c r="B19" i="30"/>
  <c r="B19" i="16"/>
  <c r="B19" i="26"/>
  <c r="B19" i="9"/>
  <c r="B19" i="13"/>
  <c r="C18" i="30"/>
  <c r="D17" i="30"/>
  <c r="H13" i="30"/>
  <c r="I13" i="30" s="1"/>
  <c r="C13" i="27" s="1"/>
  <c r="F15" i="30"/>
  <c r="E16" i="30"/>
  <c r="G14" i="30"/>
  <c r="B18" i="10"/>
  <c r="H13" i="13"/>
  <c r="I13" i="13" s="1"/>
  <c r="C13" i="10" s="1"/>
  <c r="C18" i="13"/>
  <c r="D17" i="13"/>
  <c r="F15" i="13"/>
  <c r="E16" i="13"/>
  <c r="G14" i="13"/>
  <c r="M12" i="10"/>
  <c r="C19" i="8"/>
  <c r="D18" i="8"/>
  <c r="H14" i="8"/>
  <c r="K14" i="8" s="1"/>
  <c r="F16" i="8"/>
  <c r="E17" i="8"/>
  <c r="G15" i="8"/>
  <c r="H19" i="14"/>
  <c r="H14" i="15"/>
  <c r="C19" i="15"/>
  <c r="F16" i="15"/>
  <c r="E17" i="15"/>
  <c r="D18" i="15"/>
  <c r="G15" i="15"/>
  <c r="AD22" i="23"/>
  <c r="C18" i="11"/>
  <c r="D17" i="11"/>
  <c r="E16" i="11"/>
  <c r="G14" i="11"/>
  <c r="F15" i="11"/>
  <c r="H13" i="11"/>
  <c r="K13" i="11" s="1"/>
  <c r="D17" i="29"/>
  <c r="C18" i="29"/>
  <c r="E16" i="29"/>
  <c r="G14" i="29"/>
  <c r="F15" i="29"/>
  <c r="H13" i="29"/>
  <c r="K13" i="29" s="1"/>
  <c r="B20" i="24"/>
  <c r="B20" i="28"/>
  <c r="B20" i="12"/>
  <c r="B20" i="4"/>
  <c r="B20" i="8"/>
  <c r="B20" i="19"/>
  <c r="B20" i="15"/>
  <c r="A22" i="1"/>
  <c r="U21" i="10"/>
  <c r="S21" i="10"/>
  <c r="Q21" i="10"/>
  <c r="O21" i="10"/>
  <c r="W21" i="10"/>
  <c r="W21" i="18"/>
  <c r="O21" i="18"/>
  <c r="U21" i="18"/>
  <c r="S21" i="18"/>
  <c r="Q21" i="18"/>
  <c r="M12" i="6"/>
  <c r="C18" i="21"/>
  <c r="D17" i="21"/>
  <c r="H13" i="21"/>
  <c r="I13" i="21" s="1"/>
  <c r="C13" i="18" s="1"/>
  <c r="B18" i="18"/>
  <c r="F15" i="21"/>
  <c r="E16" i="21"/>
  <c r="G14" i="21"/>
  <c r="D18" i="12"/>
  <c r="E17" i="12"/>
  <c r="C19" i="12"/>
  <c r="H14" i="12"/>
  <c r="F16" i="12"/>
  <c r="G15" i="12"/>
  <c r="E17" i="28"/>
  <c r="C19" i="28"/>
  <c r="H14" i="28"/>
  <c r="K14" i="28" s="1"/>
  <c r="F16" i="28"/>
  <c r="D18" i="28"/>
  <c r="G15" i="28"/>
  <c r="E18" i="27"/>
  <c r="L18" i="27" s="1"/>
  <c r="C18" i="3"/>
  <c r="E18" i="23"/>
  <c r="L18" i="23" s="1"/>
  <c r="E18" i="5"/>
  <c r="L18" i="5" s="1"/>
  <c r="E18" i="10"/>
  <c r="L18" i="10" s="1"/>
  <c r="G14" i="3"/>
  <c r="E16" i="3"/>
  <c r="D17" i="3"/>
  <c r="H13" i="3"/>
  <c r="K13" i="3" s="1"/>
  <c r="F15" i="3"/>
  <c r="E18" i="6"/>
  <c r="L18" i="6" s="1"/>
  <c r="C18" i="25"/>
  <c r="F15" i="25"/>
  <c r="H13" i="25"/>
  <c r="G14" i="25"/>
  <c r="E16" i="25"/>
  <c r="D17" i="25"/>
  <c r="U21" i="27"/>
  <c r="Q21" i="27"/>
  <c r="O21" i="27"/>
  <c r="W21" i="27"/>
  <c r="S21" i="27"/>
  <c r="U21" i="23"/>
  <c r="Q21" i="23"/>
  <c r="S21" i="23"/>
  <c r="W21" i="23"/>
  <c r="O21" i="23"/>
  <c r="K17" i="18"/>
  <c r="AD23" i="5"/>
  <c r="C18" i="16"/>
  <c r="D17" i="16"/>
  <c r="H13" i="16"/>
  <c r="I13" i="16" s="1"/>
  <c r="C13" i="14" s="1"/>
  <c r="F15" i="16"/>
  <c r="B18" i="14"/>
  <c r="E16" i="16"/>
  <c r="G14" i="16"/>
  <c r="D17" i="9"/>
  <c r="H13" i="9"/>
  <c r="I13" i="9" s="1"/>
  <c r="C13" i="6" s="1"/>
  <c r="F15" i="9"/>
  <c r="C18" i="9"/>
  <c r="E16" i="9"/>
  <c r="G14" i="9"/>
  <c r="H19" i="18"/>
  <c r="H14" i="19"/>
  <c r="D18" i="19"/>
  <c r="F16" i="19"/>
  <c r="E17" i="19"/>
  <c r="C19" i="19"/>
  <c r="G15" i="19"/>
  <c r="C19" i="24"/>
  <c r="E17" i="24"/>
  <c r="G15" i="24"/>
  <c r="F16" i="24"/>
  <c r="H14" i="24"/>
  <c r="D18" i="24"/>
  <c r="E18" i="18"/>
  <c r="L18" i="18" s="1"/>
  <c r="E16" i="20"/>
  <c r="G14" i="20"/>
  <c r="F15" i="20"/>
  <c r="D17" i="20"/>
  <c r="H13" i="20"/>
  <c r="K13" i="20" s="1"/>
  <c r="C18" i="20"/>
  <c r="K17" i="27"/>
  <c r="K17" i="5"/>
  <c r="K17" i="23"/>
  <c r="W21" i="5"/>
  <c r="O21" i="5"/>
  <c r="U21" i="5"/>
  <c r="S21" i="5"/>
  <c r="Q21" i="5"/>
  <c r="W21" i="14"/>
  <c r="O21" i="14"/>
  <c r="U21" i="14"/>
  <c r="S21" i="14"/>
  <c r="Q21" i="14"/>
  <c r="B19" i="3"/>
  <c r="B19" i="11"/>
  <c r="B19" i="7"/>
  <c r="B19" i="20"/>
  <c r="B19" i="25"/>
  <c r="B19" i="29"/>
  <c r="B19" i="17"/>
  <c r="B18" i="23"/>
  <c r="C18" i="2"/>
  <c r="B18" i="6"/>
  <c r="B18" i="5"/>
  <c r="G14" i="2"/>
  <c r="E16" i="2"/>
  <c r="D17" i="2"/>
  <c r="H13" i="2"/>
  <c r="I13" i="2" s="1"/>
  <c r="C13" i="5" s="1"/>
  <c r="F15" i="2"/>
  <c r="B18" i="27"/>
  <c r="D17" i="26"/>
  <c r="H13" i="26"/>
  <c r="I13" i="26" s="1"/>
  <c r="C13" i="23" s="1"/>
  <c r="F15" i="26"/>
  <c r="C18" i="26"/>
  <c r="E16" i="26"/>
  <c r="G14" i="26"/>
  <c r="F2" i="22" l="1"/>
  <c r="B22" i="1"/>
  <c r="C22" i="1"/>
  <c r="D22" i="1"/>
  <c r="E22" i="1"/>
  <c r="X11" i="5"/>
  <c r="R8" i="14"/>
  <c r="T9" i="23"/>
  <c r="P7" i="14"/>
  <c r="L12" i="11"/>
  <c r="N12" i="10" s="1"/>
  <c r="V11" i="10" s="1"/>
  <c r="V10" i="27"/>
  <c r="V10" i="5"/>
  <c r="R8" i="5"/>
  <c r="R8" i="27"/>
  <c r="P7" i="23"/>
  <c r="X11" i="23"/>
  <c r="T9" i="14"/>
  <c r="V10" i="14"/>
  <c r="K18" i="14"/>
  <c r="P7" i="10"/>
  <c r="P7" i="27"/>
  <c r="X11" i="18"/>
  <c r="X11" i="10"/>
  <c r="R8" i="10"/>
  <c r="T9" i="27"/>
  <c r="V10" i="10"/>
  <c r="R8" i="18"/>
  <c r="L12" i="20"/>
  <c r="N12" i="18" s="1"/>
  <c r="R9" i="18" s="1"/>
  <c r="L12" i="29"/>
  <c r="N12" i="27" s="1"/>
  <c r="V11" i="27" s="1"/>
  <c r="L12" i="25"/>
  <c r="N12" i="23" s="1"/>
  <c r="V11" i="23" s="1"/>
  <c r="P7" i="18"/>
  <c r="V10" i="6"/>
  <c r="T9" i="18"/>
  <c r="L12" i="7"/>
  <c r="N12" i="6" s="1"/>
  <c r="V11" i="6" s="1"/>
  <c r="L12" i="17"/>
  <c r="N12" i="14" s="1"/>
  <c r="T10" i="14" s="1"/>
  <c r="P7" i="6"/>
  <c r="R8" i="6"/>
  <c r="K18" i="27"/>
  <c r="X11" i="6"/>
  <c r="V11" i="18"/>
  <c r="K18" i="6"/>
  <c r="K18" i="23"/>
  <c r="R8" i="23"/>
  <c r="L12" i="3"/>
  <c r="N12" i="5" s="1"/>
  <c r="V11" i="5" s="1"/>
  <c r="I13" i="7"/>
  <c r="F13" i="6" s="1"/>
  <c r="I13" i="29"/>
  <c r="F13" i="27" s="1"/>
  <c r="I13" i="11"/>
  <c r="F13" i="10" s="1"/>
  <c r="K13" i="25"/>
  <c r="M13" i="23" s="1"/>
  <c r="I13" i="25"/>
  <c r="F13" i="23" s="1"/>
  <c r="K13" i="17"/>
  <c r="M13" i="14" s="1"/>
  <c r="I13" i="17"/>
  <c r="F13" i="14" s="1"/>
  <c r="I13" i="20"/>
  <c r="F13" i="18" s="1"/>
  <c r="I13" i="3"/>
  <c r="F13" i="5" s="1"/>
  <c r="K14" i="15"/>
  <c r="I14" i="15"/>
  <c r="I14" i="14" s="1"/>
  <c r="K14" i="4"/>
  <c r="I14" i="4"/>
  <c r="I14" i="5" s="1"/>
  <c r="L13" i="28"/>
  <c r="L13" i="19"/>
  <c r="L13" i="24"/>
  <c r="L13" i="8"/>
  <c r="L13" i="15"/>
  <c r="I14" i="28"/>
  <c r="I14" i="27" s="1"/>
  <c r="I14" i="8"/>
  <c r="I14" i="6" s="1"/>
  <c r="K14" i="24"/>
  <c r="I14" i="24"/>
  <c r="I14" i="23" s="1"/>
  <c r="K14" i="19"/>
  <c r="I14" i="19"/>
  <c r="I14" i="18" s="1"/>
  <c r="K14" i="12"/>
  <c r="I14" i="12"/>
  <c r="I14" i="10" s="1"/>
  <c r="L13" i="12"/>
  <c r="K18" i="18"/>
  <c r="AD22" i="10"/>
  <c r="AD23" i="14"/>
  <c r="AD23" i="6"/>
  <c r="M13" i="6"/>
  <c r="M13" i="10"/>
  <c r="M13" i="27"/>
  <c r="M13" i="18"/>
  <c r="M13" i="5"/>
  <c r="C19" i="25"/>
  <c r="E17" i="25"/>
  <c r="D18" i="25"/>
  <c r="H14" i="25"/>
  <c r="K14" i="25" s="1"/>
  <c r="F16" i="25"/>
  <c r="G15" i="25"/>
  <c r="D19" i="8"/>
  <c r="F17" i="8"/>
  <c r="H15" i="8"/>
  <c r="I15" i="8" s="1"/>
  <c r="I15" i="6" s="1"/>
  <c r="G16" i="8"/>
  <c r="C20" i="8"/>
  <c r="E18" i="8"/>
  <c r="C20" i="24"/>
  <c r="E18" i="24"/>
  <c r="D19" i="24"/>
  <c r="F17" i="24"/>
  <c r="G16" i="24"/>
  <c r="H15" i="24"/>
  <c r="B19" i="5"/>
  <c r="B19" i="27"/>
  <c r="B19" i="6"/>
  <c r="D18" i="2"/>
  <c r="E17" i="2"/>
  <c r="G15" i="2"/>
  <c r="C19" i="2"/>
  <c r="F16" i="2"/>
  <c r="B19" i="23"/>
  <c r="H14" i="2"/>
  <c r="I14" i="2" s="1"/>
  <c r="C14" i="5" s="1"/>
  <c r="W22" i="14"/>
  <c r="Q22" i="14"/>
  <c r="O22" i="14"/>
  <c r="U22" i="14"/>
  <c r="S22" i="14"/>
  <c r="B20" i="26"/>
  <c r="B20" i="2"/>
  <c r="B20" i="30"/>
  <c r="B20" i="9"/>
  <c r="B20" i="13"/>
  <c r="B20" i="16"/>
  <c r="B20" i="21"/>
  <c r="D18" i="20"/>
  <c r="C19" i="20"/>
  <c r="G15" i="20"/>
  <c r="E19" i="18"/>
  <c r="L19" i="18" s="1"/>
  <c r="E17" i="20"/>
  <c r="H14" i="20"/>
  <c r="I14" i="20" s="1"/>
  <c r="F14" i="18" s="1"/>
  <c r="F16" i="20"/>
  <c r="H20" i="27"/>
  <c r="H20" i="10"/>
  <c r="D19" i="4"/>
  <c r="H20" i="6"/>
  <c r="C20" i="4"/>
  <c r="E18" i="4"/>
  <c r="H20" i="5"/>
  <c r="G16" i="4"/>
  <c r="H15" i="4"/>
  <c r="F17" i="4"/>
  <c r="H20" i="23"/>
  <c r="B19" i="18"/>
  <c r="C19" i="21"/>
  <c r="F16" i="21"/>
  <c r="H14" i="21"/>
  <c r="I14" i="21" s="1"/>
  <c r="C14" i="18" s="1"/>
  <c r="G15" i="21"/>
  <c r="D18" i="21"/>
  <c r="E17" i="21"/>
  <c r="W22" i="18"/>
  <c r="Q22" i="18"/>
  <c r="O22" i="18"/>
  <c r="U22" i="18"/>
  <c r="S22" i="18"/>
  <c r="W22" i="27"/>
  <c r="U22" i="27"/>
  <c r="Q22" i="27"/>
  <c r="O22" i="27"/>
  <c r="S22" i="27"/>
  <c r="K18" i="5"/>
  <c r="C19" i="17"/>
  <c r="D18" i="17"/>
  <c r="G15" i="17"/>
  <c r="E17" i="17"/>
  <c r="E19" i="14"/>
  <c r="L19" i="14" s="1"/>
  <c r="H14" i="17"/>
  <c r="K14" i="17" s="1"/>
  <c r="F16" i="17"/>
  <c r="D18" i="7"/>
  <c r="G15" i="7"/>
  <c r="E17" i="7"/>
  <c r="C19" i="7"/>
  <c r="H14" i="7"/>
  <c r="I14" i="7" s="1"/>
  <c r="F14" i="6" s="1"/>
  <c r="F16" i="7"/>
  <c r="F21" i="1"/>
  <c r="C20" i="15"/>
  <c r="E18" i="15"/>
  <c r="D19" i="15"/>
  <c r="F17" i="15"/>
  <c r="H15" i="15"/>
  <c r="I15" i="15" s="1"/>
  <c r="I15" i="14" s="1"/>
  <c r="H20" i="14"/>
  <c r="G16" i="15"/>
  <c r="E18" i="12"/>
  <c r="F17" i="12"/>
  <c r="H15" i="12"/>
  <c r="D19" i="12"/>
  <c r="G16" i="12"/>
  <c r="C20" i="12"/>
  <c r="B19" i="14"/>
  <c r="F16" i="16"/>
  <c r="D18" i="16"/>
  <c r="H14" i="16"/>
  <c r="I14" i="16" s="1"/>
  <c r="C14" i="14" s="1"/>
  <c r="G15" i="16"/>
  <c r="E17" i="16"/>
  <c r="C19" i="16"/>
  <c r="W22" i="10"/>
  <c r="S22" i="10"/>
  <c r="U22" i="10"/>
  <c r="O22" i="10"/>
  <c r="Q22" i="10"/>
  <c r="S22" i="23"/>
  <c r="O22" i="23"/>
  <c r="W22" i="23"/>
  <c r="U22" i="23"/>
  <c r="Q22" i="23"/>
  <c r="E19" i="10"/>
  <c r="L19" i="10" s="1"/>
  <c r="E19" i="6"/>
  <c r="L19" i="6" s="1"/>
  <c r="E19" i="5"/>
  <c r="L19" i="5" s="1"/>
  <c r="D18" i="3"/>
  <c r="E17" i="3"/>
  <c r="E19" i="23"/>
  <c r="L19" i="23" s="1"/>
  <c r="G15" i="3"/>
  <c r="C19" i="3"/>
  <c r="F16" i="3"/>
  <c r="H14" i="3"/>
  <c r="E19" i="27"/>
  <c r="L19" i="27" s="1"/>
  <c r="K18" i="10"/>
  <c r="D18" i="9"/>
  <c r="C19" i="9"/>
  <c r="F16" i="9"/>
  <c r="H14" i="9"/>
  <c r="I14" i="9" s="1"/>
  <c r="C14" i="6" s="1"/>
  <c r="G15" i="9"/>
  <c r="E17" i="9"/>
  <c r="A23" i="23"/>
  <c r="A23" i="10"/>
  <c r="A23" i="5"/>
  <c r="A23" i="6"/>
  <c r="A24" i="2"/>
  <c r="A23" i="27"/>
  <c r="A23" i="18"/>
  <c r="A23" i="14"/>
  <c r="AD23" i="27"/>
  <c r="AD24" i="5"/>
  <c r="A23" i="1"/>
  <c r="AD23" i="23"/>
  <c r="D18" i="26"/>
  <c r="C19" i="26"/>
  <c r="E17" i="26"/>
  <c r="F16" i="26"/>
  <c r="H14" i="26"/>
  <c r="I14" i="26" s="1"/>
  <c r="C14" i="23" s="1"/>
  <c r="G15" i="26"/>
  <c r="C19" i="29"/>
  <c r="D18" i="29"/>
  <c r="G15" i="29"/>
  <c r="H14" i="29"/>
  <c r="K14" i="29" s="1"/>
  <c r="E17" i="29"/>
  <c r="F16" i="29"/>
  <c r="G15" i="11"/>
  <c r="C19" i="11"/>
  <c r="D18" i="11"/>
  <c r="E17" i="11"/>
  <c r="H14" i="11"/>
  <c r="K14" i="11" s="1"/>
  <c r="F16" i="11"/>
  <c r="B21" i="4"/>
  <c r="B21" i="28"/>
  <c r="B21" i="12"/>
  <c r="B21" i="19"/>
  <c r="B21" i="8"/>
  <c r="B21" i="15"/>
  <c r="B21" i="24"/>
  <c r="D19" i="19"/>
  <c r="C20" i="19"/>
  <c r="E18" i="19"/>
  <c r="F17" i="19"/>
  <c r="H20" i="18"/>
  <c r="H15" i="19"/>
  <c r="K15" i="19" s="1"/>
  <c r="G16" i="19"/>
  <c r="C20" i="28"/>
  <c r="E18" i="28"/>
  <c r="D19" i="28"/>
  <c r="F17" i="28"/>
  <c r="H15" i="28"/>
  <c r="K15" i="28" s="1"/>
  <c r="G16" i="28"/>
  <c r="C19" i="13"/>
  <c r="D18" i="13"/>
  <c r="E17" i="13"/>
  <c r="F16" i="13"/>
  <c r="H14" i="13"/>
  <c r="I14" i="13" s="1"/>
  <c r="C14" i="10" s="1"/>
  <c r="G15" i="13"/>
  <c r="B19" i="10"/>
  <c r="E17" i="30"/>
  <c r="D18" i="30"/>
  <c r="F16" i="30"/>
  <c r="H14" i="30"/>
  <c r="I14" i="30" s="1"/>
  <c r="C14" i="27" s="1"/>
  <c r="C19" i="30"/>
  <c r="G15" i="30"/>
  <c r="W22" i="6"/>
  <c r="U22" i="6"/>
  <c r="S22" i="6"/>
  <c r="Q22" i="6"/>
  <c r="O22" i="6"/>
  <c r="Q22" i="5"/>
  <c r="W22" i="5"/>
  <c r="U22" i="5"/>
  <c r="S22" i="5"/>
  <c r="O22" i="5"/>
  <c r="B20" i="3"/>
  <c r="B20" i="20"/>
  <c r="B20" i="29"/>
  <c r="B20" i="11"/>
  <c r="B20" i="25"/>
  <c r="B20" i="17"/>
  <c r="B20" i="7"/>
  <c r="AD23" i="18"/>
  <c r="U31" i="35" l="1"/>
  <c r="W31" i="35" s="1"/>
  <c r="M2" i="22"/>
  <c r="N2" i="22" s="1"/>
  <c r="B23" i="1"/>
  <c r="C23" i="1"/>
  <c r="D23" i="1"/>
  <c r="E23" i="1"/>
  <c r="G2" i="22"/>
  <c r="R9" i="23"/>
  <c r="R9" i="10"/>
  <c r="T10" i="10"/>
  <c r="X12" i="10"/>
  <c r="P8" i="10"/>
  <c r="P8" i="27"/>
  <c r="K19" i="18"/>
  <c r="P8" i="18"/>
  <c r="T10" i="18"/>
  <c r="X12" i="23"/>
  <c r="T10" i="6"/>
  <c r="X12" i="6"/>
  <c r="L13" i="17"/>
  <c r="N13" i="14" s="1"/>
  <c r="R9" i="5"/>
  <c r="P8" i="6"/>
  <c r="L13" i="11"/>
  <c r="N13" i="10" s="1"/>
  <c r="R9" i="6"/>
  <c r="T10" i="23"/>
  <c r="P8" i="23"/>
  <c r="X12" i="5"/>
  <c r="R9" i="27"/>
  <c r="X12" i="18"/>
  <c r="L13" i="29"/>
  <c r="N13" i="27" s="1"/>
  <c r="V12" i="27" s="1"/>
  <c r="T10" i="5"/>
  <c r="P8" i="5"/>
  <c r="K14" i="20"/>
  <c r="L14" i="20" s="1"/>
  <c r="X12" i="27"/>
  <c r="T10" i="27"/>
  <c r="L13" i="20"/>
  <c r="N13" i="18" s="1"/>
  <c r="V12" i="18" s="1"/>
  <c r="X12" i="14"/>
  <c r="L13" i="3"/>
  <c r="N13" i="5" s="1"/>
  <c r="V12" i="5" s="1"/>
  <c r="K15" i="8"/>
  <c r="L15" i="8" s="1"/>
  <c r="L13" i="7"/>
  <c r="N13" i="6" s="1"/>
  <c r="V12" i="6" s="1"/>
  <c r="L13" i="25"/>
  <c r="N13" i="23" s="1"/>
  <c r="V12" i="23" s="1"/>
  <c r="P8" i="14"/>
  <c r="R9" i="14"/>
  <c r="V11" i="14"/>
  <c r="K14" i="7"/>
  <c r="M14" i="6" s="1"/>
  <c r="L14" i="8"/>
  <c r="L14" i="12"/>
  <c r="L14" i="19"/>
  <c r="L14" i="24"/>
  <c r="I14" i="29"/>
  <c r="F14" i="27" s="1"/>
  <c r="K14" i="3"/>
  <c r="M14" i="5" s="1"/>
  <c r="I14" i="3"/>
  <c r="F14" i="5" s="1"/>
  <c r="K19" i="14"/>
  <c r="K15" i="15"/>
  <c r="L15" i="15" s="1"/>
  <c r="I14" i="17"/>
  <c r="F14" i="14" s="1"/>
  <c r="I14" i="11"/>
  <c r="F14" i="10" s="1"/>
  <c r="I14" i="25"/>
  <c r="F14" i="23" s="1"/>
  <c r="K15" i="4"/>
  <c r="I15" i="4"/>
  <c r="I15" i="5" s="1"/>
  <c r="K15" i="24"/>
  <c r="I15" i="24"/>
  <c r="I15" i="23" s="1"/>
  <c r="L14" i="4"/>
  <c r="L14" i="15"/>
  <c r="L14" i="28"/>
  <c r="I15" i="19"/>
  <c r="I15" i="18" s="1"/>
  <c r="K15" i="12"/>
  <c r="I15" i="12"/>
  <c r="I15" i="10" s="1"/>
  <c r="I15" i="28"/>
  <c r="I15" i="27" s="1"/>
  <c r="K19" i="27"/>
  <c r="K19" i="5"/>
  <c r="AD23" i="10"/>
  <c r="AD24" i="6"/>
  <c r="AD24" i="14"/>
  <c r="M14" i="10"/>
  <c r="M14" i="14"/>
  <c r="E20" i="14"/>
  <c r="L20" i="14" s="1"/>
  <c r="D19" i="17"/>
  <c r="G16" i="17"/>
  <c r="E18" i="17"/>
  <c r="F17" i="17"/>
  <c r="H15" i="17"/>
  <c r="I15" i="17" s="1"/>
  <c r="F15" i="14" s="1"/>
  <c r="C20" i="17"/>
  <c r="H21" i="18"/>
  <c r="C21" i="19"/>
  <c r="H16" i="19"/>
  <c r="E19" i="19"/>
  <c r="F18" i="19"/>
  <c r="D20" i="19"/>
  <c r="G17" i="19"/>
  <c r="AD24" i="23"/>
  <c r="O23" i="5"/>
  <c r="U23" i="5"/>
  <c r="S23" i="5"/>
  <c r="Q23" i="5"/>
  <c r="W23" i="5"/>
  <c r="B21" i="29"/>
  <c r="B21" i="11"/>
  <c r="B21" i="20"/>
  <c r="B21" i="7"/>
  <c r="B21" i="17"/>
  <c r="B21" i="25"/>
  <c r="B21" i="3"/>
  <c r="C20" i="21"/>
  <c r="E18" i="21"/>
  <c r="D19" i="21"/>
  <c r="H15" i="21"/>
  <c r="I15" i="21" s="1"/>
  <c r="C15" i="18" s="1"/>
  <c r="F17" i="21"/>
  <c r="B20" i="18"/>
  <c r="G16" i="21"/>
  <c r="D19" i="30"/>
  <c r="E18" i="30"/>
  <c r="C20" i="30"/>
  <c r="H15" i="30"/>
  <c r="I15" i="30" s="1"/>
  <c r="C15" i="27" s="1"/>
  <c r="F17" i="30"/>
  <c r="G16" i="30"/>
  <c r="M14" i="23"/>
  <c r="E20" i="23"/>
  <c r="L20" i="23" s="1"/>
  <c r="E20" i="5"/>
  <c r="L20" i="5" s="1"/>
  <c r="D19" i="3"/>
  <c r="C20" i="3"/>
  <c r="E18" i="3"/>
  <c r="E20" i="6"/>
  <c r="L20" i="6" s="1"/>
  <c r="G16" i="3"/>
  <c r="E20" i="10"/>
  <c r="L20" i="10" s="1"/>
  <c r="H15" i="3"/>
  <c r="I15" i="3" s="1"/>
  <c r="F15" i="5" s="1"/>
  <c r="E20" i="27"/>
  <c r="L20" i="27" s="1"/>
  <c r="F17" i="3"/>
  <c r="D20" i="24"/>
  <c r="C21" i="24"/>
  <c r="F18" i="24"/>
  <c r="G17" i="24"/>
  <c r="H16" i="24"/>
  <c r="E19" i="24"/>
  <c r="A24" i="1"/>
  <c r="D19" i="16"/>
  <c r="C20" i="16"/>
  <c r="E18" i="16"/>
  <c r="H15" i="16"/>
  <c r="I15" i="16" s="1"/>
  <c r="C15" i="14" s="1"/>
  <c r="B20" i="14"/>
  <c r="F17" i="16"/>
  <c r="G16" i="16"/>
  <c r="B20" i="27"/>
  <c r="B20" i="6"/>
  <c r="D19" i="2"/>
  <c r="C20" i="2"/>
  <c r="E18" i="2"/>
  <c r="B20" i="23"/>
  <c r="G16" i="2"/>
  <c r="H15" i="2"/>
  <c r="I15" i="2" s="1"/>
  <c r="C15" i="5" s="1"/>
  <c r="B20" i="5"/>
  <c r="F17" i="2"/>
  <c r="K19" i="23"/>
  <c r="C20" i="11"/>
  <c r="E18" i="11"/>
  <c r="F17" i="11"/>
  <c r="D19" i="11"/>
  <c r="G16" i="11"/>
  <c r="H15" i="11"/>
  <c r="I15" i="11" s="1"/>
  <c r="F15" i="10" s="1"/>
  <c r="K19" i="10"/>
  <c r="H21" i="14"/>
  <c r="F18" i="15"/>
  <c r="H16" i="15"/>
  <c r="D20" i="15"/>
  <c r="E19" i="15"/>
  <c r="G17" i="15"/>
  <c r="C21" i="15"/>
  <c r="C21" i="28"/>
  <c r="D20" i="28"/>
  <c r="G17" i="28"/>
  <c r="H16" i="28"/>
  <c r="I16" i="28" s="1"/>
  <c r="I16" i="27" s="1"/>
  <c r="F18" i="28"/>
  <c r="E19" i="28"/>
  <c r="B22" i="24"/>
  <c r="B22" i="4"/>
  <c r="B22" i="19"/>
  <c r="B22" i="28"/>
  <c r="B22" i="15"/>
  <c r="B22" i="12"/>
  <c r="B22" i="8"/>
  <c r="AD24" i="27"/>
  <c r="A24" i="23"/>
  <c r="A24" i="27"/>
  <c r="A24" i="10"/>
  <c r="A25" i="2"/>
  <c r="A24" i="5"/>
  <c r="A24" i="18"/>
  <c r="A24" i="14"/>
  <c r="A24" i="6"/>
  <c r="W23" i="23"/>
  <c r="S23" i="23"/>
  <c r="O23" i="23"/>
  <c r="U23" i="23"/>
  <c r="Q23" i="23"/>
  <c r="C20" i="13"/>
  <c r="B20" i="10"/>
  <c r="H15" i="13"/>
  <c r="I15" i="13" s="1"/>
  <c r="C15" i="10" s="1"/>
  <c r="D19" i="13"/>
  <c r="E18" i="13"/>
  <c r="F17" i="13"/>
  <c r="G16" i="13"/>
  <c r="C20" i="26"/>
  <c r="E18" i="26"/>
  <c r="H15" i="26"/>
  <c r="I15" i="26" s="1"/>
  <c r="C15" i="23" s="1"/>
  <c r="D19" i="26"/>
  <c r="F17" i="26"/>
  <c r="G16" i="26"/>
  <c r="E20" i="18"/>
  <c r="L20" i="18" s="1"/>
  <c r="C20" i="20"/>
  <c r="E18" i="20"/>
  <c r="G16" i="20"/>
  <c r="F17" i="20"/>
  <c r="H15" i="20"/>
  <c r="K15" i="20" s="1"/>
  <c r="D19" i="20"/>
  <c r="M14" i="27"/>
  <c r="F22" i="1"/>
  <c r="G22" i="1" s="1"/>
  <c r="U23" i="18"/>
  <c r="Q23" i="18"/>
  <c r="W23" i="18"/>
  <c r="S23" i="18"/>
  <c r="O23" i="18"/>
  <c r="C20" i="25"/>
  <c r="D19" i="25"/>
  <c r="F17" i="25"/>
  <c r="H15" i="25"/>
  <c r="G16" i="25"/>
  <c r="E18" i="25"/>
  <c r="C21" i="12"/>
  <c r="D20" i="12"/>
  <c r="E19" i="12"/>
  <c r="F18" i="12"/>
  <c r="G17" i="12"/>
  <c r="H16" i="12"/>
  <c r="K16" i="12" s="1"/>
  <c r="AD25" i="5"/>
  <c r="W23" i="27"/>
  <c r="S23" i="27"/>
  <c r="O23" i="27"/>
  <c r="Q23" i="27"/>
  <c r="U23" i="27"/>
  <c r="W23" i="10"/>
  <c r="S23" i="10"/>
  <c r="O23" i="10"/>
  <c r="U23" i="10"/>
  <c r="Q23" i="10"/>
  <c r="AD24" i="18"/>
  <c r="D19" i="7"/>
  <c r="C20" i="7"/>
  <c r="E18" i="7"/>
  <c r="G16" i="7"/>
  <c r="F17" i="7"/>
  <c r="H15" i="7"/>
  <c r="K15" i="7" s="1"/>
  <c r="C20" i="29"/>
  <c r="F17" i="29"/>
  <c r="D19" i="29"/>
  <c r="G16" i="29"/>
  <c r="E18" i="29"/>
  <c r="H15" i="29"/>
  <c r="K15" i="29" s="1"/>
  <c r="C21" i="8"/>
  <c r="D20" i="8"/>
  <c r="F18" i="8"/>
  <c r="E19" i="8"/>
  <c r="H16" i="8"/>
  <c r="G17" i="8"/>
  <c r="H21" i="23"/>
  <c r="H21" i="27"/>
  <c r="H21" i="10"/>
  <c r="H21" i="6"/>
  <c r="H21" i="5"/>
  <c r="E19" i="4"/>
  <c r="G17" i="4"/>
  <c r="D20" i="4"/>
  <c r="C21" i="4"/>
  <c r="F18" i="4"/>
  <c r="H16" i="4"/>
  <c r="K16" i="4" s="1"/>
  <c r="U23" i="14"/>
  <c r="Q23" i="14"/>
  <c r="W23" i="14"/>
  <c r="S23" i="14"/>
  <c r="O23" i="14"/>
  <c r="U23" i="6"/>
  <c r="Q23" i="6"/>
  <c r="W23" i="6"/>
  <c r="S23" i="6"/>
  <c r="O23" i="6"/>
  <c r="G21" i="1"/>
  <c r="E18" i="9"/>
  <c r="H15" i="9"/>
  <c r="I15" i="9" s="1"/>
  <c r="C15" i="6" s="1"/>
  <c r="C20" i="9"/>
  <c r="F17" i="9"/>
  <c r="D19" i="9"/>
  <c r="G16" i="9"/>
  <c r="K19" i="6"/>
  <c r="V31" i="35" l="1"/>
  <c r="B24" i="1"/>
  <c r="C24" i="1"/>
  <c r="D24" i="1"/>
  <c r="E24" i="1"/>
  <c r="M14" i="18"/>
  <c r="R10" i="18"/>
  <c r="X13" i="5"/>
  <c r="P9" i="5"/>
  <c r="AE5" i="5" s="1"/>
  <c r="V12" i="10"/>
  <c r="X13" i="10"/>
  <c r="T11" i="18"/>
  <c r="R10" i="6"/>
  <c r="K16" i="28"/>
  <c r="L16" i="28" s="1"/>
  <c r="K20" i="23"/>
  <c r="X13" i="18"/>
  <c r="P9" i="18"/>
  <c r="T11" i="6"/>
  <c r="V12" i="14"/>
  <c r="R10" i="14"/>
  <c r="P9" i="14"/>
  <c r="X13" i="14"/>
  <c r="T11" i="14"/>
  <c r="R10" i="23"/>
  <c r="X13" i="23"/>
  <c r="T11" i="10"/>
  <c r="P9" i="10"/>
  <c r="P9" i="23"/>
  <c r="L14" i="7"/>
  <c r="L14" i="11"/>
  <c r="N14" i="10" s="1"/>
  <c r="X14" i="10" s="1"/>
  <c r="X13" i="6"/>
  <c r="T11" i="23"/>
  <c r="R10" i="5"/>
  <c r="V13" i="10"/>
  <c r="P9" i="6"/>
  <c r="T11" i="5"/>
  <c r="R10" i="10"/>
  <c r="K15" i="17"/>
  <c r="L15" i="17" s="1"/>
  <c r="N15" i="14" s="1"/>
  <c r="K15" i="3"/>
  <c r="M15" i="5" s="1"/>
  <c r="X13" i="27"/>
  <c r="N14" i="18"/>
  <c r="T11" i="27"/>
  <c r="K15" i="11"/>
  <c r="L15" i="11" s="1"/>
  <c r="L14" i="29"/>
  <c r="N14" i="27" s="1"/>
  <c r="T12" i="27" s="1"/>
  <c r="N14" i="6"/>
  <c r="V13" i="6" s="1"/>
  <c r="K20" i="14"/>
  <c r="L14" i="25"/>
  <c r="N14" i="23" s="1"/>
  <c r="V13" i="23" s="1"/>
  <c r="L14" i="17"/>
  <c r="N14" i="14" s="1"/>
  <c r="V13" i="14" s="1"/>
  <c r="L14" i="3"/>
  <c r="N14" i="5" s="1"/>
  <c r="V13" i="5" s="1"/>
  <c r="P9" i="27"/>
  <c r="R10" i="27"/>
  <c r="K15" i="25"/>
  <c r="M15" i="23" s="1"/>
  <c r="I15" i="25"/>
  <c r="F15" i="23" s="1"/>
  <c r="I15" i="7"/>
  <c r="F15" i="6" s="1"/>
  <c r="I15" i="20"/>
  <c r="F15" i="18" s="1"/>
  <c r="I15" i="29"/>
  <c r="F15" i="27" s="1"/>
  <c r="K16" i="19"/>
  <c r="I16" i="19"/>
  <c r="I16" i="18" s="1"/>
  <c r="L15" i="24"/>
  <c r="L15" i="4"/>
  <c r="L15" i="28"/>
  <c r="I16" i="12"/>
  <c r="I16" i="10" s="1"/>
  <c r="I16" i="4"/>
  <c r="I16" i="5" s="1"/>
  <c r="K16" i="8"/>
  <c r="I16" i="8"/>
  <c r="I16" i="6" s="1"/>
  <c r="K16" i="15"/>
  <c r="I16" i="15"/>
  <c r="I16" i="14" s="1"/>
  <c r="K16" i="24"/>
  <c r="I16" i="24"/>
  <c r="I16" i="23" s="1"/>
  <c r="L15" i="12"/>
  <c r="L15" i="19"/>
  <c r="AD24" i="10"/>
  <c r="AD25" i="14"/>
  <c r="AD25" i="6"/>
  <c r="M15" i="6"/>
  <c r="M15" i="27"/>
  <c r="AD25" i="18"/>
  <c r="B22" i="26"/>
  <c r="B22" i="30"/>
  <c r="B22" i="13"/>
  <c r="B22" i="21"/>
  <c r="B22" i="9"/>
  <c r="B22" i="16"/>
  <c r="B22" i="2"/>
  <c r="W24" i="5"/>
  <c r="S24" i="5"/>
  <c r="Q24" i="5"/>
  <c r="O24" i="5"/>
  <c r="U24" i="5"/>
  <c r="O24" i="23"/>
  <c r="S24" i="23"/>
  <c r="U24" i="23"/>
  <c r="Q24" i="23"/>
  <c r="W24" i="23"/>
  <c r="C22" i="28"/>
  <c r="E20" i="28"/>
  <c r="F19" i="28"/>
  <c r="G18" i="28"/>
  <c r="D21" i="28"/>
  <c r="H17" i="28"/>
  <c r="K17" i="28" s="1"/>
  <c r="B23" i="4"/>
  <c r="B23" i="28"/>
  <c r="B23" i="12"/>
  <c r="B23" i="19"/>
  <c r="B23" i="8"/>
  <c r="B23" i="15"/>
  <c r="B23" i="24"/>
  <c r="C21" i="7"/>
  <c r="E19" i="7"/>
  <c r="G17" i="7"/>
  <c r="D20" i="7"/>
  <c r="H16" i="7"/>
  <c r="K16" i="7" s="1"/>
  <c r="F18" i="7"/>
  <c r="M15" i="18"/>
  <c r="AD26" i="5"/>
  <c r="W24" i="6"/>
  <c r="O24" i="6"/>
  <c r="U24" i="6"/>
  <c r="S24" i="6"/>
  <c r="Q24" i="6"/>
  <c r="A25" i="10"/>
  <c r="A25" i="27"/>
  <c r="A25" i="5"/>
  <c r="A25" i="6"/>
  <c r="A26" i="2"/>
  <c r="A25" i="23"/>
  <c r="A25" i="18"/>
  <c r="A25" i="14"/>
  <c r="C22" i="8"/>
  <c r="E20" i="8"/>
  <c r="G18" i="8"/>
  <c r="H17" i="8"/>
  <c r="D21" i="8"/>
  <c r="F19" i="8"/>
  <c r="C22" i="19"/>
  <c r="E20" i="19"/>
  <c r="G18" i="19"/>
  <c r="F19" i="19"/>
  <c r="H17" i="19"/>
  <c r="I17" i="19" s="1"/>
  <c r="I17" i="18" s="1"/>
  <c r="D21" i="19"/>
  <c r="H22" i="18"/>
  <c r="E21" i="27"/>
  <c r="L21" i="27" s="1"/>
  <c r="E21" i="10"/>
  <c r="L21" i="10" s="1"/>
  <c r="E21" i="6"/>
  <c r="L21" i="6" s="1"/>
  <c r="E21" i="5"/>
  <c r="L21" i="5" s="1"/>
  <c r="E21" i="23"/>
  <c r="L21" i="23" s="1"/>
  <c r="C21" i="3"/>
  <c r="E19" i="3"/>
  <c r="G17" i="3"/>
  <c r="D20" i="3"/>
  <c r="F18" i="3"/>
  <c r="H16" i="3"/>
  <c r="E21" i="18"/>
  <c r="L21" i="18" s="1"/>
  <c r="C21" i="20"/>
  <c r="E19" i="20"/>
  <c r="F18" i="20"/>
  <c r="G17" i="20"/>
  <c r="H16" i="20"/>
  <c r="D20" i="20"/>
  <c r="AD25" i="23"/>
  <c r="W24" i="14"/>
  <c r="O24" i="14"/>
  <c r="Q24" i="14"/>
  <c r="U24" i="14"/>
  <c r="S24" i="14"/>
  <c r="O24" i="10"/>
  <c r="U24" i="10"/>
  <c r="W24" i="10"/>
  <c r="S24" i="10"/>
  <c r="Q24" i="10"/>
  <c r="AD25" i="27"/>
  <c r="C22" i="12"/>
  <c r="D21" i="12"/>
  <c r="E20" i="12"/>
  <c r="F19" i="12"/>
  <c r="G18" i="12"/>
  <c r="H17" i="12"/>
  <c r="H22" i="5"/>
  <c r="D21" i="4"/>
  <c r="C22" i="4"/>
  <c r="H22" i="10"/>
  <c r="E20" i="4"/>
  <c r="G18" i="4"/>
  <c r="H22" i="23"/>
  <c r="H22" i="6"/>
  <c r="F19" i="4"/>
  <c r="H22" i="27"/>
  <c r="H17" i="4"/>
  <c r="K20" i="6"/>
  <c r="A25" i="1"/>
  <c r="D20" i="25"/>
  <c r="C21" i="25"/>
  <c r="F18" i="25"/>
  <c r="E19" i="25"/>
  <c r="G17" i="25"/>
  <c r="H16" i="25"/>
  <c r="K16" i="25" s="1"/>
  <c r="C21" i="11"/>
  <c r="D20" i="11"/>
  <c r="F18" i="11"/>
  <c r="G17" i="11"/>
  <c r="H16" i="11"/>
  <c r="E19" i="11"/>
  <c r="B21" i="2"/>
  <c r="B21" i="26"/>
  <c r="B21" i="30"/>
  <c r="B21" i="16"/>
  <c r="B21" i="21"/>
  <c r="B21" i="9"/>
  <c r="B21" i="13"/>
  <c r="B22" i="3"/>
  <c r="B22" i="25"/>
  <c r="B22" i="11"/>
  <c r="B22" i="7"/>
  <c r="B22" i="29"/>
  <c r="B22" i="20"/>
  <c r="B22" i="17"/>
  <c r="K20" i="10"/>
  <c r="W24" i="18"/>
  <c r="O24" i="18"/>
  <c r="Q24" i="18"/>
  <c r="U24" i="18"/>
  <c r="S24" i="18"/>
  <c r="O24" i="27"/>
  <c r="S24" i="27"/>
  <c r="U24" i="27"/>
  <c r="Q24" i="27"/>
  <c r="W24" i="27"/>
  <c r="C22" i="15"/>
  <c r="D21" i="15"/>
  <c r="F19" i="15"/>
  <c r="E20" i="15"/>
  <c r="G18" i="15"/>
  <c r="H22" i="14"/>
  <c r="H17" i="15"/>
  <c r="K17" i="15" s="1"/>
  <c r="C22" i="24"/>
  <c r="D21" i="24"/>
  <c r="F19" i="24"/>
  <c r="H17" i="24"/>
  <c r="K17" i="24" s="1"/>
  <c r="E20" i="24"/>
  <c r="G18" i="24"/>
  <c r="K20" i="5"/>
  <c r="K20" i="27"/>
  <c r="F23" i="1"/>
  <c r="G23" i="1" s="1"/>
  <c r="K20" i="18"/>
  <c r="E21" i="14"/>
  <c r="L21" i="14" s="1"/>
  <c r="C21" i="17"/>
  <c r="D20" i="17"/>
  <c r="F18" i="17"/>
  <c r="E19" i="17"/>
  <c r="G17" i="17"/>
  <c r="H16" i="17"/>
  <c r="C21" i="29"/>
  <c r="D20" i="29"/>
  <c r="F18" i="29"/>
  <c r="E19" i="29"/>
  <c r="G17" i="29"/>
  <c r="H16" i="29"/>
  <c r="K16" i="29" s="1"/>
  <c r="B25" i="1" l="1"/>
  <c r="C25" i="1"/>
  <c r="D25" i="1"/>
  <c r="E25" i="1"/>
  <c r="V13" i="18"/>
  <c r="AE5" i="10"/>
  <c r="AC3" i="22" s="1"/>
  <c r="V3" i="22" s="1"/>
  <c r="AE5" i="6"/>
  <c r="AA3" i="22" s="1"/>
  <c r="T3" i="22" s="1"/>
  <c r="L16" i="12"/>
  <c r="R11" i="27"/>
  <c r="AE5" i="23"/>
  <c r="AE3" i="22" s="1"/>
  <c r="X3" i="22" s="1"/>
  <c r="Y3" i="22"/>
  <c r="R3" i="22" s="1"/>
  <c r="AE5" i="14"/>
  <c r="Z3" i="22" s="1"/>
  <c r="S3" i="22" s="1"/>
  <c r="AE5" i="18"/>
  <c r="AB3" i="22" s="1"/>
  <c r="U3" i="22" s="1"/>
  <c r="R11" i="18"/>
  <c r="X14" i="23"/>
  <c r="L15" i="3"/>
  <c r="X14" i="6"/>
  <c r="AE5" i="27"/>
  <c r="AD3" i="22" s="1"/>
  <c r="W3" i="22" s="1"/>
  <c r="L15" i="25"/>
  <c r="N15" i="23" s="1"/>
  <c r="R12" i="23" s="1"/>
  <c r="L15" i="29"/>
  <c r="N15" i="27" s="1"/>
  <c r="V14" i="27" s="1"/>
  <c r="P10" i="27"/>
  <c r="X14" i="5"/>
  <c r="T12" i="10"/>
  <c r="R11" i="10"/>
  <c r="T12" i="18"/>
  <c r="T12" i="6"/>
  <c r="P10" i="10"/>
  <c r="V13" i="27"/>
  <c r="T12" i="14"/>
  <c r="M15" i="14"/>
  <c r="R12" i="14" s="1"/>
  <c r="X14" i="27"/>
  <c r="X14" i="14"/>
  <c r="L15" i="7"/>
  <c r="N15" i="6" s="1"/>
  <c r="X15" i="6" s="1"/>
  <c r="R11" i="14"/>
  <c r="P10" i="14"/>
  <c r="T12" i="5"/>
  <c r="M15" i="10"/>
  <c r="X14" i="18"/>
  <c r="R11" i="6"/>
  <c r="P10" i="18"/>
  <c r="N15" i="10"/>
  <c r="R11" i="23"/>
  <c r="P10" i="6"/>
  <c r="R11" i="5"/>
  <c r="P10" i="23"/>
  <c r="P10" i="5"/>
  <c r="T12" i="23"/>
  <c r="N15" i="5"/>
  <c r="V14" i="5" s="1"/>
  <c r="L15" i="20"/>
  <c r="N15" i="18" s="1"/>
  <c r="V14" i="18" s="1"/>
  <c r="K17" i="19"/>
  <c r="L17" i="19" s="1"/>
  <c r="L16" i="8"/>
  <c r="I16" i="25"/>
  <c r="F16" i="23" s="1"/>
  <c r="I16" i="7"/>
  <c r="F16" i="6" s="1"/>
  <c r="I16" i="29"/>
  <c r="F16" i="27" s="1"/>
  <c r="L16" i="24"/>
  <c r="L16" i="15"/>
  <c r="L16" i="19"/>
  <c r="K16" i="17"/>
  <c r="I16" i="17"/>
  <c r="F16" i="14" s="1"/>
  <c r="K16" i="11"/>
  <c r="I16" i="11"/>
  <c r="F16" i="10" s="1"/>
  <c r="K16" i="20"/>
  <c r="I16" i="20"/>
  <c r="F16" i="18" s="1"/>
  <c r="K16" i="3"/>
  <c r="I16" i="3"/>
  <c r="F16" i="5" s="1"/>
  <c r="K17" i="4"/>
  <c r="I17" i="4"/>
  <c r="I17" i="5" s="1"/>
  <c r="K17" i="8"/>
  <c r="I17" i="8"/>
  <c r="I17" i="6" s="1"/>
  <c r="L16" i="4"/>
  <c r="I17" i="15"/>
  <c r="I17" i="14" s="1"/>
  <c r="K17" i="12"/>
  <c r="I17" i="12"/>
  <c r="I17" i="10" s="1"/>
  <c r="I17" i="24"/>
  <c r="I17" i="23" s="1"/>
  <c r="I17" i="28"/>
  <c r="I17" i="27" s="1"/>
  <c r="AD25" i="10"/>
  <c r="AD26" i="14"/>
  <c r="AD26" i="6"/>
  <c r="B23" i="2"/>
  <c r="B23" i="26"/>
  <c r="B23" i="30"/>
  <c r="B23" i="21"/>
  <c r="B23" i="16"/>
  <c r="B23" i="9"/>
  <c r="B23" i="13"/>
  <c r="D21" i="7"/>
  <c r="E20" i="7"/>
  <c r="G18" i="7"/>
  <c r="F19" i="7"/>
  <c r="C22" i="7"/>
  <c r="H17" i="7"/>
  <c r="K17" i="7" s="1"/>
  <c r="C21" i="9"/>
  <c r="E19" i="9"/>
  <c r="D20" i="9"/>
  <c r="F18" i="9"/>
  <c r="H16" i="9"/>
  <c r="I16" i="9" s="1"/>
  <c r="C16" i="6" s="1"/>
  <c r="M16" i="6" s="1"/>
  <c r="G17" i="9"/>
  <c r="C21" i="26"/>
  <c r="E19" i="26"/>
  <c r="G17" i="26"/>
  <c r="F18" i="26"/>
  <c r="H16" i="26"/>
  <c r="I16" i="26" s="1"/>
  <c r="C16" i="23" s="1"/>
  <c r="M16" i="23" s="1"/>
  <c r="D20" i="26"/>
  <c r="F24" i="1"/>
  <c r="G24" i="1" s="1"/>
  <c r="U25" i="18"/>
  <c r="Q25" i="18"/>
  <c r="W25" i="18"/>
  <c r="S25" i="18"/>
  <c r="Q25" i="5"/>
  <c r="U25" i="5"/>
  <c r="S25" i="5"/>
  <c r="W25" i="5"/>
  <c r="H23" i="18"/>
  <c r="E21" i="19"/>
  <c r="C23" i="19"/>
  <c r="D22" i="19"/>
  <c r="H18" i="19"/>
  <c r="I18" i="19" s="1"/>
  <c r="I18" i="18" s="1"/>
  <c r="F20" i="19"/>
  <c r="G19" i="19"/>
  <c r="D21" i="9"/>
  <c r="C22" i="9"/>
  <c r="F19" i="9"/>
  <c r="H17" i="9"/>
  <c r="E20" i="9"/>
  <c r="G18" i="9"/>
  <c r="E20" i="26"/>
  <c r="C22" i="26"/>
  <c r="D21" i="26"/>
  <c r="F19" i="26"/>
  <c r="H17" i="26"/>
  <c r="G18" i="26"/>
  <c r="AD26" i="18"/>
  <c r="B23" i="29"/>
  <c r="B23" i="11"/>
  <c r="B23" i="20"/>
  <c r="B23" i="7"/>
  <c r="B23" i="17"/>
  <c r="B23" i="25"/>
  <c r="B23" i="3"/>
  <c r="E22" i="14"/>
  <c r="L22" i="14" s="1"/>
  <c r="C22" i="17"/>
  <c r="D21" i="17"/>
  <c r="G18" i="17"/>
  <c r="E20" i="17"/>
  <c r="F19" i="17"/>
  <c r="H17" i="17"/>
  <c r="K17" i="17" s="1"/>
  <c r="D21" i="11"/>
  <c r="F19" i="11"/>
  <c r="E20" i="11"/>
  <c r="G18" i="11"/>
  <c r="H17" i="11"/>
  <c r="I17" i="11" s="1"/>
  <c r="F17" i="10" s="1"/>
  <c r="C22" i="11"/>
  <c r="C21" i="21"/>
  <c r="D20" i="21"/>
  <c r="B21" i="18"/>
  <c r="K21" i="18" s="1"/>
  <c r="F18" i="21"/>
  <c r="H16" i="21"/>
  <c r="I16" i="21" s="1"/>
  <c r="C16" i="18" s="1"/>
  <c r="G17" i="21"/>
  <c r="E19" i="21"/>
  <c r="B21" i="5"/>
  <c r="K21" i="5" s="1"/>
  <c r="B21" i="23"/>
  <c r="K21" i="23" s="1"/>
  <c r="B21" i="6"/>
  <c r="K21" i="6" s="1"/>
  <c r="E19" i="2"/>
  <c r="C21" i="2"/>
  <c r="G17" i="2"/>
  <c r="D20" i="2"/>
  <c r="B21" i="27"/>
  <c r="K21" i="27" s="1"/>
  <c r="H16" i="2"/>
  <c r="I16" i="2" s="1"/>
  <c r="C16" i="5" s="1"/>
  <c r="F18" i="2"/>
  <c r="A26" i="1"/>
  <c r="U25" i="23"/>
  <c r="Q25" i="23"/>
  <c r="S25" i="23"/>
  <c r="W25" i="23"/>
  <c r="W25" i="27"/>
  <c r="S25" i="27"/>
  <c r="Q25" i="27"/>
  <c r="U25" i="27"/>
  <c r="F20" i="24"/>
  <c r="E21" i="24"/>
  <c r="C23" i="24"/>
  <c r="D22" i="24"/>
  <c r="G19" i="24"/>
  <c r="H18" i="24"/>
  <c r="K18" i="24" s="1"/>
  <c r="E21" i="12"/>
  <c r="D22" i="12"/>
  <c r="F20" i="12"/>
  <c r="C23" i="12"/>
  <c r="H18" i="12"/>
  <c r="K18" i="12" s="1"/>
  <c r="G19" i="12"/>
  <c r="B22" i="18"/>
  <c r="D21" i="21"/>
  <c r="C22" i="21"/>
  <c r="F19" i="21"/>
  <c r="G18" i="21"/>
  <c r="H17" i="21"/>
  <c r="E20" i="21"/>
  <c r="E22" i="18"/>
  <c r="L22" i="18" s="1"/>
  <c r="D21" i="20"/>
  <c r="E20" i="20"/>
  <c r="C22" i="20"/>
  <c r="F19" i="20"/>
  <c r="G18" i="20"/>
  <c r="H17" i="20"/>
  <c r="K17" i="20" s="1"/>
  <c r="C22" i="25"/>
  <c r="E20" i="25"/>
  <c r="G18" i="25"/>
  <c r="H17" i="25"/>
  <c r="K17" i="25" s="1"/>
  <c r="F19" i="25"/>
  <c r="D21" i="25"/>
  <c r="C21" i="16"/>
  <c r="E19" i="16"/>
  <c r="H16" i="16"/>
  <c r="I16" i="16" s="1"/>
  <c r="C16" i="14" s="1"/>
  <c r="B21" i="14"/>
  <c r="K21" i="14" s="1"/>
  <c r="G17" i="16"/>
  <c r="F18" i="16"/>
  <c r="D20" i="16"/>
  <c r="AD26" i="23"/>
  <c r="A26" i="27"/>
  <c r="A26" i="10"/>
  <c r="A26" i="23"/>
  <c r="A26" i="5"/>
  <c r="A27" i="2"/>
  <c r="A26" i="18"/>
  <c r="A26" i="6"/>
  <c r="A26" i="14"/>
  <c r="W25" i="10"/>
  <c r="S25" i="10"/>
  <c r="U25" i="10"/>
  <c r="Q25" i="10"/>
  <c r="H23" i="14"/>
  <c r="E21" i="15"/>
  <c r="C23" i="15"/>
  <c r="D22" i="15"/>
  <c r="G19" i="15"/>
  <c r="F20" i="15"/>
  <c r="H18" i="15"/>
  <c r="K18" i="15" s="1"/>
  <c r="E21" i="28"/>
  <c r="F20" i="28"/>
  <c r="C23" i="28"/>
  <c r="D22" i="28"/>
  <c r="G19" i="28"/>
  <c r="H18" i="28"/>
  <c r="B22" i="23"/>
  <c r="D21" i="2"/>
  <c r="B22" i="27"/>
  <c r="B22" i="6"/>
  <c r="C22" i="2"/>
  <c r="B22" i="5"/>
  <c r="E20" i="2"/>
  <c r="G18" i="2"/>
  <c r="F19" i="2"/>
  <c r="H17" i="2"/>
  <c r="B22" i="10"/>
  <c r="D21" i="13"/>
  <c r="C22" i="13"/>
  <c r="G18" i="13"/>
  <c r="H17" i="13"/>
  <c r="F19" i="13"/>
  <c r="E20" i="13"/>
  <c r="D21" i="29"/>
  <c r="E20" i="29"/>
  <c r="C22" i="29"/>
  <c r="H17" i="29"/>
  <c r="K17" i="29" s="1"/>
  <c r="G18" i="29"/>
  <c r="F19" i="29"/>
  <c r="D21" i="3"/>
  <c r="E22" i="23"/>
  <c r="L22" i="23" s="1"/>
  <c r="C22" i="3"/>
  <c r="E22" i="27"/>
  <c r="L22" i="27" s="1"/>
  <c r="E22" i="10"/>
  <c r="L22" i="10" s="1"/>
  <c r="E22" i="6"/>
  <c r="L22" i="6" s="1"/>
  <c r="E20" i="3"/>
  <c r="G18" i="3"/>
  <c r="F19" i="3"/>
  <c r="H17" i="3"/>
  <c r="K17" i="3" s="1"/>
  <c r="E22" i="5"/>
  <c r="L22" i="5" s="1"/>
  <c r="C21" i="13"/>
  <c r="D20" i="13"/>
  <c r="F18" i="13"/>
  <c r="G17" i="13"/>
  <c r="B21" i="10"/>
  <c r="K21" i="10" s="1"/>
  <c r="E19" i="13"/>
  <c r="H16" i="13"/>
  <c r="I16" i="13" s="1"/>
  <c r="C16" i="10" s="1"/>
  <c r="C21" i="30"/>
  <c r="D20" i="30"/>
  <c r="G17" i="30"/>
  <c r="E19" i="30"/>
  <c r="H16" i="30"/>
  <c r="I16" i="30" s="1"/>
  <c r="C16" i="27" s="1"/>
  <c r="M16" i="27" s="1"/>
  <c r="F18" i="30"/>
  <c r="B24" i="8"/>
  <c r="B24" i="24"/>
  <c r="B24" i="28"/>
  <c r="B24" i="15"/>
  <c r="B24" i="4"/>
  <c r="B24" i="19"/>
  <c r="B24" i="12"/>
  <c r="AD26" i="27"/>
  <c r="U25" i="14"/>
  <c r="Q25" i="14"/>
  <c r="W25" i="14"/>
  <c r="S25" i="14"/>
  <c r="U25" i="6"/>
  <c r="Q25" i="6"/>
  <c r="W25" i="6"/>
  <c r="S25" i="6"/>
  <c r="AD27" i="5"/>
  <c r="E21" i="8"/>
  <c r="D22" i="8"/>
  <c r="G19" i="8"/>
  <c r="F20" i="8"/>
  <c r="H18" i="8"/>
  <c r="C23" i="8"/>
  <c r="H23" i="23"/>
  <c r="H23" i="27"/>
  <c r="H23" i="10"/>
  <c r="H23" i="6"/>
  <c r="E21" i="4"/>
  <c r="D22" i="4"/>
  <c r="C23" i="4"/>
  <c r="F20" i="4"/>
  <c r="H18" i="4"/>
  <c r="K18" i="4" s="1"/>
  <c r="H23" i="5"/>
  <c r="G19" i="4"/>
  <c r="B22" i="14"/>
  <c r="D21" i="16"/>
  <c r="C22" i="16"/>
  <c r="E20" i="16"/>
  <c r="G18" i="16"/>
  <c r="F19" i="16"/>
  <c r="H17" i="16"/>
  <c r="D21" i="30"/>
  <c r="E20" i="30"/>
  <c r="C22" i="30"/>
  <c r="G18" i="30"/>
  <c r="F19" i="30"/>
  <c r="H17" i="30"/>
  <c r="B26" i="1" l="1"/>
  <c r="C26" i="1"/>
  <c r="D26" i="1"/>
  <c r="E26" i="1"/>
  <c r="X15" i="27"/>
  <c r="Q3" i="22"/>
  <c r="F3" i="22" s="1"/>
  <c r="R12" i="6"/>
  <c r="P11" i="23"/>
  <c r="T13" i="23"/>
  <c r="V14" i="23"/>
  <c r="X15" i="23"/>
  <c r="T13" i="27"/>
  <c r="R12" i="27"/>
  <c r="L16" i="17"/>
  <c r="N16" i="14" s="1"/>
  <c r="P11" i="27"/>
  <c r="R12" i="5"/>
  <c r="X15" i="5"/>
  <c r="T13" i="5"/>
  <c r="P11" i="10"/>
  <c r="I17" i="30"/>
  <c r="C17" i="27" s="1"/>
  <c r="M17" i="27" s="1"/>
  <c r="P11" i="6"/>
  <c r="T13" i="6"/>
  <c r="V14" i="6"/>
  <c r="V14" i="14"/>
  <c r="P11" i="14"/>
  <c r="T13" i="14"/>
  <c r="M16" i="5"/>
  <c r="X15" i="14"/>
  <c r="I17" i="2"/>
  <c r="C17" i="5" s="1"/>
  <c r="M17" i="5" s="1"/>
  <c r="R12" i="18"/>
  <c r="V14" i="10"/>
  <c r="L16" i="25"/>
  <c r="N16" i="23" s="1"/>
  <c r="T14" i="23" s="1"/>
  <c r="M16" i="10"/>
  <c r="L16" i="29"/>
  <c r="N16" i="27" s="1"/>
  <c r="V15" i="27" s="1"/>
  <c r="P11" i="5"/>
  <c r="T13" i="10"/>
  <c r="R12" i="10"/>
  <c r="M16" i="14"/>
  <c r="T13" i="18"/>
  <c r="X15" i="10"/>
  <c r="I17" i="9"/>
  <c r="C17" i="6" s="1"/>
  <c r="M17" i="6" s="1"/>
  <c r="I17" i="16"/>
  <c r="C17" i="14" s="1"/>
  <c r="M17" i="14" s="1"/>
  <c r="X15" i="18"/>
  <c r="K18" i="19"/>
  <c r="L18" i="19" s="1"/>
  <c r="I17" i="21"/>
  <c r="C17" i="18" s="1"/>
  <c r="M17" i="18" s="1"/>
  <c r="L16" i="7"/>
  <c r="N16" i="6" s="1"/>
  <c r="V15" i="6" s="1"/>
  <c r="P11" i="18"/>
  <c r="L16" i="3"/>
  <c r="N16" i="5" s="1"/>
  <c r="M16" i="18"/>
  <c r="I17" i="26"/>
  <c r="C17" i="23" s="1"/>
  <c r="M17" i="23" s="1"/>
  <c r="L16" i="11"/>
  <c r="N16" i="10" s="1"/>
  <c r="K17" i="11"/>
  <c r="L17" i="11" s="1"/>
  <c r="I17" i="13"/>
  <c r="C17" i="10" s="1"/>
  <c r="I17" i="3"/>
  <c r="F17" i="5" s="1"/>
  <c r="I17" i="17"/>
  <c r="F17" i="14" s="1"/>
  <c r="I17" i="25"/>
  <c r="F17" i="23" s="1"/>
  <c r="I17" i="7"/>
  <c r="F17" i="6" s="1"/>
  <c r="I17" i="20"/>
  <c r="F17" i="18" s="1"/>
  <c r="I17" i="29"/>
  <c r="F17" i="27" s="1"/>
  <c r="L16" i="20"/>
  <c r="N16" i="18" s="1"/>
  <c r="L17" i="15"/>
  <c r="K18" i="8"/>
  <c r="I18" i="8"/>
  <c r="I18" i="6" s="1"/>
  <c r="L17" i="12"/>
  <c r="L17" i="24"/>
  <c r="L17" i="28"/>
  <c r="L17" i="8"/>
  <c r="L17" i="4"/>
  <c r="I18" i="15"/>
  <c r="I18" i="14" s="1"/>
  <c r="I18" i="4"/>
  <c r="I18" i="5" s="1"/>
  <c r="K18" i="28"/>
  <c r="I18" i="28"/>
  <c r="I18" i="27" s="1"/>
  <c r="I18" i="12"/>
  <c r="I18" i="10" s="1"/>
  <c r="I18" i="24"/>
  <c r="I18" i="23" s="1"/>
  <c r="K22" i="27"/>
  <c r="K22" i="23"/>
  <c r="AD26" i="10"/>
  <c r="AD27" i="14"/>
  <c r="AD27" i="6"/>
  <c r="AD28" i="5"/>
  <c r="C24" i="19"/>
  <c r="H24" i="18"/>
  <c r="F21" i="19"/>
  <c r="E22" i="19"/>
  <c r="D23" i="19"/>
  <c r="H19" i="19"/>
  <c r="G20" i="19"/>
  <c r="D23" i="24"/>
  <c r="E22" i="24"/>
  <c r="C24" i="24"/>
  <c r="G20" i="24"/>
  <c r="F21" i="24"/>
  <c r="H19" i="24"/>
  <c r="K19" i="24" s="1"/>
  <c r="K22" i="10"/>
  <c r="U26" i="14"/>
  <c r="S26" i="14"/>
  <c r="W26" i="14"/>
  <c r="U26" i="5"/>
  <c r="W26" i="5"/>
  <c r="S26" i="5"/>
  <c r="AD27" i="23"/>
  <c r="D22" i="25"/>
  <c r="E21" i="25"/>
  <c r="C23" i="25"/>
  <c r="G19" i="25"/>
  <c r="H18" i="25"/>
  <c r="K18" i="25" s="1"/>
  <c r="F20" i="25"/>
  <c r="C23" i="11"/>
  <c r="D22" i="11"/>
  <c r="E21" i="11"/>
  <c r="G19" i="11"/>
  <c r="F20" i="11"/>
  <c r="H18" i="11"/>
  <c r="I18" i="11" s="1"/>
  <c r="F18" i="10" s="1"/>
  <c r="C23" i="13"/>
  <c r="B23" i="10"/>
  <c r="E21" i="13"/>
  <c r="F20" i="13"/>
  <c r="G19" i="13"/>
  <c r="H18" i="13"/>
  <c r="I18" i="13" s="1"/>
  <c r="C18" i="10" s="1"/>
  <c r="D22" i="13"/>
  <c r="C23" i="30"/>
  <c r="E21" i="30"/>
  <c r="F20" i="30"/>
  <c r="D22" i="30"/>
  <c r="H18" i="30"/>
  <c r="I18" i="30" s="1"/>
  <c r="C18" i="27" s="1"/>
  <c r="G19" i="30"/>
  <c r="K22" i="14"/>
  <c r="H24" i="23"/>
  <c r="H24" i="6"/>
  <c r="C24" i="4"/>
  <c r="D23" i="4"/>
  <c r="H24" i="27"/>
  <c r="H24" i="10"/>
  <c r="H24" i="5"/>
  <c r="F21" i="4"/>
  <c r="H19" i="4"/>
  <c r="K19" i="4" s="1"/>
  <c r="G20" i="4"/>
  <c r="E22" i="4"/>
  <c r="C24" i="8"/>
  <c r="D23" i="8"/>
  <c r="F21" i="8"/>
  <c r="E22" i="8"/>
  <c r="H19" i="8"/>
  <c r="K19" i="8" s="1"/>
  <c r="G20" i="8"/>
  <c r="K22" i="5"/>
  <c r="U26" i="6"/>
  <c r="S26" i="6"/>
  <c r="W26" i="6"/>
  <c r="U26" i="23"/>
  <c r="S26" i="23"/>
  <c r="W26" i="23"/>
  <c r="K22" i="18"/>
  <c r="A27" i="1"/>
  <c r="E23" i="14"/>
  <c r="L23" i="14" s="1"/>
  <c r="C23" i="17"/>
  <c r="D22" i="17"/>
  <c r="G19" i="17"/>
  <c r="F20" i="17"/>
  <c r="H18" i="17"/>
  <c r="K18" i="17" s="1"/>
  <c r="E21" i="17"/>
  <c r="C23" i="29"/>
  <c r="D22" i="29"/>
  <c r="G19" i="29"/>
  <c r="H18" i="29"/>
  <c r="K18" i="29" s="1"/>
  <c r="F20" i="29"/>
  <c r="E21" i="29"/>
  <c r="C23" i="9"/>
  <c r="E21" i="9"/>
  <c r="F20" i="9"/>
  <c r="H18" i="9"/>
  <c r="I18" i="9" s="1"/>
  <c r="C18" i="6" s="1"/>
  <c r="G19" i="9"/>
  <c r="D22" i="9"/>
  <c r="C23" i="26"/>
  <c r="F20" i="26"/>
  <c r="E21" i="26"/>
  <c r="D22" i="26"/>
  <c r="H18" i="26"/>
  <c r="I18" i="26" s="1"/>
  <c r="C18" i="23" s="1"/>
  <c r="G19" i="26"/>
  <c r="H24" i="14"/>
  <c r="F21" i="15"/>
  <c r="D23" i="15"/>
  <c r="E22" i="15"/>
  <c r="G20" i="15"/>
  <c r="H19" i="15"/>
  <c r="K19" i="15" s="1"/>
  <c r="C24" i="15"/>
  <c r="U26" i="18"/>
  <c r="S26" i="18"/>
  <c r="W26" i="18"/>
  <c r="S26" i="10"/>
  <c r="W26" i="10"/>
  <c r="U26" i="10"/>
  <c r="F25" i="1"/>
  <c r="G25" i="1" s="1"/>
  <c r="C23" i="7"/>
  <c r="D22" i="7"/>
  <c r="E21" i="7"/>
  <c r="F20" i="7"/>
  <c r="H18" i="7"/>
  <c r="K18" i="7" s="1"/>
  <c r="G19" i="7"/>
  <c r="AD27" i="18"/>
  <c r="B24" i="13"/>
  <c r="B24" i="21"/>
  <c r="B24" i="30"/>
  <c r="B24" i="16"/>
  <c r="B24" i="2"/>
  <c r="B24" i="26"/>
  <c r="B24" i="9"/>
  <c r="C23" i="16"/>
  <c r="B23" i="14"/>
  <c r="D22" i="16"/>
  <c r="H18" i="16"/>
  <c r="I18" i="16" s="1"/>
  <c r="C18" i="14" s="1"/>
  <c r="E21" i="16"/>
  <c r="F20" i="16"/>
  <c r="G19" i="16"/>
  <c r="B23" i="5"/>
  <c r="B23" i="23"/>
  <c r="B23" i="6"/>
  <c r="E21" i="2"/>
  <c r="D22" i="2"/>
  <c r="B23" i="27"/>
  <c r="C23" i="2"/>
  <c r="F20" i="2"/>
  <c r="H18" i="2"/>
  <c r="I18" i="2" s="1"/>
  <c r="C18" i="5" s="1"/>
  <c r="G19" i="2"/>
  <c r="AD27" i="27"/>
  <c r="C24" i="12"/>
  <c r="D23" i="12"/>
  <c r="F21" i="12"/>
  <c r="E22" i="12"/>
  <c r="G20" i="12"/>
  <c r="H19" i="12"/>
  <c r="C24" i="28"/>
  <c r="F21" i="28"/>
  <c r="G20" i="28"/>
  <c r="D23" i="28"/>
  <c r="E22" i="28"/>
  <c r="H19" i="28"/>
  <c r="K22" i="6"/>
  <c r="A27" i="10"/>
  <c r="A27" i="18"/>
  <c r="A27" i="6"/>
  <c r="A27" i="14"/>
  <c r="A27" i="27"/>
  <c r="A27" i="5"/>
  <c r="A27" i="23"/>
  <c r="A28" i="2"/>
  <c r="S26" i="27"/>
  <c r="W26" i="27"/>
  <c r="U26" i="27"/>
  <c r="B25" i="4"/>
  <c r="B25" i="15"/>
  <c r="B25" i="12"/>
  <c r="B25" i="28"/>
  <c r="B25" i="8"/>
  <c r="B25" i="19"/>
  <c r="B25" i="24"/>
  <c r="E23" i="27"/>
  <c r="L23" i="27" s="1"/>
  <c r="E23" i="10"/>
  <c r="L23" i="10" s="1"/>
  <c r="E23" i="6"/>
  <c r="L23" i="6" s="1"/>
  <c r="E23" i="5"/>
  <c r="L23" i="5" s="1"/>
  <c r="E23" i="23"/>
  <c r="L23" i="23" s="1"/>
  <c r="E21" i="3"/>
  <c r="C23" i="3"/>
  <c r="D22" i="3"/>
  <c r="F20" i="3"/>
  <c r="H18" i="3"/>
  <c r="K18" i="3" s="1"/>
  <c r="G19" i="3"/>
  <c r="E23" i="18"/>
  <c r="L23" i="18" s="1"/>
  <c r="C23" i="20"/>
  <c r="D22" i="20"/>
  <c r="F20" i="20"/>
  <c r="H18" i="20"/>
  <c r="K18" i="20" s="1"/>
  <c r="G19" i="20"/>
  <c r="E21" i="20"/>
  <c r="B24" i="25"/>
  <c r="B24" i="29"/>
  <c r="B24" i="17"/>
  <c r="B24" i="3"/>
  <c r="B24" i="11"/>
  <c r="B24" i="7"/>
  <c r="B24" i="20"/>
  <c r="C23" i="21"/>
  <c r="B23" i="18"/>
  <c r="E21" i="21"/>
  <c r="D22" i="21"/>
  <c r="F20" i="21"/>
  <c r="G19" i="21"/>
  <c r="H18" i="21"/>
  <c r="I18" i="21" s="1"/>
  <c r="C18" i="18" s="1"/>
  <c r="U32" i="35" l="1"/>
  <c r="W32" i="35" s="1"/>
  <c r="B27" i="1"/>
  <c r="C27" i="1"/>
  <c r="D27" i="1"/>
  <c r="E27" i="1"/>
  <c r="M3" i="22"/>
  <c r="N3" i="22" s="1"/>
  <c r="G3" i="22"/>
  <c r="X16" i="6"/>
  <c r="T14" i="5"/>
  <c r="L17" i="29"/>
  <c r="N17" i="27" s="1"/>
  <c r="V16" i="27" s="1"/>
  <c r="L18" i="15"/>
  <c r="P12" i="14"/>
  <c r="V15" i="5"/>
  <c r="P12" i="6"/>
  <c r="T14" i="14"/>
  <c r="R13" i="6"/>
  <c r="P12" i="5"/>
  <c r="L17" i="7"/>
  <c r="N17" i="6" s="1"/>
  <c r="V16" i="6" s="1"/>
  <c r="T14" i="6"/>
  <c r="R13" i="10"/>
  <c r="X16" i="27"/>
  <c r="P12" i="27"/>
  <c r="T14" i="27"/>
  <c r="X16" i="14"/>
  <c r="R13" i="27"/>
  <c r="V15" i="23"/>
  <c r="N17" i="10"/>
  <c r="L17" i="17"/>
  <c r="N17" i="14" s="1"/>
  <c r="V16" i="14" s="1"/>
  <c r="X16" i="18"/>
  <c r="X16" i="23"/>
  <c r="P12" i="23"/>
  <c r="X16" i="5"/>
  <c r="R13" i="5"/>
  <c r="R13" i="23"/>
  <c r="L17" i="3"/>
  <c r="N17" i="5" s="1"/>
  <c r="V16" i="5" s="1"/>
  <c r="T14" i="10"/>
  <c r="P12" i="10"/>
  <c r="R13" i="14"/>
  <c r="V15" i="14"/>
  <c r="X16" i="10"/>
  <c r="P12" i="18"/>
  <c r="V15" i="10"/>
  <c r="M17" i="10"/>
  <c r="K23" i="14"/>
  <c r="K18" i="11"/>
  <c r="M18" i="10" s="1"/>
  <c r="L17" i="20"/>
  <c r="N17" i="18" s="1"/>
  <c r="V16" i="18" s="1"/>
  <c r="L17" i="25"/>
  <c r="N17" i="23" s="1"/>
  <c r="V16" i="23" s="1"/>
  <c r="L18" i="28"/>
  <c r="I18" i="25"/>
  <c r="F18" i="23" s="1"/>
  <c r="I18" i="7"/>
  <c r="F18" i="6" s="1"/>
  <c r="V15" i="18"/>
  <c r="R13" i="18"/>
  <c r="T14" i="18"/>
  <c r="I18" i="20"/>
  <c r="F18" i="18" s="1"/>
  <c r="I18" i="29"/>
  <c r="F18" i="27" s="1"/>
  <c r="I18" i="17"/>
  <c r="F18" i="14" s="1"/>
  <c r="I18" i="3"/>
  <c r="F18" i="5" s="1"/>
  <c r="K19" i="28"/>
  <c r="I19" i="28"/>
  <c r="I19" i="27" s="1"/>
  <c r="K19" i="19"/>
  <c r="I19" i="19"/>
  <c r="I19" i="18" s="1"/>
  <c r="L18" i="12"/>
  <c r="L18" i="8"/>
  <c r="I19" i="15"/>
  <c r="I19" i="14" s="1"/>
  <c r="K19" i="12"/>
  <c r="I19" i="12"/>
  <c r="I19" i="10" s="1"/>
  <c r="L18" i="24"/>
  <c r="L18" i="4"/>
  <c r="I19" i="24"/>
  <c r="I19" i="23" s="1"/>
  <c r="I19" i="8"/>
  <c r="I19" i="6" s="1"/>
  <c r="I19" i="4"/>
  <c r="I19" i="5" s="1"/>
  <c r="K23" i="6"/>
  <c r="K23" i="27"/>
  <c r="K23" i="23"/>
  <c r="K23" i="10"/>
  <c r="AD27" i="10"/>
  <c r="AD28" i="14"/>
  <c r="AD28" i="6"/>
  <c r="M18" i="18"/>
  <c r="M18" i="14"/>
  <c r="M18" i="5"/>
  <c r="C24" i="29"/>
  <c r="F21" i="29"/>
  <c r="G20" i="29"/>
  <c r="D23" i="29"/>
  <c r="E22" i="29"/>
  <c r="H19" i="29"/>
  <c r="I19" i="29" s="1"/>
  <c r="F19" i="27" s="1"/>
  <c r="E23" i="19"/>
  <c r="D24" i="19"/>
  <c r="C25" i="19"/>
  <c r="G21" i="19"/>
  <c r="F22" i="19"/>
  <c r="H20" i="19"/>
  <c r="I20" i="19" s="1"/>
  <c r="I20" i="18" s="1"/>
  <c r="H25" i="18"/>
  <c r="H25" i="14"/>
  <c r="E23" i="15"/>
  <c r="C25" i="15"/>
  <c r="D24" i="15"/>
  <c r="G21" i="15"/>
  <c r="H20" i="15"/>
  <c r="F22" i="15"/>
  <c r="A28" i="10"/>
  <c r="W28" i="10" s="1"/>
  <c r="A28" i="18"/>
  <c r="W28" i="18" s="1"/>
  <c r="A28" i="6"/>
  <c r="W28" i="6" s="1"/>
  <c r="A28" i="14"/>
  <c r="W28" i="14" s="1"/>
  <c r="A28" i="5"/>
  <c r="W28" i="5" s="1"/>
  <c r="A28" i="23"/>
  <c r="W28" i="23" s="1"/>
  <c r="A28" i="27"/>
  <c r="W28" i="27" s="1"/>
  <c r="A29" i="2"/>
  <c r="B24" i="18"/>
  <c r="D23" i="21"/>
  <c r="E22" i="21"/>
  <c r="C24" i="21"/>
  <c r="G20" i="21"/>
  <c r="H19" i="21"/>
  <c r="I19" i="21" s="1"/>
  <c r="C19" i="18" s="1"/>
  <c r="F21" i="21"/>
  <c r="B25" i="2"/>
  <c r="B25" i="30"/>
  <c r="B25" i="21"/>
  <c r="B25" i="26"/>
  <c r="B25" i="9"/>
  <c r="B25" i="16"/>
  <c r="B25" i="13"/>
  <c r="A28" i="1"/>
  <c r="F21" i="11"/>
  <c r="E22" i="11"/>
  <c r="G20" i="11"/>
  <c r="H19" i="11"/>
  <c r="C24" i="11"/>
  <c r="D23" i="11"/>
  <c r="B24" i="23"/>
  <c r="C24" i="2"/>
  <c r="D23" i="2"/>
  <c r="B24" i="5"/>
  <c r="B24" i="6"/>
  <c r="B24" i="27"/>
  <c r="F21" i="2"/>
  <c r="H19" i="2"/>
  <c r="I19" i="2" s="1"/>
  <c r="C19" i="5" s="1"/>
  <c r="G20" i="2"/>
  <c r="E22" i="2"/>
  <c r="B24" i="10"/>
  <c r="C24" i="13"/>
  <c r="D23" i="13"/>
  <c r="E22" i="13"/>
  <c r="F21" i="13"/>
  <c r="H19" i="13"/>
  <c r="I19" i="13" s="1"/>
  <c r="C19" i="10" s="1"/>
  <c r="G20" i="13"/>
  <c r="M18" i="6"/>
  <c r="E24" i="27"/>
  <c r="L24" i="27" s="1"/>
  <c r="C24" i="3"/>
  <c r="D23" i="3"/>
  <c r="E24" i="10"/>
  <c r="L24" i="10" s="1"/>
  <c r="E24" i="5"/>
  <c r="L24" i="5" s="1"/>
  <c r="E24" i="6"/>
  <c r="L24" i="6" s="1"/>
  <c r="F21" i="3"/>
  <c r="H19" i="3"/>
  <c r="K19" i="3" s="1"/>
  <c r="E24" i="23"/>
  <c r="L24" i="23" s="1"/>
  <c r="G20" i="3"/>
  <c r="E22" i="3"/>
  <c r="C25" i="28"/>
  <c r="E23" i="28"/>
  <c r="D24" i="28"/>
  <c r="G21" i="28"/>
  <c r="H20" i="28"/>
  <c r="K20" i="28" s="1"/>
  <c r="F22" i="28"/>
  <c r="W27" i="5"/>
  <c r="U27" i="5"/>
  <c r="U27" i="18"/>
  <c r="W27" i="18"/>
  <c r="AD28" i="27"/>
  <c r="K23" i="5"/>
  <c r="C24" i="16"/>
  <c r="D23" i="16"/>
  <c r="B24" i="14"/>
  <c r="E22" i="16"/>
  <c r="H19" i="16"/>
  <c r="I19" i="16" s="1"/>
  <c r="C19" i="14" s="1"/>
  <c r="F21" i="16"/>
  <c r="G20" i="16"/>
  <c r="AD29" i="5"/>
  <c r="AE29" i="5" s="1"/>
  <c r="C24" i="7"/>
  <c r="F21" i="7"/>
  <c r="E22" i="7"/>
  <c r="H19" i="7"/>
  <c r="K19" i="7" s="1"/>
  <c r="D23" i="7"/>
  <c r="G20" i="7"/>
  <c r="U27" i="14"/>
  <c r="W27" i="14"/>
  <c r="E22" i="26"/>
  <c r="D23" i="26"/>
  <c r="C24" i="26"/>
  <c r="G20" i="26"/>
  <c r="F21" i="26"/>
  <c r="H19" i="26"/>
  <c r="I19" i="26" s="1"/>
  <c r="C19" i="23" s="1"/>
  <c r="B26" i="28"/>
  <c r="B26" i="12"/>
  <c r="B26" i="19"/>
  <c r="B26" i="8"/>
  <c r="B26" i="24"/>
  <c r="B26" i="15"/>
  <c r="B26" i="4"/>
  <c r="M18" i="27"/>
  <c r="K23" i="18"/>
  <c r="C24" i="25"/>
  <c r="G20" i="25"/>
  <c r="F21" i="25"/>
  <c r="D23" i="25"/>
  <c r="H19" i="25"/>
  <c r="K19" i="25" s="1"/>
  <c r="E22" i="25"/>
  <c r="C25" i="8"/>
  <c r="E23" i="8"/>
  <c r="D24" i="8"/>
  <c r="F22" i="8"/>
  <c r="G21" i="8"/>
  <c r="H20" i="8"/>
  <c r="H25" i="27"/>
  <c r="H25" i="10"/>
  <c r="D24" i="4"/>
  <c r="E23" i="4"/>
  <c r="C25" i="4"/>
  <c r="F22" i="4"/>
  <c r="H25" i="5"/>
  <c r="H25" i="6"/>
  <c r="H25" i="23"/>
  <c r="G21" i="4"/>
  <c r="H20" i="4"/>
  <c r="W27" i="23"/>
  <c r="U27" i="23"/>
  <c r="W27" i="6"/>
  <c r="U27" i="6"/>
  <c r="AD28" i="18"/>
  <c r="F21" i="20"/>
  <c r="D23" i="20"/>
  <c r="E22" i="20"/>
  <c r="C24" i="20"/>
  <c r="G20" i="20"/>
  <c r="H19" i="20"/>
  <c r="E24" i="18"/>
  <c r="L24" i="18" s="1"/>
  <c r="E24" i="14"/>
  <c r="L24" i="14" s="1"/>
  <c r="C24" i="17"/>
  <c r="F21" i="17"/>
  <c r="D23" i="17"/>
  <c r="E22" i="17"/>
  <c r="H19" i="17"/>
  <c r="K19" i="17" s="1"/>
  <c r="G20" i="17"/>
  <c r="C25" i="24"/>
  <c r="F22" i="24"/>
  <c r="E23" i="24"/>
  <c r="D24" i="24"/>
  <c r="G21" i="24"/>
  <c r="H20" i="24"/>
  <c r="K20" i="24" s="1"/>
  <c r="D24" i="12"/>
  <c r="E23" i="12"/>
  <c r="G21" i="12"/>
  <c r="C25" i="12"/>
  <c r="F22" i="12"/>
  <c r="H20" i="12"/>
  <c r="U27" i="27"/>
  <c r="W27" i="27"/>
  <c r="U27" i="10"/>
  <c r="W27" i="10"/>
  <c r="D23" i="9"/>
  <c r="C24" i="9"/>
  <c r="E22" i="9"/>
  <c r="F21" i="9"/>
  <c r="G20" i="9"/>
  <c r="H19" i="9"/>
  <c r="I19" i="9" s="1"/>
  <c r="C19" i="6" s="1"/>
  <c r="C24" i="30"/>
  <c r="D23" i="30"/>
  <c r="E22" i="30"/>
  <c r="H19" i="30"/>
  <c r="I19" i="30" s="1"/>
  <c r="C19" i="27" s="1"/>
  <c r="G20" i="30"/>
  <c r="F21" i="30"/>
  <c r="B25" i="25"/>
  <c r="B25" i="3"/>
  <c r="B25" i="29"/>
  <c r="B25" i="11"/>
  <c r="B25" i="20"/>
  <c r="B25" i="17"/>
  <c r="B25" i="7"/>
  <c r="F26" i="1"/>
  <c r="M18" i="23"/>
  <c r="AD28" i="23"/>
  <c r="V32" i="35" l="1"/>
  <c r="B28" i="1"/>
  <c r="C28" i="1"/>
  <c r="D28" i="1"/>
  <c r="E28" i="1"/>
  <c r="R14" i="27"/>
  <c r="X17" i="27"/>
  <c r="T15" i="27"/>
  <c r="X17" i="23"/>
  <c r="T15" i="5"/>
  <c r="P13" i="27"/>
  <c r="R14" i="5"/>
  <c r="X17" i="5"/>
  <c r="P13" i="5"/>
  <c r="P13" i="10"/>
  <c r="P13" i="23"/>
  <c r="P13" i="14"/>
  <c r="T15" i="23"/>
  <c r="L18" i="17"/>
  <c r="N18" i="14" s="1"/>
  <c r="R15" i="14" s="1"/>
  <c r="T15" i="6"/>
  <c r="X17" i="10"/>
  <c r="X17" i="14"/>
  <c r="R14" i="14"/>
  <c r="T15" i="14"/>
  <c r="V16" i="10"/>
  <c r="L18" i="7"/>
  <c r="N18" i="6" s="1"/>
  <c r="V17" i="6" s="1"/>
  <c r="L18" i="3"/>
  <c r="N18" i="5" s="1"/>
  <c r="V17" i="5" s="1"/>
  <c r="L18" i="20"/>
  <c r="N18" i="18" s="1"/>
  <c r="V17" i="18" s="1"/>
  <c r="P13" i="6"/>
  <c r="L18" i="29"/>
  <c r="N18" i="27" s="1"/>
  <c r="T16" i="27" s="1"/>
  <c r="X17" i="6"/>
  <c r="R14" i="6"/>
  <c r="T15" i="18"/>
  <c r="R14" i="18"/>
  <c r="P13" i="18"/>
  <c r="X17" i="18"/>
  <c r="L18" i="11"/>
  <c r="N18" i="10" s="1"/>
  <c r="P14" i="10" s="1"/>
  <c r="R14" i="10"/>
  <c r="R14" i="23"/>
  <c r="T15" i="10"/>
  <c r="K20" i="19"/>
  <c r="L20" i="19" s="1"/>
  <c r="L18" i="25"/>
  <c r="N18" i="23" s="1"/>
  <c r="T16" i="23" s="1"/>
  <c r="K19" i="29"/>
  <c r="L19" i="29" s="1"/>
  <c r="K19" i="20"/>
  <c r="M19" i="18" s="1"/>
  <c r="I19" i="20"/>
  <c r="F19" i="18" s="1"/>
  <c r="K19" i="11"/>
  <c r="M19" i="10" s="1"/>
  <c r="I19" i="11"/>
  <c r="F19" i="10" s="1"/>
  <c r="T16" i="18"/>
  <c r="I19" i="17"/>
  <c r="F19" i="14" s="1"/>
  <c r="I19" i="7"/>
  <c r="F19" i="6" s="1"/>
  <c r="I19" i="25"/>
  <c r="F19" i="23" s="1"/>
  <c r="I19" i="3"/>
  <c r="F19" i="5" s="1"/>
  <c r="L19" i="8"/>
  <c r="L19" i="12"/>
  <c r="K20" i="12"/>
  <c r="I20" i="12"/>
  <c r="I20" i="10" s="1"/>
  <c r="K20" i="4"/>
  <c r="I20" i="4"/>
  <c r="I20" i="5" s="1"/>
  <c r="L19" i="24"/>
  <c r="L19" i="19"/>
  <c r="L19" i="28"/>
  <c r="K20" i="8"/>
  <c r="I20" i="8"/>
  <c r="I20" i="6" s="1"/>
  <c r="K20" i="15"/>
  <c r="I20" i="15"/>
  <c r="I20" i="14" s="1"/>
  <c r="L19" i="4"/>
  <c r="L19" i="15"/>
  <c r="I20" i="24"/>
  <c r="I20" i="23" s="1"/>
  <c r="I20" i="28"/>
  <c r="I20" i="27" s="1"/>
  <c r="K24" i="6"/>
  <c r="K24" i="14"/>
  <c r="K24" i="5"/>
  <c r="AD28" i="10"/>
  <c r="AD29" i="14"/>
  <c r="AE29" i="14" s="1"/>
  <c r="AD29" i="6"/>
  <c r="AE29" i="6" s="1"/>
  <c r="M19" i="14"/>
  <c r="M19" i="6"/>
  <c r="M19" i="23"/>
  <c r="D24" i="20"/>
  <c r="E25" i="18"/>
  <c r="L25" i="18" s="1"/>
  <c r="C25" i="20"/>
  <c r="G21" i="20"/>
  <c r="E23" i="20"/>
  <c r="F22" i="20"/>
  <c r="H20" i="20"/>
  <c r="M19" i="5"/>
  <c r="H26" i="18"/>
  <c r="C26" i="19"/>
  <c r="D25" i="19"/>
  <c r="F23" i="19"/>
  <c r="G22" i="19"/>
  <c r="H21" i="19"/>
  <c r="K21" i="19" s="1"/>
  <c r="E24" i="19"/>
  <c r="AD29" i="27"/>
  <c r="AE29" i="27" s="1"/>
  <c r="K24" i="10"/>
  <c r="C25" i="26"/>
  <c r="D24" i="26"/>
  <c r="F22" i="26"/>
  <c r="G21" i="26"/>
  <c r="E23" i="26"/>
  <c r="H20" i="26"/>
  <c r="I20" i="26" s="1"/>
  <c r="C20" i="23" s="1"/>
  <c r="D24" i="7"/>
  <c r="C25" i="7"/>
  <c r="E23" i="7"/>
  <c r="G21" i="7"/>
  <c r="F22" i="7"/>
  <c r="H20" i="7"/>
  <c r="K20" i="7" s="1"/>
  <c r="C25" i="29"/>
  <c r="D24" i="29"/>
  <c r="G21" i="29"/>
  <c r="H20" i="29"/>
  <c r="F22" i="29"/>
  <c r="E23" i="29"/>
  <c r="AD29" i="18"/>
  <c r="AE29" i="18" s="1"/>
  <c r="C26" i="15"/>
  <c r="H26" i="14"/>
  <c r="E24" i="15"/>
  <c r="F23" i="15"/>
  <c r="G22" i="15"/>
  <c r="D25" i="15"/>
  <c r="H21" i="15"/>
  <c r="K21" i="15" s="1"/>
  <c r="C26" i="12"/>
  <c r="E24" i="12"/>
  <c r="F23" i="12"/>
  <c r="D25" i="12"/>
  <c r="G22" i="12"/>
  <c r="H21" i="12"/>
  <c r="K24" i="27"/>
  <c r="F27" i="1"/>
  <c r="C25" i="13"/>
  <c r="B25" i="10"/>
  <c r="G21" i="13"/>
  <c r="F22" i="13"/>
  <c r="H20" i="13"/>
  <c r="I20" i="13" s="1"/>
  <c r="C20" i="10" s="1"/>
  <c r="D24" i="13"/>
  <c r="E23" i="13"/>
  <c r="B25" i="18"/>
  <c r="C25" i="21"/>
  <c r="G21" i="21"/>
  <c r="E23" i="21"/>
  <c r="F22" i="21"/>
  <c r="D24" i="21"/>
  <c r="H20" i="21"/>
  <c r="I20" i="21" s="1"/>
  <c r="C20" i="18" s="1"/>
  <c r="B26" i="25"/>
  <c r="B26" i="3"/>
  <c r="B26" i="11"/>
  <c r="B26" i="7"/>
  <c r="B26" i="17"/>
  <c r="B26" i="20"/>
  <c r="B26" i="29"/>
  <c r="E23" i="25"/>
  <c r="C25" i="25"/>
  <c r="F22" i="25"/>
  <c r="D24" i="25"/>
  <c r="H20" i="25"/>
  <c r="G21" i="25"/>
  <c r="C26" i="8"/>
  <c r="D25" i="8"/>
  <c r="F23" i="8"/>
  <c r="G22" i="8"/>
  <c r="E24" i="8"/>
  <c r="H21" i="8"/>
  <c r="D24" i="9"/>
  <c r="G21" i="9"/>
  <c r="F22" i="9"/>
  <c r="H20" i="9"/>
  <c r="I20" i="9" s="1"/>
  <c r="C20" i="6" s="1"/>
  <c r="C25" i="9"/>
  <c r="E23" i="9"/>
  <c r="B25" i="27"/>
  <c r="B25" i="5"/>
  <c r="B25" i="6"/>
  <c r="D24" i="2"/>
  <c r="E23" i="2"/>
  <c r="C25" i="2"/>
  <c r="F22" i="2"/>
  <c r="B25" i="23"/>
  <c r="G21" i="2"/>
  <c r="H20" i="2"/>
  <c r="I20" i="2" s="1"/>
  <c r="C20" i="5" s="1"/>
  <c r="AD29" i="23"/>
  <c r="AE29" i="23" s="1"/>
  <c r="C25" i="11"/>
  <c r="D24" i="11"/>
  <c r="E23" i="11"/>
  <c r="G21" i="11"/>
  <c r="F22" i="11"/>
  <c r="H20" i="11"/>
  <c r="H26" i="23"/>
  <c r="H26" i="27"/>
  <c r="H26" i="10"/>
  <c r="H26" i="6"/>
  <c r="H26" i="5"/>
  <c r="D25" i="4"/>
  <c r="H21" i="4"/>
  <c r="E24" i="4"/>
  <c r="G22" i="4"/>
  <c r="C26" i="4"/>
  <c r="F23" i="4"/>
  <c r="G26" i="1"/>
  <c r="C25" i="17"/>
  <c r="E25" i="14"/>
  <c r="L25" i="14" s="1"/>
  <c r="G21" i="17"/>
  <c r="F22" i="17"/>
  <c r="E23" i="17"/>
  <c r="D24" i="17"/>
  <c r="H20" i="17"/>
  <c r="E25" i="10"/>
  <c r="L25" i="10" s="1"/>
  <c r="E25" i="23"/>
  <c r="L25" i="23" s="1"/>
  <c r="E25" i="5"/>
  <c r="L25" i="5" s="1"/>
  <c r="D24" i="3"/>
  <c r="E23" i="3"/>
  <c r="E25" i="27"/>
  <c r="L25" i="27" s="1"/>
  <c r="C25" i="3"/>
  <c r="F22" i="3"/>
  <c r="E25" i="6"/>
  <c r="L25" i="6" s="1"/>
  <c r="G21" i="3"/>
  <c r="H20" i="3"/>
  <c r="K20" i="3" s="1"/>
  <c r="D25" i="24"/>
  <c r="E24" i="24"/>
  <c r="G22" i="24"/>
  <c r="H21" i="24"/>
  <c r="C26" i="24"/>
  <c r="F23" i="24"/>
  <c r="C26" i="28"/>
  <c r="D25" i="28"/>
  <c r="E24" i="28"/>
  <c r="F23" i="28"/>
  <c r="G22" i="28"/>
  <c r="H21" i="28"/>
  <c r="I21" i="28" s="1"/>
  <c r="I21" i="27" s="1"/>
  <c r="K24" i="23"/>
  <c r="B27" i="28"/>
  <c r="B27" i="15"/>
  <c r="B27" i="24"/>
  <c r="B27" i="12"/>
  <c r="B27" i="8"/>
  <c r="B27" i="19"/>
  <c r="B27" i="4"/>
  <c r="A29" i="1"/>
  <c r="D24" i="16"/>
  <c r="G21" i="16"/>
  <c r="E23" i="16"/>
  <c r="F22" i="16"/>
  <c r="C25" i="16"/>
  <c r="B25" i="14"/>
  <c r="H20" i="16"/>
  <c r="I20" i="16" s="1"/>
  <c r="C20" i="14" s="1"/>
  <c r="D24" i="30"/>
  <c r="G21" i="30"/>
  <c r="H20" i="30"/>
  <c r="I20" i="30" s="1"/>
  <c r="C20" i="27" s="1"/>
  <c r="C25" i="30"/>
  <c r="E23" i="30"/>
  <c r="F22" i="30"/>
  <c r="K24" i="18"/>
  <c r="A29" i="23"/>
  <c r="A29" i="27"/>
  <c r="A29" i="10"/>
  <c r="A29" i="18"/>
  <c r="A29" i="6"/>
  <c r="A29" i="14"/>
  <c r="A30" i="2"/>
  <c r="A29" i="5"/>
  <c r="X18" i="14"/>
  <c r="B29" i="1" l="1"/>
  <c r="C29" i="1"/>
  <c r="D29" i="1"/>
  <c r="E29" i="1"/>
  <c r="X18" i="23"/>
  <c r="P14" i="18"/>
  <c r="X18" i="18"/>
  <c r="P14" i="14"/>
  <c r="X18" i="6"/>
  <c r="V17" i="14"/>
  <c r="R15" i="23"/>
  <c r="T16" i="14"/>
  <c r="R15" i="18"/>
  <c r="P14" i="5"/>
  <c r="AE6" i="5" s="1"/>
  <c r="V17" i="23"/>
  <c r="X18" i="10"/>
  <c r="P14" i="23"/>
  <c r="T16" i="6"/>
  <c r="R15" i="10"/>
  <c r="T16" i="10"/>
  <c r="T16" i="5"/>
  <c r="X18" i="5"/>
  <c r="P14" i="6"/>
  <c r="AE6" i="6" s="1"/>
  <c r="AA4" i="22" s="1"/>
  <c r="T4" i="22" s="1"/>
  <c r="R15" i="6"/>
  <c r="X18" i="27"/>
  <c r="L19" i="3"/>
  <c r="N19" i="5" s="1"/>
  <c r="R16" i="5" s="1"/>
  <c r="R15" i="5"/>
  <c r="R15" i="27"/>
  <c r="L19" i="17"/>
  <c r="N19" i="14" s="1"/>
  <c r="L19" i="20"/>
  <c r="N19" i="18" s="1"/>
  <c r="V18" i="18" s="1"/>
  <c r="AE17" i="18" s="1"/>
  <c r="AB15" i="22" s="1"/>
  <c r="U15" i="22" s="1"/>
  <c r="M19" i="27"/>
  <c r="V17" i="10"/>
  <c r="V17" i="27"/>
  <c r="P14" i="27"/>
  <c r="N19" i="27"/>
  <c r="V18" i="27" s="1"/>
  <c r="AE17" i="27" s="1"/>
  <c r="AD15" i="22" s="1"/>
  <c r="W15" i="22" s="1"/>
  <c r="K25" i="18"/>
  <c r="L19" i="25"/>
  <c r="N19" i="23" s="1"/>
  <c r="V18" i="23" s="1"/>
  <c r="L19" i="11"/>
  <c r="N19" i="10" s="1"/>
  <c r="V18" i="10" s="1"/>
  <c r="L19" i="7"/>
  <c r="N19" i="6" s="1"/>
  <c r="V18" i="6" s="1"/>
  <c r="AE17" i="6" s="1"/>
  <c r="AA15" i="22" s="1"/>
  <c r="T15" i="22" s="1"/>
  <c r="K21" i="28"/>
  <c r="L21" i="28" s="1"/>
  <c r="L20" i="12"/>
  <c r="K20" i="11"/>
  <c r="M20" i="10" s="1"/>
  <c r="I20" i="11"/>
  <c r="F20" i="10" s="1"/>
  <c r="K20" i="25"/>
  <c r="M20" i="23" s="1"/>
  <c r="I20" i="25"/>
  <c r="F20" i="23" s="1"/>
  <c r="K20" i="29"/>
  <c r="M20" i="27" s="1"/>
  <c r="I20" i="29"/>
  <c r="F20" i="27" s="1"/>
  <c r="K20" i="17"/>
  <c r="M20" i="14" s="1"/>
  <c r="I20" i="17"/>
  <c r="F20" i="14" s="1"/>
  <c r="K20" i="20"/>
  <c r="M20" i="18" s="1"/>
  <c r="I20" i="20"/>
  <c r="F20" i="18" s="1"/>
  <c r="AE6" i="10"/>
  <c r="AC4" i="22" s="1"/>
  <c r="V4" i="22" s="1"/>
  <c r="I20" i="7"/>
  <c r="F20" i="6" s="1"/>
  <c r="I20" i="3"/>
  <c r="F20" i="5" s="1"/>
  <c r="L20" i="8"/>
  <c r="K21" i="24"/>
  <c r="I21" i="24"/>
  <c r="I21" i="23" s="1"/>
  <c r="K21" i="4"/>
  <c r="I21" i="4"/>
  <c r="I21" i="5" s="1"/>
  <c r="K25" i="27"/>
  <c r="K21" i="8"/>
  <c r="I21" i="8"/>
  <c r="I21" i="6" s="1"/>
  <c r="K21" i="12"/>
  <c r="I21" i="12"/>
  <c r="I21" i="10" s="1"/>
  <c r="L20" i="15"/>
  <c r="L20" i="28"/>
  <c r="L20" i="4"/>
  <c r="I21" i="15"/>
  <c r="I21" i="14" s="1"/>
  <c r="L20" i="24"/>
  <c r="I21" i="19"/>
  <c r="I21" i="18" s="1"/>
  <c r="K25" i="14"/>
  <c r="K25" i="23"/>
  <c r="K25" i="6"/>
  <c r="AD29" i="10"/>
  <c r="AE29" i="10" s="1"/>
  <c r="M20" i="5"/>
  <c r="M20" i="6"/>
  <c r="C27" i="19"/>
  <c r="H27" i="18"/>
  <c r="E25" i="19"/>
  <c r="D26" i="19"/>
  <c r="F24" i="19"/>
  <c r="H22" i="19"/>
  <c r="G23" i="19"/>
  <c r="C27" i="15"/>
  <c r="H27" i="14"/>
  <c r="D26" i="15"/>
  <c r="F24" i="15"/>
  <c r="E25" i="15"/>
  <c r="H22" i="15"/>
  <c r="I22" i="15" s="1"/>
  <c r="I22" i="14" s="1"/>
  <c r="G23" i="15"/>
  <c r="C26" i="20"/>
  <c r="E26" i="18"/>
  <c r="L26" i="18" s="1"/>
  <c r="F23" i="20"/>
  <c r="E24" i="20"/>
  <c r="D25" i="20"/>
  <c r="H21" i="20"/>
  <c r="G22" i="20"/>
  <c r="B27" i="7"/>
  <c r="B27" i="29"/>
  <c r="B27" i="17"/>
  <c r="B27" i="20"/>
  <c r="B27" i="25"/>
  <c r="B27" i="3"/>
  <c r="B27" i="11"/>
  <c r="C27" i="8"/>
  <c r="F24" i="8"/>
  <c r="D26" i="8"/>
  <c r="E25" i="8"/>
  <c r="G23" i="8"/>
  <c r="H22" i="8"/>
  <c r="I22" i="8" s="1"/>
  <c r="I22" i="6" s="1"/>
  <c r="C26" i="25"/>
  <c r="G22" i="25"/>
  <c r="F23" i="25"/>
  <c r="E24" i="25"/>
  <c r="H21" i="25"/>
  <c r="D25" i="25"/>
  <c r="G27" i="1"/>
  <c r="B28" i="24"/>
  <c r="B28" i="4"/>
  <c r="B28" i="15"/>
  <c r="B28" i="28"/>
  <c r="B28" i="8"/>
  <c r="B28" i="12"/>
  <c r="B28" i="19"/>
  <c r="E25" i="12"/>
  <c r="D26" i="12"/>
  <c r="C27" i="12"/>
  <c r="F24" i="12"/>
  <c r="G23" i="12"/>
  <c r="H22" i="12"/>
  <c r="I22" i="12" s="1"/>
  <c r="I22" i="10" s="1"/>
  <c r="K25" i="5"/>
  <c r="C26" i="7"/>
  <c r="D25" i="7"/>
  <c r="F23" i="7"/>
  <c r="E24" i="7"/>
  <c r="G22" i="7"/>
  <c r="H21" i="7"/>
  <c r="K21" i="7" s="1"/>
  <c r="K25" i="10"/>
  <c r="A30" i="1"/>
  <c r="E26" i="27"/>
  <c r="L26" i="27" s="1"/>
  <c r="C26" i="3"/>
  <c r="D25" i="3"/>
  <c r="E26" i="23"/>
  <c r="L26" i="23" s="1"/>
  <c r="H21" i="3"/>
  <c r="E26" i="6"/>
  <c r="L26" i="6" s="1"/>
  <c r="E24" i="3"/>
  <c r="G22" i="3"/>
  <c r="E26" i="10"/>
  <c r="L26" i="10" s="1"/>
  <c r="F23" i="3"/>
  <c r="E26" i="5"/>
  <c r="L26" i="5" s="1"/>
  <c r="A30" i="27"/>
  <c r="A30" i="10"/>
  <c r="A30" i="18"/>
  <c r="A30" i="14"/>
  <c r="A30" i="23"/>
  <c r="A30" i="6"/>
  <c r="A31" i="2"/>
  <c r="A30" i="5"/>
  <c r="C27" i="28"/>
  <c r="E25" i="28"/>
  <c r="F24" i="28"/>
  <c r="H22" i="28"/>
  <c r="K22" i="28" s="1"/>
  <c r="D26" i="28"/>
  <c r="G23" i="28"/>
  <c r="F23" i="17"/>
  <c r="C26" i="17"/>
  <c r="D25" i="17"/>
  <c r="E26" i="14"/>
  <c r="L26" i="14" s="1"/>
  <c r="E24" i="17"/>
  <c r="H21" i="17"/>
  <c r="G22" i="17"/>
  <c r="F28" i="1"/>
  <c r="H27" i="23"/>
  <c r="H27" i="6"/>
  <c r="C27" i="4"/>
  <c r="H27" i="27"/>
  <c r="H27" i="5"/>
  <c r="E25" i="4"/>
  <c r="D26" i="4"/>
  <c r="G23" i="4"/>
  <c r="H27" i="10"/>
  <c r="F24" i="4"/>
  <c r="H22" i="4"/>
  <c r="C27" i="24"/>
  <c r="D26" i="24"/>
  <c r="E25" i="24"/>
  <c r="F24" i="24"/>
  <c r="G23" i="24"/>
  <c r="H22" i="24"/>
  <c r="B26" i="2"/>
  <c r="B26" i="26"/>
  <c r="B26" i="30"/>
  <c r="B26" i="21"/>
  <c r="B26" i="16"/>
  <c r="B26" i="13"/>
  <c r="B26" i="9"/>
  <c r="C26" i="29"/>
  <c r="F23" i="29"/>
  <c r="D25" i="29"/>
  <c r="E24" i="29"/>
  <c r="H21" i="29"/>
  <c r="G22" i="29"/>
  <c r="C26" i="11"/>
  <c r="E24" i="11"/>
  <c r="F23" i="11"/>
  <c r="H21" i="11"/>
  <c r="G22" i="11"/>
  <c r="D25" i="11"/>
  <c r="B30" i="1" l="1"/>
  <c r="C30" i="1"/>
  <c r="D30" i="1"/>
  <c r="E30" i="1"/>
  <c r="AE17" i="10"/>
  <c r="AC15" i="22" s="1"/>
  <c r="V15" i="22" s="1"/>
  <c r="AE17" i="23"/>
  <c r="AE15" i="22" s="1"/>
  <c r="X15" i="22" s="1"/>
  <c r="AE6" i="14"/>
  <c r="Z4" i="22" s="1"/>
  <c r="S4" i="22" s="1"/>
  <c r="AE6" i="27"/>
  <c r="AD4" i="22" s="1"/>
  <c r="W4" i="22" s="1"/>
  <c r="AE6" i="18"/>
  <c r="AB4" i="22" s="1"/>
  <c r="U4" i="22" s="1"/>
  <c r="Y4" i="22"/>
  <c r="R4" i="22" s="1"/>
  <c r="AE6" i="23"/>
  <c r="AE4" i="22" s="1"/>
  <c r="X4" i="22" s="1"/>
  <c r="R16" i="27"/>
  <c r="V18" i="14"/>
  <c r="AE17" i="14" s="1"/>
  <c r="Z15" i="22" s="1"/>
  <c r="S15" i="22" s="1"/>
  <c r="R16" i="14"/>
  <c r="T17" i="18"/>
  <c r="R16" i="10"/>
  <c r="R16" i="18"/>
  <c r="T17" i="10"/>
  <c r="P15" i="18"/>
  <c r="T17" i="6"/>
  <c r="X19" i="27"/>
  <c r="X19" i="18"/>
  <c r="R16" i="6"/>
  <c r="K22" i="15"/>
  <c r="L22" i="15" s="1"/>
  <c r="X19" i="6"/>
  <c r="X19" i="5"/>
  <c r="P15" i="5"/>
  <c r="P15" i="6"/>
  <c r="T17" i="5"/>
  <c r="L20" i="17"/>
  <c r="N20" i="14" s="1"/>
  <c r="V19" i="14" s="1"/>
  <c r="V18" i="5"/>
  <c r="T17" i="27"/>
  <c r="X19" i="10"/>
  <c r="P15" i="27"/>
  <c r="L20" i="25"/>
  <c r="N20" i="23" s="1"/>
  <c r="T18" i="23" s="1"/>
  <c r="L20" i="29"/>
  <c r="N20" i="27" s="1"/>
  <c r="V19" i="27" s="1"/>
  <c r="X19" i="14"/>
  <c r="X19" i="23"/>
  <c r="L20" i="11"/>
  <c r="N20" i="10" s="1"/>
  <c r="V19" i="10" s="1"/>
  <c r="L20" i="3"/>
  <c r="N20" i="5" s="1"/>
  <c r="V19" i="5" s="1"/>
  <c r="P15" i="14"/>
  <c r="P15" i="23"/>
  <c r="T17" i="14"/>
  <c r="L20" i="20"/>
  <c r="N20" i="18" s="1"/>
  <c r="P16" i="18" s="1"/>
  <c r="R16" i="23"/>
  <c r="T17" i="23"/>
  <c r="P15" i="10"/>
  <c r="L20" i="7"/>
  <c r="N20" i="6" s="1"/>
  <c r="V19" i="6" s="1"/>
  <c r="L21" i="24"/>
  <c r="K21" i="17"/>
  <c r="I21" i="17"/>
  <c r="F21" i="14" s="1"/>
  <c r="K21" i="11"/>
  <c r="I21" i="11"/>
  <c r="F21" i="10" s="1"/>
  <c r="K21" i="3"/>
  <c r="I21" i="3"/>
  <c r="F21" i="5" s="1"/>
  <c r="K22" i="12"/>
  <c r="L22" i="12" s="1"/>
  <c r="K22" i="8"/>
  <c r="L22" i="8" s="1"/>
  <c r="I21" i="7"/>
  <c r="F21" i="6" s="1"/>
  <c r="K21" i="29"/>
  <c r="I21" i="29"/>
  <c r="F21" i="27" s="1"/>
  <c r="K21" i="25"/>
  <c r="I21" i="25"/>
  <c r="F21" i="23" s="1"/>
  <c r="K21" i="20"/>
  <c r="I21" i="20"/>
  <c r="F21" i="18" s="1"/>
  <c r="L21" i="19"/>
  <c r="L21" i="12"/>
  <c r="L21" i="8"/>
  <c r="K22" i="24"/>
  <c r="I22" i="24"/>
  <c r="I22" i="23" s="1"/>
  <c r="K22" i="4"/>
  <c r="I22" i="4"/>
  <c r="I22" i="5" s="1"/>
  <c r="L21" i="4"/>
  <c r="I22" i="28"/>
  <c r="I22" i="27" s="1"/>
  <c r="K22" i="19"/>
  <c r="I22" i="19"/>
  <c r="I22" i="18" s="1"/>
  <c r="L21" i="15"/>
  <c r="E24" i="26"/>
  <c r="C26" i="26"/>
  <c r="H21" i="26"/>
  <c r="I21" i="26" s="1"/>
  <c r="C21" i="23" s="1"/>
  <c r="F23" i="26"/>
  <c r="G22" i="26"/>
  <c r="D25" i="26"/>
  <c r="H28" i="18"/>
  <c r="C28" i="19"/>
  <c r="D27" i="19"/>
  <c r="E26" i="19"/>
  <c r="G24" i="19"/>
  <c r="H23" i="19"/>
  <c r="K23" i="19" s="1"/>
  <c r="F25" i="19"/>
  <c r="C28" i="15"/>
  <c r="H28" i="14"/>
  <c r="D27" i="15"/>
  <c r="F25" i="15"/>
  <c r="E26" i="15"/>
  <c r="H23" i="15"/>
  <c r="K23" i="15" s="1"/>
  <c r="G24" i="15"/>
  <c r="C27" i="7"/>
  <c r="D26" i="7"/>
  <c r="E25" i="7"/>
  <c r="G23" i="7"/>
  <c r="H22" i="7"/>
  <c r="F24" i="7"/>
  <c r="D25" i="16"/>
  <c r="C26" i="16"/>
  <c r="H21" i="16"/>
  <c r="I21" i="16" s="1"/>
  <c r="C21" i="14" s="1"/>
  <c r="F23" i="16"/>
  <c r="G22" i="16"/>
  <c r="B26" i="14"/>
  <c r="K26" i="14" s="1"/>
  <c r="E24" i="16"/>
  <c r="B29" i="28"/>
  <c r="B29" i="12"/>
  <c r="B29" i="19"/>
  <c r="B29" i="24"/>
  <c r="B29" i="8"/>
  <c r="B29" i="15"/>
  <c r="B29" i="4"/>
  <c r="C28" i="12"/>
  <c r="D27" i="12"/>
  <c r="F25" i="12"/>
  <c r="E26" i="12"/>
  <c r="G24" i="12"/>
  <c r="H23" i="12"/>
  <c r="H28" i="23"/>
  <c r="H28" i="27"/>
  <c r="H28" i="10"/>
  <c r="H28" i="6"/>
  <c r="C28" i="4"/>
  <c r="H28" i="5"/>
  <c r="D27" i="4"/>
  <c r="E26" i="4"/>
  <c r="G24" i="4"/>
  <c r="H23" i="4"/>
  <c r="F25" i="4"/>
  <c r="C27" i="20"/>
  <c r="D26" i="20"/>
  <c r="E25" i="20"/>
  <c r="G23" i="20"/>
  <c r="H22" i="20"/>
  <c r="E27" i="18"/>
  <c r="L27" i="18" s="1"/>
  <c r="F24" i="20"/>
  <c r="E24" i="21"/>
  <c r="D25" i="21"/>
  <c r="H21" i="21"/>
  <c r="I21" i="21" s="1"/>
  <c r="C21" i="18" s="1"/>
  <c r="B26" i="18"/>
  <c r="K26" i="18" s="1"/>
  <c r="G22" i="21"/>
  <c r="F23" i="21"/>
  <c r="C26" i="21"/>
  <c r="A31" i="1"/>
  <c r="C28" i="8"/>
  <c r="D27" i="8"/>
  <c r="G24" i="8"/>
  <c r="F25" i="8"/>
  <c r="H23" i="8"/>
  <c r="K23" i="8" s="1"/>
  <c r="E26" i="8"/>
  <c r="C28" i="24"/>
  <c r="E26" i="24"/>
  <c r="H23" i="24"/>
  <c r="K23" i="24" s="1"/>
  <c r="D27" i="24"/>
  <c r="G24" i="24"/>
  <c r="F25" i="24"/>
  <c r="D26" i="11"/>
  <c r="C27" i="11"/>
  <c r="F24" i="11"/>
  <c r="G23" i="11"/>
  <c r="E25" i="11"/>
  <c r="H22" i="11"/>
  <c r="I22" i="11" s="1"/>
  <c r="F22" i="10" s="1"/>
  <c r="E27" i="14"/>
  <c r="L27" i="14" s="1"/>
  <c r="D26" i="17"/>
  <c r="F24" i="17"/>
  <c r="C27" i="17"/>
  <c r="G23" i="17"/>
  <c r="H22" i="17"/>
  <c r="K22" i="17" s="1"/>
  <c r="E25" i="17"/>
  <c r="C26" i="13"/>
  <c r="B26" i="10"/>
  <c r="K26" i="10" s="1"/>
  <c r="D25" i="13"/>
  <c r="E24" i="13"/>
  <c r="F23" i="13"/>
  <c r="H21" i="13"/>
  <c r="I21" i="13" s="1"/>
  <c r="C21" i="10" s="1"/>
  <c r="G22" i="13"/>
  <c r="B28" i="25"/>
  <c r="B28" i="11"/>
  <c r="B28" i="29"/>
  <c r="B28" i="7"/>
  <c r="B28" i="3"/>
  <c r="B28" i="17"/>
  <c r="B28" i="20"/>
  <c r="A31" i="6"/>
  <c r="A31" i="23"/>
  <c r="A32" i="2"/>
  <c r="A31" i="5"/>
  <c r="A31" i="10"/>
  <c r="A31" i="27"/>
  <c r="A31" i="18"/>
  <c r="A31" i="14"/>
  <c r="F29" i="1"/>
  <c r="E25" i="25"/>
  <c r="F24" i="25"/>
  <c r="H22" i="25"/>
  <c r="K22" i="25" s="1"/>
  <c r="D26" i="25"/>
  <c r="C27" i="25"/>
  <c r="G23" i="25"/>
  <c r="B26" i="23"/>
  <c r="K26" i="23" s="1"/>
  <c r="D25" i="2"/>
  <c r="B26" i="6"/>
  <c r="K26" i="6" s="1"/>
  <c r="B26" i="5"/>
  <c r="K26" i="5" s="1"/>
  <c r="B26" i="27"/>
  <c r="K26" i="27" s="1"/>
  <c r="H21" i="2"/>
  <c r="I21" i="2" s="1"/>
  <c r="C21" i="5" s="1"/>
  <c r="C26" i="2"/>
  <c r="E24" i="2"/>
  <c r="G22" i="2"/>
  <c r="F23" i="2"/>
  <c r="C26" i="9"/>
  <c r="E24" i="9"/>
  <c r="D25" i="9"/>
  <c r="F23" i="9"/>
  <c r="H21" i="9"/>
  <c r="I21" i="9" s="1"/>
  <c r="C21" i="6" s="1"/>
  <c r="M21" i="6" s="1"/>
  <c r="G22" i="9"/>
  <c r="C26" i="30"/>
  <c r="E24" i="30"/>
  <c r="H21" i="30"/>
  <c r="I21" i="30" s="1"/>
  <c r="C21" i="27" s="1"/>
  <c r="F23" i="30"/>
  <c r="G22" i="30"/>
  <c r="D25" i="30"/>
  <c r="G28" i="1"/>
  <c r="C28" i="28"/>
  <c r="D27" i="28"/>
  <c r="E26" i="28"/>
  <c r="H23" i="28"/>
  <c r="K23" i="28" s="1"/>
  <c r="F25" i="28"/>
  <c r="G24" i="28"/>
  <c r="B27" i="26"/>
  <c r="B27" i="30"/>
  <c r="B27" i="13"/>
  <c r="B27" i="21"/>
  <c r="B27" i="9"/>
  <c r="B27" i="16"/>
  <c r="B27" i="2"/>
  <c r="E27" i="23"/>
  <c r="L27" i="23" s="1"/>
  <c r="E27" i="27"/>
  <c r="L27" i="27" s="1"/>
  <c r="C27" i="3"/>
  <c r="E27" i="10"/>
  <c r="L27" i="10" s="1"/>
  <c r="E27" i="6"/>
  <c r="L27" i="6" s="1"/>
  <c r="D26" i="3"/>
  <c r="E25" i="3"/>
  <c r="E27" i="5"/>
  <c r="L27" i="5" s="1"/>
  <c r="G23" i="3"/>
  <c r="F24" i="3"/>
  <c r="H22" i="3"/>
  <c r="D26" i="29"/>
  <c r="E25" i="29"/>
  <c r="F24" i="29"/>
  <c r="G23" i="29"/>
  <c r="H22" i="29"/>
  <c r="C27" i="29"/>
  <c r="AE17" i="5" l="1"/>
  <c r="Y15" i="22" s="1"/>
  <c r="R15" i="22" s="1"/>
  <c r="B31" i="1"/>
  <c r="C31" i="1"/>
  <c r="D31" i="1"/>
  <c r="E31" i="1"/>
  <c r="Q4" i="22"/>
  <c r="F4" i="22" s="1"/>
  <c r="Q15" i="22"/>
  <c r="F15" i="22" s="1"/>
  <c r="X20" i="18"/>
  <c r="R17" i="6"/>
  <c r="P16" i="27"/>
  <c r="P16" i="10"/>
  <c r="P16" i="5"/>
  <c r="P16" i="14"/>
  <c r="X20" i="10"/>
  <c r="R17" i="10"/>
  <c r="P16" i="6"/>
  <c r="T18" i="10"/>
  <c r="V19" i="23"/>
  <c r="M21" i="23"/>
  <c r="M21" i="10"/>
  <c r="X20" i="27"/>
  <c r="R17" i="18"/>
  <c r="X20" i="5"/>
  <c r="K22" i="11"/>
  <c r="L22" i="11" s="1"/>
  <c r="N22" i="10" s="1"/>
  <c r="T18" i="27"/>
  <c r="T18" i="18"/>
  <c r="X20" i="23"/>
  <c r="R17" i="23"/>
  <c r="P16" i="23"/>
  <c r="R17" i="14"/>
  <c r="X20" i="14"/>
  <c r="T18" i="14"/>
  <c r="V19" i="18"/>
  <c r="X20" i="6"/>
  <c r="L21" i="25"/>
  <c r="N21" i="23" s="1"/>
  <c r="R17" i="27"/>
  <c r="T18" i="6"/>
  <c r="R17" i="5"/>
  <c r="T18" i="5"/>
  <c r="M21" i="27"/>
  <c r="M21" i="18"/>
  <c r="L21" i="3"/>
  <c r="N21" i="5" s="1"/>
  <c r="L21" i="11"/>
  <c r="N21" i="10" s="1"/>
  <c r="M21" i="5"/>
  <c r="L21" i="7"/>
  <c r="N21" i="6" s="1"/>
  <c r="P17" i="6" s="1"/>
  <c r="M21" i="14"/>
  <c r="L21" i="29"/>
  <c r="N21" i="27" s="1"/>
  <c r="L21" i="20"/>
  <c r="N21" i="18" s="1"/>
  <c r="L21" i="17"/>
  <c r="N21" i="14" s="1"/>
  <c r="L22" i="4"/>
  <c r="L22" i="24"/>
  <c r="K22" i="29"/>
  <c r="I22" i="29"/>
  <c r="F22" i="27" s="1"/>
  <c r="K22" i="3"/>
  <c r="I22" i="3"/>
  <c r="F22" i="5" s="1"/>
  <c r="K22" i="20"/>
  <c r="I22" i="20"/>
  <c r="F22" i="18" s="1"/>
  <c r="K22" i="7"/>
  <c r="I22" i="7"/>
  <c r="F22" i="6" s="1"/>
  <c r="I22" i="25"/>
  <c r="F22" i="23" s="1"/>
  <c r="I22" i="17"/>
  <c r="F22" i="14" s="1"/>
  <c r="L22" i="28"/>
  <c r="K23" i="4"/>
  <c r="I23" i="4"/>
  <c r="I23" i="5" s="1"/>
  <c r="K23" i="12"/>
  <c r="I23" i="12"/>
  <c r="I23" i="10" s="1"/>
  <c r="L22" i="19"/>
  <c r="I23" i="15"/>
  <c r="I23" i="14" s="1"/>
  <c r="I23" i="19"/>
  <c r="I23" i="18" s="1"/>
  <c r="I23" i="8"/>
  <c r="I23" i="6" s="1"/>
  <c r="I23" i="28"/>
  <c r="I23" i="27" s="1"/>
  <c r="I23" i="24"/>
  <c r="I23" i="23" s="1"/>
  <c r="B29" i="29"/>
  <c r="B29" i="11"/>
  <c r="B29" i="7"/>
  <c r="B29" i="3"/>
  <c r="B29" i="20"/>
  <c r="B29" i="17"/>
  <c r="B29" i="25"/>
  <c r="C28" i="7"/>
  <c r="G24" i="7"/>
  <c r="D27" i="7"/>
  <c r="E26" i="7"/>
  <c r="F25" i="7"/>
  <c r="H23" i="7"/>
  <c r="I23" i="7" s="1"/>
  <c r="F23" i="6" s="1"/>
  <c r="F30" i="1"/>
  <c r="G30" i="1" s="1"/>
  <c r="F26" i="4"/>
  <c r="D28" i="4"/>
  <c r="H24" i="4"/>
  <c r="K24" i="4" s="1"/>
  <c r="E27" i="4"/>
  <c r="G25" i="4"/>
  <c r="C29" i="4"/>
  <c r="H29" i="5"/>
  <c r="H29" i="10"/>
  <c r="H29" i="27"/>
  <c r="H29" i="6"/>
  <c r="H29" i="23"/>
  <c r="D28" i="19"/>
  <c r="E27" i="19"/>
  <c r="F26" i="19"/>
  <c r="H24" i="19"/>
  <c r="I24" i="19" s="1"/>
  <c r="I24" i="18" s="1"/>
  <c r="G25" i="19"/>
  <c r="H29" i="18"/>
  <c r="C29" i="19"/>
  <c r="B27" i="27"/>
  <c r="K27" i="27" s="1"/>
  <c r="B27" i="6"/>
  <c r="K27" i="6" s="1"/>
  <c r="C27" i="2"/>
  <c r="B27" i="23"/>
  <c r="K27" i="23" s="1"/>
  <c r="B27" i="5"/>
  <c r="K27" i="5" s="1"/>
  <c r="E25" i="2"/>
  <c r="G23" i="2"/>
  <c r="D26" i="2"/>
  <c r="F24" i="2"/>
  <c r="H22" i="2"/>
  <c r="I22" i="2" s="1"/>
  <c r="C22" i="5" s="1"/>
  <c r="B27" i="10"/>
  <c r="K27" i="10" s="1"/>
  <c r="C27" i="13"/>
  <c r="D26" i="13"/>
  <c r="F24" i="13"/>
  <c r="G23" i="13"/>
  <c r="E25" i="13"/>
  <c r="H22" i="13"/>
  <c r="I22" i="13" s="1"/>
  <c r="C22" i="10" s="1"/>
  <c r="C28" i="29"/>
  <c r="D27" i="29"/>
  <c r="G24" i="29"/>
  <c r="E26" i="29"/>
  <c r="F25" i="29"/>
  <c r="H23" i="29"/>
  <c r="K23" i="29" s="1"/>
  <c r="A32" i="1"/>
  <c r="D28" i="15"/>
  <c r="E27" i="15"/>
  <c r="G25" i="15"/>
  <c r="F26" i="15"/>
  <c r="H24" i="15"/>
  <c r="K24" i="15" s="1"/>
  <c r="C29" i="15"/>
  <c r="H29" i="14"/>
  <c r="D28" i="12"/>
  <c r="F26" i="12"/>
  <c r="E27" i="12"/>
  <c r="H24" i="12"/>
  <c r="G25" i="12"/>
  <c r="C29" i="12"/>
  <c r="B27" i="14"/>
  <c r="K27" i="14" s="1"/>
  <c r="G23" i="16"/>
  <c r="E25" i="16"/>
  <c r="F24" i="16"/>
  <c r="C27" i="16"/>
  <c r="D26" i="16"/>
  <c r="H22" i="16"/>
  <c r="I22" i="16" s="1"/>
  <c r="C22" i="14" s="1"/>
  <c r="M22" i="14" s="1"/>
  <c r="D26" i="30"/>
  <c r="C27" i="30"/>
  <c r="E25" i="30"/>
  <c r="G23" i="30"/>
  <c r="F24" i="30"/>
  <c r="H22" i="30"/>
  <c r="I22" i="30" s="1"/>
  <c r="C22" i="27" s="1"/>
  <c r="B28" i="26"/>
  <c r="B28" i="2"/>
  <c r="B28" i="30"/>
  <c r="B28" i="13"/>
  <c r="B28" i="9"/>
  <c r="B28" i="21"/>
  <c r="B28" i="16"/>
  <c r="A32" i="14"/>
  <c r="A32" i="27"/>
  <c r="A32" i="18"/>
  <c r="A32" i="10"/>
  <c r="A33" i="2"/>
  <c r="A32" i="6"/>
  <c r="A32" i="5"/>
  <c r="A32" i="23"/>
  <c r="E28" i="14"/>
  <c r="L28" i="14" s="1"/>
  <c r="C28" i="17"/>
  <c r="G24" i="17"/>
  <c r="F25" i="17"/>
  <c r="E26" i="17"/>
  <c r="H23" i="17"/>
  <c r="D27" i="17"/>
  <c r="C28" i="11"/>
  <c r="D27" i="11"/>
  <c r="F25" i="11"/>
  <c r="E26" i="11"/>
  <c r="G24" i="11"/>
  <c r="H23" i="11"/>
  <c r="K23" i="11" s="1"/>
  <c r="D28" i="8"/>
  <c r="F26" i="8"/>
  <c r="E27" i="8"/>
  <c r="G25" i="8"/>
  <c r="H24" i="8"/>
  <c r="C29" i="8"/>
  <c r="D28" i="28"/>
  <c r="F26" i="28"/>
  <c r="E27" i="28"/>
  <c r="H24" i="28"/>
  <c r="K24" i="28" s="1"/>
  <c r="G25" i="28"/>
  <c r="C29" i="28"/>
  <c r="B27" i="18"/>
  <c r="K27" i="18" s="1"/>
  <c r="D26" i="21"/>
  <c r="C27" i="21"/>
  <c r="G23" i="21"/>
  <c r="F24" i="21"/>
  <c r="E25" i="21"/>
  <c r="H22" i="21"/>
  <c r="I22" i="21" s="1"/>
  <c r="C22" i="18" s="1"/>
  <c r="C28" i="20"/>
  <c r="D27" i="20"/>
  <c r="E28" i="18"/>
  <c r="L28" i="18" s="1"/>
  <c r="F25" i="20"/>
  <c r="G24" i="20"/>
  <c r="E26" i="20"/>
  <c r="H23" i="20"/>
  <c r="D26" i="9"/>
  <c r="E25" i="9"/>
  <c r="G23" i="9"/>
  <c r="C27" i="9"/>
  <c r="F24" i="9"/>
  <c r="H22" i="9"/>
  <c r="I22" i="9" s="1"/>
  <c r="C22" i="6" s="1"/>
  <c r="D26" i="26"/>
  <c r="G23" i="26"/>
  <c r="E25" i="26"/>
  <c r="H22" i="26"/>
  <c r="I22" i="26" s="1"/>
  <c r="C22" i="23" s="1"/>
  <c r="M22" i="23" s="1"/>
  <c r="F24" i="26"/>
  <c r="C27" i="26"/>
  <c r="G29" i="1"/>
  <c r="E28" i="10"/>
  <c r="L28" i="10" s="1"/>
  <c r="E28" i="27"/>
  <c r="L28" i="27" s="1"/>
  <c r="C28" i="3"/>
  <c r="E28" i="5"/>
  <c r="L28" i="5" s="1"/>
  <c r="E28" i="6"/>
  <c r="L28" i="6" s="1"/>
  <c r="E28" i="23"/>
  <c r="L28" i="23" s="1"/>
  <c r="D27" i="3"/>
  <c r="G24" i="3"/>
  <c r="H23" i="3"/>
  <c r="E26" i="3"/>
  <c r="F25" i="3"/>
  <c r="C28" i="25"/>
  <c r="D27" i="25"/>
  <c r="E26" i="25"/>
  <c r="G24" i="25"/>
  <c r="F25" i="25"/>
  <c r="H23" i="25"/>
  <c r="B30" i="24"/>
  <c r="B30" i="28"/>
  <c r="B30" i="15"/>
  <c r="B30" i="4"/>
  <c r="B30" i="12"/>
  <c r="B30" i="19"/>
  <c r="B30" i="8"/>
  <c r="D28" i="24"/>
  <c r="F26" i="24"/>
  <c r="G25" i="24"/>
  <c r="H24" i="24"/>
  <c r="K24" i="24" s="1"/>
  <c r="E27" i="24"/>
  <c r="C29" i="24"/>
  <c r="U44" i="35" l="1"/>
  <c r="W44" i="35" s="1"/>
  <c r="U33" i="35"/>
  <c r="W33" i="35" s="1"/>
  <c r="B32" i="1"/>
  <c r="C32" i="1"/>
  <c r="D32" i="1"/>
  <c r="E32" i="1"/>
  <c r="M15" i="22"/>
  <c r="N15" i="22" s="1"/>
  <c r="G15" i="22"/>
  <c r="M4" i="22"/>
  <c r="N4" i="22" s="1"/>
  <c r="G4" i="22"/>
  <c r="V20" i="23"/>
  <c r="R18" i="14"/>
  <c r="AE18" i="23"/>
  <c r="AE16" i="22" s="1"/>
  <c r="X16" i="22" s="1"/>
  <c r="X21" i="5"/>
  <c r="T19" i="23"/>
  <c r="P17" i="23"/>
  <c r="R18" i="23"/>
  <c r="X21" i="6"/>
  <c r="X21" i="23"/>
  <c r="R18" i="27"/>
  <c r="M22" i="10"/>
  <c r="V21" i="10" s="1"/>
  <c r="P17" i="10"/>
  <c r="P17" i="5"/>
  <c r="M22" i="18"/>
  <c r="M22" i="6"/>
  <c r="L22" i="25"/>
  <c r="L22" i="29"/>
  <c r="N22" i="27" s="1"/>
  <c r="V20" i="14"/>
  <c r="AE18" i="14" s="1"/>
  <c r="Z16" i="22" s="1"/>
  <c r="S16" i="22" s="1"/>
  <c r="P17" i="18"/>
  <c r="T19" i="18"/>
  <c r="X21" i="14"/>
  <c r="P17" i="14"/>
  <c r="T19" i="14"/>
  <c r="T19" i="6"/>
  <c r="P17" i="27"/>
  <c r="R18" i="6"/>
  <c r="R18" i="18"/>
  <c r="X21" i="27"/>
  <c r="X21" i="10"/>
  <c r="X21" i="18"/>
  <c r="V20" i="6"/>
  <c r="AE18" i="6" s="1"/>
  <c r="AA16" i="22" s="1"/>
  <c r="T16" i="22" s="1"/>
  <c r="T19" i="27"/>
  <c r="V20" i="27"/>
  <c r="AE18" i="27" s="1"/>
  <c r="AD16" i="22" s="1"/>
  <c r="W16" i="22" s="1"/>
  <c r="V20" i="18"/>
  <c r="AE18" i="18" s="1"/>
  <c r="AB16" i="22" s="1"/>
  <c r="U16" i="22" s="1"/>
  <c r="M22" i="27"/>
  <c r="K23" i="7"/>
  <c r="L23" i="7" s="1"/>
  <c r="M22" i="5"/>
  <c r="L22" i="20"/>
  <c r="N22" i="18" s="1"/>
  <c r="R19" i="18" s="1"/>
  <c r="L22" i="17"/>
  <c r="N22" i="14" s="1"/>
  <c r="V21" i="14" s="1"/>
  <c r="N22" i="23"/>
  <c r="T20" i="23" s="1"/>
  <c r="L22" i="7"/>
  <c r="N22" i="6" s="1"/>
  <c r="L22" i="3"/>
  <c r="N22" i="5" s="1"/>
  <c r="K23" i="25"/>
  <c r="I23" i="25"/>
  <c r="F23" i="23" s="1"/>
  <c r="K23" i="3"/>
  <c r="I23" i="3"/>
  <c r="F23" i="5" s="1"/>
  <c r="K23" i="20"/>
  <c r="I23" i="20"/>
  <c r="F23" i="18" s="1"/>
  <c r="L23" i="12"/>
  <c r="L23" i="4"/>
  <c r="R18" i="5"/>
  <c r="T19" i="5"/>
  <c r="I23" i="11"/>
  <c r="F23" i="10" s="1"/>
  <c r="V20" i="10"/>
  <c r="AE18" i="10" s="1"/>
  <c r="AC16" i="22" s="1"/>
  <c r="V16" i="22" s="1"/>
  <c r="R18" i="10"/>
  <c r="T19" i="10"/>
  <c r="K23" i="17"/>
  <c r="I23" i="17"/>
  <c r="F23" i="14" s="1"/>
  <c r="V20" i="5"/>
  <c r="AE18" i="5" s="1"/>
  <c r="Y16" i="22" s="1"/>
  <c r="R16" i="22" s="1"/>
  <c r="I23" i="29"/>
  <c r="F23" i="27" s="1"/>
  <c r="K24" i="12"/>
  <c r="I24" i="12"/>
  <c r="I24" i="10" s="1"/>
  <c r="K24" i="19"/>
  <c r="L24" i="19" s="1"/>
  <c r="L23" i="19"/>
  <c r="L23" i="8"/>
  <c r="L23" i="15"/>
  <c r="I24" i="28"/>
  <c r="I24" i="27" s="1"/>
  <c r="K24" i="8"/>
  <c r="I24" i="8"/>
  <c r="I24" i="6" s="1"/>
  <c r="L23" i="24"/>
  <c r="L23" i="28"/>
  <c r="I24" i="4"/>
  <c r="I24" i="5" s="1"/>
  <c r="I24" i="24"/>
  <c r="I24" i="23" s="1"/>
  <c r="I24" i="15"/>
  <c r="I24" i="14" s="1"/>
  <c r="G26" i="8"/>
  <c r="F27" i="8"/>
  <c r="H25" i="8"/>
  <c r="K25" i="8" s="1"/>
  <c r="E28" i="8"/>
  <c r="C30" i="8"/>
  <c r="D29" i="8"/>
  <c r="A33" i="5"/>
  <c r="A33" i="10"/>
  <c r="A33" i="6"/>
  <c r="A33" i="23"/>
  <c r="A33" i="18"/>
  <c r="A33" i="14"/>
  <c r="A33" i="27"/>
  <c r="C28" i="16"/>
  <c r="B28" i="14"/>
  <c r="K28" i="14" s="1"/>
  <c r="D27" i="16"/>
  <c r="E26" i="16"/>
  <c r="G24" i="16"/>
  <c r="H23" i="16"/>
  <c r="I23" i="16" s="1"/>
  <c r="C23" i="14" s="1"/>
  <c r="F25" i="16"/>
  <c r="F31" i="1"/>
  <c r="G31" i="1" s="1"/>
  <c r="D28" i="11"/>
  <c r="E27" i="11"/>
  <c r="G25" i="11"/>
  <c r="H24" i="11"/>
  <c r="F26" i="11"/>
  <c r="C29" i="11"/>
  <c r="F27" i="19"/>
  <c r="G26" i="19"/>
  <c r="H25" i="19"/>
  <c r="K25" i="19" s="1"/>
  <c r="E28" i="19"/>
  <c r="D29" i="19"/>
  <c r="C30" i="19"/>
  <c r="H30" i="18"/>
  <c r="B28" i="27"/>
  <c r="K28" i="27" s="1"/>
  <c r="B28" i="23"/>
  <c r="K28" i="23" s="1"/>
  <c r="B28" i="5"/>
  <c r="K28" i="5" s="1"/>
  <c r="C28" i="2"/>
  <c r="D27" i="2"/>
  <c r="E26" i="2"/>
  <c r="G24" i="2"/>
  <c r="H23" i="2"/>
  <c r="I23" i="2" s="1"/>
  <c r="C23" i="5" s="1"/>
  <c r="B28" i="6"/>
  <c r="K28" i="6" s="1"/>
  <c r="F25" i="2"/>
  <c r="A33" i="1"/>
  <c r="E27" i="20"/>
  <c r="F26" i="20"/>
  <c r="H24" i="20"/>
  <c r="I24" i="20" s="1"/>
  <c r="F24" i="18" s="1"/>
  <c r="D28" i="20"/>
  <c r="G25" i="20"/>
  <c r="C29" i="20"/>
  <c r="E29" i="18"/>
  <c r="L29" i="18" s="1"/>
  <c r="D28" i="29"/>
  <c r="E27" i="29"/>
  <c r="F26" i="29"/>
  <c r="G25" i="29"/>
  <c r="H24" i="29"/>
  <c r="C29" i="29"/>
  <c r="E28" i="12"/>
  <c r="F27" i="12"/>
  <c r="G26" i="12"/>
  <c r="H25" i="12"/>
  <c r="I25" i="12" s="1"/>
  <c r="I25" i="10" s="1"/>
  <c r="D29" i="12"/>
  <c r="C30" i="12"/>
  <c r="E28" i="24"/>
  <c r="F27" i="24"/>
  <c r="H25" i="24"/>
  <c r="G26" i="24"/>
  <c r="C30" i="24"/>
  <c r="D29" i="24"/>
  <c r="B29" i="26"/>
  <c r="B29" i="30"/>
  <c r="B29" i="13"/>
  <c r="B29" i="21"/>
  <c r="B29" i="9"/>
  <c r="B29" i="16"/>
  <c r="B29" i="2"/>
  <c r="C28" i="9"/>
  <c r="E26" i="9"/>
  <c r="F25" i="9"/>
  <c r="H23" i="9"/>
  <c r="I23" i="9" s="1"/>
  <c r="C23" i="6" s="1"/>
  <c r="D27" i="9"/>
  <c r="G24" i="9"/>
  <c r="C28" i="26"/>
  <c r="D27" i="26"/>
  <c r="E26" i="26"/>
  <c r="F25" i="26"/>
  <c r="H23" i="26"/>
  <c r="I23" i="26" s="1"/>
  <c r="C23" i="23" s="1"/>
  <c r="G24" i="26"/>
  <c r="B31" i="28"/>
  <c r="B31" i="19"/>
  <c r="B31" i="24"/>
  <c r="B31" i="8"/>
  <c r="B31" i="15"/>
  <c r="B31" i="4"/>
  <c r="B31" i="12"/>
  <c r="B30" i="25"/>
  <c r="B30" i="20"/>
  <c r="B30" i="7"/>
  <c r="B30" i="29"/>
  <c r="B30" i="17"/>
  <c r="B30" i="11"/>
  <c r="B30" i="3"/>
  <c r="D28" i="3"/>
  <c r="F26" i="3"/>
  <c r="H24" i="3"/>
  <c r="E27" i="3"/>
  <c r="G25" i="3"/>
  <c r="E29" i="27"/>
  <c r="L29" i="27" s="1"/>
  <c r="E29" i="6"/>
  <c r="L29" i="6" s="1"/>
  <c r="C29" i="3"/>
  <c r="E29" i="23"/>
  <c r="L29" i="23" s="1"/>
  <c r="E29" i="10"/>
  <c r="L29" i="10" s="1"/>
  <c r="E29" i="5"/>
  <c r="L29" i="5" s="1"/>
  <c r="E28" i="15"/>
  <c r="G26" i="15"/>
  <c r="F27" i="15"/>
  <c r="H25" i="15"/>
  <c r="K25" i="15" s="1"/>
  <c r="C30" i="15"/>
  <c r="D29" i="15"/>
  <c r="H30" i="14"/>
  <c r="C28" i="30"/>
  <c r="D27" i="30"/>
  <c r="E26" i="30"/>
  <c r="F25" i="30"/>
  <c r="G24" i="30"/>
  <c r="H23" i="30"/>
  <c r="I23" i="30" s="1"/>
  <c r="C23" i="27" s="1"/>
  <c r="M23" i="27" s="1"/>
  <c r="D28" i="17"/>
  <c r="E27" i="17"/>
  <c r="G25" i="17"/>
  <c r="H24" i="17"/>
  <c r="F26" i="17"/>
  <c r="C29" i="17"/>
  <c r="E29" i="14"/>
  <c r="L29" i="14" s="1"/>
  <c r="E28" i="28"/>
  <c r="G26" i="28"/>
  <c r="H25" i="28"/>
  <c r="F27" i="28"/>
  <c r="C30" i="28"/>
  <c r="D29" i="28"/>
  <c r="B28" i="18"/>
  <c r="K28" i="18" s="1"/>
  <c r="E26" i="21"/>
  <c r="F25" i="21"/>
  <c r="C28" i="21"/>
  <c r="D27" i="21"/>
  <c r="H23" i="21"/>
  <c r="I23" i="21" s="1"/>
  <c r="C23" i="18" s="1"/>
  <c r="G24" i="21"/>
  <c r="E28" i="4"/>
  <c r="F27" i="4"/>
  <c r="H25" i="4"/>
  <c r="K25" i="4" s="1"/>
  <c r="G26" i="4"/>
  <c r="H30" i="5"/>
  <c r="H30" i="23"/>
  <c r="H30" i="6"/>
  <c r="C30" i="4"/>
  <c r="H30" i="10"/>
  <c r="D29" i="4"/>
  <c r="H30" i="27"/>
  <c r="B28" i="10"/>
  <c r="K28" i="10" s="1"/>
  <c r="C28" i="13"/>
  <c r="D27" i="13"/>
  <c r="E26" i="13"/>
  <c r="G24" i="13"/>
  <c r="H23" i="13"/>
  <c r="I23" i="13" s="1"/>
  <c r="C23" i="10" s="1"/>
  <c r="M23" i="10" s="1"/>
  <c r="F25" i="13"/>
  <c r="B30" i="26"/>
  <c r="B30" i="13"/>
  <c r="B30" i="9"/>
  <c r="B30" i="21"/>
  <c r="B30" i="2"/>
  <c r="B30" i="30"/>
  <c r="B30" i="16"/>
  <c r="D28" i="25"/>
  <c r="E27" i="25"/>
  <c r="F26" i="25"/>
  <c r="G25" i="25"/>
  <c r="H24" i="25"/>
  <c r="K24" i="25" s="1"/>
  <c r="C29" i="25"/>
  <c r="E27" i="7"/>
  <c r="H24" i="7"/>
  <c r="K24" i="7" s="1"/>
  <c r="D28" i="7"/>
  <c r="F26" i="7"/>
  <c r="G25" i="7"/>
  <c r="C29" i="7"/>
  <c r="V33" i="35" l="1"/>
  <c r="V44" i="35"/>
  <c r="B33" i="1"/>
  <c r="C33" i="1"/>
  <c r="D33" i="1"/>
  <c r="E33" i="1"/>
  <c r="V21" i="27"/>
  <c r="P18" i="6"/>
  <c r="P18" i="27"/>
  <c r="K24" i="20"/>
  <c r="L24" i="20" s="1"/>
  <c r="N24" i="18" s="1"/>
  <c r="T20" i="6"/>
  <c r="X22" i="10"/>
  <c r="X22" i="6"/>
  <c r="R19" i="6"/>
  <c r="P18" i="10"/>
  <c r="T20" i="10"/>
  <c r="V21" i="6"/>
  <c r="R19" i="10"/>
  <c r="T20" i="5"/>
  <c r="X22" i="18"/>
  <c r="V21" i="18"/>
  <c r="T20" i="18"/>
  <c r="V21" i="5"/>
  <c r="P18" i="23"/>
  <c r="R19" i="5"/>
  <c r="Q16" i="22"/>
  <c r="F16" i="22" s="1"/>
  <c r="M23" i="5"/>
  <c r="X22" i="27"/>
  <c r="T20" i="14"/>
  <c r="X22" i="14"/>
  <c r="P18" i="14"/>
  <c r="P18" i="18"/>
  <c r="P18" i="5"/>
  <c r="R19" i="23"/>
  <c r="R19" i="14"/>
  <c r="R19" i="27"/>
  <c r="V21" i="23"/>
  <c r="X22" i="23"/>
  <c r="M23" i="18"/>
  <c r="L23" i="11"/>
  <c r="N23" i="10" s="1"/>
  <c r="V22" i="10" s="1"/>
  <c r="T20" i="27"/>
  <c r="X22" i="5"/>
  <c r="N23" i="6"/>
  <c r="K25" i="12"/>
  <c r="L25" i="12" s="1"/>
  <c r="M23" i="6"/>
  <c r="L23" i="17"/>
  <c r="N23" i="14" s="1"/>
  <c r="M23" i="23"/>
  <c r="M23" i="14"/>
  <c r="L23" i="3"/>
  <c r="N23" i="5" s="1"/>
  <c r="L23" i="29"/>
  <c r="N23" i="27" s="1"/>
  <c r="V22" i="27" s="1"/>
  <c r="L23" i="25"/>
  <c r="N23" i="23" s="1"/>
  <c r="L23" i="20"/>
  <c r="N23" i="18" s="1"/>
  <c r="L24" i="12"/>
  <c r="K24" i="17"/>
  <c r="I24" i="17"/>
  <c r="F24" i="14" s="1"/>
  <c r="I24" i="25"/>
  <c r="F24" i="23" s="1"/>
  <c r="K24" i="3"/>
  <c r="I24" i="3"/>
  <c r="F24" i="5" s="1"/>
  <c r="K24" i="29"/>
  <c r="I24" i="29"/>
  <c r="F24" i="27" s="1"/>
  <c r="K24" i="11"/>
  <c r="I24" i="11"/>
  <c r="F24" i="10" s="1"/>
  <c r="I24" i="7"/>
  <c r="F24" i="6" s="1"/>
  <c r="L24" i="8"/>
  <c r="K25" i="24"/>
  <c r="I25" i="24"/>
  <c r="I25" i="23" s="1"/>
  <c r="L24" i="4"/>
  <c r="L24" i="28"/>
  <c r="I25" i="19"/>
  <c r="I25" i="18" s="1"/>
  <c r="I25" i="8"/>
  <c r="I25" i="6" s="1"/>
  <c r="I25" i="4"/>
  <c r="I25" i="5" s="1"/>
  <c r="K25" i="28"/>
  <c r="I25" i="28"/>
  <c r="I25" i="27" s="1"/>
  <c r="L24" i="24"/>
  <c r="L24" i="15"/>
  <c r="I25" i="15"/>
  <c r="I25" i="14" s="1"/>
  <c r="E28" i="9"/>
  <c r="F27" i="9"/>
  <c r="H25" i="9"/>
  <c r="G26" i="9"/>
  <c r="D29" i="9"/>
  <c r="C30" i="9"/>
  <c r="E28" i="25"/>
  <c r="F27" i="25"/>
  <c r="G26" i="25"/>
  <c r="H25" i="25"/>
  <c r="D29" i="25"/>
  <c r="C30" i="25"/>
  <c r="D28" i="2"/>
  <c r="F26" i="2"/>
  <c r="H24" i="2"/>
  <c r="I24" i="2" s="1"/>
  <c r="C24" i="5" s="1"/>
  <c r="G25" i="2"/>
  <c r="E27" i="2"/>
  <c r="B29" i="23"/>
  <c r="K29" i="23" s="1"/>
  <c r="B29" i="5"/>
  <c r="K29" i="5" s="1"/>
  <c r="B29" i="27"/>
  <c r="K29" i="27" s="1"/>
  <c r="B29" i="6"/>
  <c r="K29" i="6" s="1"/>
  <c r="C29" i="2"/>
  <c r="D28" i="13"/>
  <c r="G25" i="13"/>
  <c r="E27" i="13"/>
  <c r="F26" i="13"/>
  <c r="H24" i="13"/>
  <c r="I24" i="13" s="1"/>
  <c r="C24" i="10" s="1"/>
  <c r="B29" i="10"/>
  <c r="K29" i="10" s="1"/>
  <c r="C29" i="13"/>
  <c r="F32" i="1"/>
  <c r="E28" i="13"/>
  <c r="F27" i="13"/>
  <c r="H25" i="13"/>
  <c r="G26" i="13"/>
  <c r="B30" i="10"/>
  <c r="D29" i="13"/>
  <c r="C30" i="13"/>
  <c r="E28" i="29"/>
  <c r="F27" i="29"/>
  <c r="G26" i="29"/>
  <c r="H25" i="29"/>
  <c r="C30" i="29"/>
  <c r="D29" i="29"/>
  <c r="F28" i="12"/>
  <c r="G27" i="12"/>
  <c r="H26" i="12"/>
  <c r="I26" i="12" s="1"/>
  <c r="I26" i="10" s="1"/>
  <c r="D30" i="12"/>
  <c r="C31" i="12"/>
  <c r="E29" i="12"/>
  <c r="G27" i="24"/>
  <c r="F28" i="24"/>
  <c r="H26" i="24"/>
  <c r="C31" i="24"/>
  <c r="E29" i="24"/>
  <c r="D30" i="24"/>
  <c r="D28" i="30"/>
  <c r="E27" i="30"/>
  <c r="G25" i="30"/>
  <c r="H24" i="30"/>
  <c r="I24" i="30" s="1"/>
  <c r="C24" i="27" s="1"/>
  <c r="F26" i="30"/>
  <c r="C29" i="30"/>
  <c r="B32" i="24"/>
  <c r="B32" i="28"/>
  <c r="B32" i="12"/>
  <c r="B32" i="15"/>
  <c r="B32" i="4"/>
  <c r="B32" i="8"/>
  <c r="B32" i="19"/>
  <c r="B31" i="11"/>
  <c r="B31" i="29"/>
  <c r="B31" i="7"/>
  <c r="B31" i="3"/>
  <c r="B31" i="25"/>
  <c r="B31" i="20"/>
  <c r="B31" i="17"/>
  <c r="E28" i="2"/>
  <c r="F27" i="2"/>
  <c r="H25" i="2"/>
  <c r="G26" i="2"/>
  <c r="B30" i="27"/>
  <c r="D29" i="2"/>
  <c r="B30" i="23"/>
  <c r="B30" i="6"/>
  <c r="C30" i="2"/>
  <c r="B30" i="5"/>
  <c r="E28" i="26"/>
  <c r="F27" i="26"/>
  <c r="G26" i="26"/>
  <c r="H25" i="26"/>
  <c r="D29" i="26"/>
  <c r="C30" i="26"/>
  <c r="E28" i="3"/>
  <c r="F27" i="3"/>
  <c r="H25" i="3"/>
  <c r="K25" i="3" s="1"/>
  <c r="G26" i="3"/>
  <c r="C30" i="3"/>
  <c r="E30" i="5"/>
  <c r="L30" i="5" s="1"/>
  <c r="D29" i="3"/>
  <c r="E30" i="10"/>
  <c r="L30" i="10" s="1"/>
  <c r="E30" i="27"/>
  <c r="L30" i="27" s="1"/>
  <c r="E30" i="23"/>
  <c r="L30" i="23" s="1"/>
  <c r="E30" i="6"/>
  <c r="L30" i="6" s="1"/>
  <c r="E28" i="7"/>
  <c r="G26" i="7"/>
  <c r="H25" i="7"/>
  <c r="K25" i="7" s="1"/>
  <c r="F27" i="7"/>
  <c r="D29" i="7"/>
  <c r="C30" i="7"/>
  <c r="G27" i="4"/>
  <c r="H26" i="4"/>
  <c r="F28" i="4"/>
  <c r="D30" i="4"/>
  <c r="C31" i="4"/>
  <c r="E29" i="4"/>
  <c r="H31" i="27"/>
  <c r="H31" i="6"/>
  <c r="H31" i="5"/>
  <c r="H31" i="23"/>
  <c r="H31" i="10"/>
  <c r="F28" i="19"/>
  <c r="G27" i="19"/>
  <c r="H26" i="19"/>
  <c r="K26" i="19" s="1"/>
  <c r="H31" i="18"/>
  <c r="C31" i="19"/>
  <c r="D30" i="19"/>
  <c r="E29" i="19"/>
  <c r="E27" i="9"/>
  <c r="D28" i="9"/>
  <c r="H24" i="9"/>
  <c r="I24" i="9" s="1"/>
  <c r="C24" i="6" s="1"/>
  <c r="M24" i="6" s="1"/>
  <c r="F26" i="9"/>
  <c r="G25" i="9"/>
  <c r="C29" i="9"/>
  <c r="D28" i="26"/>
  <c r="E27" i="26"/>
  <c r="G25" i="26"/>
  <c r="H24" i="26"/>
  <c r="I24" i="26" s="1"/>
  <c r="C24" i="23" s="1"/>
  <c r="M24" i="23" s="1"/>
  <c r="F26" i="26"/>
  <c r="C29" i="26"/>
  <c r="E28" i="16"/>
  <c r="F27" i="16"/>
  <c r="H25" i="16"/>
  <c r="G26" i="16"/>
  <c r="D29" i="16"/>
  <c r="B30" i="14"/>
  <c r="C30" i="16"/>
  <c r="F27" i="17"/>
  <c r="E28" i="17"/>
  <c r="G26" i="17"/>
  <c r="H25" i="17"/>
  <c r="D29" i="17"/>
  <c r="E30" i="14"/>
  <c r="L30" i="14" s="1"/>
  <c r="C30" i="17"/>
  <c r="F28" i="8"/>
  <c r="H26" i="8"/>
  <c r="K26" i="8" s="1"/>
  <c r="G27" i="8"/>
  <c r="C31" i="8"/>
  <c r="E29" i="8"/>
  <c r="D30" i="8"/>
  <c r="B31" i="26"/>
  <c r="B31" i="30"/>
  <c r="B31" i="16"/>
  <c r="B31" i="13"/>
  <c r="B31" i="9"/>
  <c r="B31" i="2"/>
  <c r="B31" i="21"/>
  <c r="E28" i="30"/>
  <c r="F27" i="30"/>
  <c r="G26" i="30"/>
  <c r="H25" i="30"/>
  <c r="D29" i="30"/>
  <c r="C30" i="30"/>
  <c r="D28" i="16"/>
  <c r="E27" i="16"/>
  <c r="F26" i="16"/>
  <c r="H24" i="16"/>
  <c r="I24" i="16" s="1"/>
  <c r="C24" i="14" s="1"/>
  <c r="G25" i="16"/>
  <c r="B29" i="14"/>
  <c r="K29" i="14" s="1"/>
  <c r="C29" i="16"/>
  <c r="E28" i="21"/>
  <c r="F27" i="21"/>
  <c r="G26" i="21"/>
  <c r="H25" i="21"/>
  <c r="D29" i="21"/>
  <c r="B30" i="18"/>
  <c r="C30" i="21"/>
  <c r="E28" i="11"/>
  <c r="G26" i="11"/>
  <c r="F27" i="11"/>
  <c r="H25" i="11"/>
  <c r="C30" i="11"/>
  <c r="D29" i="11"/>
  <c r="E28" i="20"/>
  <c r="G26" i="20"/>
  <c r="F27" i="20"/>
  <c r="H25" i="20"/>
  <c r="E30" i="18"/>
  <c r="L30" i="18" s="1"/>
  <c r="C30" i="20"/>
  <c r="D29" i="20"/>
  <c r="G27" i="15"/>
  <c r="F28" i="15"/>
  <c r="H26" i="15"/>
  <c r="K26" i="15" s="1"/>
  <c r="H31" i="14"/>
  <c r="D30" i="15"/>
  <c r="E29" i="15"/>
  <c r="C31" i="15"/>
  <c r="G27" i="28"/>
  <c r="H26" i="28"/>
  <c r="K26" i="28" s="1"/>
  <c r="F28" i="28"/>
  <c r="C31" i="28"/>
  <c r="D30" i="28"/>
  <c r="E29" i="28"/>
  <c r="D28" i="21"/>
  <c r="G25" i="21"/>
  <c r="F26" i="21"/>
  <c r="H24" i="21"/>
  <c r="I24" i="21" s="1"/>
  <c r="C24" i="18" s="1"/>
  <c r="E27" i="21"/>
  <c r="B29" i="18"/>
  <c r="K29" i="18" s="1"/>
  <c r="C29" i="21"/>
  <c r="U45" i="35" l="1"/>
  <c r="W45" i="35" s="1"/>
  <c r="M16" i="22"/>
  <c r="N16" i="22" s="1"/>
  <c r="G16" i="22"/>
  <c r="L25" i="8"/>
  <c r="M24" i="18"/>
  <c r="X24" i="18" s="1"/>
  <c r="R20" i="10"/>
  <c r="I25" i="2"/>
  <c r="C25" i="5" s="1"/>
  <c r="M25" i="5" s="1"/>
  <c r="T21" i="14"/>
  <c r="V22" i="5"/>
  <c r="X23" i="10"/>
  <c r="X23" i="27"/>
  <c r="R20" i="27"/>
  <c r="R20" i="5"/>
  <c r="X23" i="18"/>
  <c r="P19" i="10"/>
  <c r="AE7" i="10" s="1"/>
  <c r="AC5" i="22" s="1"/>
  <c r="V5" i="22" s="1"/>
  <c r="T21" i="6"/>
  <c r="V22" i="18"/>
  <c r="P19" i="27"/>
  <c r="AE7" i="27" s="1"/>
  <c r="AD5" i="22" s="1"/>
  <c r="W5" i="22" s="1"/>
  <c r="P19" i="18"/>
  <c r="AE7" i="18" s="1"/>
  <c r="AB5" i="22" s="1"/>
  <c r="U5" i="22" s="1"/>
  <c r="P19" i="6"/>
  <c r="AE7" i="6" s="1"/>
  <c r="AA5" i="22" s="1"/>
  <c r="T5" i="22" s="1"/>
  <c r="R20" i="18"/>
  <c r="T21" i="27"/>
  <c r="AE19" i="27" s="1"/>
  <c r="AD17" i="22" s="1"/>
  <c r="W17" i="22" s="1"/>
  <c r="X23" i="6"/>
  <c r="I25" i="30"/>
  <c r="C25" i="27" s="1"/>
  <c r="T21" i="18"/>
  <c r="X23" i="14"/>
  <c r="X23" i="5"/>
  <c r="R20" i="6"/>
  <c r="R20" i="14"/>
  <c r="P19" i="14"/>
  <c r="AE7" i="14" s="1"/>
  <c r="Z5" i="22" s="1"/>
  <c r="S5" i="22" s="1"/>
  <c r="T21" i="5"/>
  <c r="T21" i="10"/>
  <c r="AE19" i="10" s="1"/>
  <c r="AC17" i="22" s="1"/>
  <c r="V17" i="22" s="1"/>
  <c r="P19" i="5"/>
  <c r="V22" i="6"/>
  <c r="R20" i="23"/>
  <c r="V22" i="23"/>
  <c r="T21" i="23"/>
  <c r="P19" i="23"/>
  <c r="AE7" i="23" s="1"/>
  <c r="AE5" i="22" s="1"/>
  <c r="X5" i="22" s="1"/>
  <c r="X23" i="23"/>
  <c r="V22" i="14"/>
  <c r="AE19" i="14" s="1"/>
  <c r="Z17" i="22" s="1"/>
  <c r="S17" i="22" s="1"/>
  <c r="M24" i="10"/>
  <c r="M24" i="14"/>
  <c r="L24" i="3"/>
  <c r="N24" i="5" s="1"/>
  <c r="L24" i="7"/>
  <c r="N24" i="6" s="1"/>
  <c r="T22" i="6" s="1"/>
  <c r="K26" i="12"/>
  <c r="L26" i="12" s="1"/>
  <c r="M24" i="27"/>
  <c r="M24" i="5"/>
  <c r="I25" i="13"/>
  <c r="C25" i="10" s="1"/>
  <c r="L24" i="11"/>
  <c r="N24" i="10" s="1"/>
  <c r="L24" i="25"/>
  <c r="N24" i="23" s="1"/>
  <c r="T22" i="23" s="1"/>
  <c r="L24" i="17"/>
  <c r="N24" i="14" s="1"/>
  <c r="L24" i="29"/>
  <c r="N24" i="27" s="1"/>
  <c r="L25" i="24"/>
  <c r="K25" i="20"/>
  <c r="I25" i="20"/>
  <c r="F25" i="18" s="1"/>
  <c r="K25" i="11"/>
  <c r="I25" i="11"/>
  <c r="F25" i="10" s="1"/>
  <c r="K25" i="17"/>
  <c r="I25" i="17"/>
  <c r="F25" i="14" s="1"/>
  <c r="I25" i="26"/>
  <c r="C25" i="23" s="1"/>
  <c r="K25" i="29"/>
  <c r="I25" i="29"/>
  <c r="F25" i="27" s="1"/>
  <c r="K25" i="25"/>
  <c r="I25" i="25"/>
  <c r="F25" i="23" s="1"/>
  <c r="I25" i="9"/>
  <c r="C25" i="6" s="1"/>
  <c r="M25" i="6" s="1"/>
  <c r="I25" i="7"/>
  <c r="F25" i="6" s="1"/>
  <c r="I25" i="21"/>
  <c r="C25" i="18" s="1"/>
  <c r="I25" i="16"/>
  <c r="C25" i="14" s="1"/>
  <c r="I25" i="3"/>
  <c r="F25" i="5" s="1"/>
  <c r="L25" i="15"/>
  <c r="L25" i="28"/>
  <c r="K26" i="24"/>
  <c r="I26" i="24"/>
  <c r="I26" i="23" s="1"/>
  <c r="L25" i="19"/>
  <c r="L25" i="4"/>
  <c r="I26" i="8"/>
  <c r="I26" i="6" s="1"/>
  <c r="I26" i="15"/>
  <c r="I26" i="14" s="1"/>
  <c r="K26" i="4"/>
  <c r="I26" i="4"/>
  <c r="I26" i="5" s="1"/>
  <c r="I26" i="19"/>
  <c r="I26" i="18" s="1"/>
  <c r="I26" i="28"/>
  <c r="I26" i="27" s="1"/>
  <c r="K30" i="27"/>
  <c r="F28" i="20"/>
  <c r="H26" i="20"/>
  <c r="K26" i="20" s="1"/>
  <c r="G27" i="20"/>
  <c r="C31" i="20"/>
  <c r="E29" i="20"/>
  <c r="D30" i="20"/>
  <c r="E31" i="18"/>
  <c r="L31" i="18" s="1"/>
  <c r="F28" i="29"/>
  <c r="G27" i="29"/>
  <c r="H26" i="29"/>
  <c r="D30" i="29"/>
  <c r="C31" i="29"/>
  <c r="E29" i="29"/>
  <c r="H27" i="8"/>
  <c r="I27" i="8" s="1"/>
  <c r="I27" i="6" s="1"/>
  <c r="G28" i="8"/>
  <c r="F29" i="8"/>
  <c r="C32" i="8"/>
  <c r="D31" i="8"/>
  <c r="E30" i="8"/>
  <c r="G28" i="28"/>
  <c r="H27" i="28"/>
  <c r="D31" i="28"/>
  <c r="F29" i="28"/>
  <c r="C32" i="28"/>
  <c r="E30" i="28"/>
  <c r="B32" i="25"/>
  <c r="B32" i="29"/>
  <c r="B32" i="17"/>
  <c r="B32" i="3"/>
  <c r="B32" i="7"/>
  <c r="B32" i="11"/>
  <c r="B32" i="20"/>
  <c r="F28" i="25"/>
  <c r="H26" i="25"/>
  <c r="G27" i="25"/>
  <c r="E29" i="25"/>
  <c r="C31" i="25"/>
  <c r="D30" i="25"/>
  <c r="G28" i="4"/>
  <c r="H27" i="4"/>
  <c r="H32" i="6"/>
  <c r="H32" i="23"/>
  <c r="H32" i="5"/>
  <c r="H32" i="10"/>
  <c r="C32" i="4"/>
  <c r="D31" i="4"/>
  <c r="E30" i="4"/>
  <c r="H32" i="27"/>
  <c r="F29" i="4"/>
  <c r="G28" i="24"/>
  <c r="H27" i="24"/>
  <c r="K27" i="24" s="1"/>
  <c r="D31" i="24"/>
  <c r="E30" i="24"/>
  <c r="F29" i="24"/>
  <c r="C32" i="24"/>
  <c r="K30" i="18"/>
  <c r="F28" i="2"/>
  <c r="G27" i="2"/>
  <c r="H26" i="2"/>
  <c r="I26" i="2" s="1"/>
  <c r="C26" i="5" s="1"/>
  <c r="D30" i="2"/>
  <c r="B31" i="6"/>
  <c r="B31" i="23"/>
  <c r="B31" i="5"/>
  <c r="C31" i="2"/>
  <c r="E29" i="2"/>
  <c r="B31" i="27"/>
  <c r="F28" i="30"/>
  <c r="H26" i="30"/>
  <c r="I26" i="30" s="1"/>
  <c r="C26" i="27" s="1"/>
  <c r="G27" i="30"/>
  <c r="D30" i="30"/>
  <c r="C31" i="30"/>
  <c r="E29" i="30"/>
  <c r="K30" i="14"/>
  <c r="B33" i="28"/>
  <c r="B33" i="19"/>
  <c r="B33" i="15"/>
  <c r="B33" i="4"/>
  <c r="B33" i="8"/>
  <c r="B33" i="12"/>
  <c r="B33" i="24"/>
  <c r="K30" i="23"/>
  <c r="F28" i="3"/>
  <c r="G27" i="3"/>
  <c r="H26" i="3"/>
  <c r="I26" i="3" s="1"/>
  <c r="F26" i="5" s="1"/>
  <c r="E31" i="27"/>
  <c r="L31" i="27" s="1"/>
  <c r="E31" i="5"/>
  <c r="L31" i="5" s="1"/>
  <c r="C31" i="3"/>
  <c r="E31" i="23"/>
  <c r="L31" i="23" s="1"/>
  <c r="D30" i="3"/>
  <c r="E31" i="10"/>
  <c r="L31" i="10" s="1"/>
  <c r="E29" i="3"/>
  <c r="E31" i="6"/>
  <c r="L31" i="6" s="1"/>
  <c r="H27" i="15"/>
  <c r="K27" i="15" s="1"/>
  <c r="G28" i="15"/>
  <c r="D31" i="15"/>
  <c r="F29" i="15"/>
  <c r="C32" i="15"/>
  <c r="E30" i="15"/>
  <c r="H32" i="14"/>
  <c r="K30" i="10"/>
  <c r="H26" i="13"/>
  <c r="I26" i="13" s="1"/>
  <c r="C26" i="10" s="1"/>
  <c r="G27" i="13"/>
  <c r="F28" i="13"/>
  <c r="D30" i="13"/>
  <c r="B31" i="10"/>
  <c r="C31" i="13"/>
  <c r="E29" i="13"/>
  <c r="F28" i="21"/>
  <c r="G27" i="21"/>
  <c r="H26" i="21"/>
  <c r="I26" i="21" s="1"/>
  <c r="C26" i="18" s="1"/>
  <c r="D30" i="21"/>
  <c r="C31" i="21"/>
  <c r="E29" i="21"/>
  <c r="B31" i="18"/>
  <c r="F28" i="16"/>
  <c r="G27" i="16"/>
  <c r="H26" i="16"/>
  <c r="I26" i="16" s="1"/>
  <c r="C26" i="14" s="1"/>
  <c r="D30" i="16"/>
  <c r="B31" i="14"/>
  <c r="C31" i="16"/>
  <c r="E29" i="16"/>
  <c r="F33" i="1"/>
  <c r="G33" i="1" s="1"/>
  <c r="K30" i="6"/>
  <c r="F28" i="11"/>
  <c r="H26" i="11"/>
  <c r="K26" i="11" s="1"/>
  <c r="G27" i="11"/>
  <c r="D30" i="11"/>
  <c r="E29" i="11"/>
  <c r="C31" i="11"/>
  <c r="F28" i="9"/>
  <c r="H26" i="9"/>
  <c r="I26" i="9" s="1"/>
  <c r="C26" i="6" s="1"/>
  <c r="G27" i="9"/>
  <c r="D30" i="9"/>
  <c r="E29" i="9"/>
  <c r="C31" i="9"/>
  <c r="F28" i="26"/>
  <c r="H26" i="26"/>
  <c r="I26" i="26" s="1"/>
  <c r="C26" i="23" s="1"/>
  <c r="G27" i="26"/>
  <c r="D30" i="26"/>
  <c r="E29" i="26"/>
  <c r="C31" i="26"/>
  <c r="K30" i="5"/>
  <c r="F28" i="17"/>
  <c r="G27" i="17"/>
  <c r="H26" i="17"/>
  <c r="D30" i="17"/>
  <c r="E31" i="14"/>
  <c r="L31" i="14" s="1"/>
  <c r="C31" i="17"/>
  <c r="E29" i="17"/>
  <c r="G27" i="7"/>
  <c r="H26" i="7"/>
  <c r="K26" i="7" s="1"/>
  <c r="F28" i="7"/>
  <c r="C31" i="7"/>
  <c r="D30" i="7"/>
  <c r="E29" i="7"/>
  <c r="G28" i="19"/>
  <c r="H27" i="19"/>
  <c r="K27" i="19" s="1"/>
  <c r="C32" i="19"/>
  <c r="E30" i="19"/>
  <c r="D31" i="19"/>
  <c r="F29" i="19"/>
  <c r="H32" i="18"/>
  <c r="G28" i="12"/>
  <c r="H27" i="12"/>
  <c r="K27" i="12" s="1"/>
  <c r="E30" i="12"/>
  <c r="F29" i="12"/>
  <c r="C32" i="12"/>
  <c r="D31" i="12"/>
  <c r="G32" i="1"/>
  <c r="AE19" i="6" l="1"/>
  <c r="AA17" i="22" s="1"/>
  <c r="T17" i="22" s="1"/>
  <c r="AE7" i="5"/>
  <c r="Y5" i="22" s="1"/>
  <c r="R5" i="22" s="1"/>
  <c r="Q5" i="22" s="1"/>
  <c r="F5" i="22" s="1"/>
  <c r="V45" i="35"/>
  <c r="AE19" i="23"/>
  <c r="AE17" i="22" s="1"/>
  <c r="X17" i="22" s="1"/>
  <c r="V23" i="18"/>
  <c r="T22" i="18"/>
  <c r="R21" i="18"/>
  <c r="P20" i="18"/>
  <c r="AE19" i="18"/>
  <c r="AB17" i="22" s="1"/>
  <c r="U17" i="22" s="1"/>
  <c r="AE19" i="5"/>
  <c r="Y17" i="22" s="1"/>
  <c r="R17" i="22" s="1"/>
  <c r="R21" i="6"/>
  <c r="P20" i="10"/>
  <c r="R21" i="10"/>
  <c r="X24" i="14"/>
  <c r="X24" i="6"/>
  <c r="V23" i="10"/>
  <c r="R21" i="23"/>
  <c r="V23" i="6"/>
  <c r="X24" i="23"/>
  <c r="P20" i="23"/>
  <c r="P20" i="27"/>
  <c r="P20" i="6"/>
  <c r="T22" i="10"/>
  <c r="M25" i="27"/>
  <c r="T22" i="27"/>
  <c r="R21" i="14"/>
  <c r="L25" i="7"/>
  <c r="N25" i="6" s="1"/>
  <c r="V24" i="6" s="1"/>
  <c r="AE23" i="6" s="1"/>
  <c r="AA21" i="22" s="1"/>
  <c r="T21" i="22" s="1"/>
  <c r="V23" i="27"/>
  <c r="V23" i="23"/>
  <c r="L25" i="3"/>
  <c r="N25" i="5" s="1"/>
  <c r="M25" i="18"/>
  <c r="L26" i="8"/>
  <c r="R21" i="27"/>
  <c r="M25" i="10"/>
  <c r="L25" i="17"/>
  <c r="N25" i="14" s="1"/>
  <c r="L25" i="20"/>
  <c r="N25" i="18" s="1"/>
  <c r="X24" i="10"/>
  <c r="X24" i="5"/>
  <c r="L25" i="29"/>
  <c r="N25" i="27" s="1"/>
  <c r="M25" i="14"/>
  <c r="L25" i="25"/>
  <c r="N25" i="23" s="1"/>
  <c r="R21" i="5"/>
  <c r="X24" i="27"/>
  <c r="K26" i="3"/>
  <c r="L26" i="3" s="1"/>
  <c r="L25" i="11"/>
  <c r="N25" i="10" s="1"/>
  <c r="L26" i="24"/>
  <c r="M25" i="23"/>
  <c r="K27" i="8"/>
  <c r="L27" i="8" s="1"/>
  <c r="K26" i="17"/>
  <c r="M26" i="14" s="1"/>
  <c r="I26" i="17"/>
  <c r="F26" i="14" s="1"/>
  <c r="K26" i="29"/>
  <c r="M26" i="27" s="1"/>
  <c r="I26" i="29"/>
  <c r="F26" i="27" s="1"/>
  <c r="P20" i="5"/>
  <c r="T22" i="5"/>
  <c r="V23" i="14"/>
  <c r="T22" i="14"/>
  <c r="K26" i="25"/>
  <c r="M26" i="23" s="1"/>
  <c r="I26" i="25"/>
  <c r="F26" i="23" s="1"/>
  <c r="V23" i="5"/>
  <c r="I26" i="7"/>
  <c r="F26" i="6" s="1"/>
  <c r="P20" i="14"/>
  <c r="I26" i="11"/>
  <c r="F26" i="10" s="1"/>
  <c r="I26" i="20"/>
  <c r="F26" i="18" s="1"/>
  <c r="L26" i="4"/>
  <c r="L26" i="28"/>
  <c r="I27" i="24"/>
  <c r="I27" i="23" s="1"/>
  <c r="I27" i="19"/>
  <c r="I27" i="18" s="1"/>
  <c r="I27" i="15"/>
  <c r="I27" i="14" s="1"/>
  <c r="K27" i="4"/>
  <c r="I27" i="4"/>
  <c r="I27" i="5" s="1"/>
  <c r="K27" i="28"/>
  <c r="I27" i="28"/>
  <c r="I27" i="27" s="1"/>
  <c r="L26" i="19"/>
  <c r="L26" i="15"/>
  <c r="I27" i="12"/>
  <c r="I27" i="10" s="1"/>
  <c r="K31" i="6"/>
  <c r="K31" i="23"/>
  <c r="M26" i="18"/>
  <c r="M26" i="6"/>
  <c r="M26" i="10"/>
  <c r="H28" i="12"/>
  <c r="K28" i="12" s="1"/>
  <c r="C33" i="12"/>
  <c r="E31" i="12"/>
  <c r="K31" i="12" s="1"/>
  <c r="G29" i="12"/>
  <c r="K29" i="12" s="1"/>
  <c r="D32" i="12"/>
  <c r="K32" i="12" s="1"/>
  <c r="F30" i="12"/>
  <c r="K30" i="12" s="1"/>
  <c r="H28" i="19"/>
  <c r="K28" i="19" s="1"/>
  <c r="H33" i="18"/>
  <c r="D32" i="19"/>
  <c r="K32" i="19" s="1"/>
  <c r="E31" i="19"/>
  <c r="K31" i="19" s="1"/>
  <c r="F30" i="19"/>
  <c r="K30" i="19" s="1"/>
  <c r="C33" i="19"/>
  <c r="G29" i="19"/>
  <c r="K29" i="19" s="1"/>
  <c r="G28" i="11"/>
  <c r="H27" i="11"/>
  <c r="K27" i="11" s="1"/>
  <c r="D31" i="11"/>
  <c r="F29" i="11"/>
  <c r="C32" i="11"/>
  <c r="E30" i="11"/>
  <c r="B33" i="26"/>
  <c r="B33" i="30"/>
  <c r="B33" i="13"/>
  <c r="B33" i="21"/>
  <c r="B33" i="2"/>
  <c r="B33" i="9"/>
  <c r="B33" i="16"/>
  <c r="H28" i="28"/>
  <c r="C33" i="28"/>
  <c r="G29" i="28"/>
  <c r="K29" i="28" s="1"/>
  <c r="D32" i="28"/>
  <c r="K32" i="28" s="1"/>
  <c r="E31" i="28"/>
  <c r="F30" i="28"/>
  <c r="K30" i="28" s="1"/>
  <c r="G28" i="7"/>
  <c r="H27" i="7"/>
  <c r="K27" i="7" s="1"/>
  <c r="C32" i="7"/>
  <c r="E30" i="7"/>
  <c r="D31" i="7"/>
  <c r="F29" i="7"/>
  <c r="G28" i="25"/>
  <c r="H27" i="25"/>
  <c r="C32" i="25"/>
  <c r="E30" i="25"/>
  <c r="D31" i="25"/>
  <c r="F29" i="25"/>
  <c r="B33" i="11"/>
  <c r="B33" i="7"/>
  <c r="B33" i="3"/>
  <c r="B33" i="25"/>
  <c r="B33" i="20"/>
  <c r="B33" i="17"/>
  <c r="B33" i="29"/>
  <c r="K31" i="14"/>
  <c r="H28" i="4"/>
  <c r="K28" i="4" s="1"/>
  <c r="C33" i="4"/>
  <c r="E31" i="4"/>
  <c r="G29" i="4"/>
  <c r="K29" i="4" s="1"/>
  <c r="H33" i="27"/>
  <c r="D32" i="4"/>
  <c r="K32" i="4" s="1"/>
  <c r="F30" i="4"/>
  <c r="I30" i="4" s="1"/>
  <c r="I30" i="5" s="1"/>
  <c r="H33" i="5"/>
  <c r="H33" i="23"/>
  <c r="H33" i="10"/>
  <c r="H33" i="6"/>
  <c r="K31" i="5"/>
  <c r="G28" i="3"/>
  <c r="H27" i="3"/>
  <c r="D31" i="3"/>
  <c r="F29" i="3"/>
  <c r="E32" i="5"/>
  <c r="L32" i="5" s="1"/>
  <c r="E32" i="10"/>
  <c r="L32" i="10" s="1"/>
  <c r="C32" i="3"/>
  <c r="E30" i="3"/>
  <c r="E32" i="6"/>
  <c r="L32" i="6" s="1"/>
  <c r="E32" i="23"/>
  <c r="L32" i="23" s="1"/>
  <c r="E32" i="27"/>
  <c r="L32" i="27" s="1"/>
  <c r="G28" i="29"/>
  <c r="H27" i="29"/>
  <c r="K27" i="29" s="1"/>
  <c r="C32" i="29"/>
  <c r="D31" i="29"/>
  <c r="E30" i="29"/>
  <c r="F29" i="29"/>
  <c r="H28" i="8"/>
  <c r="K28" i="8" s="1"/>
  <c r="D32" i="8"/>
  <c r="I32" i="8" s="1"/>
  <c r="F30" i="8"/>
  <c r="K30" i="8" s="1"/>
  <c r="C33" i="8"/>
  <c r="E31" i="8"/>
  <c r="G29" i="8"/>
  <c r="K29" i="8" s="1"/>
  <c r="B32" i="26"/>
  <c r="B32" i="13"/>
  <c r="B32" i="9"/>
  <c r="B32" i="30"/>
  <c r="B32" i="21"/>
  <c r="B32" i="2"/>
  <c r="B32" i="16"/>
  <c r="K31" i="18"/>
  <c r="K31" i="10"/>
  <c r="H28" i="24"/>
  <c r="D32" i="24"/>
  <c r="K32" i="24" s="1"/>
  <c r="F30" i="24"/>
  <c r="K30" i="24" s="1"/>
  <c r="C33" i="24"/>
  <c r="E31" i="24"/>
  <c r="G29" i="24"/>
  <c r="K29" i="24" s="1"/>
  <c r="H28" i="15"/>
  <c r="K28" i="15" s="1"/>
  <c r="H33" i="14"/>
  <c r="E31" i="15"/>
  <c r="F30" i="15"/>
  <c r="K30" i="15" s="1"/>
  <c r="C33" i="15"/>
  <c r="G29" i="15"/>
  <c r="K29" i="15" s="1"/>
  <c r="D32" i="15"/>
  <c r="K32" i="15" s="1"/>
  <c r="K31" i="27"/>
  <c r="G28" i="20"/>
  <c r="H27" i="20"/>
  <c r="F29" i="20"/>
  <c r="C32" i="20"/>
  <c r="D31" i="20"/>
  <c r="E32" i="18"/>
  <c r="L32" i="18" s="1"/>
  <c r="E30" i="20"/>
  <c r="G28" i="17"/>
  <c r="H27" i="17"/>
  <c r="K27" i="17" s="1"/>
  <c r="E30" i="17"/>
  <c r="F29" i="17"/>
  <c r="C32" i="17"/>
  <c r="D31" i="17"/>
  <c r="E32" i="14"/>
  <c r="L32" i="14" s="1"/>
  <c r="R22" i="27" l="1"/>
  <c r="U34" i="35"/>
  <c r="W34" i="35" s="1"/>
  <c r="Q17" i="22"/>
  <c r="F17" i="22" s="1"/>
  <c r="M5" i="22"/>
  <c r="N5" i="22" s="1"/>
  <c r="G5" i="22"/>
  <c r="P21" i="27"/>
  <c r="X25" i="18"/>
  <c r="R22" i="23"/>
  <c r="X25" i="10"/>
  <c r="R22" i="6"/>
  <c r="P21" i="6"/>
  <c r="V24" i="27"/>
  <c r="AE23" i="27" s="1"/>
  <c r="AD21" i="22" s="1"/>
  <c r="W21" i="22" s="1"/>
  <c r="T23" i="10"/>
  <c r="X25" i="27"/>
  <c r="T23" i="27"/>
  <c r="P21" i="14"/>
  <c r="X25" i="23"/>
  <c r="X25" i="6"/>
  <c r="T23" i="6"/>
  <c r="V24" i="14"/>
  <c r="R22" i="18"/>
  <c r="P21" i="23"/>
  <c r="V24" i="5"/>
  <c r="T23" i="5"/>
  <c r="X25" i="5"/>
  <c r="P21" i="5"/>
  <c r="R22" i="5"/>
  <c r="T23" i="14"/>
  <c r="R22" i="14"/>
  <c r="V24" i="18"/>
  <c r="M26" i="5"/>
  <c r="X25" i="14"/>
  <c r="R22" i="10"/>
  <c r="P21" i="18"/>
  <c r="T23" i="18"/>
  <c r="P21" i="10"/>
  <c r="L26" i="29"/>
  <c r="N26" i="27" s="1"/>
  <c r="V25" i="27" s="1"/>
  <c r="I32" i="19"/>
  <c r="L32" i="19" s="1"/>
  <c r="V24" i="10"/>
  <c r="I32" i="28"/>
  <c r="L32" i="28" s="1"/>
  <c r="L26" i="11"/>
  <c r="N26" i="10" s="1"/>
  <c r="V25" i="10" s="1"/>
  <c r="L26" i="17"/>
  <c r="N26" i="14" s="1"/>
  <c r="R23" i="14" s="1"/>
  <c r="N26" i="5"/>
  <c r="L26" i="7"/>
  <c r="N26" i="6" s="1"/>
  <c r="V25" i="6" s="1"/>
  <c r="L26" i="25"/>
  <c r="N26" i="23" s="1"/>
  <c r="V25" i="23" s="1"/>
  <c r="K30" i="4"/>
  <c r="L30" i="4" s="1"/>
  <c r="L26" i="20"/>
  <c r="N26" i="18" s="1"/>
  <c r="V25" i="18" s="1"/>
  <c r="I27" i="11"/>
  <c r="F27" i="10" s="1"/>
  <c r="I27" i="17"/>
  <c r="F27" i="14" s="1"/>
  <c r="I27" i="7"/>
  <c r="F27" i="6" s="1"/>
  <c r="T23" i="23"/>
  <c r="V24" i="23"/>
  <c r="I27" i="29"/>
  <c r="F27" i="27" s="1"/>
  <c r="L27" i="15"/>
  <c r="K27" i="20"/>
  <c r="I27" i="20"/>
  <c r="F27" i="18" s="1"/>
  <c r="K27" i="3"/>
  <c r="I27" i="3"/>
  <c r="F27" i="5" s="1"/>
  <c r="K27" i="25"/>
  <c r="I27" i="25"/>
  <c r="F27" i="23" s="1"/>
  <c r="K32" i="8"/>
  <c r="L32" i="8" s="1"/>
  <c r="I32" i="24"/>
  <c r="L32" i="24" s="1"/>
  <c r="L27" i="19"/>
  <c r="K31" i="15"/>
  <c r="I31" i="15"/>
  <c r="I31" i="14" s="1"/>
  <c r="K31" i="8"/>
  <c r="I31" i="8"/>
  <c r="I31" i="6" s="1"/>
  <c r="I32" i="4"/>
  <c r="I32" i="5" s="1"/>
  <c r="K31" i="4"/>
  <c r="I31" i="4"/>
  <c r="I31" i="5" s="1"/>
  <c r="I32" i="15"/>
  <c r="I32" i="14" s="1"/>
  <c r="L27" i="28"/>
  <c r="L27" i="4"/>
  <c r="L27" i="12"/>
  <c r="I30" i="19"/>
  <c r="I30" i="18" s="1"/>
  <c r="I28" i="4"/>
  <c r="I28" i="5" s="1"/>
  <c r="I30" i="24"/>
  <c r="I30" i="23" s="1"/>
  <c r="I29" i="15"/>
  <c r="I29" i="14" s="1"/>
  <c r="I28" i="12"/>
  <c r="I28" i="10" s="1"/>
  <c r="I30" i="8"/>
  <c r="I30" i="6" s="1"/>
  <c r="I30" i="28"/>
  <c r="I30" i="27" s="1"/>
  <c r="I28" i="19"/>
  <c r="I28" i="18" s="1"/>
  <c r="I29" i="12"/>
  <c r="I29" i="10" s="1"/>
  <c r="I29" i="19"/>
  <c r="I29" i="18" s="1"/>
  <c r="K31" i="24"/>
  <c r="I31" i="24"/>
  <c r="I31" i="23" s="1"/>
  <c r="K28" i="24"/>
  <c r="I28" i="24"/>
  <c r="I28" i="23" s="1"/>
  <c r="K31" i="28"/>
  <c r="I31" i="28"/>
  <c r="K28" i="28"/>
  <c r="I28" i="28"/>
  <c r="I28" i="27" s="1"/>
  <c r="I32" i="12"/>
  <c r="L32" i="12" s="1"/>
  <c r="L27" i="24"/>
  <c r="I29" i="8"/>
  <c r="I29" i="6" s="1"/>
  <c r="I29" i="4"/>
  <c r="I29" i="5" s="1"/>
  <c r="I28" i="15"/>
  <c r="I28" i="14" s="1"/>
  <c r="I30" i="15"/>
  <c r="I30" i="14" s="1"/>
  <c r="I28" i="8"/>
  <c r="I28" i="6" s="1"/>
  <c r="I29" i="28"/>
  <c r="I29" i="27" s="1"/>
  <c r="I29" i="24"/>
  <c r="I29" i="23" s="1"/>
  <c r="I31" i="19"/>
  <c r="I31" i="18" s="1"/>
  <c r="I31" i="12"/>
  <c r="I31" i="10" s="1"/>
  <c r="I30" i="12"/>
  <c r="I30" i="10" s="1"/>
  <c r="I32" i="6"/>
  <c r="K33" i="15"/>
  <c r="I33" i="15"/>
  <c r="G28" i="21"/>
  <c r="H27" i="21"/>
  <c r="I27" i="21" s="1"/>
  <c r="C27" i="18" s="1"/>
  <c r="D31" i="21"/>
  <c r="F29" i="21"/>
  <c r="B32" i="18"/>
  <c r="K32" i="18" s="1"/>
  <c r="C32" i="21"/>
  <c r="E30" i="21"/>
  <c r="I33" i="4"/>
  <c r="K33" i="4"/>
  <c r="H28" i="7"/>
  <c r="K28" i="7" s="1"/>
  <c r="D32" i="7"/>
  <c r="K32" i="7" s="1"/>
  <c r="E31" i="7"/>
  <c r="K31" i="7" s="1"/>
  <c r="F30" i="7"/>
  <c r="K30" i="7" s="1"/>
  <c r="C33" i="7"/>
  <c r="G29" i="7"/>
  <c r="K29" i="7" s="1"/>
  <c r="H28" i="9"/>
  <c r="D32" i="9"/>
  <c r="F30" i="9"/>
  <c r="C33" i="9"/>
  <c r="I33" i="9" s="1"/>
  <c r="C33" i="6" s="1"/>
  <c r="E31" i="9"/>
  <c r="G29" i="9"/>
  <c r="H28" i="30"/>
  <c r="F30" i="30"/>
  <c r="D32" i="30"/>
  <c r="C33" i="30"/>
  <c r="I33" i="30" s="1"/>
  <c r="C33" i="27" s="1"/>
  <c r="E31" i="30"/>
  <c r="G29" i="30"/>
  <c r="G28" i="30"/>
  <c r="H27" i="30"/>
  <c r="I27" i="30" s="1"/>
  <c r="C27" i="27" s="1"/>
  <c r="M27" i="27" s="1"/>
  <c r="D31" i="30"/>
  <c r="I31" i="30" s="1"/>
  <c r="C31" i="27" s="1"/>
  <c r="F29" i="30"/>
  <c r="I29" i="30" s="1"/>
  <c r="C29" i="27" s="1"/>
  <c r="E30" i="30"/>
  <c r="C32" i="30"/>
  <c r="I33" i="8"/>
  <c r="K33" i="8"/>
  <c r="H28" i="20"/>
  <c r="I28" i="20" s="1"/>
  <c r="F28" i="18" s="1"/>
  <c r="D32" i="20"/>
  <c r="K32" i="20" s="1"/>
  <c r="F30" i="20"/>
  <c r="I30" i="20" s="1"/>
  <c r="F30" i="18" s="1"/>
  <c r="E33" i="18"/>
  <c r="L33" i="18" s="1"/>
  <c r="C33" i="20"/>
  <c r="E31" i="20"/>
  <c r="K31" i="20" s="1"/>
  <c r="G29" i="20"/>
  <c r="K29" i="20" s="1"/>
  <c r="G28" i="16"/>
  <c r="H27" i="16"/>
  <c r="I27" i="16" s="1"/>
  <c r="C27" i="14" s="1"/>
  <c r="M27" i="14" s="1"/>
  <c r="D31" i="16"/>
  <c r="B32" i="14"/>
  <c r="K32" i="14" s="1"/>
  <c r="F29" i="16"/>
  <c r="E30" i="16"/>
  <c r="C32" i="16"/>
  <c r="G28" i="9"/>
  <c r="H27" i="9"/>
  <c r="I27" i="9" s="1"/>
  <c r="C27" i="6" s="1"/>
  <c r="M27" i="6" s="1"/>
  <c r="F29" i="9"/>
  <c r="D31" i="9"/>
  <c r="C32" i="9"/>
  <c r="E30" i="9"/>
  <c r="H28" i="25"/>
  <c r="K28" i="25" s="1"/>
  <c r="F30" i="25"/>
  <c r="I30" i="25" s="1"/>
  <c r="F30" i="23" s="1"/>
  <c r="C33" i="25"/>
  <c r="G29" i="25"/>
  <c r="K29" i="25" s="1"/>
  <c r="D32" i="25"/>
  <c r="K32" i="25" s="1"/>
  <c r="E31" i="25"/>
  <c r="K31" i="25" s="1"/>
  <c r="K33" i="28"/>
  <c r="I33" i="28"/>
  <c r="H28" i="21"/>
  <c r="F30" i="21"/>
  <c r="D32" i="21"/>
  <c r="G29" i="21"/>
  <c r="C33" i="21"/>
  <c r="I33" i="21" s="1"/>
  <c r="C33" i="18" s="1"/>
  <c r="B33" i="18"/>
  <c r="E31" i="21"/>
  <c r="K33" i="19"/>
  <c r="I33" i="19"/>
  <c r="G28" i="26"/>
  <c r="H27" i="26"/>
  <c r="I27" i="26" s="1"/>
  <c r="C27" i="23" s="1"/>
  <c r="F29" i="26"/>
  <c r="D31" i="26"/>
  <c r="C32" i="26"/>
  <c r="E30" i="26"/>
  <c r="H28" i="17"/>
  <c r="K28" i="17" s="1"/>
  <c r="C33" i="17"/>
  <c r="E31" i="17"/>
  <c r="K31" i="17" s="1"/>
  <c r="G29" i="17"/>
  <c r="K29" i="17" s="1"/>
  <c r="D32" i="17"/>
  <c r="K32" i="17" s="1"/>
  <c r="F30" i="17"/>
  <c r="K30" i="17" s="1"/>
  <c r="E33" i="14"/>
  <c r="L33" i="14" s="1"/>
  <c r="I33" i="12"/>
  <c r="K33" i="12"/>
  <c r="H28" i="11"/>
  <c r="K28" i="11" s="1"/>
  <c r="E31" i="11"/>
  <c r="F30" i="11"/>
  <c r="K30" i="11" s="1"/>
  <c r="C33" i="11"/>
  <c r="G29" i="11"/>
  <c r="K29" i="11" s="1"/>
  <c r="D32" i="11"/>
  <c r="K32" i="11" s="1"/>
  <c r="H28" i="2"/>
  <c r="D32" i="2"/>
  <c r="B33" i="5"/>
  <c r="F30" i="2"/>
  <c r="B33" i="6"/>
  <c r="B33" i="23"/>
  <c r="E31" i="2"/>
  <c r="G29" i="2"/>
  <c r="B33" i="27"/>
  <c r="C33" i="2"/>
  <c r="I33" i="2" s="1"/>
  <c r="C33" i="5" s="1"/>
  <c r="H28" i="26"/>
  <c r="D32" i="26"/>
  <c r="F30" i="26"/>
  <c r="C33" i="26"/>
  <c r="I33" i="26" s="1"/>
  <c r="C33" i="23" s="1"/>
  <c r="E31" i="26"/>
  <c r="G29" i="26"/>
  <c r="I33" i="24"/>
  <c r="K33" i="24"/>
  <c r="G28" i="2"/>
  <c r="H27" i="2"/>
  <c r="I27" i="2" s="1"/>
  <c r="C27" i="5" s="1"/>
  <c r="F29" i="2"/>
  <c r="B32" i="27"/>
  <c r="K32" i="27" s="1"/>
  <c r="D31" i="2"/>
  <c r="B32" i="5"/>
  <c r="K32" i="5" s="1"/>
  <c r="B32" i="23"/>
  <c r="K32" i="23" s="1"/>
  <c r="C32" i="2"/>
  <c r="E30" i="2"/>
  <c r="B32" i="6"/>
  <c r="K32" i="6" s="1"/>
  <c r="G28" i="13"/>
  <c r="H27" i="13"/>
  <c r="I27" i="13" s="1"/>
  <c r="C27" i="10" s="1"/>
  <c r="M27" i="10" s="1"/>
  <c r="F29" i="13"/>
  <c r="D31" i="13"/>
  <c r="C32" i="13"/>
  <c r="B32" i="10"/>
  <c r="K32" i="10" s="1"/>
  <c r="E30" i="13"/>
  <c r="H28" i="29"/>
  <c r="K28" i="29" s="1"/>
  <c r="C33" i="29"/>
  <c r="E31" i="29"/>
  <c r="K31" i="29" s="1"/>
  <c r="G29" i="29"/>
  <c r="K29" i="29" s="1"/>
  <c r="D32" i="29"/>
  <c r="K32" i="29" s="1"/>
  <c r="F30" i="29"/>
  <c r="K30" i="29" s="1"/>
  <c r="H28" i="3"/>
  <c r="K28" i="3" s="1"/>
  <c r="E33" i="27"/>
  <c r="L33" i="27" s="1"/>
  <c r="C33" i="3"/>
  <c r="G29" i="3"/>
  <c r="K29" i="3" s="1"/>
  <c r="E33" i="23"/>
  <c r="L33" i="23" s="1"/>
  <c r="D32" i="3"/>
  <c r="K32" i="3" s="1"/>
  <c r="E33" i="10"/>
  <c r="L33" i="10" s="1"/>
  <c r="E31" i="3"/>
  <c r="E33" i="6"/>
  <c r="L33" i="6" s="1"/>
  <c r="F30" i="3"/>
  <c r="K30" i="3" s="1"/>
  <c r="E33" i="5"/>
  <c r="L33" i="5" s="1"/>
  <c r="H28" i="16"/>
  <c r="F30" i="16"/>
  <c r="D32" i="16"/>
  <c r="C33" i="16"/>
  <c r="I33" i="16" s="1"/>
  <c r="C33" i="14" s="1"/>
  <c r="E31" i="16"/>
  <c r="G29" i="16"/>
  <c r="B33" i="14"/>
  <c r="H28" i="13"/>
  <c r="D32" i="13"/>
  <c r="B33" i="10"/>
  <c r="F30" i="13"/>
  <c r="E31" i="13"/>
  <c r="G29" i="13"/>
  <c r="C33" i="13"/>
  <c r="I33" i="13" s="1"/>
  <c r="C33" i="10" s="1"/>
  <c r="U46" i="35" l="1"/>
  <c r="W46" i="35" s="1"/>
  <c r="V34" i="35"/>
  <c r="M17" i="22"/>
  <c r="N17" i="22" s="1"/>
  <c r="G17" i="22"/>
  <c r="T24" i="6"/>
  <c r="I32" i="7"/>
  <c r="F32" i="6" s="1"/>
  <c r="X26" i="14"/>
  <c r="X26" i="6"/>
  <c r="T24" i="14"/>
  <c r="AE20" i="14" s="1"/>
  <c r="Z18" i="22" s="1"/>
  <c r="S18" i="22" s="1"/>
  <c r="P22" i="14"/>
  <c r="P22" i="5"/>
  <c r="V25" i="14"/>
  <c r="AE23" i="10"/>
  <c r="AC21" i="22" s="1"/>
  <c r="V21" i="22" s="1"/>
  <c r="AE23" i="5"/>
  <c r="Y21" i="22" s="1"/>
  <c r="R21" i="22" s="1"/>
  <c r="AE23" i="14"/>
  <c r="Z21" i="22" s="1"/>
  <c r="S21" i="22" s="1"/>
  <c r="AE23" i="23"/>
  <c r="AE21" i="22" s="1"/>
  <c r="X21" i="22" s="1"/>
  <c r="AE23" i="18"/>
  <c r="AB21" i="22" s="1"/>
  <c r="U21" i="22" s="1"/>
  <c r="I31" i="9"/>
  <c r="C31" i="6" s="1"/>
  <c r="M31" i="6" s="1"/>
  <c r="V25" i="5"/>
  <c r="X26" i="10"/>
  <c r="I30" i="9"/>
  <c r="C30" i="6" s="1"/>
  <c r="M30" i="6" s="1"/>
  <c r="P22" i="23"/>
  <c r="M27" i="23"/>
  <c r="L27" i="17"/>
  <c r="N27" i="14" s="1"/>
  <c r="V26" i="14" s="1"/>
  <c r="X26" i="18"/>
  <c r="L28" i="12"/>
  <c r="T24" i="23"/>
  <c r="R23" i="23"/>
  <c r="X26" i="5"/>
  <c r="P22" i="18"/>
  <c r="R23" i="27"/>
  <c r="T24" i="10"/>
  <c r="T24" i="27"/>
  <c r="AE20" i="27" s="1"/>
  <c r="AD18" i="22" s="1"/>
  <c r="W18" i="22" s="1"/>
  <c r="X26" i="23"/>
  <c r="I32" i="9"/>
  <c r="C32" i="6" s="1"/>
  <c r="M32" i="6" s="1"/>
  <c r="T24" i="18"/>
  <c r="R23" i="5"/>
  <c r="I32" i="27"/>
  <c r="I32" i="18"/>
  <c r="L32" i="15"/>
  <c r="I32" i="10"/>
  <c r="M27" i="18"/>
  <c r="I28" i="30"/>
  <c r="C28" i="27" s="1"/>
  <c r="M28" i="27" s="1"/>
  <c r="X26" i="27"/>
  <c r="L28" i="19"/>
  <c r="P22" i="27"/>
  <c r="T24" i="5"/>
  <c r="AE20" i="5" s="1"/>
  <c r="Y18" i="22" s="1"/>
  <c r="R18" i="22" s="1"/>
  <c r="I32" i="2"/>
  <c r="C32" i="5" s="1"/>
  <c r="M32" i="5" s="1"/>
  <c r="I32" i="23"/>
  <c r="I28" i="9"/>
  <c r="C28" i="6" s="1"/>
  <c r="M28" i="6" s="1"/>
  <c r="I32" i="30"/>
  <c r="C32" i="27" s="1"/>
  <c r="M32" i="27" s="1"/>
  <c r="P22" i="10"/>
  <c r="R23" i="10"/>
  <c r="R23" i="6"/>
  <c r="AE20" i="6" s="1"/>
  <c r="AA18" i="22" s="1"/>
  <c r="T18" i="22" s="1"/>
  <c r="L32" i="4"/>
  <c r="L30" i="19"/>
  <c r="I30" i="2"/>
  <c r="C30" i="5" s="1"/>
  <c r="M30" i="5" s="1"/>
  <c r="I29" i="2"/>
  <c r="C29" i="5" s="1"/>
  <c r="M29" i="5" s="1"/>
  <c r="I32" i="26"/>
  <c r="C32" i="23" s="1"/>
  <c r="M32" i="23" s="1"/>
  <c r="I29" i="26"/>
  <c r="C29" i="23" s="1"/>
  <c r="M29" i="23" s="1"/>
  <c r="P22" i="6"/>
  <c r="L27" i="3"/>
  <c r="N27" i="5" s="1"/>
  <c r="M27" i="5"/>
  <c r="L27" i="29"/>
  <c r="N27" i="27" s="1"/>
  <c r="T25" i="27" s="1"/>
  <c r="K30" i="25"/>
  <c r="L30" i="25" s="1"/>
  <c r="L27" i="20"/>
  <c r="N27" i="18" s="1"/>
  <c r="K28" i="20"/>
  <c r="L28" i="20" s="1"/>
  <c r="L27" i="7"/>
  <c r="N27" i="6" s="1"/>
  <c r="X27" i="6" s="1"/>
  <c r="K30" i="20"/>
  <c r="L30" i="20" s="1"/>
  <c r="L27" i="25"/>
  <c r="N27" i="23" s="1"/>
  <c r="L27" i="11"/>
  <c r="N27" i="10" s="1"/>
  <c r="P23" i="10" s="1"/>
  <c r="K31" i="3"/>
  <c r="I31" i="3"/>
  <c r="F31" i="5" s="1"/>
  <c r="I30" i="13"/>
  <c r="C30" i="10" s="1"/>
  <c r="M30" i="10" s="1"/>
  <c r="I32" i="13"/>
  <c r="C32" i="10" s="1"/>
  <c r="M32" i="10" s="1"/>
  <c r="I29" i="13"/>
  <c r="C29" i="10" s="1"/>
  <c r="M29" i="10" s="1"/>
  <c r="I28" i="13"/>
  <c r="C28" i="10" s="1"/>
  <c r="M28" i="10" s="1"/>
  <c r="I31" i="2"/>
  <c r="C31" i="5" s="1"/>
  <c r="I28" i="2"/>
  <c r="C28" i="5" s="1"/>
  <c r="M28" i="5" s="1"/>
  <c r="K31" i="11"/>
  <c r="I31" i="11"/>
  <c r="F31" i="10" s="1"/>
  <c r="I32" i="25"/>
  <c r="L32" i="25" s="1"/>
  <c r="N32" i="23" s="1"/>
  <c r="I30" i="26"/>
  <c r="C30" i="23" s="1"/>
  <c r="I31" i="26"/>
  <c r="C31" i="23" s="1"/>
  <c r="M31" i="23" s="1"/>
  <c r="I32" i="17"/>
  <c r="L32" i="17" s="1"/>
  <c r="I32" i="11"/>
  <c r="L32" i="11" s="1"/>
  <c r="N32" i="10" s="1"/>
  <c r="K33" i="18"/>
  <c r="I32" i="3"/>
  <c r="L32" i="3" s="1"/>
  <c r="I29" i="9"/>
  <c r="C29" i="6" s="1"/>
  <c r="M29" i="6" s="1"/>
  <c r="I30" i="16"/>
  <c r="C30" i="14" s="1"/>
  <c r="M30" i="14" s="1"/>
  <c r="I32" i="29"/>
  <c r="F32" i="27" s="1"/>
  <c r="I30" i="30"/>
  <c r="C30" i="27" s="1"/>
  <c r="M30" i="27" s="1"/>
  <c r="I32" i="21"/>
  <c r="C32" i="18" s="1"/>
  <c r="M32" i="18" s="1"/>
  <c r="I29" i="21"/>
  <c r="C29" i="18" s="1"/>
  <c r="M29" i="18" s="1"/>
  <c r="I32" i="20"/>
  <c r="F32" i="18" s="1"/>
  <c r="I30" i="29"/>
  <c r="F30" i="27" s="1"/>
  <c r="I29" i="11"/>
  <c r="F29" i="10" s="1"/>
  <c r="I28" i="7"/>
  <c r="F28" i="6" s="1"/>
  <c r="I28" i="25"/>
  <c r="F28" i="23" s="1"/>
  <c r="I28" i="3"/>
  <c r="F28" i="5" s="1"/>
  <c r="I28" i="11"/>
  <c r="F28" i="10" s="1"/>
  <c r="I29" i="7"/>
  <c r="F29" i="6" s="1"/>
  <c r="I29" i="3"/>
  <c r="F29" i="5" s="1"/>
  <c r="I31" i="29"/>
  <c r="F31" i="27" s="1"/>
  <c r="I28" i="17"/>
  <c r="F28" i="14" s="1"/>
  <c r="I31" i="20"/>
  <c r="I31" i="13"/>
  <c r="C31" i="10" s="1"/>
  <c r="I28" i="26"/>
  <c r="C28" i="23" s="1"/>
  <c r="M28" i="23" s="1"/>
  <c r="I32" i="16"/>
  <c r="C32" i="14" s="1"/>
  <c r="M32" i="14" s="1"/>
  <c r="I29" i="16"/>
  <c r="C29" i="14" s="1"/>
  <c r="M29" i="14" s="1"/>
  <c r="I31" i="16"/>
  <c r="C31" i="14" s="1"/>
  <c r="M31" i="14" s="1"/>
  <c r="I28" i="16"/>
  <c r="C28" i="14" s="1"/>
  <c r="M28" i="14" s="1"/>
  <c r="I30" i="21"/>
  <c r="C30" i="18" s="1"/>
  <c r="I31" i="21"/>
  <c r="C31" i="18" s="1"/>
  <c r="M31" i="18" s="1"/>
  <c r="I28" i="21"/>
  <c r="C28" i="18" s="1"/>
  <c r="R23" i="18"/>
  <c r="I30" i="11"/>
  <c r="F30" i="10" s="1"/>
  <c r="I31" i="7"/>
  <c r="F31" i="6" s="1"/>
  <c r="I31" i="25"/>
  <c r="F31" i="23" s="1"/>
  <c r="I28" i="29"/>
  <c r="F28" i="27" s="1"/>
  <c r="I31" i="17"/>
  <c r="F31" i="14" s="1"/>
  <c r="I30" i="7"/>
  <c r="F30" i="6" s="1"/>
  <c r="I29" i="25"/>
  <c r="F29" i="23" s="1"/>
  <c r="I30" i="3"/>
  <c r="F30" i="5" s="1"/>
  <c r="I29" i="29"/>
  <c r="F29" i="27" s="1"/>
  <c r="I30" i="17"/>
  <c r="F30" i="14" s="1"/>
  <c r="I29" i="20"/>
  <c r="F29" i="18" s="1"/>
  <c r="I29" i="17"/>
  <c r="F29" i="14" s="1"/>
  <c r="K33" i="10"/>
  <c r="L28" i="24"/>
  <c r="L31" i="24"/>
  <c r="L29" i="28"/>
  <c r="L31" i="4"/>
  <c r="L31" i="8"/>
  <c r="L31" i="15"/>
  <c r="L29" i="19"/>
  <c r="L28" i="28"/>
  <c r="L31" i="28"/>
  <c r="I31" i="27"/>
  <c r="L29" i="4"/>
  <c r="L28" i="15"/>
  <c r="L29" i="12"/>
  <c r="L31" i="19"/>
  <c r="L30" i="28"/>
  <c r="L28" i="8"/>
  <c r="L29" i="24"/>
  <c r="L29" i="15"/>
  <c r="L31" i="12"/>
  <c r="L29" i="8"/>
  <c r="L30" i="12"/>
  <c r="L28" i="4"/>
  <c r="L30" i="8"/>
  <c r="L30" i="15"/>
  <c r="L30" i="24"/>
  <c r="K33" i="27"/>
  <c r="K33" i="5"/>
  <c r="M29" i="27"/>
  <c r="M31" i="27"/>
  <c r="I33" i="29"/>
  <c r="K33" i="29"/>
  <c r="M33" i="27" s="1"/>
  <c r="I33" i="23"/>
  <c r="L33" i="24"/>
  <c r="L33" i="12"/>
  <c r="I33" i="10"/>
  <c r="I33" i="17"/>
  <c r="K33" i="17"/>
  <c r="M33" i="14" s="1"/>
  <c r="K33" i="7"/>
  <c r="M33" i="6" s="1"/>
  <c r="I33" i="7"/>
  <c r="K33" i="14"/>
  <c r="K33" i="3"/>
  <c r="M33" i="5" s="1"/>
  <c r="I33" i="3"/>
  <c r="K33" i="11"/>
  <c r="M33" i="10" s="1"/>
  <c r="I33" i="11"/>
  <c r="L33" i="19"/>
  <c r="I33" i="18"/>
  <c r="L33" i="28"/>
  <c r="I33" i="27"/>
  <c r="K33" i="25"/>
  <c r="M33" i="23" s="1"/>
  <c r="I33" i="25"/>
  <c r="K33" i="23"/>
  <c r="I33" i="6"/>
  <c r="L33" i="8"/>
  <c r="K33" i="6"/>
  <c r="I33" i="20"/>
  <c r="K33" i="20"/>
  <c r="M33" i="18" s="1"/>
  <c r="L33" i="4"/>
  <c r="I33" i="5"/>
  <c r="I33" i="14"/>
  <c r="L33" i="15"/>
  <c r="AE20" i="23" l="1"/>
  <c r="AE18" i="22" s="1"/>
  <c r="X18" i="22" s="1"/>
  <c r="V46" i="35"/>
  <c r="X27" i="10"/>
  <c r="L32" i="7"/>
  <c r="N32" i="6" s="1"/>
  <c r="AE20" i="18"/>
  <c r="AB18" i="22" s="1"/>
  <c r="U18" i="22" s="1"/>
  <c r="AE20" i="10"/>
  <c r="AC18" i="22" s="1"/>
  <c r="V18" i="22" s="1"/>
  <c r="V26" i="23"/>
  <c r="Q21" i="22"/>
  <c r="F21" i="22" s="1"/>
  <c r="U50" i="35" s="1"/>
  <c r="W50" i="35" s="1"/>
  <c r="R24" i="18"/>
  <c r="R24" i="14"/>
  <c r="F32" i="5"/>
  <c r="P23" i="23"/>
  <c r="L29" i="11"/>
  <c r="N29" i="10" s="1"/>
  <c r="R24" i="5"/>
  <c r="V26" i="10"/>
  <c r="V26" i="18"/>
  <c r="L28" i="11"/>
  <c r="N28" i="10" s="1"/>
  <c r="V27" i="10" s="1"/>
  <c r="X27" i="23"/>
  <c r="F32" i="14"/>
  <c r="R24" i="6"/>
  <c r="R24" i="10"/>
  <c r="P23" i="27"/>
  <c r="V26" i="27"/>
  <c r="N32" i="14"/>
  <c r="T25" i="10"/>
  <c r="P23" i="5"/>
  <c r="P23" i="18"/>
  <c r="L28" i="25"/>
  <c r="N28" i="23" s="1"/>
  <c r="V27" i="23" s="1"/>
  <c r="AE27" i="23" s="1"/>
  <c r="AE25" i="22" s="1"/>
  <c r="X25" i="22" s="1"/>
  <c r="T25" i="6"/>
  <c r="R24" i="23"/>
  <c r="X27" i="18"/>
  <c r="X27" i="27"/>
  <c r="R24" i="27"/>
  <c r="P23" i="6"/>
  <c r="T25" i="18"/>
  <c r="L31" i="17"/>
  <c r="N31" i="14" s="1"/>
  <c r="M31" i="10"/>
  <c r="L29" i="3"/>
  <c r="N29" i="5" s="1"/>
  <c r="L29" i="17"/>
  <c r="N29" i="14" s="1"/>
  <c r="L29" i="29"/>
  <c r="N29" i="27" s="1"/>
  <c r="L30" i="11"/>
  <c r="N30" i="10" s="1"/>
  <c r="X27" i="14"/>
  <c r="L30" i="29"/>
  <c r="N30" i="27" s="1"/>
  <c r="T25" i="14"/>
  <c r="N32" i="5"/>
  <c r="V26" i="6"/>
  <c r="N28" i="18"/>
  <c r="M30" i="23"/>
  <c r="L31" i="7"/>
  <c r="N31" i="6" s="1"/>
  <c r="P23" i="14"/>
  <c r="X27" i="5"/>
  <c r="L32" i="20"/>
  <c r="N32" i="18" s="1"/>
  <c r="L30" i="17"/>
  <c r="N30" i="14" s="1"/>
  <c r="F32" i="10"/>
  <c r="L31" i="29"/>
  <c r="N31" i="27" s="1"/>
  <c r="N30" i="18"/>
  <c r="T25" i="5"/>
  <c r="V26" i="5"/>
  <c r="L31" i="11"/>
  <c r="N31" i="10" s="1"/>
  <c r="L28" i="29"/>
  <c r="N28" i="27" s="1"/>
  <c r="V27" i="27" s="1"/>
  <c r="N30" i="23"/>
  <c r="L30" i="3"/>
  <c r="N30" i="5" s="1"/>
  <c r="L28" i="17"/>
  <c r="N28" i="14" s="1"/>
  <c r="R25" i="14" s="1"/>
  <c r="L30" i="7"/>
  <c r="N30" i="6" s="1"/>
  <c r="L31" i="3"/>
  <c r="N31" i="5" s="1"/>
  <c r="L32" i="29"/>
  <c r="N32" i="27" s="1"/>
  <c r="F32" i="23"/>
  <c r="M28" i="18"/>
  <c r="M30" i="18"/>
  <c r="L29" i="25"/>
  <c r="N29" i="23" s="1"/>
  <c r="L29" i="7"/>
  <c r="N29" i="6" s="1"/>
  <c r="L28" i="7"/>
  <c r="N28" i="6" s="1"/>
  <c r="X28" i="6" s="1"/>
  <c r="AE15" i="6" s="1"/>
  <c r="AA13" i="22" s="1"/>
  <c r="T13" i="22" s="1"/>
  <c r="L29" i="20"/>
  <c r="N29" i="18" s="1"/>
  <c r="L28" i="3"/>
  <c r="N28" i="5" s="1"/>
  <c r="R25" i="5" s="1"/>
  <c r="AE21" i="5" s="1"/>
  <c r="Y19" i="22" s="1"/>
  <c r="R19" i="22" s="1"/>
  <c r="L31" i="25"/>
  <c r="N31" i="23" s="1"/>
  <c r="T25" i="23"/>
  <c r="L31" i="20"/>
  <c r="N31" i="18" s="1"/>
  <c r="F31" i="18"/>
  <c r="M31" i="5"/>
  <c r="F33" i="23"/>
  <c r="L33" i="25"/>
  <c r="N33" i="23" s="1"/>
  <c r="F33" i="10"/>
  <c r="L33" i="11"/>
  <c r="N33" i="10" s="1"/>
  <c r="L33" i="3"/>
  <c r="N33" i="5" s="1"/>
  <c r="F33" i="5"/>
  <c r="L33" i="29"/>
  <c r="N33" i="27" s="1"/>
  <c r="F33" i="27"/>
  <c r="L33" i="17"/>
  <c r="N33" i="14" s="1"/>
  <c r="F33" i="14"/>
  <c r="F33" i="6"/>
  <c r="L33" i="7"/>
  <c r="N33" i="6" s="1"/>
  <c r="F33" i="18"/>
  <c r="L33" i="20"/>
  <c r="N33" i="18" s="1"/>
  <c r="AE10" i="6" l="1"/>
  <c r="AA8" i="22" s="1"/>
  <c r="T8" i="22" s="1"/>
  <c r="Q18" i="22"/>
  <c r="F18" i="22" s="1"/>
  <c r="M18" i="22" s="1"/>
  <c r="N18" i="22" s="1"/>
  <c r="AE28" i="6"/>
  <c r="AA26" i="22" s="1"/>
  <c r="T26" i="22" s="1"/>
  <c r="AE13" i="6"/>
  <c r="AA11" i="22" s="1"/>
  <c r="T11" i="22" s="1"/>
  <c r="AE15" i="27"/>
  <c r="AD13" i="22" s="1"/>
  <c r="W13" i="22" s="1"/>
  <c r="AE27" i="10"/>
  <c r="AC25" i="22" s="1"/>
  <c r="V25" i="22" s="1"/>
  <c r="V27" i="18"/>
  <c r="AE27" i="18" s="1"/>
  <c r="AB25" i="22" s="1"/>
  <c r="U25" i="22" s="1"/>
  <c r="AE27" i="27"/>
  <c r="AD25" i="22" s="1"/>
  <c r="W25" i="22" s="1"/>
  <c r="M21" i="22"/>
  <c r="N21" i="22" s="1"/>
  <c r="G21" i="22"/>
  <c r="V50" i="35" s="1"/>
  <c r="R25" i="10"/>
  <c r="AE21" i="10" s="1"/>
  <c r="AC19" i="22" s="1"/>
  <c r="V19" i="22" s="1"/>
  <c r="AE21" i="14"/>
  <c r="Z19" i="22" s="1"/>
  <c r="S19" i="22" s="1"/>
  <c r="X28" i="10"/>
  <c r="AE10" i="10" s="1"/>
  <c r="AC8" i="22" s="1"/>
  <c r="V8" i="22" s="1"/>
  <c r="P24" i="6"/>
  <c r="T26" i="18"/>
  <c r="AE25" i="18" s="1"/>
  <c r="AB23" i="22" s="1"/>
  <c r="U23" i="22" s="1"/>
  <c r="T26" i="23"/>
  <c r="AE24" i="23" s="1"/>
  <c r="AE22" i="22" s="1"/>
  <c r="X22" i="22" s="1"/>
  <c r="R25" i="23"/>
  <c r="AE21" i="23" s="1"/>
  <c r="AE19" i="22" s="1"/>
  <c r="X19" i="22" s="1"/>
  <c r="T26" i="5"/>
  <c r="AE25" i="5" s="1"/>
  <c r="Y23" i="22" s="1"/>
  <c r="R23" i="22" s="1"/>
  <c r="P24" i="23"/>
  <c r="AE11" i="23" s="1"/>
  <c r="AE9" i="22" s="1"/>
  <c r="X9" i="22" s="1"/>
  <c r="X28" i="23"/>
  <c r="AE10" i="23" s="1"/>
  <c r="AE8" i="22" s="1"/>
  <c r="X8" i="22" s="1"/>
  <c r="P24" i="10"/>
  <c r="X28" i="5"/>
  <c r="AE13" i="5" s="1"/>
  <c r="Y11" i="22" s="1"/>
  <c r="R11" i="22" s="1"/>
  <c r="T26" i="10"/>
  <c r="AE24" i="10" s="1"/>
  <c r="AC22" i="22" s="1"/>
  <c r="V22" i="22" s="1"/>
  <c r="P24" i="27"/>
  <c r="AE8" i="27" s="1"/>
  <c r="AD6" i="22" s="1"/>
  <c r="W6" i="22" s="1"/>
  <c r="T26" i="27"/>
  <c r="AE24" i="27" s="1"/>
  <c r="AD22" i="22" s="1"/>
  <c r="W22" i="22" s="1"/>
  <c r="R25" i="18"/>
  <c r="AE21" i="18" s="1"/>
  <c r="AB19" i="22" s="1"/>
  <c r="U19" i="22" s="1"/>
  <c r="V27" i="5"/>
  <c r="AE26" i="5" s="1"/>
  <c r="Y24" i="22" s="1"/>
  <c r="R24" i="22" s="1"/>
  <c r="R25" i="6"/>
  <c r="AE21" i="6" s="1"/>
  <c r="AA19" i="22" s="1"/>
  <c r="T19" i="22" s="1"/>
  <c r="V27" i="6"/>
  <c r="T26" i="6"/>
  <c r="AE24" i="6" s="1"/>
  <c r="AA22" i="22" s="1"/>
  <c r="T22" i="22" s="1"/>
  <c r="AE15" i="5"/>
  <c r="Y13" i="22" s="1"/>
  <c r="R13" i="22" s="1"/>
  <c r="AE27" i="5"/>
  <c r="Y25" i="22" s="1"/>
  <c r="R25" i="22" s="1"/>
  <c r="AE28" i="5"/>
  <c r="Y26" i="22" s="1"/>
  <c r="R26" i="22" s="1"/>
  <c r="AE15" i="14"/>
  <c r="Z13" i="22" s="1"/>
  <c r="S13" i="22" s="1"/>
  <c r="X28" i="18"/>
  <c r="AE15" i="18" s="1"/>
  <c r="AB13" i="22" s="1"/>
  <c r="U13" i="22" s="1"/>
  <c r="T26" i="14"/>
  <c r="AE24" i="14" s="1"/>
  <c r="Z22" i="22" s="1"/>
  <c r="S22" i="22" s="1"/>
  <c r="V27" i="14"/>
  <c r="AE27" i="14" s="1"/>
  <c r="Z25" i="22" s="1"/>
  <c r="S25" i="22" s="1"/>
  <c r="P24" i="18"/>
  <c r="P24" i="5"/>
  <c r="AE8" i="5" s="1"/>
  <c r="R25" i="27"/>
  <c r="AE21" i="27" s="1"/>
  <c r="AD19" i="22" s="1"/>
  <c r="W19" i="22" s="1"/>
  <c r="X28" i="14"/>
  <c r="AE10" i="14" s="1"/>
  <c r="Z8" i="22" s="1"/>
  <c r="S8" i="22" s="1"/>
  <c r="Q8" i="22" s="1"/>
  <c r="F8" i="22" s="1"/>
  <c r="X28" i="27"/>
  <c r="P24" i="14"/>
  <c r="AE14" i="14" s="1"/>
  <c r="Z12" i="22" s="1"/>
  <c r="S12" i="22" s="1"/>
  <c r="AE14" i="6"/>
  <c r="AA12" i="22" s="1"/>
  <c r="T12" i="22" s="1"/>
  <c r="AE14" i="10"/>
  <c r="AC12" i="22" s="1"/>
  <c r="V12" i="22" s="1"/>
  <c r="AE16" i="27"/>
  <c r="AD14" i="22" s="1"/>
  <c r="W14" i="22" s="1"/>
  <c r="AE16" i="10"/>
  <c r="AC14" i="22" s="1"/>
  <c r="V14" i="22" s="1"/>
  <c r="AE16" i="23"/>
  <c r="AE14" i="22" s="1"/>
  <c r="X14" i="22" s="1"/>
  <c r="AE11" i="6" l="1"/>
  <c r="AA9" i="22" s="1"/>
  <c r="T9" i="22" s="1"/>
  <c r="AE26" i="27"/>
  <c r="AD24" i="22" s="1"/>
  <c r="W24" i="22" s="1"/>
  <c r="AE10" i="27"/>
  <c r="AD8" i="22" s="1"/>
  <c r="W8" i="22" s="1"/>
  <c r="AE10" i="18"/>
  <c r="AB8" i="22" s="1"/>
  <c r="U8" i="22" s="1"/>
  <c r="AE10" i="5"/>
  <c r="Y8" i="22" s="1"/>
  <c r="R8" i="22" s="1"/>
  <c r="U47" i="35"/>
  <c r="W47" i="35" s="1"/>
  <c r="G18" i="22"/>
  <c r="V47" i="35" s="1"/>
  <c r="AE26" i="10"/>
  <c r="AC24" i="22" s="1"/>
  <c r="V24" i="22" s="1"/>
  <c r="AE15" i="10"/>
  <c r="AC13" i="22" s="1"/>
  <c r="V13" i="22" s="1"/>
  <c r="Q13" i="22" s="1"/>
  <c r="F13" i="22" s="1"/>
  <c r="AE14" i="23"/>
  <c r="AE12" i="22" s="1"/>
  <c r="X12" i="22" s="1"/>
  <c r="AE15" i="23"/>
  <c r="AE13" i="22" s="1"/>
  <c r="X13" i="22" s="1"/>
  <c r="AE12" i="10"/>
  <c r="AC10" i="22" s="1"/>
  <c r="V10" i="22" s="1"/>
  <c r="AE12" i="27"/>
  <c r="AD10" i="22" s="1"/>
  <c r="W10" i="22" s="1"/>
  <c r="AE12" i="23"/>
  <c r="AE10" i="22" s="1"/>
  <c r="X10" i="22" s="1"/>
  <c r="AE26" i="23"/>
  <c r="AE24" i="22" s="1"/>
  <c r="X24" i="22" s="1"/>
  <c r="AE14" i="18"/>
  <c r="AB12" i="22" s="1"/>
  <c r="U12" i="22" s="1"/>
  <c r="AE14" i="27"/>
  <c r="AD12" i="22" s="1"/>
  <c r="W12" i="22" s="1"/>
  <c r="AE14" i="5"/>
  <c r="Y12" i="22" s="1"/>
  <c r="R12" i="22" s="1"/>
  <c r="AE16" i="6"/>
  <c r="AA14" i="22" s="1"/>
  <c r="T14" i="22" s="1"/>
  <c r="AE12" i="6"/>
  <c r="AA10" i="22" s="1"/>
  <c r="T10" i="22" s="1"/>
  <c r="AE12" i="14"/>
  <c r="Z10" i="22" s="1"/>
  <c r="S10" i="22" s="1"/>
  <c r="AE12" i="18"/>
  <c r="AB10" i="22" s="1"/>
  <c r="U10" i="22" s="1"/>
  <c r="AE12" i="5"/>
  <c r="Y10" i="22" s="1"/>
  <c r="R10" i="22" s="1"/>
  <c r="AE16" i="5"/>
  <c r="Y14" i="22" s="1"/>
  <c r="R14" i="22" s="1"/>
  <c r="AE26" i="18"/>
  <c r="AB24" i="22" s="1"/>
  <c r="U24" i="22" s="1"/>
  <c r="AE28" i="10"/>
  <c r="AC26" i="22" s="1"/>
  <c r="V26" i="22" s="1"/>
  <c r="AE13" i="10"/>
  <c r="AC11" i="22" s="1"/>
  <c r="V11" i="22" s="1"/>
  <c r="AE28" i="14"/>
  <c r="Z26" i="22" s="1"/>
  <c r="S26" i="22" s="1"/>
  <c r="AE13" i="14"/>
  <c r="Z11" i="22" s="1"/>
  <c r="S11" i="22" s="1"/>
  <c r="AE28" i="18"/>
  <c r="AB26" i="22" s="1"/>
  <c r="U26" i="22" s="1"/>
  <c r="AE13" i="18"/>
  <c r="AB11" i="22" s="1"/>
  <c r="U11" i="22" s="1"/>
  <c r="AE28" i="27"/>
  <c r="AD26" i="22" s="1"/>
  <c r="W26" i="22" s="1"/>
  <c r="AE13" i="27"/>
  <c r="AD11" i="22" s="1"/>
  <c r="W11" i="22" s="1"/>
  <c r="AE28" i="23"/>
  <c r="AE26" i="22" s="1"/>
  <c r="X26" i="22" s="1"/>
  <c r="Q26" i="22" s="1"/>
  <c r="F26" i="22" s="1"/>
  <c r="U55" i="35" s="1"/>
  <c r="W55" i="35" s="1"/>
  <c r="AE13" i="23"/>
  <c r="AE11" i="22" s="1"/>
  <c r="X11" i="22" s="1"/>
  <c r="U37" i="35"/>
  <c r="W37" i="35" s="1"/>
  <c r="AE16" i="18"/>
  <c r="AB14" i="22" s="1"/>
  <c r="U14" i="22" s="1"/>
  <c r="AE11" i="14"/>
  <c r="Z9" i="22" s="1"/>
  <c r="S9" i="22" s="1"/>
  <c r="AE9" i="14"/>
  <c r="Z7" i="22" s="1"/>
  <c r="S7" i="22" s="1"/>
  <c r="AE11" i="5"/>
  <c r="Y9" i="22" s="1"/>
  <c r="R9" i="22" s="1"/>
  <c r="AE9" i="5"/>
  <c r="Y7" i="22" s="1"/>
  <c r="R7" i="22" s="1"/>
  <c r="AE11" i="27"/>
  <c r="AD9" i="22" s="1"/>
  <c r="W9" i="22" s="1"/>
  <c r="AE9" i="27"/>
  <c r="AD7" i="22" s="1"/>
  <c r="W7" i="22" s="1"/>
  <c r="AE8" i="6"/>
  <c r="AA6" i="22" s="1"/>
  <c r="T6" i="22" s="1"/>
  <c r="AE9" i="6"/>
  <c r="AA7" i="22" s="1"/>
  <c r="T7" i="22" s="1"/>
  <c r="AE8" i="18"/>
  <c r="AB6" i="22" s="1"/>
  <c r="U6" i="22" s="1"/>
  <c r="AE9" i="18"/>
  <c r="AB7" i="22" s="1"/>
  <c r="U7" i="22" s="1"/>
  <c r="AE8" i="10"/>
  <c r="AC6" i="22" s="1"/>
  <c r="V6" i="22" s="1"/>
  <c r="AE9" i="10"/>
  <c r="AC7" i="22" s="1"/>
  <c r="V7" i="22" s="1"/>
  <c r="AE8" i="23"/>
  <c r="AE6" i="22" s="1"/>
  <c r="X6" i="22" s="1"/>
  <c r="AE9" i="23"/>
  <c r="AE7" i="22" s="1"/>
  <c r="X7" i="22" s="1"/>
  <c r="Q25" i="22"/>
  <c r="F25" i="22" s="1"/>
  <c r="U54" i="35" s="1"/>
  <c r="W54" i="35" s="1"/>
  <c r="AE26" i="6"/>
  <c r="AA24" i="22" s="1"/>
  <c r="T24" i="22" s="1"/>
  <c r="AE27" i="6"/>
  <c r="AA25" i="22" s="1"/>
  <c r="T25" i="22" s="1"/>
  <c r="M8" i="22"/>
  <c r="N8" i="22" s="1"/>
  <c r="G8" i="22"/>
  <c r="AE8" i="14"/>
  <c r="Z6" i="22" s="1"/>
  <c r="S6" i="22" s="1"/>
  <c r="Y6" i="22"/>
  <c r="R6" i="22" s="1"/>
  <c r="AE11" i="18"/>
  <c r="AB9" i="22" s="1"/>
  <c r="U9" i="22" s="1"/>
  <c r="AE11" i="10"/>
  <c r="AC9" i="22" s="1"/>
  <c r="V9" i="22" s="1"/>
  <c r="Q9" i="22" s="1"/>
  <c r="F9" i="22" s="1"/>
  <c r="AE22" i="18"/>
  <c r="AB20" i="22" s="1"/>
  <c r="U20" i="22" s="1"/>
  <c r="AE24" i="18"/>
  <c r="AB22" i="22" s="1"/>
  <c r="U22" i="22" s="1"/>
  <c r="AE22" i="5"/>
  <c r="Y20" i="22" s="1"/>
  <c r="R20" i="22" s="1"/>
  <c r="AE24" i="5"/>
  <c r="Y22" i="22" s="1"/>
  <c r="R22" i="22" s="1"/>
  <c r="Q22" i="22" s="1"/>
  <c r="F22" i="22" s="1"/>
  <c r="U51" i="35" s="1"/>
  <c r="W51" i="35" s="1"/>
  <c r="AE25" i="27"/>
  <c r="AD23" i="22" s="1"/>
  <c r="W23" i="22" s="1"/>
  <c r="AE22" i="27"/>
  <c r="AD20" i="22" s="1"/>
  <c r="W20" i="22" s="1"/>
  <c r="AE25" i="23"/>
  <c r="AE23" i="22" s="1"/>
  <c r="X23" i="22" s="1"/>
  <c r="AE22" i="23"/>
  <c r="AE20" i="22" s="1"/>
  <c r="X20" i="22" s="1"/>
  <c r="AE25" i="10"/>
  <c r="AC23" i="22" s="1"/>
  <c r="V23" i="22" s="1"/>
  <c r="AE22" i="10"/>
  <c r="AC20" i="22" s="1"/>
  <c r="V20" i="22" s="1"/>
  <c r="AE25" i="14"/>
  <c r="Z23" i="22" s="1"/>
  <c r="S23" i="22" s="1"/>
  <c r="AE22" i="14"/>
  <c r="Z20" i="22" s="1"/>
  <c r="S20" i="22" s="1"/>
  <c r="AE25" i="6"/>
  <c r="AA23" i="22" s="1"/>
  <c r="T23" i="22" s="1"/>
  <c r="AE22" i="6"/>
  <c r="AA20" i="22" s="1"/>
  <c r="T20" i="22" s="1"/>
  <c r="AE16" i="14"/>
  <c r="Z14" i="22" s="1"/>
  <c r="S14" i="22" s="1"/>
  <c r="Q14" i="22" s="1"/>
  <c r="F14" i="22" s="1"/>
  <c r="AE26" i="14"/>
  <c r="Z24" i="22" s="1"/>
  <c r="S24" i="22" s="1"/>
  <c r="Q24" i="22" s="1"/>
  <c r="F24" i="22" s="1"/>
  <c r="U53" i="35" s="1"/>
  <c r="W53" i="35" s="1"/>
  <c r="Q19" i="22"/>
  <c r="F19" i="22" s="1"/>
  <c r="M13" i="22" l="1"/>
  <c r="N13" i="22" s="1"/>
  <c r="U42" i="35"/>
  <c r="W42" i="35" s="1"/>
  <c r="Q12" i="22"/>
  <c r="F12" i="22" s="1"/>
  <c r="U41" i="35" s="1"/>
  <c r="W41" i="35" s="1"/>
  <c r="G13" i="22"/>
  <c r="V42" i="35" s="1"/>
  <c r="Q10" i="22"/>
  <c r="F10" i="22" s="1"/>
  <c r="G10" i="22" s="1"/>
  <c r="V39" i="35" s="1"/>
  <c r="Q11" i="22"/>
  <c r="F11" i="22" s="1"/>
  <c r="M11" i="22" s="1"/>
  <c r="N11" i="22" s="1"/>
  <c r="U38" i="35"/>
  <c r="W38" i="35" s="1"/>
  <c r="U43" i="35"/>
  <c r="W43" i="35" s="1"/>
  <c r="V37" i="35"/>
  <c r="U48" i="35"/>
  <c r="W48" i="35" s="1"/>
  <c r="Q6" i="22"/>
  <c r="F6" i="22" s="1"/>
  <c r="M25" i="22"/>
  <c r="N25" i="22" s="1"/>
  <c r="Q7" i="22"/>
  <c r="F7" i="22" s="1"/>
  <c r="G25" i="22"/>
  <c r="V54" i="35" s="1"/>
  <c r="M26" i="22"/>
  <c r="N26" i="22" s="1"/>
  <c r="G26" i="22"/>
  <c r="V55" i="35" s="1"/>
  <c r="M24" i="22"/>
  <c r="N24" i="22" s="1"/>
  <c r="G24" i="22"/>
  <c r="V53" i="35" s="1"/>
  <c r="M22" i="22"/>
  <c r="N22" i="22" s="1"/>
  <c r="G22" i="22"/>
  <c r="V51" i="35" s="1"/>
  <c r="M19" i="22"/>
  <c r="N19" i="22" s="1"/>
  <c r="G19" i="22"/>
  <c r="M14" i="22"/>
  <c r="N14" i="22" s="1"/>
  <c r="G14" i="22"/>
  <c r="M9" i="22"/>
  <c r="N9" i="22" s="1"/>
  <c r="G9" i="22"/>
  <c r="Q23" i="22"/>
  <c r="F23" i="22" s="1"/>
  <c r="U52" i="35" s="1"/>
  <c r="W52" i="35" s="1"/>
  <c r="Q20" i="22"/>
  <c r="F20" i="22" s="1"/>
  <c r="G12" i="22" l="1"/>
  <c r="V41" i="35" s="1"/>
  <c r="M12" i="22"/>
  <c r="N12" i="22" s="1"/>
  <c r="U39" i="35"/>
  <c r="W39" i="35" s="1"/>
  <c r="M10" i="22"/>
  <c r="N10" i="22" s="1"/>
  <c r="G11" i="22"/>
  <c r="V40" i="35" s="1"/>
  <c r="U40" i="35"/>
  <c r="W40" i="35" s="1"/>
  <c r="V48" i="35"/>
  <c r="U36" i="35"/>
  <c r="W36" i="35" s="1"/>
  <c r="U49" i="35"/>
  <c r="W49" i="35" s="1"/>
  <c r="V38" i="35"/>
  <c r="V43" i="35"/>
  <c r="U35" i="35"/>
  <c r="W35" i="35" s="1"/>
  <c r="G6" i="22"/>
  <c r="M6" i="22"/>
  <c r="N6" i="22" s="1"/>
  <c r="G7" i="22"/>
  <c r="M7" i="22"/>
  <c r="N7" i="22" s="1"/>
  <c r="M23" i="22"/>
  <c r="N23" i="22" s="1"/>
  <c r="G23" i="22"/>
  <c r="V52" i="35" s="1"/>
  <c r="M20" i="22"/>
  <c r="N20" i="22" s="1"/>
  <c r="G20" i="22"/>
  <c r="V36" i="35" l="1"/>
  <c r="V49" i="35"/>
  <c r="V35" i="35"/>
  <c r="C2" i="22"/>
  <c r="C3" i="22" s="1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</calcChain>
</file>

<file path=xl/comments1.xml><?xml version="1.0" encoding="utf-8"?>
<comments xmlns="http://schemas.openxmlformats.org/spreadsheetml/2006/main">
  <authors>
    <author>INOUE, Mie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INOUE, Mie:</t>
        </r>
        <r>
          <rPr>
            <sz val="9"/>
            <color indexed="81"/>
            <rFont val="Tahoma"/>
            <family val="2"/>
          </rPr>
          <t xml:space="preserve">
take latest level</t>
        </r>
      </text>
    </comment>
  </commentList>
</comments>
</file>

<file path=xl/comments2.xml><?xml version="1.0" encoding="utf-8"?>
<comments xmlns="http://schemas.openxmlformats.org/spreadsheetml/2006/main">
  <authors>
    <author>INOUE, Mie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INOUE, Mie:</t>
        </r>
        <r>
          <rPr>
            <sz val="9"/>
            <color indexed="81"/>
            <rFont val="Tahoma"/>
            <family val="2"/>
          </rPr>
          <t xml:space="preserve">
they are all surveys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INOUE, Mie:</t>
        </r>
        <r>
          <rPr>
            <sz val="9"/>
            <color indexed="81"/>
            <rFont val="Tahoma"/>
            <family val="2"/>
          </rPr>
          <t xml:space="preserve">
they are all direct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INOUE, Mie:</t>
        </r>
        <r>
          <rPr>
            <sz val="9"/>
            <color indexed="81"/>
            <rFont val="Tahoma"/>
            <family val="2"/>
          </rPr>
          <t xml:space="preserve">
they are all non excluded, ie =0</t>
        </r>
      </text>
    </comment>
  </commentList>
</comments>
</file>

<file path=xl/comments3.xml><?xml version="1.0" encoding="utf-8"?>
<comments xmlns="http://schemas.openxmlformats.org/spreadsheetml/2006/main">
  <authors>
    <author>khill</author>
  </authors>
  <commentList>
    <comment ref="D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J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P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V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  <comment ref="Y45" authorId="0" shapeId="0">
      <text>
        <r>
          <rPr>
            <b/>
            <sz val="8"/>
            <color indexed="81"/>
            <rFont val="Tahoma"/>
            <family val="2"/>
          </rPr>
          <t>khill:</t>
        </r>
        <r>
          <rPr>
            <sz val="8"/>
            <color indexed="81"/>
            <rFont val="Tahoma"/>
            <family val="2"/>
          </rPr>
          <t xml:space="preserve">
l(5)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 xml:space="preserve"> :</t>
        </r>
        <r>
          <rPr>
            <sz val="9"/>
            <color indexed="81"/>
            <rFont val="宋体"/>
            <charset val="134"/>
          </rPr>
          <t xml:space="preserve">
Total birth *(1-prevalence of HIV)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 xml:space="preserve"> :</t>
        </r>
        <r>
          <rPr>
            <sz val="9"/>
            <color indexed="81"/>
            <rFont val="宋体"/>
            <charset val="134"/>
          </rPr>
          <t xml:space="preserve">
Total birth *(1-prevalence of HIV)</t>
        </r>
      </text>
    </comment>
  </commentList>
</comments>
</file>

<file path=xl/comments6.xml><?xml version="1.0" encoding="utf-8"?>
<comments xmlns="http://schemas.openxmlformats.org/spreadsheetml/2006/main">
  <authors>
    <author xml:space="preserve"> 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 xml:space="preserve"> :</t>
        </r>
        <r>
          <rPr>
            <sz val="9"/>
            <color indexed="81"/>
            <rFont val="宋体"/>
            <charset val="134"/>
          </rPr>
          <t xml:space="preserve">
Total birth *(1-prevalence of HIV)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 xml:space="preserve"> :</t>
        </r>
        <r>
          <rPr>
            <sz val="9"/>
            <color indexed="81"/>
            <rFont val="宋体"/>
            <charset val="134"/>
          </rPr>
          <t xml:space="preserve">
Total birth *(1-prevalence of HIV)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 xml:space="preserve"> :</t>
        </r>
        <r>
          <rPr>
            <sz val="9"/>
            <color indexed="81"/>
            <rFont val="宋体"/>
            <charset val="134"/>
          </rPr>
          <t xml:space="preserve">
Total birth *(1-prevalence of HIV)</t>
        </r>
      </text>
    </comment>
  </commentList>
</comments>
</file>

<file path=xl/sharedStrings.xml><?xml version="1.0" encoding="utf-8"?>
<sst xmlns="http://schemas.openxmlformats.org/spreadsheetml/2006/main" count="2912" uniqueCount="274">
  <si>
    <t>Year</t>
  </si>
  <si>
    <t>Births (Spectrum)</t>
  </si>
  <si>
    <t>U5MR = 150</t>
  </si>
  <si>
    <t>U5MR = 100</t>
  </si>
  <si>
    <t>1Lx</t>
  </si>
  <si>
    <t>Non-HIV 1Lx values</t>
  </si>
  <si>
    <t>Factor</t>
  </si>
  <si>
    <t>Years since infection or birth</t>
  </si>
  <si>
    <t>Cumulative Mortality due to AIDS of women with HIV</t>
  </si>
  <si>
    <t>Births</t>
  </si>
  <si>
    <t>&lt;5 deaths by cohort</t>
  </si>
  <si>
    <t>Total &lt;5</t>
  </si>
  <si>
    <t>Deaths</t>
  </si>
  <si>
    <t>HIV Negative</t>
  </si>
  <si>
    <t>&lt;5 Deaths</t>
  </si>
  <si>
    <t>Dead</t>
  </si>
  <si>
    <t>HIV +ve Mother, -ve Child</t>
  </si>
  <si>
    <t>HIV +ve Mother, +e Child</t>
  </si>
  <si>
    <t>Prob of dying from year 4 of infection</t>
  </si>
  <si>
    <t>Reported</t>
  </si>
  <si>
    <t>Unreported</t>
  </si>
  <si>
    <t>&lt; 5 Deaths</t>
  </si>
  <si>
    <t>Prob Mom</t>
  </si>
  <si>
    <t>Cumulative Child Mortality due to AIDS with HIV</t>
  </si>
  <si>
    <t>Base data from Spectrum</t>
  </si>
  <si>
    <t>Mortality for HIV- Children_Model life table</t>
  </si>
  <si>
    <t>Age</t>
  </si>
  <si>
    <t>Mortality due to AIDS _female_children</t>
  </si>
  <si>
    <t>Birth=total birth* (1-prevalence of HIV among pregnant women)</t>
  </si>
  <si>
    <t># of survival children by age= births* survival ratio from the model life table</t>
  </si>
  <si>
    <t>Survivals for births born to HIV- women</t>
  </si>
  <si>
    <t>Survivals for HIV+ births (born to HIV+ women)</t>
  </si>
  <si>
    <t>Survivals for HIV- births (born to HIV+ women)</t>
  </si>
  <si>
    <t>Bias (Reported U5MR/True U5MR)</t>
  </si>
  <si>
    <t>Prob  Mom Dead</t>
  </si>
  <si>
    <r>
      <t xml:space="preserve">HIV- children born to HIV+ women = </t>
    </r>
    <r>
      <rPr>
        <b/>
        <sz val="12"/>
        <color indexed="12"/>
        <rFont val="Times New Roman"/>
        <family val="1"/>
      </rPr>
      <t>total births*prevalence *(1-vertical transmission rate)</t>
    </r>
  </si>
  <si>
    <r>
      <t xml:space="preserve">HIV+ children born to HIV+ women = </t>
    </r>
    <r>
      <rPr>
        <b/>
        <sz val="12"/>
        <color indexed="12"/>
        <rFont val="Times New Roman"/>
        <family val="1"/>
      </rPr>
      <t>total births*prevalence*vertical transmission rate</t>
    </r>
    <r>
      <rPr>
        <sz val="12"/>
        <rFont val="Times New Roman"/>
        <family val="1"/>
      </rPr>
      <t xml:space="preserve">   </t>
    </r>
  </si>
  <si>
    <t>Note:</t>
  </si>
  <si>
    <t>Women</t>
  </si>
  <si>
    <t>Children</t>
  </si>
  <si>
    <t>Year before survey</t>
  </si>
  <si>
    <t>before survey</t>
  </si>
  <si>
    <t>Model life table level U5MR=100</t>
  </si>
  <si>
    <t>Period</t>
  </si>
  <si>
    <t>Correction factor</t>
  </si>
  <si>
    <t># of HIV + women 15-49</t>
  </si>
  <si>
    <t>New Infections Children under age 1</t>
  </si>
  <si>
    <t># of Women 15-49</t>
  </si>
  <si>
    <t>Births to HIV- Women</t>
  </si>
  <si>
    <t>Births to HIV+ Women</t>
  </si>
  <si>
    <t>Date</t>
  </si>
  <si>
    <t>5yr period estimates</t>
  </si>
  <si>
    <t>4yr period estimates</t>
  </si>
  <si>
    <t>3yr period estimates</t>
  </si>
  <si>
    <t>2yr period estimates</t>
  </si>
  <si>
    <t>1yr period estimates</t>
  </si>
  <si>
    <t>period of the estimtates before the survey</t>
  </si>
  <si>
    <t>U5MR uncorrected</t>
  </si>
  <si>
    <t>period interval of the estimate</t>
  </si>
  <si>
    <t>cumul yrs from start yr</t>
  </si>
  <si>
    <t>input u5mr</t>
  </si>
  <si>
    <t>U5MR = 50</t>
  </si>
  <si>
    <t xml:space="preserve">Verticle </t>
  </si>
  <si>
    <t>U5MR = 75</t>
  </si>
  <si>
    <t>U5MR = 125</t>
  </si>
  <si>
    <t>U5MR = 200</t>
  </si>
  <si>
    <t>U5MR = 250</t>
  </si>
  <si>
    <t>Trans</t>
  </si>
  <si>
    <t>New survival function</t>
  </si>
  <si>
    <t>Old surival function</t>
  </si>
  <si>
    <t xml:space="preserve">Modified: </t>
  </si>
  <si>
    <t>isocode</t>
  </si>
  <si>
    <t>uncode</t>
  </si>
  <si>
    <t>whocode</t>
  </si>
  <si>
    <t>country</t>
  </si>
  <si>
    <t>year</t>
  </si>
  <si>
    <t>birth</t>
  </si>
  <si>
    <t>popf1549</t>
  </si>
  <si>
    <t>HIVprevf1549</t>
  </si>
  <si>
    <t>HIVinc0yr</t>
  </si>
  <si>
    <t>BWA</t>
  </si>
  <si>
    <t>Botswana</t>
  </si>
  <si>
    <t>CMR</t>
  </si>
  <si>
    <t>Cameroon</t>
  </si>
  <si>
    <t>CAF</t>
  </si>
  <si>
    <t>Central African Republic</t>
  </si>
  <si>
    <t>CIV</t>
  </si>
  <si>
    <t>GAB</t>
  </si>
  <si>
    <t>Gabon</t>
  </si>
  <si>
    <t>KEN</t>
  </si>
  <si>
    <t>Kenya</t>
  </si>
  <si>
    <t>LSO</t>
  </si>
  <si>
    <t>Lesotho</t>
  </si>
  <si>
    <t>MWI</t>
  </si>
  <si>
    <t>Malawi</t>
  </si>
  <si>
    <t>MOZ</t>
  </si>
  <si>
    <t>Mozambique</t>
  </si>
  <si>
    <t>NAM</t>
  </si>
  <si>
    <t>Namibia</t>
  </si>
  <si>
    <t>RWA</t>
  </si>
  <si>
    <t>Rwanda</t>
  </si>
  <si>
    <t>ZAF</t>
  </si>
  <si>
    <t>South Africa</t>
  </si>
  <si>
    <t>SWZ</t>
  </si>
  <si>
    <t>Swaziland</t>
  </si>
  <si>
    <t>UGA</t>
  </si>
  <si>
    <t>Uganda</t>
  </si>
  <si>
    <t>TZA</t>
  </si>
  <si>
    <t>ZMB</t>
  </si>
  <si>
    <t>Zambia</t>
  </si>
  <si>
    <t>ZWE</t>
  </si>
  <si>
    <t>Zimbabwe</t>
  </si>
  <si>
    <t>uncode&amp;yr</t>
  </si>
  <si>
    <t>Tanzania</t>
  </si>
  <si>
    <t>Series Information</t>
  </si>
  <si>
    <t>Series Name</t>
  </si>
  <si>
    <t>Series Type</t>
  </si>
  <si>
    <t>Adjustment</t>
  </si>
  <si>
    <t>Series Quantity</t>
  </si>
  <si>
    <t>Unit</t>
  </si>
  <si>
    <t>Series Meta Info URL</t>
  </si>
  <si>
    <t>Under-five mortality rate</t>
  </si>
  <si>
    <t>Total</t>
  </si>
  <si>
    <t>q5raw</t>
  </si>
  <si>
    <t>q5corr50</t>
  </si>
  <si>
    <t>q5corr75</t>
  </si>
  <si>
    <t>q5corr100</t>
  </si>
  <si>
    <t>q5corr125</t>
  </si>
  <si>
    <t>q5corr150</t>
  </si>
  <si>
    <t>q5corr200</t>
  </si>
  <si>
    <t>q5corr250</t>
  </si>
  <si>
    <t>corrfactor50</t>
  </si>
  <si>
    <t>corrfactor75</t>
  </si>
  <si>
    <t>corrfactor100</t>
  </si>
  <si>
    <t>corrfactor125</t>
  </si>
  <si>
    <t>corrfactor150</t>
  </si>
  <si>
    <t>corrfactor200</t>
  </si>
  <si>
    <t>corrfactor250</t>
  </si>
  <si>
    <t>uncode:</t>
  </si>
  <si>
    <t>source</t>
  </si>
  <si>
    <t>sheet</t>
  </si>
  <si>
    <t>done</t>
  </si>
  <si>
    <t>base values</t>
  </si>
  <si>
    <t>ouput Corrected U5MR</t>
  </si>
  <si>
    <t>Summary U5MR XX</t>
  </si>
  <si>
    <t>originally input for 23 rows, now 30 rows</t>
  </si>
  <si>
    <t>adopted from sheet "Corrected U5MR" to recuperate outputs</t>
  </si>
  <si>
    <t>from column O onwards, adapted for computation</t>
  </si>
  <si>
    <t>sterror</t>
  </si>
  <si>
    <t>Cote d Ivoire</t>
  </si>
  <si>
    <t>Select country</t>
  </si>
  <si>
    <t>Enter Series name. Example, Multiple Indicator Cluster Survey or Census</t>
  </si>
  <si>
    <t>Select Time Period of the series</t>
  </si>
  <si>
    <t>Select Series Quantity</t>
  </si>
  <si>
    <t>(Enter Metadata URL Here)</t>
  </si>
  <si>
    <t>(New age groups can be added below)</t>
  </si>
  <si>
    <t>Adjusting for missing morther uncorrected U5MR trend of 5-year periods before the survey</t>
  </si>
  <si>
    <t>q5mmadj</t>
  </si>
  <si>
    <t>diffqadj-qraw</t>
  </si>
  <si>
    <t>%diff</t>
  </si>
  <si>
    <t>lastroundlevel</t>
  </si>
  <si>
    <t>survey</t>
  </si>
  <si>
    <t>year of survey</t>
  </si>
  <si>
    <t>Demographic and Health Survey</t>
  </si>
  <si>
    <t>Series Year</t>
  </si>
  <si>
    <t>Per 1000 Births</t>
  </si>
  <si>
    <t>Standard Error Total</t>
  </si>
  <si>
    <t>1998-1999</t>
  </si>
  <si>
    <t>2008-2009</t>
  </si>
  <si>
    <t>2009-2010</t>
  </si>
  <si>
    <t>2006-2007</t>
  </si>
  <si>
    <t>2007-2008</t>
  </si>
  <si>
    <t>Family Health Survey</t>
  </si>
  <si>
    <t>survey year</t>
  </si>
  <si>
    <t>Survey</t>
  </si>
  <si>
    <t>d</t>
  </si>
  <si>
    <t>q5corrlevelselected</t>
  </si>
  <si>
    <t>excluded</t>
  </si>
  <si>
    <t>1994-1995</t>
  </si>
  <si>
    <t>1996-1997</t>
  </si>
  <si>
    <t>2003-2004</t>
  </si>
  <si>
    <t>AIDS Indicator Survey</t>
  </si>
  <si>
    <t>2000-2001</t>
  </si>
  <si>
    <t>1988-1989</t>
  </si>
  <si>
    <t>2004-2005</t>
  </si>
  <si>
    <t>Multiple Indicator Cluster Survey</t>
  </si>
  <si>
    <t>Demographic and Health Survey (Preliminary)</t>
  </si>
  <si>
    <t>2010-2011</t>
  </si>
  <si>
    <t>Malaria Indicator Survey</t>
  </si>
  <si>
    <t>1991-1992</t>
  </si>
  <si>
    <t>HIV AIDS and Malaria Indicator Survey</t>
  </si>
  <si>
    <t>2005-2006</t>
  </si>
  <si>
    <t>2001-2002</t>
  </si>
  <si>
    <t>Interim Demographic and Health Survey</t>
  </si>
  <si>
    <t>Multiple Indicator Monitoring Survey 2009</t>
  </si>
  <si>
    <t>COUNTRY-SURVEYS INCLUDED</t>
  </si>
  <si>
    <t>2011-2012</t>
  </si>
  <si>
    <t>Cote dIvoire</t>
  </si>
  <si>
    <t>Based on Botswana 2007 template from Ken Hill</t>
  </si>
  <si>
    <t>For each round</t>
  </si>
  <si>
    <t xml:space="preserve"> =&gt; Then it is all linked, the Base values are selected automatically</t>
  </si>
  <si>
    <t>update "input upderlying" from UNAIDS Spectrum</t>
  </si>
  <si>
    <t xml:space="preserve"> - birth</t>
  </si>
  <si>
    <t xml:space="preserve"> - population female 15-49</t>
  </si>
  <si>
    <t xml:space="preserve"> - HIV prevalence female 15-49</t>
  </si>
  <si>
    <t xml:space="preserve"> - HIV incidence 0 year</t>
  </si>
  <si>
    <t>if estimates from full birth history direct, check if output from CMEJack, various periods option is avilable</t>
  </si>
  <si>
    <t>sourcetype</t>
  </si>
  <si>
    <t>method</t>
  </si>
  <si>
    <t xml:space="preserve"> =&gt; copy and paste yellow columns at the bottom of the same sheet for log</t>
  </si>
  <si>
    <t>formula</t>
  </si>
  <si>
    <t xml:space="preserve"> 1. FOR LOG: COPY ABOVE AND PASTE BELOW</t>
  </si>
  <si>
    <r>
      <t xml:space="preserve"> 2. FOR R CODE: COPY AND PASTE </t>
    </r>
    <r>
      <rPr>
        <b/>
        <sz val="10"/>
        <color rgb="FF0070C0"/>
        <rFont val="Arial"/>
        <family val="2"/>
      </rPr>
      <t>BLUE PART</t>
    </r>
    <r>
      <rPr>
        <b/>
        <sz val="10"/>
        <rFont val="Arial"/>
        <family val="2"/>
      </rPr>
      <t xml:space="preserve"> IN "HIV countries data for 2012.xlsx"</t>
    </r>
  </si>
  <si>
    <t>update Name "dbind" in the sheet "input underlying"</t>
  </si>
  <si>
    <t xml:space="preserve"> -&gt; Formulas -&gt; Name Manager -&gt; select "dbind" -&gt;edit , then select the proper area</t>
  </si>
  <si>
    <t>For each country-survey:</t>
  </si>
  <si>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"input data" in yellow and blue part</t>
    </r>
  </si>
  <si>
    <r>
      <rPr>
        <b/>
        <sz val="10"/>
        <rFont val="Arial"/>
        <family val="2"/>
      </rPr>
      <t>ouput</t>
    </r>
    <r>
      <rPr>
        <sz val="10"/>
        <rFont val="Arial"/>
        <family val="2"/>
      </rPr>
      <t>: in "output Corrected U5MR" top yellow part</t>
    </r>
  </si>
  <si>
    <t xml:space="preserve"> =&gt; copy and paste blue columns to D:\_AAA\0 child\0 round 2011 estimates\HIV countries\1 Input\HIV countries data for 2012 20120815.xlsx to be used in HIV child mortality R code</t>
  </si>
  <si>
    <t>Country.Name</t>
  </si>
  <si>
    <t>Country.Code</t>
  </si>
  <si>
    <t>Country.ISO</t>
  </si>
  <si>
    <t>Series.Name</t>
  </si>
  <si>
    <t>Series.Year</t>
  </si>
  <si>
    <t>Start.date.of.Survey</t>
  </si>
  <si>
    <t>End.date.of.Survey</t>
  </si>
  <si>
    <t>Average.date.of.Survey</t>
  </si>
  <si>
    <t>Indicator</t>
  </si>
  <si>
    <t>Sex</t>
  </si>
  <si>
    <t>Series.Type</t>
  </si>
  <si>
    <t>Series.Category</t>
  </si>
  <si>
    <t>Data.Collection.Method</t>
  </si>
  <si>
    <t>Model.Life.Table</t>
  </si>
  <si>
    <t>Age.Group.of.Women</t>
  </si>
  <si>
    <t>Series.Quantity</t>
  </si>
  <si>
    <t>Year.From</t>
  </si>
  <si>
    <t>Year.To</t>
  </si>
  <si>
    <t>Interval</t>
  </si>
  <si>
    <t>Reference.Date</t>
  </si>
  <si>
    <t>Estimates</t>
  </si>
  <si>
    <t>Standard.Error.of.Estimates</t>
  </si>
  <si>
    <t>Data.Source</t>
  </si>
  <si>
    <t>Inclusion</t>
  </si>
  <si>
    <t>Exclusion.External.Info</t>
  </si>
  <si>
    <t>Exclusion.Outlier</t>
  </si>
  <si>
    <t>Exclusion.Old.Data</t>
  </si>
  <si>
    <t>Exclusion.Total.U5MR</t>
  </si>
  <si>
    <t>Notes</t>
  </si>
  <si>
    <t>Visible</t>
  </si>
  <si>
    <t>Set.As.Minimum</t>
  </si>
  <si>
    <t>Minimum.Level.of.Completeness</t>
  </si>
  <si>
    <t>Fix.Series.Level.Bias</t>
  </si>
  <si>
    <t>Date.Of.Data.Added</t>
  </si>
  <si>
    <t>Contributor</t>
  </si>
  <si>
    <t>Adjusted</t>
  </si>
  <si>
    <t>Last round level</t>
  </si>
  <si>
    <t>UNICEF HQ</t>
  </si>
  <si>
    <t>Under-five Mortality Rate</t>
  </si>
  <si>
    <t>Full Birth Histories</t>
  </si>
  <si>
    <t>ctnoun</t>
  </si>
  <si>
    <t>DHS</t>
  </si>
  <si>
    <t>UNAIDS 2016 0620</t>
  </si>
  <si>
    <t>Replace old MM adjustment</t>
  </si>
  <si>
    <t>2016-10</t>
  </si>
  <si>
    <t>Indirect.method.based.on.TSFB</t>
  </si>
  <si>
    <t>Method.based.on.Age.Group.of.Women</t>
  </si>
  <si>
    <t>Temp.Mmadjustment</t>
  </si>
  <si>
    <t>To.be.adjusted</t>
  </si>
  <si>
    <t>Maximum.Level.of.Completeness</t>
  </si>
  <si>
    <t>Has.Bias</t>
  </si>
  <si>
    <t>Direct (Various periods)</t>
  </si>
  <si>
    <t>Computed from microdata</t>
  </si>
  <si>
    <t>Updated September 2016</t>
  </si>
  <si>
    <t>2016-09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</si>
</sst>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0.0"/>
    <numFmt numFmtId="168" formatCode="0.000000000"/>
    <numFmt numFmtId="169" formatCode="000"/>
  </numFmts>
  <fonts count="38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47"/>
      <name val="Arial"/>
      <family val="2"/>
    </font>
    <font>
      <sz val="10"/>
      <color indexed="47"/>
      <name val="Arial"/>
      <family val="2"/>
    </font>
    <font>
      <b/>
      <sz val="10"/>
      <color indexed="47"/>
      <name val="Arial"/>
      <family val="2"/>
    </font>
    <font>
      <sz val="10"/>
      <color indexed="47"/>
      <name val="Arial"/>
      <family val="2"/>
    </font>
    <font>
      <i/>
      <sz val="9"/>
      <color indexed="23"/>
      <name val="Arial"/>
      <family val="2"/>
    </font>
    <font>
      <b/>
      <sz val="12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70C0"/>
      <name val="Arial"/>
      <family val="2"/>
    </font>
    <font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9"/>
      </patternFill>
    </fill>
    <fill>
      <patternFill patternType="solid">
        <fgColor rgb="FF00B0F0"/>
        <bgColor rgb="FF33CCC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3">
    <xf numFmtId="0" fontId="0" fillId="0" borderId="0" xfId="0"/>
    <xf numFmtId="0" fontId="3" fillId="0" borderId="0" xfId="0" applyFont="1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0" fontId="8" fillId="0" borderId="0" xfId="0" applyFont="1"/>
    <xf numFmtId="1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3" fontId="0" fillId="0" borderId="0" xfId="0" applyNumberFormat="1" applyBorder="1"/>
    <xf numFmtId="165" fontId="0" fillId="0" borderId="1" xfId="0" applyNumberFormat="1" applyBorder="1"/>
    <xf numFmtId="0" fontId="8" fillId="3" borderId="1" xfId="0" applyFont="1" applyFill="1" applyBorder="1"/>
    <xf numFmtId="165" fontId="0" fillId="3" borderId="1" xfId="0" applyNumberFormat="1" applyFill="1" applyBorder="1"/>
    <xf numFmtId="165" fontId="0" fillId="3" borderId="2" xfId="0" applyNumberFormat="1" applyFill="1" applyBorder="1"/>
    <xf numFmtId="0" fontId="8" fillId="2" borderId="1" xfId="0" applyFont="1" applyFill="1" applyBorder="1"/>
    <xf numFmtId="165" fontId="0" fillId="2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10" fillId="0" borderId="0" xfId="0" applyFont="1"/>
    <xf numFmtId="165" fontId="10" fillId="0" borderId="0" xfId="0" applyNumberFormat="1" applyFont="1"/>
    <xf numFmtId="0" fontId="8" fillId="5" borderId="1" xfId="0" applyFont="1" applyFill="1" applyBorder="1"/>
    <xf numFmtId="2" fontId="0" fillId="5" borderId="1" xfId="0" applyNumberFormat="1" applyFill="1" applyBorder="1"/>
    <xf numFmtId="165" fontId="0" fillId="3" borderId="3" xfId="0" applyNumberFormat="1" applyFill="1" applyBorder="1"/>
    <xf numFmtId="0" fontId="0" fillId="0" borderId="1" xfId="0" applyBorder="1" applyAlignment="1">
      <alignment horizontal="left"/>
    </xf>
    <xf numFmtId="0" fontId="8" fillId="6" borderId="1" xfId="0" applyFont="1" applyFill="1" applyBorder="1"/>
    <xf numFmtId="0" fontId="0" fillId="6" borderId="0" xfId="0" applyFill="1"/>
    <xf numFmtId="0" fontId="8" fillId="6" borderId="1" xfId="0" applyFont="1" applyFill="1" applyBorder="1" applyAlignment="1">
      <alignment horizontal="left"/>
    </xf>
    <xf numFmtId="0" fontId="11" fillId="0" borderId="0" xfId="0" applyFont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1" fontId="0" fillId="4" borderId="1" xfId="0" applyNumberFormat="1" applyFill="1" applyBorder="1"/>
    <xf numFmtId="0" fontId="9" fillId="3" borderId="1" xfId="0" applyFont="1" applyFill="1" applyBorder="1"/>
    <xf numFmtId="0" fontId="8" fillId="4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4" borderId="1" xfId="0" applyFont="1" applyFill="1" applyBorder="1"/>
    <xf numFmtId="166" fontId="8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/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8" fillId="6" borderId="5" xfId="0" applyFont="1" applyFill="1" applyBorder="1" applyAlignment="1">
      <alignment horizontal="left" wrapText="1"/>
    </xf>
    <xf numFmtId="0" fontId="15" fillId="0" borderId="0" xfId="0" applyFont="1"/>
    <xf numFmtId="0" fontId="0" fillId="0" borderId="0" xfId="0" applyAlignment="1">
      <alignment wrapText="1"/>
    </xf>
    <xf numFmtId="0" fontId="8" fillId="8" borderId="1" xfId="0" applyFont="1" applyFill="1" applyBorder="1" applyAlignment="1">
      <alignment wrapText="1"/>
    </xf>
    <xf numFmtId="1" fontId="0" fillId="0" borderId="2" xfId="0" applyNumberFormat="1" applyBorder="1"/>
    <xf numFmtId="0" fontId="8" fillId="3" borderId="2" xfId="0" applyFont="1" applyFill="1" applyBorder="1" applyAlignment="1">
      <alignment horizontal="right"/>
    </xf>
    <xf numFmtId="165" fontId="0" fillId="8" borderId="1" xfId="0" applyNumberFormat="1" applyFill="1" applyBorder="1"/>
    <xf numFmtId="165" fontId="0" fillId="9" borderId="1" xfId="0" applyNumberFormat="1" applyFill="1" applyBorder="1"/>
    <xf numFmtId="0" fontId="10" fillId="6" borderId="0" xfId="0" applyFont="1" applyFill="1"/>
    <xf numFmtId="165" fontId="10" fillId="6" borderId="0" xfId="0" applyNumberFormat="1" applyFont="1" applyFill="1"/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8" fillId="4" borderId="0" xfId="0" applyFont="1" applyFill="1"/>
    <xf numFmtId="2" fontId="8" fillId="0" borderId="1" xfId="0" applyNumberFormat="1" applyFont="1" applyBorder="1"/>
    <xf numFmtId="0" fontId="7" fillId="7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left"/>
    </xf>
    <xf numFmtId="49" fontId="0" fillId="0" borderId="0" xfId="0" applyNumberFormat="1"/>
    <xf numFmtId="165" fontId="0" fillId="10" borderId="1" xfId="0" applyNumberFormat="1" applyFill="1" applyBorder="1"/>
    <xf numFmtId="165" fontId="0" fillId="11" borderId="1" xfId="0" applyNumberFormat="1" applyFill="1" applyBorder="1"/>
    <xf numFmtId="165" fontId="8" fillId="6" borderId="0" xfId="0" applyNumberFormat="1" applyFont="1" applyFill="1"/>
    <xf numFmtId="0" fontId="8" fillId="9" borderId="1" xfId="0" applyFont="1" applyFill="1" applyBorder="1"/>
    <xf numFmtId="0" fontId="8" fillId="8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7" fillId="2" borderId="4" xfId="0" applyFont="1" applyFill="1" applyBorder="1" applyAlignment="1">
      <alignment horizontal="left" wrapText="1"/>
    </xf>
    <xf numFmtId="0" fontId="9" fillId="2" borderId="6" xfId="0" applyFont="1" applyFill="1" applyBorder="1"/>
    <xf numFmtId="0" fontId="9" fillId="3" borderId="6" xfId="0" applyFont="1" applyFill="1" applyBorder="1"/>
    <xf numFmtId="0" fontId="8" fillId="4" borderId="6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right"/>
    </xf>
    <xf numFmtId="0" fontId="0" fillId="0" borderId="5" xfId="0" applyBorder="1" applyAlignment="1">
      <alignment horizontal="left"/>
    </xf>
    <xf numFmtId="1" fontId="0" fillId="4" borderId="9" xfId="0" applyNumberFormat="1" applyFill="1" applyBorder="1"/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8" fillId="4" borderId="4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1" fontId="0" fillId="4" borderId="5" xfId="0" applyNumberFormat="1" applyFill="1" applyBorder="1"/>
    <xf numFmtId="37" fontId="0" fillId="0" borderId="1" xfId="0" applyNumberFormat="1" applyBorder="1"/>
    <xf numFmtId="0" fontId="18" fillId="12" borderId="0" xfId="0" applyFont="1" applyFill="1" applyAlignment="1"/>
    <xf numFmtId="0" fontId="19" fillId="12" borderId="0" xfId="0" applyFont="1" applyFill="1" applyAlignment="1">
      <alignment wrapText="1"/>
    </xf>
    <xf numFmtId="164" fontId="0" fillId="0" borderId="15" xfId="1" applyNumberFormat="1" applyFont="1" applyBorder="1"/>
    <xf numFmtId="0" fontId="0" fillId="0" borderId="15" xfId="0" applyBorder="1"/>
    <xf numFmtId="0" fontId="0" fillId="0" borderId="16" xfId="0" applyBorder="1"/>
    <xf numFmtId="0" fontId="8" fillId="6" borderId="17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168" fontId="0" fillId="0" borderId="1" xfId="0" applyNumberFormat="1" applyBorder="1"/>
    <xf numFmtId="0" fontId="8" fillId="4" borderId="9" xfId="0" applyFont="1" applyFill="1" applyBorder="1" applyAlignment="1">
      <alignment wrapText="1"/>
    </xf>
    <xf numFmtId="1" fontId="0" fillId="0" borderId="9" xfId="0" applyNumberFormat="1" applyBorder="1"/>
    <xf numFmtId="0" fontId="0" fillId="0" borderId="0" xfId="0" applyAlignment="1"/>
    <xf numFmtId="0" fontId="8" fillId="0" borderId="0" xfId="0" applyFont="1" applyAlignment="1"/>
    <xf numFmtId="0" fontId="21" fillId="0" borderId="1" xfId="0" applyFont="1" applyBorder="1"/>
    <xf numFmtId="9" fontId="21" fillId="0" borderId="1" xfId="2" applyFont="1" applyBorder="1"/>
    <xf numFmtId="168" fontId="21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68" fontId="2" fillId="0" borderId="1" xfId="0" applyNumberFormat="1" applyFont="1" applyBorder="1"/>
    <xf numFmtId="37" fontId="0" fillId="0" borderId="15" xfId="0" applyNumberFormat="1" applyBorder="1"/>
    <xf numFmtId="0" fontId="11" fillId="0" borderId="0" xfId="0" applyFont="1" applyBorder="1"/>
    <xf numFmtId="10" fontId="0" fillId="0" borderId="0" xfId="0" applyNumberFormat="1" applyBorder="1"/>
    <xf numFmtId="164" fontId="0" fillId="0" borderId="0" xfId="1" applyNumberFormat="1" applyFont="1" applyBorder="1"/>
    <xf numFmtId="0" fontId="21" fillId="0" borderId="0" xfId="0" applyFont="1"/>
    <xf numFmtId="164" fontId="21" fillId="0" borderId="1" xfId="1" applyNumberFormat="1" applyFont="1" applyBorder="1"/>
    <xf numFmtId="37" fontId="21" fillId="0" borderId="1" xfId="0" applyNumberFormat="1" applyFont="1" applyBorder="1"/>
    <xf numFmtId="164" fontId="21" fillId="0" borderId="18" xfId="1" applyNumberFormat="1" applyFont="1" applyBorder="1"/>
    <xf numFmtId="37" fontId="21" fillId="0" borderId="18" xfId="0" applyNumberFormat="1" applyFont="1" applyBorder="1"/>
    <xf numFmtId="0" fontId="21" fillId="0" borderId="1" xfId="0" applyFont="1" applyBorder="1" applyAlignment="1">
      <alignment horizontal="left"/>
    </xf>
    <xf numFmtId="1" fontId="21" fillId="0" borderId="1" xfId="0" applyNumberFormat="1" applyFont="1" applyBorder="1"/>
    <xf numFmtId="0" fontId="22" fillId="6" borderId="5" xfId="0" applyFont="1" applyFill="1" applyBorder="1" applyAlignment="1">
      <alignment horizontal="left"/>
    </xf>
    <xf numFmtId="166" fontId="21" fillId="0" borderId="1" xfId="0" applyNumberFormat="1" applyFont="1" applyBorder="1"/>
    <xf numFmtId="0" fontId="21" fillId="0" borderId="0" xfId="0" applyFont="1" applyFill="1"/>
    <xf numFmtId="1" fontId="21" fillId="4" borderId="1" xfId="0" applyNumberFormat="1" applyFont="1" applyFill="1" applyBorder="1"/>
    <xf numFmtId="1" fontId="21" fillId="4" borderId="9" xfId="0" applyNumberFormat="1" applyFont="1" applyFill="1" applyBorder="1"/>
    <xf numFmtId="0" fontId="21" fillId="0" borderId="5" xfId="0" applyFont="1" applyBorder="1" applyAlignment="1">
      <alignment horizontal="left"/>
    </xf>
    <xf numFmtId="166" fontId="21" fillId="0" borderId="2" xfId="0" applyNumberFormat="1" applyFont="1" applyBorder="1" applyAlignment="1">
      <alignment horizontal="center"/>
    </xf>
    <xf numFmtId="1" fontId="21" fillId="4" borderId="5" xfId="0" applyNumberFormat="1" applyFont="1" applyFill="1" applyBorder="1"/>
    <xf numFmtId="0" fontId="21" fillId="0" borderId="19" xfId="0" applyFont="1" applyBorder="1" applyAlignment="1">
      <alignment horizontal="left"/>
    </xf>
    <xf numFmtId="166" fontId="21" fillId="0" borderId="1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" fontId="21" fillId="0" borderId="9" xfId="0" applyNumberFormat="1" applyFont="1" applyBorder="1"/>
    <xf numFmtId="0" fontId="18" fillId="12" borderId="0" xfId="0" applyFont="1" applyFill="1" applyAlignment="1">
      <alignment horizontal="centerContinuous"/>
    </xf>
    <xf numFmtId="0" fontId="19" fillId="13" borderId="0" xfId="0" applyFont="1" applyFill="1"/>
    <xf numFmtId="0" fontId="19" fillId="12" borderId="11" xfId="0" applyFont="1" applyFill="1" applyBorder="1" applyAlignment="1">
      <alignment horizontal="centerContinuous"/>
    </xf>
    <xf numFmtId="0" fontId="19" fillId="12" borderId="12" xfId="0" applyFont="1" applyFill="1" applyBorder="1" applyAlignment="1">
      <alignment horizontal="centerContinuous"/>
    </xf>
    <xf numFmtId="0" fontId="19" fillId="13" borderId="0" xfId="0" applyFont="1" applyFill="1" applyAlignment="1">
      <alignment wrapText="1"/>
    </xf>
    <xf numFmtId="0" fontId="18" fillId="12" borderId="20" xfId="0" applyFont="1" applyFill="1" applyBorder="1" applyAlignment="1">
      <alignment wrapText="1"/>
    </xf>
    <xf numFmtId="0" fontId="19" fillId="12" borderId="21" xfId="0" applyFont="1" applyFill="1" applyBorder="1" applyAlignment="1">
      <alignment wrapText="1"/>
    </xf>
    <xf numFmtId="0" fontId="19" fillId="12" borderId="21" xfId="0" applyFont="1" applyFill="1" applyBorder="1" applyAlignment="1"/>
    <xf numFmtId="1" fontId="19" fillId="0" borderId="11" xfId="0" applyNumberFormat="1" applyFont="1" applyFill="1" applyBorder="1" applyAlignment="1">
      <alignment horizontal="center"/>
    </xf>
    <xf numFmtId="165" fontId="19" fillId="0" borderId="13" xfId="0" applyNumberFormat="1" applyFont="1" applyFill="1" applyBorder="1" applyAlignment="1">
      <alignment horizontal="right"/>
    </xf>
    <xf numFmtId="49" fontId="19" fillId="0" borderId="0" xfId="0" applyNumberFormat="1" applyFont="1"/>
    <xf numFmtId="0" fontId="19" fillId="0" borderId="8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7" fontId="19" fillId="0" borderId="8" xfId="0" applyNumberFormat="1" applyFont="1" applyFill="1" applyBorder="1"/>
    <xf numFmtId="0" fontId="19" fillId="0" borderId="0" xfId="0" applyFont="1" applyFill="1" applyBorder="1"/>
    <xf numFmtId="165" fontId="19" fillId="0" borderId="14" xfId="0" applyNumberFormat="1" applyFont="1" applyFill="1" applyBorder="1"/>
    <xf numFmtId="1" fontId="19" fillId="0" borderId="8" xfId="0" applyNumberFormat="1" applyFont="1" applyFill="1" applyBorder="1" applyAlignment="1">
      <alignment horizontal="center"/>
    </xf>
    <xf numFmtId="165" fontId="19" fillId="0" borderId="14" xfId="0" applyNumberFormat="1" applyFont="1" applyFill="1" applyBorder="1" applyAlignment="1">
      <alignment horizontal="right"/>
    </xf>
    <xf numFmtId="167" fontId="19" fillId="0" borderId="0" xfId="0" applyNumberFormat="1" applyFont="1" applyFill="1" applyBorder="1"/>
    <xf numFmtId="1" fontId="19" fillId="0" borderId="0" xfId="0" applyNumberFormat="1" applyFont="1" applyFill="1" applyBorder="1"/>
    <xf numFmtId="0" fontId="19" fillId="0" borderId="0" xfId="0" applyFont="1" applyFill="1"/>
    <xf numFmtId="0" fontId="19" fillId="0" borderId="20" xfId="0" applyFont="1" applyFill="1" applyBorder="1" applyAlignment="1">
      <alignment horizontal="center"/>
    </xf>
    <xf numFmtId="165" fontId="19" fillId="0" borderId="22" xfId="0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center"/>
    </xf>
    <xf numFmtId="1" fontId="19" fillId="0" borderId="20" xfId="0" applyNumberFormat="1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right"/>
    </xf>
    <xf numFmtId="165" fontId="19" fillId="0" borderId="12" xfId="0" applyNumberFormat="1" applyFont="1" applyFill="1" applyBorder="1" applyAlignment="1">
      <alignment horizontal="right"/>
    </xf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167" fontId="19" fillId="0" borderId="11" xfId="0" applyNumberFormat="1" applyFont="1" applyFill="1" applyBorder="1"/>
    <xf numFmtId="0" fontId="19" fillId="0" borderId="12" xfId="0" applyFont="1" applyFill="1" applyBorder="1"/>
    <xf numFmtId="165" fontId="19" fillId="0" borderId="13" xfId="0" applyNumberFormat="1" applyFont="1" applyFill="1" applyBorder="1"/>
    <xf numFmtId="167" fontId="19" fillId="0" borderId="20" xfId="0" applyNumberFormat="1" applyFont="1" applyFill="1" applyBorder="1"/>
    <xf numFmtId="167" fontId="19" fillId="0" borderId="21" xfId="0" applyNumberFormat="1" applyFont="1" applyFill="1" applyBorder="1"/>
    <xf numFmtId="165" fontId="19" fillId="0" borderId="22" xfId="0" applyNumberFormat="1" applyFont="1" applyFill="1" applyBorder="1"/>
    <xf numFmtId="1" fontId="17" fillId="0" borderId="18" xfId="0" applyNumberFormat="1" applyFont="1" applyBorder="1"/>
    <xf numFmtId="0" fontId="17" fillId="0" borderId="18" xfId="0" applyFont="1" applyBorder="1"/>
    <xf numFmtId="166" fontId="17" fillId="0" borderId="18" xfId="0" applyNumberFormat="1" applyFont="1" applyBorder="1"/>
    <xf numFmtId="1" fontId="17" fillId="0" borderId="23" xfId="0" applyNumberFormat="1" applyFont="1" applyBorder="1"/>
    <xf numFmtId="1" fontId="17" fillId="0" borderId="1" xfId="0" applyNumberFormat="1" applyFont="1" applyBorder="1"/>
    <xf numFmtId="0" fontId="17" fillId="0" borderId="1" xfId="0" applyFont="1" applyBorder="1"/>
    <xf numFmtId="166" fontId="17" fillId="0" borderId="1" xfId="0" applyNumberFormat="1" applyFont="1" applyBorder="1"/>
    <xf numFmtId="1" fontId="17" fillId="0" borderId="9" xfId="0" applyNumberFormat="1" applyFont="1" applyBorder="1"/>
    <xf numFmtId="166" fontId="18" fillId="0" borderId="0" xfId="0" applyNumberFormat="1" applyFont="1" applyFill="1" applyBorder="1"/>
    <xf numFmtId="166" fontId="18" fillId="0" borderId="21" xfId="0" applyNumberFormat="1" applyFont="1" applyFill="1" applyBorder="1"/>
    <xf numFmtId="166" fontId="18" fillId="0" borderId="12" xfId="0" applyNumberFormat="1" applyFont="1" applyFill="1" applyBorder="1"/>
    <xf numFmtId="165" fontId="19" fillId="0" borderId="2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1" fontId="19" fillId="0" borderId="1" xfId="0" applyNumberFormat="1" applyFont="1" applyBorder="1"/>
    <xf numFmtId="0" fontId="19" fillId="0" borderId="1" xfId="0" applyFont="1" applyBorder="1"/>
    <xf numFmtId="166" fontId="19" fillId="0" borderId="1" xfId="0" applyNumberFormat="1" applyFont="1" applyBorder="1"/>
    <xf numFmtId="1" fontId="19" fillId="0" borderId="9" xfId="0" applyNumberFormat="1" applyFont="1" applyBorder="1"/>
    <xf numFmtId="0" fontId="24" fillId="6" borderId="5" xfId="0" applyFont="1" applyFill="1" applyBorder="1" applyAlignment="1">
      <alignment horizontal="center"/>
    </xf>
    <xf numFmtId="1" fontId="25" fillId="0" borderId="1" xfId="0" applyNumberFormat="1" applyFont="1" applyBorder="1"/>
    <xf numFmtId="0" fontId="25" fillId="0" borderId="1" xfId="0" applyFont="1" applyBorder="1"/>
    <xf numFmtId="166" fontId="25" fillId="0" borderId="1" xfId="0" applyNumberFormat="1" applyFont="1" applyBorder="1"/>
    <xf numFmtId="1" fontId="25" fillId="0" borderId="9" xfId="0" applyNumberFormat="1" applyFont="1" applyBorder="1"/>
    <xf numFmtId="0" fontId="24" fillId="6" borderId="19" xfId="0" applyFont="1" applyFill="1" applyBorder="1" applyAlignment="1">
      <alignment horizontal="center"/>
    </xf>
    <xf numFmtId="1" fontId="25" fillId="0" borderId="24" xfId="0" applyNumberFormat="1" applyFont="1" applyBorder="1"/>
    <xf numFmtId="0" fontId="25" fillId="0" borderId="24" xfId="0" applyFont="1" applyBorder="1"/>
    <xf numFmtId="166" fontId="25" fillId="0" borderId="24" xfId="0" applyNumberFormat="1" applyFont="1" applyBorder="1"/>
    <xf numFmtId="1" fontId="25" fillId="0" borderId="25" xfId="0" applyNumberFormat="1" applyFont="1" applyBorder="1"/>
    <xf numFmtId="0" fontId="24" fillId="6" borderId="26" xfId="0" applyFont="1" applyFill="1" applyBorder="1" applyAlignment="1">
      <alignment horizontal="center"/>
    </xf>
    <xf numFmtId="1" fontId="25" fillId="0" borderId="27" xfId="0" applyNumberFormat="1" applyFont="1" applyBorder="1"/>
    <xf numFmtId="0" fontId="25" fillId="0" borderId="27" xfId="0" applyFont="1" applyBorder="1"/>
    <xf numFmtId="166" fontId="25" fillId="0" borderId="27" xfId="0" applyNumberFormat="1" applyFont="1" applyBorder="1"/>
    <xf numFmtId="1" fontId="25" fillId="0" borderId="28" xfId="0" applyNumberFormat="1" applyFont="1" applyBorder="1"/>
    <xf numFmtId="0" fontId="18" fillId="6" borderId="5" xfId="0" applyFont="1" applyFill="1" applyBorder="1" applyAlignment="1">
      <alignment horizontal="left"/>
    </xf>
    <xf numFmtId="0" fontId="24" fillId="6" borderId="5" xfId="0" applyFont="1" applyFill="1" applyBorder="1" applyAlignment="1">
      <alignment horizontal="left"/>
    </xf>
    <xf numFmtId="0" fontId="24" fillId="6" borderId="19" xfId="0" applyFont="1" applyFill="1" applyBorder="1" applyAlignment="1">
      <alignment horizontal="left"/>
    </xf>
    <xf numFmtId="0" fontId="24" fillId="6" borderId="26" xfId="0" applyFont="1" applyFill="1" applyBorder="1" applyAlignment="1">
      <alignment horizontal="left"/>
    </xf>
    <xf numFmtId="0" fontId="26" fillId="6" borderId="5" xfId="0" applyFont="1" applyFill="1" applyBorder="1" applyAlignment="1">
      <alignment horizontal="left"/>
    </xf>
    <xf numFmtId="1" fontId="27" fillId="0" borderId="1" xfId="0" applyNumberFormat="1" applyFont="1" applyBorder="1"/>
    <xf numFmtId="0" fontId="27" fillId="0" borderId="1" xfId="0" applyFont="1" applyBorder="1"/>
    <xf numFmtId="166" fontId="27" fillId="0" borderId="1" xfId="0" applyNumberFormat="1" applyFont="1" applyBorder="1"/>
    <xf numFmtId="1" fontId="27" fillId="0" borderId="9" xfId="0" applyNumberFormat="1" applyFont="1" applyBorder="1"/>
    <xf numFmtId="0" fontId="26" fillId="6" borderId="19" xfId="0" applyFont="1" applyFill="1" applyBorder="1" applyAlignment="1">
      <alignment horizontal="left"/>
    </xf>
    <xf numFmtId="1" fontId="27" fillId="0" borderId="24" xfId="0" applyNumberFormat="1" applyFont="1" applyBorder="1"/>
    <xf numFmtId="0" fontId="27" fillId="0" borderId="24" xfId="0" applyFont="1" applyBorder="1"/>
    <xf numFmtId="166" fontId="27" fillId="0" borderId="24" xfId="0" applyNumberFormat="1" applyFont="1" applyBorder="1"/>
    <xf numFmtId="1" fontId="27" fillId="0" borderId="25" xfId="0" applyNumberFormat="1" applyFont="1" applyBorder="1"/>
    <xf numFmtId="0" fontId="26" fillId="6" borderId="26" xfId="0" applyFont="1" applyFill="1" applyBorder="1" applyAlignment="1">
      <alignment horizontal="left"/>
    </xf>
    <xf numFmtId="1" fontId="27" fillId="0" borderId="27" xfId="0" applyNumberFormat="1" applyFont="1" applyBorder="1"/>
    <xf numFmtId="0" fontId="27" fillId="0" borderId="27" xfId="0" applyFont="1" applyBorder="1"/>
    <xf numFmtId="166" fontId="27" fillId="0" borderId="27" xfId="0" applyNumberFormat="1" applyFont="1" applyBorder="1"/>
    <xf numFmtId="1" fontId="27" fillId="0" borderId="28" xfId="0" applyNumberFormat="1" applyFont="1" applyBorder="1"/>
    <xf numFmtId="0" fontId="17" fillId="0" borderId="0" xfId="0" applyFont="1" applyAlignment="1"/>
    <xf numFmtId="0" fontId="17" fillId="0" borderId="0" xfId="0" applyFont="1"/>
    <xf numFmtId="0" fontId="18" fillId="0" borderId="0" xfId="0" applyFont="1" applyAlignment="1"/>
    <xf numFmtId="49" fontId="0" fillId="0" borderId="0" xfId="0" applyNumberFormat="1" applyProtection="1">
      <protection locked="0"/>
    </xf>
    <xf numFmtId="49" fontId="28" fillId="0" borderId="0" xfId="0" applyNumberFormat="1" applyFont="1" applyProtection="1">
      <protection locked="0"/>
    </xf>
    <xf numFmtId="0" fontId="0" fillId="0" borderId="0" xfId="0" applyProtection="1"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0" fontId="8" fillId="0" borderId="0" xfId="0" applyFont="1" applyFill="1" applyBorder="1" applyAlignment="1"/>
    <xf numFmtId="0" fontId="0" fillId="0" borderId="0" xfId="0" applyFill="1" applyBorder="1"/>
    <xf numFmtId="0" fontId="29" fillId="0" borderId="0" xfId="0" applyFont="1" applyAlignment="1"/>
    <xf numFmtId="0" fontId="0" fillId="15" borderId="0" xfId="0" applyFill="1" applyBorder="1"/>
    <xf numFmtId="0" fontId="0" fillId="15" borderId="0" xfId="0" applyFill="1"/>
    <xf numFmtId="167" fontId="0" fillId="15" borderId="0" xfId="0" applyNumberFormat="1" applyFill="1" applyBorder="1"/>
    <xf numFmtId="0" fontId="8" fillId="15" borderId="1" xfId="0" applyFont="1" applyFill="1" applyBorder="1"/>
    <xf numFmtId="167" fontId="0" fillId="15" borderId="1" xfId="0" applyNumberFormat="1" applyFill="1" applyBorder="1"/>
    <xf numFmtId="0" fontId="8" fillId="15" borderId="3" xfId="0" applyFont="1" applyFill="1" applyBorder="1"/>
    <xf numFmtId="167" fontId="0" fillId="15" borderId="3" xfId="0" applyNumberFormat="1" applyFill="1" applyBorder="1"/>
    <xf numFmtId="1" fontId="0" fillId="15" borderId="0" xfId="0" applyNumberFormat="1" applyFill="1"/>
    <xf numFmtId="0" fontId="8" fillId="14" borderId="0" xfId="0" applyFont="1" applyFill="1" applyBorder="1" applyAlignment="1"/>
    <xf numFmtId="0" fontId="0" fillId="14" borderId="0" xfId="0" applyFill="1" applyBorder="1"/>
    <xf numFmtId="0" fontId="2" fillId="0" borderId="0" xfId="0" applyFont="1"/>
    <xf numFmtId="0" fontId="30" fillId="14" borderId="0" xfId="0" applyFont="1" applyFill="1" applyBorder="1"/>
    <xf numFmtId="0" fontId="0" fillId="0" borderId="0" xfId="0" applyFill="1" applyAlignment="1"/>
    <xf numFmtId="0" fontId="2" fillId="14" borderId="0" xfId="0" applyFont="1" applyFill="1" applyAlignment="1"/>
    <xf numFmtId="0" fontId="2" fillId="14" borderId="0" xfId="0" applyFont="1" applyFill="1"/>
    <xf numFmtId="0" fontId="0" fillId="14" borderId="0" xfId="0" applyFill="1"/>
    <xf numFmtId="0" fontId="2" fillId="0" borderId="0" xfId="0" applyFont="1" applyAlignment="1"/>
    <xf numFmtId="0" fontId="31" fillId="15" borderId="0" xfId="0" applyFont="1" applyFill="1" applyBorder="1"/>
    <xf numFmtId="0" fontId="8" fillId="15" borderId="0" xfId="0" applyFont="1" applyFill="1" applyBorder="1"/>
    <xf numFmtId="0" fontId="0" fillId="16" borderId="0" xfId="0" applyFill="1" applyBorder="1"/>
    <xf numFmtId="0" fontId="0" fillId="15" borderId="29" xfId="0" applyFill="1" applyBorder="1"/>
    <xf numFmtId="0" fontId="8" fillId="16" borderId="29" xfId="0" applyFont="1" applyFill="1" applyBorder="1"/>
    <xf numFmtId="0" fontId="18" fillId="0" borderId="30" xfId="0" applyFont="1" applyFill="1" applyBorder="1" applyAlignment="1"/>
    <xf numFmtId="0" fontId="0" fillId="0" borderId="30" xfId="0" applyFill="1" applyBorder="1" applyAlignment="1"/>
    <xf numFmtId="49" fontId="28" fillId="0" borderId="30" xfId="0" applyNumberFormat="1" applyFont="1" applyFill="1" applyBorder="1" applyAlignment="1" applyProtection="1">
      <alignment vertical="center"/>
      <protection locked="0"/>
    </xf>
    <xf numFmtId="0" fontId="8" fillId="0" borderId="30" xfId="0" applyFont="1" applyFill="1" applyBorder="1" applyAlignment="1"/>
    <xf numFmtId="0" fontId="8" fillId="15" borderId="0" xfId="0" applyFont="1" applyFill="1"/>
    <xf numFmtId="0" fontId="8" fillId="14" borderId="0" xfId="0" applyFont="1" applyFill="1" applyBorder="1"/>
    <xf numFmtId="0" fontId="8" fillId="14" borderId="0" xfId="0" applyFont="1" applyFill="1" applyBorder="1" applyAlignment="1">
      <alignment wrapText="1"/>
    </xf>
    <xf numFmtId="0" fontId="31" fillId="14" borderId="0" xfId="0" applyFont="1" applyFill="1" applyBorder="1" applyAlignment="1"/>
    <xf numFmtId="0" fontId="2" fillId="17" borderId="0" xfId="0" applyFont="1" applyFill="1"/>
    <xf numFmtId="0" fontId="2" fillId="17" borderId="0" xfId="0" applyFont="1" applyFill="1" applyBorder="1" applyAlignment="1"/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49" fontId="17" fillId="17" borderId="0" xfId="0" applyNumberFormat="1" applyFont="1" applyFill="1" applyBorder="1" applyProtection="1">
      <protection locked="0"/>
    </xf>
    <xf numFmtId="49" fontId="0" fillId="17" borderId="0" xfId="0" applyNumberFormat="1" applyFill="1" applyBorder="1" applyAlignment="1" applyProtection="1">
      <alignment horizontal="center"/>
      <protection locked="0"/>
    </xf>
    <xf numFmtId="0" fontId="0" fillId="18" borderId="0" xfId="0" applyFill="1" applyBorder="1" applyAlignment="1"/>
    <xf numFmtId="0" fontId="2" fillId="17" borderId="0" xfId="0" applyFont="1" applyFill="1" applyBorder="1" applyAlignment="1">
      <alignment horizontal="center"/>
    </xf>
    <xf numFmtId="0" fontId="17" fillId="17" borderId="0" xfId="0" applyFont="1" applyFill="1" applyBorder="1"/>
    <xf numFmtId="0" fontId="1" fillId="17" borderId="0" xfId="0" applyFont="1" applyFill="1" applyBorder="1" applyAlignment="1">
      <alignment horizontal="center" vertical="center"/>
    </xf>
    <xf numFmtId="0" fontId="35" fillId="0" borderId="0" xfId="0" applyFont="1"/>
    <xf numFmtId="0" fontId="36" fillId="19" borderId="0" xfId="0" applyFont="1" applyFill="1"/>
    <xf numFmtId="169" fontId="36" fillId="19" borderId="0" xfId="0" applyNumberFormat="1" applyFont="1" applyFill="1"/>
    <xf numFmtId="167" fontId="36" fillId="19" borderId="0" xfId="0" applyNumberFormat="1" applyFont="1" applyFill="1"/>
    <xf numFmtId="49" fontId="36" fillId="19" borderId="0" xfId="0" applyNumberFormat="1" applyFont="1" applyFill="1"/>
    <xf numFmtId="0" fontId="2" fillId="17" borderId="0" xfId="0" applyFont="1" applyFill="1" applyBorder="1"/>
    <xf numFmtId="0" fontId="37" fillId="0" borderId="34" xfId="0" applyFont="1" applyBorder="1" applyAlignment="1">
      <alignment horizontal="right" vertical="center" wrapText="1"/>
    </xf>
    <xf numFmtId="3" fontId="37" fillId="0" borderId="34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Fill="1"/>
    <xf numFmtId="0" fontId="30" fillId="0" borderId="0" xfId="0" applyFont="1" applyFill="1"/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29" xfId="0" applyBorder="1" applyAlignment="1"/>
    <xf numFmtId="0" fontId="11" fillId="0" borderId="0" xfId="0" applyFont="1" applyAlignment="1">
      <alignment horizontal="left" wrapText="1"/>
    </xf>
    <xf numFmtId="0" fontId="8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7" fillId="2" borderId="18" xfId="0" applyFont="1" applyFill="1" applyBorder="1" applyAlignment="1">
      <alignment horizontal="left" wrapText="1"/>
    </xf>
    <xf numFmtId="0" fontId="0" fillId="0" borderId="31" xfId="0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9" fillId="12" borderId="11" xfId="0" applyFont="1" applyFill="1" applyBorder="1" applyAlignment="1">
      <alignment wrapText="1"/>
    </xf>
    <xf numFmtId="0" fontId="19" fillId="12" borderId="20" xfId="0" applyFont="1" applyFill="1" applyBorder="1" applyAlignment="1">
      <alignment wrapText="1"/>
    </xf>
    <xf numFmtId="0" fontId="19" fillId="12" borderId="12" xfId="0" applyFont="1" applyFill="1" applyBorder="1" applyAlignment="1">
      <alignment wrapText="1"/>
    </xf>
    <xf numFmtId="0" fontId="19" fillId="12" borderId="21" xfId="0" applyFont="1" applyFill="1" applyBorder="1" applyAlignment="1">
      <alignment wrapText="1"/>
    </xf>
    <xf numFmtId="0" fontId="19" fillId="12" borderId="13" xfId="0" applyFont="1" applyFill="1" applyBorder="1" applyAlignment="1">
      <alignment wrapText="1"/>
    </xf>
    <xf numFmtId="0" fontId="19" fillId="12" borderId="22" xfId="0" applyFont="1" applyFill="1" applyBorder="1" applyAlignment="1">
      <alignment wrapText="1"/>
    </xf>
    <xf numFmtId="0" fontId="23" fillId="12" borderId="32" xfId="0" applyFont="1" applyFill="1" applyBorder="1" applyAlignment="1">
      <alignment horizontal="left" wrapText="1"/>
    </xf>
    <xf numFmtId="0" fontId="23" fillId="12" borderId="33" xfId="0" applyFont="1" applyFill="1" applyBorder="1" applyAlignment="1">
      <alignment horizontal="left" wrapText="1"/>
    </xf>
    <xf numFmtId="0" fontId="18" fillId="12" borderId="32" xfId="0" applyFont="1" applyFill="1" applyBorder="1" applyAlignment="1">
      <alignment wrapText="1"/>
    </xf>
    <xf numFmtId="0" fontId="19" fillId="12" borderId="33" xfId="0" applyFont="1" applyFill="1" applyBorder="1" applyAlignment="1">
      <alignment wrapText="1"/>
    </xf>
    <xf numFmtId="0" fontId="18" fillId="12" borderId="11" xfId="0" applyFont="1" applyFill="1" applyBorder="1" applyAlignment="1">
      <alignment wrapText="1"/>
    </xf>
    <xf numFmtId="0" fontId="19" fillId="12" borderId="8" xfId="0" applyFont="1" applyFill="1" applyBorder="1" applyAlignment="1">
      <alignment wrapText="1"/>
    </xf>
    <xf numFmtId="0" fontId="8" fillId="8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23" fillId="12" borderId="13" xfId="0" applyFont="1" applyFill="1" applyBorder="1" applyAlignment="1">
      <alignment horizontal="left" wrapText="1"/>
    </xf>
    <xf numFmtId="0" fontId="23" fillId="12" borderId="14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lawi_DHS%20Preliminary_Direct%20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</sheetNames>
    <sheetDataSet>
      <sheetData sheetId="0" refreshError="1"/>
      <sheetData sheetId="1">
        <row r="3">
          <cell r="D3" t="str">
            <v>Afghanistan</v>
          </cell>
          <cell r="F3" t="str">
            <v>Direct (5 year)</v>
          </cell>
          <cell r="H3" t="str">
            <v>Per 1000 Births</v>
          </cell>
        </row>
        <row r="4">
          <cell r="D4" t="str">
            <v>Albania</v>
          </cell>
        </row>
        <row r="5">
          <cell r="D5" t="str">
            <v>Algeria</v>
          </cell>
        </row>
        <row r="6">
          <cell r="D6" t="str">
            <v>Andorra</v>
          </cell>
        </row>
        <row r="7">
          <cell r="D7" t="str">
            <v>Angola</v>
          </cell>
        </row>
        <row r="8">
          <cell r="D8" t="str">
            <v>Antigua &amp; Barbuda</v>
          </cell>
        </row>
        <row r="9">
          <cell r="D9" t="str">
            <v>Argentina</v>
          </cell>
        </row>
        <row r="10">
          <cell r="D10" t="str">
            <v>Armenia</v>
          </cell>
        </row>
        <row r="11">
          <cell r="D11" t="str">
            <v>Australia</v>
          </cell>
        </row>
        <row r="12">
          <cell r="D12" t="str">
            <v>Austria</v>
          </cell>
        </row>
        <row r="13">
          <cell r="D13" t="str">
            <v>Azerbaijan</v>
          </cell>
        </row>
        <row r="14">
          <cell r="D14" t="str">
            <v>Bahamas</v>
          </cell>
        </row>
        <row r="15">
          <cell r="D15" t="str">
            <v>Bahrain</v>
          </cell>
        </row>
        <row r="16">
          <cell r="D16" t="str">
            <v>Bangladesh</v>
          </cell>
        </row>
        <row r="17">
          <cell r="D17" t="str">
            <v>Barbados</v>
          </cell>
        </row>
        <row r="18">
          <cell r="D18" t="str">
            <v>Belarus</v>
          </cell>
        </row>
        <row r="19">
          <cell r="D19" t="str">
            <v>Belgium</v>
          </cell>
        </row>
        <row r="20">
          <cell r="D20" t="str">
            <v>Belize</v>
          </cell>
        </row>
        <row r="21">
          <cell r="D21" t="str">
            <v>Benin</v>
          </cell>
        </row>
        <row r="22">
          <cell r="D22" t="str">
            <v>Bhutan</v>
          </cell>
        </row>
        <row r="23">
          <cell r="D23" t="str">
            <v>Bolivia</v>
          </cell>
        </row>
        <row r="24">
          <cell r="D24" t="str">
            <v>Bosnia &amp; Herzegovina</v>
          </cell>
        </row>
        <row r="25">
          <cell r="D25" t="str">
            <v>Botswana</v>
          </cell>
        </row>
        <row r="26">
          <cell r="D26" t="str">
            <v>Brazil</v>
          </cell>
        </row>
        <row r="27">
          <cell r="D27" t="str">
            <v>British Virgin Islands</v>
          </cell>
        </row>
        <row r="28">
          <cell r="D28" t="str">
            <v>Brunei</v>
          </cell>
        </row>
        <row r="29">
          <cell r="D29" t="str">
            <v>Bulgaria</v>
          </cell>
        </row>
        <row r="30">
          <cell r="D30" t="str">
            <v>Burkina Faso</v>
          </cell>
        </row>
        <row r="31">
          <cell r="D31" t="str">
            <v>Burundi</v>
          </cell>
        </row>
        <row r="32">
          <cell r="D32" t="str">
            <v>Cambodia</v>
          </cell>
        </row>
        <row r="33">
          <cell r="D33" t="str">
            <v>Cameroon</v>
          </cell>
        </row>
        <row r="34">
          <cell r="D34" t="str">
            <v>Canada</v>
          </cell>
        </row>
        <row r="35">
          <cell r="D35" t="str">
            <v>Cape Verde</v>
          </cell>
        </row>
        <row r="36">
          <cell r="D36" t="str">
            <v>Central African Republic</v>
          </cell>
        </row>
        <row r="37">
          <cell r="D37" t="str">
            <v>Chad</v>
          </cell>
        </row>
        <row r="38">
          <cell r="D38" t="str">
            <v>Chile</v>
          </cell>
        </row>
        <row r="39">
          <cell r="D39" t="str">
            <v>China</v>
          </cell>
        </row>
        <row r="40">
          <cell r="D40" t="str">
            <v>Colombia</v>
          </cell>
        </row>
        <row r="41">
          <cell r="D41" t="str">
            <v>Comoros</v>
          </cell>
        </row>
        <row r="42">
          <cell r="D42" t="str">
            <v>Congo</v>
          </cell>
        </row>
        <row r="43">
          <cell r="D43" t="str">
            <v>Congo DR</v>
          </cell>
        </row>
        <row r="44">
          <cell r="D44" t="str">
            <v>Cook Islands</v>
          </cell>
        </row>
        <row r="45">
          <cell r="D45" t="str">
            <v>Costa Rica</v>
          </cell>
        </row>
        <row r="46">
          <cell r="D46" t="str">
            <v>Cote d Ivoire</v>
          </cell>
        </row>
        <row r="47">
          <cell r="D47" t="str">
            <v>Croatia</v>
          </cell>
        </row>
        <row r="48">
          <cell r="D48" t="str">
            <v>Cuba</v>
          </cell>
        </row>
        <row r="49">
          <cell r="D49" t="str">
            <v>Cyprus</v>
          </cell>
        </row>
        <row r="50">
          <cell r="D50" t="str">
            <v>Czech Republic</v>
          </cell>
        </row>
        <row r="51">
          <cell r="D51" t="str">
            <v>Denmark</v>
          </cell>
        </row>
        <row r="52">
          <cell r="D52" t="str">
            <v>Djibouti</v>
          </cell>
        </row>
        <row r="53">
          <cell r="D53" t="str">
            <v>Dominica</v>
          </cell>
        </row>
        <row r="54">
          <cell r="D54" t="str">
            <v>Dominican Republic</v>
          </cell>
        </row>
        <row r="55">
          <cell r="D55" t="str">
            <v>Ecuador</v>
          </cell>
        </row>
        <row r="56">
          <cell r="D56" t="str">
            <v>Egypt</v>
          </cell>
        </row>
        <row r="57">
          <cell r="D57" t="str">
            <v>El Salvador</v>
          </cell>
        </row>
        <row r="58">
          <cell r="D58" t="str">
            <v>Equatorial Guinea</v>
          </cell>
        </row>
        <row r="59">
          <cell r="D59" t="str">
            <v>Eritrea</v>
          </cell>
        </row>
        <row r="60">
          <cell r="D60" t="str">
            <v>Estonia</v>
          </cell>
        </row>
        <row r="61">
          <cell r="D61" t="str">
            <v>Ethiopia</v>
          </cell>
        </row>
        <row r="62">
          <cell r="D62" t="str">
            <v>Federated States of Micronesia</v>
          </cell>
        </row>
        <row r="63">
          <cell r="D63" t="str">
            <v>Fiji</v>
          </cell>
        </row>
        <row r="64">
          <cell r="D64" t="str">
            <v>Finland</v>
          </cell>
        </row>
        <row r="65">
          <cell r="D65" t="str">
            <v>France</v>
          </cell>
        </row>
        <row r="66">
          <cell r="D66" t="str">
            <v>Gabon</v>
          </cell>
        </row>
        <row r="67">
          <cell r="D67" t="str">
            <v>Gambia The</v>
          </cell>
        </row>
        <row r="68">
          <cell r="D68" t="str">
            <v>Georgia</v>
          </cell>
        </row>
        <row r="69">
          <cell r="D69" t="str">
            <v>Germany</v>
          </cell>
        </row>
        <row r="70">
          <cell r="D70" t="str">
            <v>Ghana</v>
          </cell>
        </row>
        <row r="71">
          <cell r="D71" t="str">
            <v>Greece</v>
          </cell>
        </row>
        <row r="72">
          <cell r="D72" t="str">
            <v>Grenada</v>
          </cell>
        </row>
        <row r="73">
          <cell r="D73" t="str">
            <v>Guatemala</v>
          </cell>
        </row>
        <row r="74">
          <cell r="D74" t="str">
            <v>Guinea</v>
          </cell>
        </row>
        <row r="75">
          <cell r="D75" t="str">
            <v>Guinea-Bissau</v>
          </cell>
        </row>
        <row r="76">
          <cell r="D76" t="str">
            <v>Guyana</v>
          </cell>
        </row>
        <row r="77">
          <cell r="D77" t="str">
            <v>Haiti</v>
          </cell>
        </row>
        <row r="78">
          <cell r="D78" t="str">
            <v>Holy See (Vatican)</v>
          </cell>
        </row>
        <row r="79">
          <cell r="D79" t="str">
            <v>Honduras</v>
          </cell>
        </row>
        <row r="80">
          <cell r="D80" t="str">
            <v>Hungary</v>
          </cell>
        </row>
        <row r="81">
          <cell r="D81" t="str">
            <v>Iceland</v>
          </cell>
        </row>
        <row r="82">
          <cell r="D82" t="str">
            <v>India</v>
          </cell>
        </row>
        <row r="83">
          <cell r="D83" t="str">
            <v>Indonesia</v>
          </cell>
        </row>
        <row r="84">
          <cell r="D84" t="str">
            <v>Iran</v>
          </cell>
        </row>
        <row r="85">
          <cell r="D85" t="str">
            <v>Iraq</v>
          </cell>
        </row>
        <row r="86">
          <cell r="D86" t="str">
            <v>Ireland</v>
          </cell>
        </row>
        <row r="87">
          <cell r="D87" t="str">
            <v>Israel</v>
          </cell>
        </row>
        <row r="88">
          <cell r="D88" t="str">
            <v>Italy</v>
          </cell>
        </row>
        <row r="89">
          <cell r="D89" t="str">
            <v>Jamaica</v>
          </cell>
        </row>
        <row r="90">
          <cell r="D90" t="str">
            <v>Japan</v>
          </cell>
        </row>
        <row r="91">
          <cell r="D91" t="str">
            <v>Jordan</v>
          </cell>
        </row>
        <row r="92">
          <cell r="D92" t="str">
            <v>Kazakhstan</v>
          </cell>
        </row>
        <row r="93">
          <cell r="D93" t="str">
            <v>Kenya</v>
          </cell>
        </row>
        <row r="94">
          <cell r="D94" t="str">
            <v>Kiribati</v>
          </cell>
        </row>
        <row r="95">
          <cell r="D95" t="str">
            <v>Korea DPR</v>
          </cell>
        </row>
        <row r="96">
          <cell r="D96" t="str">
            <v>Korea Rep</v>
          </cell>
        </row>
        <row r="97">
          <cell r="D97" t="str">
            <v>Kuwait</v>
          </cell>
        </row>
        <row r="98">
          <cell r="D98" t="str">
            <v>Kyrgyzstan</v>
          </cell>
        </row>
        <row r="99">
          <cell r="D99" t="str">
            <v>Lao PDR</v>
          </cell>
        </row>
        <row r="100">
          <cell r="D100" t="str">
            <v>Latvia</v>
          </cell>
        </row>
        <row r="101">
          <cell r="D101" t="str">
            <v>Lebanon</v>
          </cell>
        </row>
        <row r="102">
          <cell r="D102" t="str">
            <v>Lesotho</v>
          </cell>
        </row>
        <row r="103">
          <cell r="D103" t="str">
            <v>Liberia</v>
          </cell>
        </row>
        <row r="104">
          <cell r="D104" t="str">
            <v>Libya</v>
          </cell>
        </row>
        <row r="105">
          <cell r="D105" t="str">
            <v>Liechtenstein</v>
          </cell>
        </row>
        <row r="106">
          <cell r="D106" t="str">
            <v>Lithuania</v>
          </cell>
        </row>
        <row r="107">
          <cell r="D107" t="str">
            <v>Luxembourg</v>
          </cell>
        </row>
        <row r="108">
          <cell r="D108" t="str">
            <v>Macedonia</v>
          </cell>
        </row>
        <row r="109">
          <cell r="D109" t="str">
            <v>Madagascar</v>
          </cell>
        </row>
        <row r="110">
          <cell r="D110" t="str">
            <v>Malawi</v>
          </cell>
        </row>
        <row r="111">
          <cell r="D111" t="str">
            <v>Malaysia</v>
          </cell>
        </row>
        <row r="112">
          <cell r="D112" t="str">
            <v>Maldives</v>
          </cell>
        </row>
        <row r="113">
          <cell r="D113" t="str">
            <v>Mali</v>
          </cell>
        </row>
        <row r="114">
          <cell r="D114" t="str">
            <v>Malta</v>
          </cell>
        </row>
        <row r="115">
          <cell r="D115" t="str">
            <v>Marshall Islands</v>
          </cell>
        </row>
        <row r="116">
          <cell r="D116" t="str">
            <v>Mauritania</v>
          </cell>
        </row>
        <row r="117">
          <cell r="D117" t="str">
            <v>Mauritius</v>
          </cell>
        </row>
        <row r="118">
          <cell r="D118" t="str">
            <v>Mexico</v>
          </cell>
        </row>
        <row r="119">
          <cell r="D119" t="str">
            <v>Moldova</v>
          </cell>
        </row>
        <row r="120">
          <cell r="D120" t="str">
            <v>Monaco</v>
          </cell>
        </row>
        <row r="121">
          <cell r="D121" t="str">
            <v>Mongolia</v>
          </cell>
        </row>
        <row r="122">
          <cell r="D122" t="str">
            <v>Montenegro</v>
          </cell>
        </row>
        <row r="123">
          <cell r="D123" t="str">
            <v>Montserrat</v>
          </cell>
        </row>
        <row r="124">
          <cell r="D124" t="str">
            <v>Morocco</v>
          </cell>
        </row>
        <row r="125">
          <cell r="D125" t="str">
            <v>Mozambique</v>
          </cell>
        </row>
        <row r="126">
          <cell r="D126" t="str">
            <v>Myanmar</v>
          </cell>
        </row>
        <row r="127">
          <cell r="D127" t="str">
            <v>Namibia</v>
          </cell>
        </row>
        <row r="128">
          <cell r="D128" t="str">
            <v>Nauru</v>
          </cell>
        </row>
        <row r="129">
          <cell r="D129" t="str">
            <v>Nepal</v>
          </cell>
        </row>
        <row r="130">
          <cell r="D130" t="str">
            <v>Netherlands</v>
          </cell>
        </row>
        <row r="131">
          <cell r="D131" t="str">
            <v>New Zealand</v>
          </cell>
        </row>
        <row r="132">
          <cell r="D132" t="str">
            <v>Nicaragua</v>
          </cell>
        </row>
        <row r="133">
          <cell r="D133" t="str">
            <v>Niger</v>
          </cell>
        </row>
        <row r="134">
          <cell r="D134" t="str">
            <v>Nigeria</v>
          </cell>
        </row>
        <row r="135">
          <cell r="D135" t="str">
            <v>Niue</v>
          </cell>
        </row>
        <row r="136">
          <cell r="D136" t="str">
            <v>Norway</v>
          </cell>
        </row>
        <row r="137">
          <cell r="D137" t="str">
            <v>Oman</v>
          </cell>
        </row>
        <row r="138">
          <cell r="D138" t="str">
            <v>OPT</v>
          </cell>
        </row>
        <row r="139">
          <cell r="D139" t="str">
            <v>Pakistan</v>
          </cell>
        </row>
        <row r="140">
          <cell r="D140" t="str">
            <v>Palau</v>
          </cell>
        </row>
        <row r="141">
          <cell r="D141" t="str">
            <v>Panama</v>
          </cell>
        </row>
        <row r="142">
          <cell r="D142" t="str">
            <v>Papua New Guinea</v>
          </cell>
        </row>
        <row r="143">
          <cell r="D143" t="str">
            <v>Paraguay</v>
          </cell>
        </row>
        <row r="144">
          <cell r="D144" t="str">
            <v>Peru</v>
          </cell>
        </row>
        <row r="145">
          <cell r="D145" t="str">
            <v>Philippines</v>
          </cell>
        </row>
        <row r="146">
          <cell r="D146" t="str">
            <v>Poland</v>
          </cell>
        </row>
        <row r="147">
          <cell r="D147" t="str">
            <v>Portugal</v>
          </cell>
        </row>
        <row r="148">
          <cell r="D148" t="str">
            <v>Qatar</v>
          </cell>
        </row>
        <row r="149">
          <cell r="D149" t="str">
            <v>Romania</v>
          </cell>
        </row>
        <row r="150">
          <cell r="D150" t="str">
            <v>Russian Federation</v>
          </cell>
        </row>
        <row r="151">
          <cell r="D151" t="str">
            <v>Rwanda</v>
          </cell>
        </row>
        <row r="152">
          <cell r="D152" t="str">
            <v>Saint Kitts &amp; Nevis</v>
          </cell>
        </row>
        <row r="153">
          <cell r="D153" t="str">
            <v>Saint Lucia</v>
          </cell>
        </row>
        <row r="154">
          <cell r="D154" t="str">
            <v>Samoa</v>
          </cell>
        </row>
        <row r="155">
          <cell r="D155" t="str">
            <v>San Marino</v>
          </cell>
        </row>
        <row r="156">
          <cell r="D156" t="str">
            <v>Sao Tome &amp; Principe</v>
          </cell>
        </row>
        <row r="157">
          <cell r="D157" t="str">
            <v>Saudi Arabia</v>
          </cell>
        </row>
        <row r="158">
          <cell r="D158" t="str">
            <v>Senegal</v>
          </cell>
        </row>
        <row r="159">
          <cell r="D159" t="str">
            <v>Serbia</v>
          </cell>
        </row>
        <row r="160">
          <cell r="D160" t="str">
            <v>Seychelles</v>
          </cell>
        </row>
        <row r="161">
          <cell r="D161" t="str">
            <v>Sierra Leone</v>
          </cell>
        </row>
        <row r="162">
          <cell r="D162" t="str">
            <v>Singapore</v>
          </cell>
        </row>
        <row r="163">
          <cell r="D163" t="str">
            <v>Slovakia</v>
          </cell>
        </row>
        <row r="164">
          <cell r="D164" t="str">
            <v>Slovenia</v>
          </cell>
        </row>
        <row r="165">
          <cell r="D165" t="str">
            <v>Solomon Islands</v>
          </cell>
        </row>
        <row r="166">
          <cell r="D166" t="str">
            <v>Somalia</v>
          </cell>
        </row>
        <row r="167">
          <cell r="D167" t="str">
            <v>South Africa</v>
          </cell>
        </row>
        <row r="168">
          <cell r="D168" t="str">
            <v>Spain</v>
          </cell>
        </row>
        <row r="169">
          <cell r="D169" t="str">
            <v>Sri Lanka</v>
          </cell>
        </row>
        <row r="170">
          <cell r="D170" t="str">
            <v>St Vincent &amp; the Grenadines</v>
          </cell>
        </row>
        <row r="171">
          <cell r="D171" t="str">
            <v>Sudan</v>
          </cell>
        </row>
        <row r="172">
          <cell r="D172" t="str">
            <v>Suriname</v>
          </cell>
        </row>
        <row r="173">
          <cell r="D173" t="str">
            <v>Swaziland</v>
          </cell>
        </row>
        <row r="174">
          <cell r="D174" t="str">
            <v>Sweden</v>
          </cell>
        </row>
        <row r="175">
          <cell r="D175" t="str">
            <v>Switzerland</v>
          </cell>
        </row>
        <row r="176">
          <cell r="D176" t="str">
            <v>Syria</v>
          </cell>
        </row>
        <row r="177">
          <cell r="D177" t="str">
            <v>Tajikistan</v>
          </cell>
        </row>
        <row r="178">
          <cell r="D178" t="str">
            <v>Tanzania</v>
          </cell>
        </row>
        <row r="179">
          <cell r="D179" t="str">
            <v>Thailand</v>
          </cell>
        </row>
        <row r="180">
          <cell r="D180" t="str">
            <v>Timor Leste</v>
          </cell>
        </row>
        <row r="181">
          <cell r="D181" t="str">
            <v>Togo</v>
          </cell>
        </row>
        <row r="182">
          <cell r="D182" t="str">
            <v>Tonga</v>
          </cell>
        </row>
        <row r="183">
          <cell r="D183" t="str">
            <v>Trinidad &amp; Tobago</v>
          </cell>
        </row>
        <row r="184">
          <cell r="D184" t="str">
            <v>Tunisia</v>
          </cell>
        </row>
        <row r="185">
          <cell r="D185" t="str">
            <v>Turkey</v>
          </cell>
        </row>
        <row r="186">
          <cell r="D186" t="str">
            <v>Turkmenistan</v>
          </cell>
        </row>
        <row r="187">
          <cell r="D187" t="str">
            <v>Turks &amp; Caicos Islands</v>
          </cell>
        </row>
        <row r="188">
          <cell r="D188" t="str">
            <v>Tuvalu</v>
          </cell>
        </row>
        <row r="189">
          <cell r="D189" t="str">
            <v>Uganda</v>
          </cell>
        </row>
        <row r="190">
          <cell r="D190" t="str">
            <v>Ukraine</v>
          </cell>
        </row>
        <row r="191">
          <cell r="D191" t="str">
            <v>United Arab Emirates</v>
          </cell>
        </row>
        <row r="192">
          <cell r="D192" t="str">
            <v>United Kingdom</v>
          </cell>
        </row>
        <row r="193">
          <cell r="D193" t="str">
            <v>United States of America</v>
          </cell>
        </row>
        <row r="194">
          <cell r="D194" t="str">
            <v>Uruguay</v>
          </cell>
        </row>
        <row r="195">
          <cell r="D195" t="str">
            <v>Uzbekistan</v>
          </cell>
        </row>
        <row r="196">
          <cell r="D196" t="str">
            <v>Vanuatu</v>
          </cell>
        </row>
        <row r="197">
          <cell r="D197" t="str">
            <v>Venezuela</v>
          </cell>
        </row>
        <row r="198">
          <cell r="D198" t="str">
            <v>Vietnam</v>
          </cell>
        </row>
        <row r="199">
          <cell r="D199" t="str">
            <v>Yemen</v>
          </cell>
        </row>
        <row r="200">
          <cell r="D200" t="str">
            <v>Zambia</v>
          </cell>
        </row>
        <row r="201">
          <cell r="D201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3"/>
  </sheetPr>
  <dimension ref="A1:B26"/>
  <sheetViews>
    <sheetView showGridLines="0" workbookViewId="0">
      <selection activeCell="A9" sqref="A9"/>
    </sheetView>
  </sheetViews>
  <sheetFormatPr defaultRowHeight="12.75"/>
  <cols>
    <col min="1" max="1" width="29.5703125" customWidth="1"/>
    <col min="2" max="2" width="6.140625" customWidth="1"/>
    <col min="3" max="3" width="8.28515625" customWidth="1"/>
    <col min="4" max="4" width="49.7109375" customWidth="1"/>
    <col min="5" max="5" width="13.5703125" customWidth="1"/>
    <col min="6" max="6" width="9.140625" customWidth="1"/>
  </cols>
  <sheetData>
    <row r="1" spans="1:2">
      <c r="A1" s="105" t="s">
        <v>156</v>
      </c>
      <c r="B1" s="104"/>
    </row>
    <row r="2" spans="1:2">
      <c r="A2" s="105"/>
      <c r="B2" s="104"/>
    </row>
    <row r="3" spans="1:2">
      <c r="A3" s="105" t="s">
        <v>199</v>
      </c>
      <c r="B3" s="104"/>
    </row>
    <row r="4" spans="1:2">
      <c r="A4" s="253" t="s">
        <v>201</v>
      </c>
      <c r="B4" s="104"/>
    </row>
    <row r="5" spans="1:2">
      <c r="A5" s="253" t="s">
        <v>202</v>
      </c>
      <c r="B5" s="104"/>
    </row>
    <row r="6" spans="1:2">
      <c r="A6" s="253" t="s">
        <v>203</v>
      </c>
      <c r="B6" s="104"/>
    </row>
    <row r="7" spans="1:2">
      <c r="A7" s="253" t="s">
        <v>204</v>
      </c>
      <c r="B7" s="104"/>
    </row>
    <row r="8" spans="1:2">
      <c r="A8" s="253" t="s">
        <v>205</v>
      </c>
      <c r="B8" s="104"/>
    </row>
    <row r="9" spans="1:2">
      <c r="A9" s="253" t="s">
        <v>213</v>
      </c>
      <c r="B9" s="104"/>
    </row>
    <row r="10" spans="1:2">
      <c r="A10" s="253" t="s">
        <v>214</v>
      </c>
      <c r="B10" s="104"/>
    </row>
    <row r="11" spans="1:2">
      <c r="A11" s="105"/>
      <c r="B11" s="104"/>
    </row>
    <row r="12" spans="1:2">
      <c r="A12" s="105" t="s">
        <v>215</v>
      </c>
      <c r="B12" s="104"/>
    </row>
    <row r="13" spans="1:2">
      <c r="A13" s="253" t="s">
        <v>216</v>
      </c>
      <c r="B13" s="104"/>
    </row>
    <row r="14" spans="1:2">
      <c r="A14" s="253" t="s">
        <v>206</v>
      </c>
      <c r="B14" s="104"/>
    </row>
    <row r="15" spans="1:2">
      <c r="A15" s="253" t="s">
        <v>200</v>
      </c>
      <c r="B15" s="104"/>
    </row>
    <row r="16" spans="1:2">
      <c r="A16" s="253" t="s">
        <v>217</v>
      </c>
      <c r="B16" s="104"/>
    </row>
    <row r="17" spans="1:2">
      <c r="A17" s="253" t="s">
        <v>209</v>
      </c>
      <c r="B17" s="104"/>
    </row>
    <row r="18" spans="1:2">
      <c r="A18" s="253" t="s">
        <v>218</v>
      </c>
      <c r="B18" s="104"/>
    </row>
    <row r="19" spans="1:2">
      <c r="A19" s="229"/>
      <c r="B19" s="104"/>
    </row>
    <row r="20" spans="1:2">
      <c r="A20" s="105" t="s">
        <v>198</v>
      </c>
      <c r="B20" s="104"/>
    </row>
    <row r="21" spans="1:2">
      <c r="A21" s="105" t="s">
        <v>70</v>
      </c>
      <c r="B21" s="104"/>
    </row>
    <row r="22" spans="1:2">
      <c r="A22" s="105" t="s">
        <v>140</v>
      </c>
      <c r="B22" s="105" t="s">
        <v>141</v>
      </c>
    </row>
    <row r="23" spans="1:2">
      <c r="A23" s="227" t="s">
        <v>142</v>
      </c>
      <c r="B23" s="227" t="s">
        <v>145</v>
      </c>
    </row>
    <row r="24" spans="1:2">
      <c r="A24" s="227" t="s">
        <v>143</v>
      </c>
      <c r="B24" s="227" t="s">
        <v>146</v>
      </c>
    </row>
    <row r="25" spans="1:2">
      <c r="A25" s="227" t="s">
        <v>144</v>
      </c>
      <c r="B25" s="227" t="s">
        <v>147</v>
      </c>
    </row>
    <row r="26" spans="1:2">
      <c r="A26" s="227"/>
      <c r="B26" s="228"/>
    </row>
  </sheetData>
  <sortState ref="A22:G70">
    <sortCondition ref="A22:A70"/>
    <sortCondition ref="E22:E70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33"/>
  <sheetViews>
    <sheetView topLeftCell="S1" workbookViewId="0">
      <selection activeCell="AE4" sqref="AE4"/>
    </sheetView>
  </sheetViews>
  <sheetFormatPr defaultRowHeight="12.75"/>
  <cols>
    <col min="1" max="1" width="17.7109375" style="183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  <col min="31" max="31" width="12.57031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184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185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186">
        <f>'HIV Neg U5MR 50'!A4</f>
        <v>0</v>
      </c>
      <c r="B4" s="9">
        <f>'HIV Neg U5MR 50'!B4</f>
        <v>1269013.013309208</v>
      </c>
      <c r="C4" s="9">
        <f>'HIV Neg U5MR 50'!I4</f>
        <v>63112.116691969633</v>
      </c>
      <c r="D4" s="5">
        <v>0</v>
      </c>
      <c r="E4" s="9">
        <f>'HIV Pos Neg U5MR 50'!B4</f>
        <v>88597.986690792124</v>
      </c>
      <c r="F4" s="9">
        <f>'HIV Pos Neg U5MR 50'!I4</f>
        <v>4382.2439970438045</v>
      </c>
      <c r="G4" s="10">
        <f>'Base values'!C57</f>
        <v>0</v>
      </c>
      <c r="H4" s="9">
        <f>'HIV Pos Pos U5MR 50'!B4</f>
        <v>7809</v>
      </c>
      <c r="I4" s="9">
        <f>'HIV Pos Pos U5MR 50'!I4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C4+'HIV Pos Neg U5MR 50'!K4+'HIV Pos Pos U5MR 50'!K4</f>
        <v>72155.454592418668</v>
      </c>
      <c r="N4" s="57">
        <f>'HIV Pos Neg U5MR 50'!L4+'HIV Pos Pos U5MR 50'!L4</f>
        <v>653.6425965947783</v>
      </c>
      <c r="O4" s="143" t="str">
        <f>$A4&amp;"-"&amp;$A4+4</f>
        <v>0-4</v>
      </c>
      <c r="P4" s="181">
        <f t="shared" ref="P4:P21" si="0">(SUM(M4:M8)/SUM(K4:K8))/(SUM(M4:N8)/SUM(K4:L8))</f>
        <v>0.9748581154493452</v>
      </c>
      <c r="Q4" s="143" t="str">
        <f>$A4&amp;"-"&amp;$A4+3</f>
        <v>0-3</v>
      </c>
      <c r="R4" s="162">
        <f t="shared" ref="R4:R22" si="1">(SUM(M4:M7)/SUM(K4:K7))/(SUM(M4:N7)/SUM(K4:L7))</f>
        <v>0.98045482568310127</v>
      </c>
      <c r="S4" s="143" t="str">
        <f>$A4&amp;"-"&amp;$A4+2</f>
        <v>0-2</v>
      </c>
      <c r="T4" s="162">
        <f t="shared" ref="T4:T23" si="2">(SUM(M4:M6)/SUM(K4:K6))/(SUM(M4:N6)/SUM(K4:L6))</f>
        <v>0.98479854610128315</v>
      </c>
      <c r="U4" s="143" t="str">
        <f>$A4&amp;"-"&amp;$A4+1</f>
        <v>0-1</v>
      </c>
      <c r="V4" s="162">
        <f t="shared" ref="V4:V24" si="3">(SUM(M4:M5)/SUM(K4:K5))/(SUM(M4:N5)/SUM(K4:L5))</f>
        <v>0.98811188129983785</v>
      </c>
      <c r="W4" s="143">
        <f>$A4</f>
        <v>0</v>
      </c>
      <c r="X4" s="144">
        <f>(SUM(M4:M4)/SUM(K4:K4))/(SUM(M4:N4)/SUM(K4:L4))</f>
        <v>0.99102251474293246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13" si="4">RIGHT(Z4,4)-LEFT(Z4,4)+1</f>
        <v>1</v>
      </c>
      <c r="AD4" s="166">
        <v>0</v>
      </c>
      <c r="AE4" s="150">
        <f t="shared" ref="AE4:AE26" ca="1" si="5">OFFSET($P$4,AD4,2*(5-AC4))</f>
        <v>0.99102251474293246</v>
      </c>
    </row>
    <row r="5" spans="1:32">
      <c r="A5" s="186">
        <f>'HIV Neg U5MR 50'!A5</f>
        <v>1</v>
      </c>
      <c r="B5" s="9">
        <f>'HIV Neg U5MR 50'!B5</f>
        <v>1259889.6569743706</v>
      </c>
      <c r="C5" s="9">
        <f>'HIV Neg U5MR 50'!I5</f>
        <v>62605.506687089735</v>
      </c>
      <c r="D5" s="5">
        <v>0</v>
      </c>
      <c r="E5" s="9">
        <f>'HIV Pos Neg U5MR 50'!B5</f>
        <v>86411.343025629394</v>
      </c>
      <c r="F5" s="9">
        <f>'HIV Pos Neg U5MR 50'!I5</f>
        <v>4301.1211742347341</v>
      </c>
      <c r="G5" s="10">
        <f>'Base values'!C58</f>
        <v>5.4347826086956513E-2</v>
      </c>
      <c r="H5" s="9">
        <f>'HIV Pos Pos U5MR 50'!B5</f>
        <v>9229</v>
      </c>
      <c r="I5" s="9">
        <f>'HIV Pos Pos U5MR 50'!I5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C5+'HIV Pos Neg U5MR 50'!K5+'HIV Pos Pos U5MR 50'!K5</f>
        <v>70917.951320482083</v>
      </c>
      <c r="N5" s="57">
        <f>'HIV Pos Neg U5MR 50'!L5+'HIV Pos Pos U5MR 50'!L5</f>
        <v>1344.826040842383</v>
      </c>
      <c r="O5" s="151" t="str">
        <f t="shared" ref="O5:O21" si="8">A5&amp;"-"&amp;A5+4</f>
        <v>1-5</v>
      </c>
      <c r="P5" s="179">
        <f t="shared" si="0"/>
        <v>0.96353132803253461</v>
      </c>
      <c r="Q5" s="151" t="str">
        <f t="shared" ref="Q5:Q25" si="9">$A5&amp;"-"&amp;$A5+3</f>
        <v>1-4</v>
      </c>
      <c r="R5" s="161">
        <f t="shared" si="1"/>
        <v>0.97071929216459196</v>
      </c>
      <c r="S5" s="151" t="str">
        <f t="shared" ref="S5:S26" si="10">$A5&amp;"-"&amp;$A5+2</f>
        <v>1-3</v>
      </c>
      <c r="T5" s="161">
        <f t="shared" si="2"/>
        <v>0.97684604754797921</v>
      </c>
      <c r="U5" s="151" t="str">
        <f t="shared" ref="U5:U27" si="11">$A5&amp;"-"&amp;$A5+1</f>
        <v>1-2</v>
      </c>
      <c r="V5" s="161">
        <f t="shared" si="3"/>
        <v>0.98162114091768238</v>
      </c>
      <c r="W5" s="151">
        <f t="shared" ref="W5:W28" si="12">$A5</f>
        <v>1</v>
      </c>
      <c r="X5" s="152">
        <f t="shared" ref="X5:X25" si="13">(SUM(M5:M5)/SUM(K5:K5))/(SUM(M5:N5)/SUM(K5:L5))</f>
        <v>0.98516745378987258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ca="1">OFFSET($P$4,AD5,2*(5-AC5))</f>
        <v>0.98516745378987258</v>
      </c>
    </row>
    <row r="6" spans="1:32">
      <c r="A6" s="186">
        <f>'HIV Neg U5MR 50'!A6</f>
        <v>2</v>
      </c>
      <c r="B6" s="9">
        <f>'HIV Neg U5MR 50'!B6</f>
        <v>1248874.5119299444</v>
      </c>
      <c r="C6" s="9">
        <f>'HIV Neg U5MR 50'!I6</f>
        <v>62016.796065349656</v>
      </c>
      <c r="D6" s="5">
        <v>0</v>
      </c>
      <c r="E6" s="9">
        <f>'HIV Pos Neg U5MR 50'!B6</f>
        <v>86144.488070055653</v>
      </c>
      <c r="F6" s="9">
        <f>'HIV Pos Neg U5MR 50'!I6</f>
        <v>4278.8911171554164</v>
      </c>
      <c r="G6" s="10">
        <f>'Base values'!C59</f>
        <v>0.13043478260869565</v>
      </c>
      <c r="H6" s="9">
        <f>'HIV Pos Pos U5MR 50'!B6</f>
        <v>8311</v>
      </c>
      <c r="I6" s="9">
        <f>'HIV Pos Pos U5MR 50'!I6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C6+'HIV Pos Neg U5MR 50'!K6+'HIV Pos Pos U5MR 50'!K6</f>
        <v>69223.443794357008</v>
      </c>
      <c r="N6" s="57">
        <f>'HIV Pos Neg U5MR 50'!L6+'HIV Pos Pos U5MR 50'!L6</f>
        <v>2211.7708881480703</v>
      </c>
      <c r="O6" s="151" t="str">
        <f t="shared" si="8"/>
        <v>2-6</v>
      </c>
      <c r="P6" s="179">
        <f t="shared" si="0"/>
        <v>0.94861303475670056</v>
      </c>
      <c r="Q6" s="151" t="str">
        <f t="shared" si="9"/>
        <v>2-5</v>
      </c>
      <c r="R6" s="161">
        <f t="shared" si="1"/>
        <v>0.95803916816656787</v>
      </c>
      <c r="S6" s="151" t="str">
        <f t="shared" si="10"/>
        <v>2-4</v>
      </c>
      <c r="T6" s="161">
        <f t="shared" si="2"/>
        <v>0.96582225465302474</v>
      </c>
      <c r="U6" s="151" t="str">
        <f t="shared" si="11"/>
        <v>2-3</v>
      </c>
      <c r="V6" s="161">
        <f t="shared" si="3"/>
        <v>0.97260546943152293</v>
      </c>
      <c r="W6" s="151">
        <f t="shared" si="12"/>
        <v>2</v>
      </c>
      <c r="X6" s="152">
        <f t="shared" si="13"/>
        <v>0.97800783506090316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13" si="14">AD5+AC5</f>
        <v>2</v>
      </c>
      <c r="AE6" s="150">
        <f t="shared" ca="1" si="5"/>
        <v>0.97800783506090316</v>
      </c>
    </row>
    <row r="7" spans="1:32">
      <c r="A7" s="186">
        <f>'HIV Neg U5MR 50'!A7</f>
        <v>3</v>
      </c>
      <c r="B7" s="9">
        <f>'HIV Neg U5MR 50'!B7</f>
        <v>1237689.3921640057</v>
      </c>
      <c r="C7" s="9">
        <f>'HIV Neg U5MR 50'!I7</f>
        <v>61384.521249815443</v>
      </c>
      <c r="D7" s="5">
        <v>0</v>
      </c>
      <c r="E7" s="9">
        <f>'HIV Pos Neg U5MR 50'!B7</f>
        <v>86776.60783599432</v>
      </c>
      <c r="F7" s="9">
        <f>'HIV Pos Neg U5MR 50'!I7</f>
        <v>4249.8660490039974</v>
      </c>
      <c r="G7" s="10">
        <f>'Base values'!C60</f>
        <v>0.21739130434782611</v>
      </c>
      <c r="H7" s="9">
        <f>'HIV Pos Pos U5MR 50'!B7</f>
        <v>6494</v>
      </c>
      <c r="I7" s="9">
        <f>'HIV Pos Pos U5MR 50'!I7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C7+'HIV Pos Neg U5MR 50'!K7+'HIV Pos Pos U5MR 50'!K7</f>
        <v>68000.060222999033</v>
      </c>
      <c r="N7" s="57">
        <f>'HIV Pos Neg U5MR 50'!L7+'HIV Pos Pos U5MR 50'!L7</f>
        <v>3394.2100758204028</v>
      </c>
      <c r="O7" s="151" t="str">
        <f t="shared" si="8"/>
        <v>3-7</v>
      </c>
      <c r="P7" s="179">
        <f t="shared" si="0"/>
        <v>0.92997513424613776</v>
      </c>
      <c r="Q7" s="151" t="str">
        <f t="shared" si="9"/>
        <v>3-6</v>
      </c>
      <c r="R7" s="161">
        <f t="shared" si="1"/>
        <v>0.9412994463743064</v>
      </c>
      <c r="S7" s="151" t="str">
        <f t="shared" si="10"/>
        <v>3-5</v>
      </c>
      <c r="T7" s="161">
        <f t="shared" si="2"/>
        <v>0.9513992824622598</v>
      </c>
      <c r="U7" s="151" t="str">
        <f t="shared" si="11"/>
        <v>3-4</v>
      </c>
      <c r="V7" s="161">
        <f t="shared" si="3"/>
        <v>0.95973643085441263</v>
      </c>
      <c r="W7" s="151">
        <f t="shared" si="12"/>
        <v>3</v>
      </c>
      <c r="X7" s="152">
        <f t="shared" si="13"/>
        <v>0.96719271455327172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0.96719271455327172</v>
      </c>
    </row>
    <row r="8" spans="1:32">
      <c r="A8" s="186">
        <f>'HIV Neg U5MR 50'!A8</f>
        <v>4</v>
      </c>
      <c r="B8" s="9">
        <f>'HIV Neg U5MR 50'!B8</f>
        <v>1224748.5911279062</v>
      </c>
      <c r="C8" s="9">
        <f>'HIV Neg U5MR 50'!I8</f>
        <v>60656.451568897224</v>
      </c>
      <c r="D8" s="5">
        <v>0</v>
      </c>
      <c r="E8" s="9">
        <f>'HIV Pos Neg U5MR 50'!B8</f>
        <v>83583.408872093714</v>
      </c>
      <c r="F8" s="9">
        <f>'HIV Pos Neg U5MR 50'!I8</f>
        <v>4113.3324729088436</v>
      </c>
      <c r="G8" s="10">
        <f>'Base values'!C61</f>
        <v>0.31521739130434784</v>
      </c>
      <c r="H8" s="9">
        <f>'HIV Pos Pos U5MR 50'!B8</f>
        <v>8918</v>
      </c>
      <c r="I8" s="9">
        <f>'HIV Pos Pos U5MR 50'!I8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C8+'HIV Pos Neg U5MR 50'!K8+'HIV Pos Pos U5MR 50'!K8</f>
        <v>66863.101780890138</v>
      </c>
      <c r="N8" s="57">
        <f>'HIV Pos Neg U5MR 50'!L8+'HIV Pos Pos U5MR 50'!L8</f>
        <v>4936.6792609159329</v>
      </c>
      <c r="O8" s="151" t="str">
        <f t="shared" si="8"/>
        <v>4-8</v>
      </c>
      <c r="P8" s="179">
        <f t="shared" si="0"/>
        <v>0.9080318133752654</v>
      </c>
      <c r="Q8" s="151" t="str">
        <f t="shared" si="9"/>
        <v>4-7</v>
      </c>
      <c r="R8" s="161">
        <f t="shared" si="1"/>
        <v>0.92077872332494448</v>
      </c>
      <c r="S8" s="151" t="str">
        <f t="shared" si="10"/>
        <v>4-6</v>
      </c>
      <c r="T8" s="161">
        <f t="shared" si="2"/>
        <v>0.9327435024450309</v>
      </c>
      <c r="U8" s="151" t="str">
        <f t="shared" si="11"/>
        <v>4-5</v>
      </c>
      <c r="V8" s="161">
        <f t="shared" si="3"/>
        <v>0.94355298643105401</v>
      </c>
      <c r="W8" s="151">
        <f t="shared" si="12"/>
        <v>4</v>
      </c>
      <c r="X8" s="152">
        <f t="shared" si="13"/>
        <v>0.95232402756953471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0.95232402756953471</v>
      </c>
    </row>
    <row r="9" spans="1:32">
      <c r="A9" s="186">
        <f>'HIV Neg U5MR 50'!A9</f>
        <v>5</v>
      </c>
      <c r="B9" s="9">
        <f>'HIV Neg U5MR 50'!B9</f>
        <v>1210852.8730926085</v>
      </c>
      <c r="C9" s="9">
        <f>'HIV Neg U5MR 50'!I9</f>
        <v>59814.17898269061</v>
      </c>
      <c r="D9" s="5">
        <v>0</v>
      </c>
      <c r="E9" s="9">
        <f>'HIV Pos Neg U5MR 50'!B9</f>
        <v>81434.126907391517</v>
      </c>
      <c r="F9" s="9">
        <f>'HIV Pos Neg U5MR 50'!I9</f>
        <v>4019.6588136238238</v>
      </c>
      <c r="G9" s="10">
        <f>'Base values'!C62</f>
        <v>0.42391304347826092</v>
      </c>
      <c r="H9" s="9">
        <f>'HIV Pos Pos U5MR 50'!B9</f>
        <v>10663</v>
      </c>
      <c r="I9" s="9">
        <f>'HIV Pos Pos U5MR 50'!I9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C9+'HIV Pos Neg U5MR 50'!K9+'HIV Pos Pos U5MR 50'!K9</f>
        <v>65305.842642749754</v>
      </c>
      <c r="N9" s="57">
        <f>'HIV Pos Neg U5MR 50'!L9+'HIV Pos Pos U5MR 50'!L9</f>
        <v>6713.5431535646803</v>
      </c>
      <c r="O9" s="151" t="str">
        <f t="shared" si="8"/>
        <v>5-9</v>
      </c>
      <c r="P9" s="179">
        <f t="shared" si="0"/>
        <v>0.8833600034204574</v>
      </c>
      <c r="Q9" s="151" t="str">
        <f t="shared" si="9"/>
        <v>5-8</v>
      </c>
      <c r="R9" s="161">
        <f t="shared" si="1"/>
        <v>0.89707611013281463</v>
      </c>
      <c r="S9" s="151" t="str">
        <f t="shared" si="10"/>
        <v>5-7</v>
      </c>
      <c r="T9" s="161">
        <f t="shared" si="2"/>
        <v>0.91034636348978815</v>
      </c>
      <c r="U9" s="151" t="str">
        <f t="shared" si="11"/>
        <v>5-6</v>
      </c>
      <c r="V9" s="161">
        <f t="shared" si="3"/>
        <v>0.92299635432720961</v>
      </c>
      <c r="W9" s="151">
        <f t="shared" si="12"/>
        <v>5</v>
      </c>
      <c r="X9" s="152">
        <f t="shared" si="13"/>
        <v>0.93479122659634595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0.93479122659634595</v>
      </c>
    </row>
    <row r="10" spans="1:32">
      <c r="A10" s="186">
        <f>'HIV Neg U5MR 50'!A10</f>
        <v>6</v>
      </c>
      <c r="B10" s="9">
        <f>'HIV Neg U5MR 50'!B10</f>
        <v>1189638.5977297928</v>
      </c>
      <c r="C10" s="9">
        <f>'HIV Neg U5MR 50'!I10</f>
        <v>58720.632393784865</v>
      </c>
      <c r="D10" s="5">
        <v>0</v>
      </c>
      <c r="E10" s="9">
        <f>'HIV Pos Neg U5MR 50'!B10</f>
        <v>80142.40227020724</v>
      </c>
      <c r="F10" s="9">
        <f>'HIV Pos Neg U5MR 50'!I10</f>
        <v>3945.570431506153</v>
      </c>
      <c r="G10" s="10">
        <f>'Base values'!C63</f>
        <v>0.53260869565217406</v>
      </c>
      <c r="H10" s="9">
        <f>'HIV Pos Pos U5MR 50'!B10</f>
        <v>11419</v>
      </c>
      <c r="I10" s="9">
        <f>'HIV Pos Pos U5MR 50'!I10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C10+'HIV Pos Neg U5MR 50'!K10+'HIV Pos Pos U5MR 50'!K10</f>
        <v>63573.066990259169</v>
      </c>
      <c r="N10" s="57">
        <f>'HIV Pos Neg U5MR 50'!L10+'HIV Pos Pos U5MR 50'!L10</f>
        <v>8950.0028350318516</v>
      </c>
      <c r="O10" s="151" t="str">
        <f t="shared" si="8"/>
        <v>6-10</v>
      </c>
      <c r="P10" s="179">
        <f t="shared" si="0"/>
        <v>0.85697628205256382</v>
      </c>
      <c r="Q10" s="151" t="str">
        <f t="shared" si="9"/>
        <v>6-9</v>
      </c>
      <c r="R10" s="161">
        <f t="shared" si="1"/>
        <v>0.87069967070333643</v>
      </c>
      <c r="S10" s="151" t="str">
        <f t="shared" si="10"/>
        <v>6-8</v>
      </c>
      <c r="T10" s="161">
        <f t="shared" si="2"/>
        <v>0.88466056011548566</v>
      </c>
      <c r="U10" s="151" t="str">
        <f t="shared" si="11"/>
        <v>6-7</v>
      </c>
      <c r="V10" s="161">
        <f t="shared" si="3"/>
        <v>0.8982448593383231</v>
      </c>
      <c r="W10" s="151">
        <f t="shared" si="12"/>
        <v>6</v>
      </c>
      <c r="X10" s="152">
        <f t="shared" si="13"/>
        <v>0.91127694816906446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186">
        <f>'HIV Neg U5MR 50'!A11</f>
        <v>7</v>
      </c>
      <c r="B11" s="9">
        <f>'HIV Neg U5MR 50'!B11</f>
        <v>1167750.9570162341</v>
      </c>
      <c r="C11" s="9">
        <f>'HIV Neg U5MR 50'!I11</f>
        <v>57578.972484882652</v>
      </c>
      <c r="D11" s="5">
        <v>0</v>
      </c>
      <c r="E11" s="9">
        <f>'HIV Pos Neg U5MR 50'!B11</f>
        <v>76436.042983765918</v>
      </c>
      <c r="F11" s="9">
        <f>'HIV Pos Neg U5MR 50'!I11</f>
        <v>3837.5049989300969</v>
      </c>
      <c r="G11" s="10">
        <f>'Base values'!C64</f>
        <v>0.63043478260869579</v>
      </c>
      <c r="H11" s="9">
        <f>'HIV Pos Pos U5MR 50'!B11</f>
        <v>15633</v>
      </c>
      <c r="I11" s="9">
        <f>'HIV Pos Pos U5MR 50'!I11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C11+'HIV Pos Neg U5MR 50'!K11+'HIV Pos Pos U5MR 50'!K11</f>
        <v>61751.321393399601</v>
      </c>
      <c r="N11" s="57">
        <f>'HIV Pos Neg U5MR 50'!L11+'HIV Pos Pos U5MR 50'!L11</f>
        <v>11369.033090413144</v>
      </c>
      <c r="O11" s="151" t="str">
        <f t="shared" si="8"/>
        <v>7-11</v>
      </c>
      <c r="P11" s="179">
        <f t="shared" si="0"/>
        <v>0.83095376902841334</v>
      </c>
      <c r="Q11" s="151" t="str">
        <f t="shared" si="9"/>
        <v>7-10</v>
      </c>
      <c r="R11" s="161">
        <f t="shared" si="1"/>
        <v>0.84359536212849617</v>
      </c>
      <c r="S11" s="151" t="str">
        <f t="shared" si="10"/>
        <v>7-9</v>
      </c>
      <c r="T11" s="161">
        <f t="shared" si="2"/>
        <v>0.85733717321545744</v>
      </c>
      <c r="U11" s="151" t="str">
        <f t="shared" si="11"/>
        <v>7-8</v>
      </c>
      <c r="V11" s="161">
        <f t="shared" si="3"/>
        <v>0.87147418286587874</v>
      </c>
      <c r="W11" s="151">
        <f t="shared" si="12"/>
        <v>7</v>
      </c>
      <c r="X11" s="152">
        <f t="shared" si="13"/>
        <v>0.88530469658217503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186">
        <f>'HIV Neg U5MR 50'!A12</f>
        <v>8</v>
      </c>
      <c r="B12" s="9">
        <f>'HIV Neg U5MR 50'!B12</f>
        <v>1144928.7874705833</v>
      </c>
      <c r="C12" s="9">
        <f>'HIV Neg U5MR 50'!I12</f>
        <v>56368.158644026342</v>
      </c>
      <c r="D12" s="5">
        <v>0</v>
      </c>
      <c r="E12" s="9">
        <f>'HIV Pos Neg U5MR 50'!B12</f>
        <v>75838.212529416545</v>
      </c>
      <c r="F12" s="9">
        <f>'HIV Pos Neg U5MR 50'!I12</f>
        <v>3852.0958190539704</v>
      </c>
      <c r="G12" s="10">
        <f>'Base values'!C65</f>
        <v>0.71739130434782605</v>
      </c>
      <c r="H12" s="9">
        <f>'HIV Pos Pos U5MR 50'!B12</f>
        <v>17643</v>
      </c>
      <c r="I12" s="9">
        <f>'HIV Pos Pos U5MR 50'!I12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C12+'HIV Pos Neg U5MR 50'!K12+'HIV Pos Pos U5MR 50'!K12</f>
        <v>59702.647144739502</v>
      </c>
      <c r="N12" s="57">
        <f>'HIV Pos Neg U5MR 50'!L12+'HIV Pos Pos U5MR 50'!L12</f>
        <v>13890.200818340816</v>
      </c>
      <c r="O12" s="151" t="str">
        <f t="shared" si="8"/>
        <v>8-12</v>
      </c>
      <c r="P12" s="179">
        <f t="shared" si="0"/>
        <v>0.80620685341726628</v>
      </c>
      <c r="Q12" s="151" t="str">
        <f t="shared" si="9"/>
        <v>8-11</v>
      </c>
      <c r="R12" s="161">
        <f t="shared" si="1"/>
        <v>0.81750263421863079</v>
      </c>
      <c r="S12" s="151" t="str">
        <f t="shared" si="10"/>
        <v>8-10</v>
      </c>
      <c r="T12" s="161">
        <f t="shared" si="2"/>
        <v>0.82982680104585904</v>
      </c>
      <c r="U12" s="151" t="str">
        <f t="shared" si="11"/>
        <v>8-9</v>
      </c>
      <c r="V12" s="161">
        <f t="shared" si="3"/>
        <v>0.84345895165121165</v>
      </c>
      <c r="W12" s="151">
        <f t="shared" si="12"/>
        <v>8</v>
      </c>
      <c r="X12" s="152">
        <f t="shared" si="13"/>
        <v>0.85770257386242987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186">
        <f>'HIV Neg U5MR 50'!A13</f>
        <v>9</v>
      </c>
      <c r="B13" s="9">
        <f>'HIV Neg U5MR 50'!B13</f>
        <v>1119951.9084310441</v>
      </c>
      <c r="C13" s="9">
        <f>'HIV Neg U5MR 50'!I13</f>
        <v>55057.853206460335</v>
      </c>
      <c r="D13" s="5">
        <v>0</v>
      </c>
      <c r="E13" s="9">
        <f>'HIV Pos Neg U5MR 50'!B13</f>
        <v>76563.09156895589</v>
      </c>
      <c r="F13" s="9">
        <f>'HIV Pos Neg U5MR 50'!I13</f>
        <v>3929.9349093423816</v>
      </c>
      <c r="G13" s="10">
        <f>'Base values'!C66</f>
        <v>0.80434782608695654</v>
      </c>
      <c r="H13" s="9">
        <f>'HIV Pos Pos U5MR 50'!B13</f>
        <v>20575</v>
      </c>
      <c r="I13" s="9">
        <f>'HIV Pos Pos U5MR 50'!I13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C13+'HIV Pos Neg U5MR 50'!K13+'HIV Pos Pos U5MR 50'!K13</f>
        <v>57627.461141738786</v>
      </c>
      <c r="N13" s="57">
        <f>'HIV Pos Neg U5MR 50'!L13+'HIV Pos Pos U5MR 50'!L13</f>
        <v>16627.951474063932</v>
      </c>
      <c r="O13" s="151" t="str">
        <f t="shared" si="8"/>
        <v>9-13</v>
      </c>
      <c r="P13" s="179">
        <f t="shared" si="0"/>
        <v>0.78351927900508656</v>
      </c>
      <c r="Q13" s="151" t="str">
        <f t="shared" si="9"/>
        <v>9-12</v>
      </c>
      <c r="R13" s="161">
        <f t="shared" si="1"/>
        <v>0.79340998133458118</v>
      </c>
      <c r="S13" s="151" t="str">
        <f t="shared" si="10"/>
        <v>9-11</v>
      </c>
      <c r="T13" s="161">
        <f t="shared" si="2"/>
        <v>0.80420609955561551</v>
      </c>
      <c r="U13" s="151" t="str">
        <f t="shared" si="11"/>
        <v>9-10</v>
      </c>
      <c r="V13" s="161">
        <f t="shared" si="3"/>
        <v>0.81600242778178489</v>
      </c>
      <c r="W13" s="151">
        <f t="shared" si="12"/>
        <v>9</v>
      </c>
      <c r="X13" s="152">
        <f t="shared" si="13"/>
        <v>0.82930954798407719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186">
        <f>'HIV Neg U5MR 50'!A14</f>
        <v>10</v>
      </c>
      <c r="B14" s="9">
        <f>'HIV Neg U5MR 50'!B14</f>
        <v>1093711.6672745319</v>
      </c>
      <c r="C14" s="9">
        <f>'HIV Neg U5MR 50'!I14</f>
        <v>53670.651632676068</v>
      </c>
      <c r="D14" s="5">
        <v>0</v>
      </c>
      <c r="E14" s="9">
        <f>'HIV Pos Neg U5MR 50'!B14</f>
        <v>78333.332725468019</v>
      </c>
      <c r="F14" s="9">
        <f>'HIV Pos Neg U5MR 50'!I14</f>
        <v>4069.1404009560806</v>
      </c>
      <c r="G14" s="10">
        <f>'Base values'!C67</f>
        <v>0.85869565217391319</v>
      </c>
      <c r="H14" s="9">
        <f>'HIV Pos Pos U5MR 50'!B14</f>
        <v>24235</v>
      </c>
      <c r="I14" s="9">
        <f>'HIV Pos Pos U5MR 50'!I14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C14+'HIV Pos Neg U5MR 50'!K14+'HIV Pos Pos U5MR 50'!K14</f>
        <v>55550.569113688551</v>
      </c>
      <c r="N14" s="57">
        <f>'HIV Pos Neg U5MR 50'!L14+'HIV Pos Pos U5MR 50'!L14</f>
        <v>19150.761419943599</v>
      </c>
      <c r="O14" s="151" t="str">
        <f t="shared" si="8"/>
        <v>10-14</v>
      </c>
      <c r="P14" s="179">
        <f t="shared" si="0"/>
        <v>0.76382522394561048</v>
      </c>
      <c r="Q14" s="151" t="str">
        <f t="shared" si="9"/>
        <v>10-13</v>
      </c>
      <c r="R14" s="161">
        <f t="shared" si="1"/>
        <v>0.77202303771059022</v>
      </c>
      <c r="S14" s="151" t="str">
        <f t="shared" si="10"/>
        <v>10-12</v>
      </c>
      <c r="T14" s="161">
        <f t="shared" si="2"/>
        <v>0.78143201088814562</v>
      </c>
      <c r="U14" s="151" t="str">
        <f t="shared" si="11"/>
        <v>10-11</v>
      </c>
      <c r="V14" s="161">
        <f t="shared" si="3"/>
        <v>0.79167441022449891</v>
      </c>
      <c r="W14" s="151">
        <f t="shared" si="12"/>
        <v>10</v>
      </c>
      <c r="X14" s="152">
        <f t="shared" si="13"/>
        <v>0.80273630456097655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ref="AC14:AC26" si="15">RIGHT(Z14,4)-LEFT(Z14,4)+1</f>
        <v>#VALUE!</v>
      </c>
      <c r="AD14" s="153" t="e">
        <f t="shared" ref="AD14:AD26" si="16">AD13+AC13</f>
        <v>#VALUE!</v>
      </c>
      <c r="AE14" s="150" t="e">
        <f t="shared" ca="1" si="5"/>
        <v>#VALUE!</v>
      </c>
    </row>
    <row r="15" spans="1:32">
      <c r="A15" s="186">
        <f>'HIV Neg U5MR 50'!A15</f>
        <v>11</v>
      </c>
      <c r="B15" s="9">
        <f>'HIV Neg U5MR 50'!B15</f>
        <v>1065792.1055339968</v>
      </c>
      <c r="C15" s="9">
        <f>'HIV Neg U5MR 50'!I15</f>
        <v>52173.413423194455</v>
      </c>
      <c r="D15" s="5">
        <v>0</v>
      </c>
      <c r="E15" s="9">
        <f>'HIV Pos Neg U5MR 50'!B15</f>
        <v>82680.894466003141</v>
      </c>
      <c r="F15" s="9">
        <f>'HIV Pos Neg U5MR 50'!I15</f>
        <v>4294.2257993607755</v>
      </c>
      <c r="G15" s="10">
        <f>'Base values'!C68</f>
        <v>0.91304347826086973</v>
      </c>
      <c r="H15" s="9">
        <f>'HIV Pos Pos U5MR 50'!B15</f>
        <v>26757</v>
      </c>
      <c r="I15" s="9">
        <f>'HIV Pos Pos U5MR 50'!I15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C15+'HIV Pos Neg U5MR 50'!K15+'HIV Pos Pos U5MR 50'!K15</f>
        <v>53405.585006202287</v>
      </c>
      <c r="N15" s="57">
        <f>'HIV Pos Neg U5MR 50'!L15+'HIV Pos Pos U5MR 50'!L15</f>
        <v>21370.04021635294</v>
      </c>
      <c r="O15" s="151" t="str">
        <f t="shared" si="8"/>
        <v>11-15</v>
      </c>
      <c r="P15" s="179">
        <f t="shared" si="0"/>
        <v>0.74788024427931832</v>
      </c>
      <c r="Q15" s="151" t="str">
        <f t="shared" si="9"/>
        <v>11-14</v>
      </c>
      <c r="R15" s="161">
        <f t="shared" si="1"/>
        <v>0.75395785275831939</v>
      </c>
      <c r="S15" s="151" t="str">
        <f t="shared" si="10"/>
        <v>11-13</v>
      </c>
      <c r="T15" s="161">
        <f t="shared" si="2"/>
        <v>0.76168493720229169</v>
      </c>
      <c r="U15" s="151" t="str">
        <f t="shared" si="11"/>
        <v>11-12</v>
      </c>
      <c r="V15" s="161">
        <f t="shared" si="3"/>
        <v>0.77071467865937071</v>
      </c>
      <c r="W15" s="151">
        <f t="shared" si="12"/>
        <v>11</v>
      </c>
      <c r="X15" s="152">
        <f t="shared" si="13"/>
        <v>0.78057823317359498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15"/>
        <v>#VALUE!</v>
      </c>
      <c r="AD15" s="153" t="e">
        <f t="shared" si="16"/>
        <v>#VALUE!</v>
      </c>
      <c r="AE15" s="150" t="e">
        <f t="shared" ca="1" si="5"/>
        <v>#VALUE!</v>
      </c>
    </row>
    <row r="16" spans="1:32">
      <c r="A16" s="186">
        <f>'HIV Neg U5MR 50'!A16</f>
        <v>12</v>
      </c>
      <c r="B16" s="9">
        <f>'HIV Neg U5MR 50'!B16</f>
        <v>1031795.7875404547</v>
      </c>
      <c r="C16" s="9">
        <f>'HIV Neg U5MR 50'!I16</f>
        <v>50496.716718408352</v>
      </c>
      <c r="D16" s="5">
        <v>0</v>
      </c>
      <c r="E16" s="9">
        <f>'HIV Pos Neg U5MR 50'!B16</f>
        <v>87484.212459545393</v>
      </c>
      <c r="F16" s="9">
        <f>'HIV Pos Neg U5MR 50'!I16</f>
        <v>4531.928307247209</v>
      </c>
      <c r="G16" s="10">
        <f>'Base values'!C69</f>
        <v>0.94565217391304346</v>
      </c>
      <c r="H16" s="9">
        <f>'HIV Pos Pos U5MR 50'!B16</f>
        <v>28900</v>
      </c>
      <c r="I16" s="9">
        <f>'HIV Pos Pos U5MR 50'!I16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C16+'HIV Pos Neg U5MR 50'!K16+'HIV Pos Pos U5MR 50'!K16</f>
        <v>51265.072561543355</v>
      </c>
      <c r="N16" s="57">
        <f>'HIV Pos Neg U5MR 50'!L16+'HIV Pos Pos U5MR 50'!L16</f>
        <v>23262.606464112207</v>
      </c>
      <c r="O16" s="151" t="str">
        <f t="shared" si="8"/>
        <v>12-16</v>
      </c>
      <c r="P16" s="179">
        <f t="shared" si="0"/>
        <v>0.73588141852017364</v>
      </c>
      <c r="Q16" s="151" t="str">
        <f t="shared" si="9"/>
        <v>12-15</v>
      </c>
      <c r="R16" s="161">
        <f t="shared" si="1"/>
        <v>0.73953793542190482</v>
      </c>
      <c r="S16" s="151" t="str">
        <f t="shared" si="10"/>
        <v>12-14</v>
      </c>
      <c r="T16" s="161">
        <f t="shared" si="2"/>
        <v>0.74495303688788206</v>
      </c>
      <c r="U16" s="151" t="str">
        <f t="shared" si="11"/>
        <v>12-13</v>
      </c>
      <c r="V16" s="161">
        <f t="shared" si="3"/>
        <v>0.75214426204290297</v>
      </c>
      <c r="W16" s="151">
        <f t="shared" si="12"/>
        <v>12</v>
      </c>
      <c r="X16" s="152">
        <f t="shared" si="13"/>
        <v>0.76079206508192554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15"/>
        <v>#VALUE!</v>
      </c>
      <c r="AD16" s="153" t="e">
        <f t="shared" si="16"/>
        <v>#VALUE!</v>
      </c>
      <c r="AE16" s="150" t="e">
        <f t="shared" ca="1" si="5"/>
        <v>#VALUE!</v>
      </c>
    </row>
    <row r="17" spans="1:32">
      <c r="A17" s="186">
        <f>'HIV Neg U5MR 50'!A17</f>
        <v>13</v>
      </c>
      <c r="B17" s="9">
        <f>'HIV Neg U5MR 50'!B17</f>
        <v>998024.5859198774</v>
      </c>
      <c r="C17" s="9">
        <f>'HIV Neg U5MR 50'!I17</f>
        <v>48851.682735047812</v>
      </c>
      <c r="D17" s="5">
        <v>0</v>
      </c>
      <c r="E17" s="9">
        <f>'HIV Pos Neg U5MR 50'!B17</f>
        <v>92593.414080122617</v>
      </c>
      <c r="F17" s="9">
        <f>'HIV Pos Neg U5MR 50'!I17</f>
        <v>4768.0142832967113</v>
      </c>
      <c r="G17" s="10">
        <f>'Base values'!C70</f>
        <v>0.96739130434782605</v>
      </c>
      <c r="H17" s="9">
        <f>'HIV Pos Pos U5MR 50'!B17</f>
        <v>30992</v>
      </c>
      <c r="I17" s="9">
        <f>'HIV Pos Pos U5MR 50'!I17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C17+'HIV Pos Neg U5MR 50'!K17+'HIV Pos Pos U5MR 50'!K17</f>
        <v>49238.383020126392</v>
      </c>
      <c r="N17" s="57">
        <f>'HIV Pos Neg U5MR 50'!L17+'HIV Pos Pos U5MR 50'!L17</f>
        <v>24895.257998218131</v>
      </c>
      <c r="O17" s="151" t="str">
        <f t="shared" si="8"/>
        <v>13-17</v>
      </c>
      <c r="P17" s="179">
        <f t="shared" si="0"/>
        <v>0.72845998565489134</v>
      </c>
      <c r="Q17" s="151" t="str">
        <f t="shared" si="9"/>
        <v>13-16</v>
      </c>
      <c r="R17" s="161">
        <f t="shared" si="1"/>
        <v>0.72948949250320183</v>
      </c>
      <c r="S17" s="151" t="str">
        <f t="shared" si="10"/>
        <v>13-15</v>
      </c>
      <c r="T17" s="161">
        <f t="shared" si="2"/>
        <v>0.73231756525451375</v>
      </c>
      <c r="U17" s="151" t="str">
        <f t="shared" si="11"/>
        <v>13-14</v>
      </c>
      <c r="V17" s="161">
        <f t="shared" si="3"/>
        <v>0.7369295121413928</v>
      </c>
      <c r="W17" s="151">
        <f t="shared" si="12"/>
        <v>13</v>
      </c>
      <c r="X17" s="152">
        <f t="shared" si="13"/>
        <v>0.74342808226633772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15"/>
        <v>#VALUE!</v>
      </c>
      <c r="AD17" s="153" t="e">
        <f t="shared" si="16"/>
        <v>#VALUE!</v>
      </c>
      <c r="AE17" s="150" t="e">
        <f ca="1">OFFSET($P$4,AD17,2*(5-AC17))</f>
        <v>#VALUE!</v>
      </c>
    </row>
    <row r="18" spans="1:32">
      <c r="A18" s="186">
        <f>'HIV Neg U5MR 50'!A18</f>
        <v>14</v>
      </c>
      <c r="B18" s="9">
        <f>'HIV Neg U5MR 50'!B18</f>
        <v>964624.63545957068</v>
      </c>
      <c r="C18" s="9">
        <f>'HIV Neg U5MR 50'!I18</f>
        <v>47262.29035067626</v>
      </c>
      <c r="D18" s="5">
        <v>0</v>
      </c>
      <c r="E18" s="9">
        <f>'HIV Pos Neg U5MR 50'!B18</f>
        <v>97518.364540429335</v>
      </c>
      <c r="F18" s="9">
        <f>'HIV Pos Neg U5MR 50'!I18</f>
        <v>4977.6043050796288</v>
      </c>
      <c r="G18" s="10">
        <f>'Base values'!C71</f>
        <v>0.98913043478260865</v>
      </c>
      <c r="H18" s="9">
        <f>'HIV Pos Pos U5MR 50'!B18</f>
        <v>32797</v>
      </c>
      <c r="I18" s="9">
        <f>'HIV Pos Pos U5MR 50'!I18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C18+'HIV Pos Neg U5MR 50'!K18+'HIV Pos Pos U5MR 50'!K18</f>
        <v>47363.129653332042</v>
      </c>
      <c r="N18" s="57">
        <f>'HIV Pos Neg U5MR 50'!L18+'HIV Pos Pos U5MR 50'!L18</f>
        <v>26138.222502423851</v>
      </c>
      <c r="O18" s="151" t="str">
        <f t="shared" si="8"/>
        <v>14-18</v>
      </c>
      <c r="P18" s="179">
        <f t="shared" si="0"/>
        <v>0.72632044386982031</v>
      </c>
      <c r="Q18" s="151" t="str">
        <f t="shared" si="9"/>
        <v>14-17</v>
      </c>
      <c r="R18" s="161">
        <f t="shared" si="1"/>
        <v>0.72459659858579906</v>
      </c>
      <c r="S18" s="151" t="str">
        <f t="shared" si="10"/>
        <v>14-16</v>
      </c>
      <c r="T18" s="161">
        <f t="shared" si="2"/>
        <v>0.72473409705309655</v>
      </c>
      <c r="U18" s="151" t="str">
        <f t="shared" si="11"/>
        <v>14-15</v>
      </c>
      <c r="V18" s="161">
        <f t="shared" si="3"/>
        <v>0.72667215373248395</v>
      </c>
      <c r="W18" s="151">
        <f t="shared" si="12"/>
        <v>14</v>
      </c>
      <c r="X18" s="152">
        <f t="shared" si="13"/>
        <v>0.73036470563070843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15"/>
        <v>#VALUE!</v>
      </c>
      <c r="AD18" s="153" t="e">
        <f t="shared" si="16"/>
        <v>#VALUE!</v>
      </c>
      <c r="AE18" s="150" t="e">
        <f t="shared" ca="1" si="5"/>
        <v>#VALUE!</v>
      </c>
    </row>
    <row r="19" spans="1:32">
      <c r="A19" s="186">
        <f>'HIV Neg U5MR 50'!A19</f>
        <v>15</v>
      </c>
      <c r="B19" s="9">
        <f>'HIV Neg U5MR 50'!B19</f>
        <v>932494.89095396351</v>
      </c>
      <c r="C19" s="9">
        <f>'HIV Neg U5MR 50'!I19</f>
        <v>45783.692889410035</v>
      </c>
      <c r="D19" s="5">
        <v>0</v>
      </c>
      <c r="E19" s="9">
        <f>'HIV Pos Neg U5MR 50'!B19</f>
        <v>101861.10904603652</v>
      </c>
      <c r="F19" s="9">
        <f>'HIV Pos Neg U5MR 50'!I19</f>
        <v>5137.0095476568931</v>
      </c>
      <c r="G19" s="10">
        <f>'Base values'!C72</f>
        <v>1</v>
      </c>
      <c r="H19" s="9">
        <f>'HIV Pos Pos U5MR 50'!B19</f>
        <v>34264</v>
      </c>
      <c r="I19" s="9">
        <f>'HIV Pos Pos U5MR 50'!I19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C19+'HIV Pos Neg U5MR 50'!K19+'HIV Pos Pos U5MR 50'!K19</f>
        <v>45783.692889410035</v>
      </c>
      <c r="N19" s="57">
        <f>'HIV Pos Neg U5MR 50'!L19+'HIV Pos Pos U5MR 50'!L19</f>
        <v>26791.212547656891</v>
      </c>
      <c r="O19" s="151" t="str">
        <f t="shared" si="8"/>
        <v>15-19</v>
      </c>
      <c r="P19" s="179">
        <f t="shared" si="0"/>
        <v>0.72979153222895576</v>
      </c>
      <c r="Q19" s="151" t="str">
        <f t="shared" si="9"/>
        <v>15-18</v>
      </c>
      <c r="R19" s="161">
        <f t="shared" si="1"/>
        <v>0.72527938053412055</v>
      </c>
      <c r="S19" s="151" t="str">
        <f t="shared" si="10"/>
        <v>15-17</v>
      </c>
      <c r="T19" s="161">
        <f t="shared" si="2"/>
        <v>0.72262449362626668</v>
      </c>
      <c r="U19" s="151" t="str">
        <f t="shared" si="11"/>
        <v>15-16</v>
      </c>
      <c r="V19" s="161">
        <f t="shared" si="3"/>
        <v>0.72186766125885093</v>
      </c>
      <c r="W19" s="151">
        <f t="shared" si="12"/>
        <v>15</v>
      </c>
      <c r="X19" s="152">
        <f t="shared" si="13"/>
        <v>0.72293820779019347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15"/>
        <v>#VALUE!</v>
      </c>
      <c r="AD19" s="153" t="e">
        <f t="shared" si="16"/>
        <v>#VALUE!</v>
      </c>
      <c r="AE19" s="150" t="e">
        <f t="shared" ca="1" si="5"/>
        <v>#VALUE!</v>
      </c>
    </row>
    <row r="20" spans="1:32">
      <c r="A20" s="186">
        <f>'HIV Neg U5MR 50'!A20</f>
        <v>16</v>
      </c>
      <c r="B20" s="9">
        <f>'HIV Neg U5MR 50'!B20</f>
        <v>903865.75167033426</v>
      </c>
      <c r="C20" s="9">
        <f>'HIV Neg U5MR 50'!I20</f>
        <v>44493.320108019718</v>
      </c>
      <c r="D20" s="5">
        <v>0</v>
      </c>
      <c r="E20" s="9">
        <f>'HIV Pos Neg U5MR 50'!B20</f>
        <v>105039.24832966569</v>
      </c>
      <c r="F20" s="9">
        <f>'HIV Pos Neg U5MR 50'!I20</f>
        <v>5216.0518317997166</v>
      </c>
      <c r="G20" s="10">
        <f>'Base values'!C73</f>
        <v>1</v>
      </c>
      <c r="H20" s="9">
        <f>'HIV Pos Pos U5MR 50'!B20</f>
        <v>35185</v>
      </c>
      <c r="I20" s="9">
        <f>'HIV Pos Pos U5MR 50'!I20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C20+'HIV Pos Neg U5MR 50'!K20+'HIV Pos Pos U5MR 50'!K20</f>
        <v>44493.320108019718</v>
      </c>
      <c r="N20" s="57">
        <f>'HIV Pos Neg U5MR 50'!L20+'HIV Pos Pos U5MR 50'!L20</f>
        <v>26812.131331799716</v>
      </c>
      <c r="O20" s="151" t="str">
        <f t="shared" si="8"/>
        <v>16-20</v>
      </c>
      <c r="P20" s="179">
        <f t="shared" si="0"/>
        <v>0.73881647145363272</v>
      </c>
      <c r="Q20" s="151" t="str">
        <f t="shared" si="9"/>
        <v>16-19</v>
      </c>
      <c r="R20" s="161">
        <f t="shared" si="1"/>
        <v>0.73162559596442189</v>
      </c>
      <c r="S20" s="151" t="str">
        <f t="shared" si="10"/>
        <v>16-18</v>
      </c>
      <c r="T20" s="161">
        <f t="shared" si="2"/>
        <v>0.72610784480119439</v>
      </c>
      <c r="U20" s="151" t="str">
        <f t="shared" si="11"/>
        <v>16-17</v>
      </c>
      <c r="V20" s="161">
        <f t="shared" si="3"/>
        <v>0.72247355361702825</v>
      </c>
      <c r="W20" s="151">
        <f t="shared" si="12"/>
        <v>16</v>
      </c>
      <c r="X20" s="152">
        <f t="shared" si="13"/>
        <v>0.72078557364245488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15"/>
        <v>#VALUE!</v>
      </c>
      <c r="AD20" s="153" t="e">
        <f t="shared" si="16"/>
        <v>#VALUE!</v>
      </c>
      <c r="AE20" s="150" t="e">
        <f t="shared" ca="1" si="5"/>
        <v>#VALUE!</v>
      </c>
    </row>
    <row r="21" spans="1:32">
      <c r="A21" s="186">
        <f>'HIV Neg U5MR 50'!A21</f>
        <v>17</v>
      </c>
      <c r="B21" s="9">
        <f>'HIV Neg U5MR 50'!B21</f>
        <v>879136.63873421436</v>
      </c>
      <c r="C21" s="9">
        <f>'HIV Neg U5MR 50'!I21</f>
        <v>43409.77369881473</v>
      </c>
      <c r="D21" s="5">
        <v>0</v>
      </c>
      <c r="E21" s="9">
        <f>'HIV Pos Neg U5MR 50'!B21</f>
        <v>106211.36126578561</v>
      </c>
      <c r="F21" s="9">
        <f>'HIV Pos Neg U5MR 50'!I21</f>
        <v>5180.6201405398178</v>
      </c>
      <c r="G21" s="10">
        <f>'Base values'!C74</f>
        <v>1</v>
      </c>
      <c r="H21" s="9">
        <f>'HIV Pos Pos U5MR 50'!B21</f>
        <v>35412</v>
      </c>
      <c r="I21" s="9">
        <f>'HIV Pos Pos U5MR 50'!I21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C21+'HIV Pos Neg U5MR 50'!K21+'HIV Pos Pos U5MR 50'!K21</f>
        <v>43409.77369881473</v>
      </c>
      <c r="N21" s="57">
        <f>'HIV Pos Neg U5MR 50'!L21+'HIV Pos Pos U5MR 50'!L21</f>
        <v>26187.304140539818</v>
      </c>
      <c r="O21" s="151" t="str">
        <f t="shared" si="8"/>
        <v>17-21</v>
      </c>
      <c r="P21" s="179">
        <f t="shared" si="0"/>
        <v>0.75326991659652009</v>
      </c>
      <c r="Q21" s="151" t="str">
        <f t="shared" si="9"/>
        <v>17-20</v>
      </c>
      <c r="R21" s="161">
        <f t="shared" si="1"/>
        <v>0.74369353822102557</v>
      </c>
      <c r="S21" s="151" t="str">
        <f t="shared" si="10"/>
        <v>17-19</v>
      </c>
      <c r="T21" s="161">
        <f t="shared" si="2"/>
        <v>0.73546105905507653</v>
      </c>
      <c r="U21" s="151" t="str">
        <f t="shared" si="11"/>
        <v>17-18</v>
      </c>
      <c r="V21" s="161">
        <f t="shared" si="3"/>
        <v>0.72888472473621313</v>
      </c>
      <c r="W21" s="151">
        <f t="shared" si="12"/>
        <v>17</v>
      </c>
      <c r="X21" s="152">
        <f t="shared" si="13"/>
        <v>0.724208769952569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15"/>
        <v>#VALUE!</v>
      </c>
      <c r="AD21" s="153" t="e">
        <f t="shared" si="16"/>
        <v>#VALUE!</v>
      </c>
      <c r="AE21" s="150" t="e">
        <f t="shared" ca="1" si="5"/>
        <v>#VALUE!</v>
      </c>
    </row>
    <row r="22" spans="1:32">
      <c r="A22" s="186">
        <f>'HIV Neg U5MR 50'!A22</f>
        <v>18</v>
      </c>
      <c r="B22" s="9">
        <f>'HIV Neg U5MR 50'!B22</f>
        <v>858590.99039825355</v>
      </c>
      <c r="C22" s="9">
        <f>'HIV Neg U5MR 50'!I22</f>
        <v>42553.739440504825</v>
      </c>
      <c r="D22" s="5">
        <v>0</v>
      </c>
      <c r="E22" s="9">
        <f>'HIV Pos Neg U5MR 50'!B22</f>
        <v>104648.00960174639</v>
      </c>
      <c r="F22" s="9">
        <f>'HIV Pos Neg U5MR 50'!I22</f>
        <v>5007.1663020336709</v>
      </c>
      <c r="G22" s="10">
        <f>'Base values'!C75</f>
        <v>1</v>
      </c>
      <c r="H22" s="9">
        <f>'HIV Pos Pos U5MR 50'!B22</f>
        <v>34706</v>
      </c>
      <c r="I22" s="9">
        <f>'HIV Pos Pos U5MR 50'!I22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C22+'HIV Pos Neg U5MR 50'!K22+'HIV Pos Pos U5MR 50'!K22</f>
        <v>42553.739440504825</v>
      </c>
      <c r="N22" s="57">
        <f>'HIV Pos Neg U5MR 50'!L22+'HIV Pos Pos U5MR 50'!L22</f>
        <v>24857.350802033667</v>
      </c>
      <c r="O22" s="151" t="str">
        <f>A22&amp;"-"&amp;A22+4</f>
        <v>18-22</v>
      </c>
      <c r="P22" s="179">
        <f>(SUM(M22:M26)/SUM(K22:K26))/(SUM(M22:N26)/SUM(K22:L26))</f>
        <v>0.77278151241758741</v>
      </c>
      <c r="Q22" s="151" t="str">
        <f t="shared" si="9"/>
        <v>18-21</v>
      </c>
      <c r="R22" s="161">
        <f t="shared" si="1"/>
        <v>0.76125035660938212</v>
      </c>
      <c r="S22" s="151" t="str">
        <f t="shared" si="10"/>
        <v>18-20</v>
      </c>
      <c r="T22" s="161">
        <f t="shared" si="2"/>
        <v>0.75067208233551286</v>
      </c>
      <c r="U22" s="151" t="str">
        <f t="shared" si="11"/>
        <v>18-19</v>
      </c>
      <c r="V22" s="161">
        <f t="shared" si="3"/>
        <v>0.74138211659335496</v>
      </c>
      <c r="W22" s="151">
        <f t="shared" si="12"/>
        <v>18</v>
      </c>
      <c r="X22" s="152">
        <f t="shared" si="13"/>
        <v>0.73371375115128712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15"/>
        <v>#VALUE!</v>
      </c>
      <c r="AD22" s="153" t="e">
        <f t="shared" si="16"/>
        <v>#VALUE!</v>
      </c>
      <c r="AE22" s="150" t="e">
        <f t="shared" ca="1" si="5"/>
        <v>#VALUE!</v>
      </c>
    </row>
    <row r="23" spans="1:32">
      <c r="A23" s="186">
        <f>'HIV Neg U5MR 50'!A23</f>
        <v>19</v>
      </c>
      <c r="B23" s="9">
        <f>'HIV Neg U5MR 50'!B23</f>
        <v>843666.6351556615</v>
      </c>
      <c r="C23" s="9">
        <f>'HIV Neg U5MR 50'!I23</f>
        <v>41959.507334501672</v>
      </c>
      <c r="D23" s="5">
        <v>0</v>
      </c>
      <c r="E23" s="9">
        <f>'HIV Pos Neg U5MR 50'!B23</f>
        <v>99999.364844338474</v>
      </c>
      <c r="F23" s="9">
        <f>'HIV Pos Neg U5MR 50'!I23</f>
        <v>4690.5211753946933</v>
      </c>
      <c r="G23" s="10">
        <f>'Base values'!C76</f>
        <v>1</v>
      </c>
      <c r="H23" s="9">
        <f>'HIV Pos Pos U5MR 50'!B23</f>
        <v>32990</v>
      </c>
      <c r="I23" s="9">
        <f>'HIV Pos Pos U5MR 50'!I23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C23+'HIV Pos Neg U5MR 50'!K23+'HIV Pos Pos U5MR 50'!K23</f>
        <v>41959.507334501672</v>
      </c>
      <c r="N23" s="57">
        <f>'HIV Pos Neg U5MR 50'!L23+'HIV Pos Pos U5MR 50'!L23</f>
        <v>22861.456675394693</v>
      </c>
      <c r="O23" s="151" t="str">
        <f>A23&amp;"-"&amp;A23+4</f>
        <v>19-23</v>
      </c>
      <c r="P23" s="179">
        <f>(SUM(M23:M27)/SUM(K23:K27))/(SUM(M23:N27)/SUM(K23:L27))</f>
        <v>0.79657528701206592</v>
      </c>
      <c r="Q23" s="151" t="str">
        <f t="shared" si="9"/>
        <v>19-22</v>
      </c>
      <c r="R23" s="161">
        <f>(SUM(M23:M26)/SUM(K23:K26))/(SUM(M23:N26)/SUM(K23:L26))</f>
        <v>0.78365831514376494</v>
      </c>
      <c r="S23" s="151" t="str">
        <f t="shared" si="10"/>
        <v>19-21</v>
      </c>
      <c r="T23" s="161">
        <f t="shared" si="2"/>
        <v>0.77123238034930652</v>
      </c>
      <c r="U23" s="151" t="str">
        <f t="shared" si="11"/>
        <v>19-20</v>
      </c>
      <c r="V23" s="161">
        <f t="shared" si="3"/>
        <v>0.75968107018788622</v>
      </c>
      <c r="W23" s="151">
        <f t="shared" si="12"/>
        <v>19</v>
      </c>
      <c r="X23" s="152">
        <f t="shared" si="13"/>
        <v>0.74935160704522175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15"/>
        <v>#VALUE!</v>
      </c>
      <c r="AD23" s="153" t="e">
        <f t="shared" si="16"/>
        <v>#VALUE!</v>
      </c>
      <c r="AE23" s="150" t="e">
        <f t="shared" ca="1" si="5"/>
        <v>#VALUE!</v>
      </c>
    </row>
    <row r="24" spans="1:32" ht="13.5" thickBot="1">
      <c r="A24" s="186">
        <f>'HIV Neg U5MR 50'!A24</f>
        <v>20</v>
      </c>
      <c r="B24" s="9">
        <f>'HIV Neg U5MR 50'!B24</f>
        <v>833406.34579112253</v>
      </c>
      <c r="C24" s="9">
        <f>'HIV Neg U5MR 50'!I24</f>
        <v>41587.357694053455</v>
      </c>
      <c r="D24" s="5">
        <v>0</v>
      </c>
      <c r="E24" s="9">
        <f>'HIV Pos Neg U5MR 50'!B24</f>
        <v>92241.654208877473</v>
      </c>
      <c r="F24" s="9">
        <f>'HIV Pos Neg U5MR 50'!I24</f>
        <v>4242.8077098395606</v>
      </c>
      <c r="G24" s="10">
        <f>'Base values'!C77</f>
        <v>1</v>
      </c>
      <c r="H24" s="9">
        <f>'HIV Pos Pos U5MR 50'!B24</f>
        <v>30311</v>
      </c>
      <c r="I24" s="9">
        <f>'HIV Pos Pos U5MR 50'!I24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C24+'HIV Pos Neg U5MR 50'!K24+'HIV Pos Pos U5MR 50'!K24</f>
        <v>41587.357694053455</v>
      </c>
      <c r="N24" s="57">
        <f>'HIV Pos Neg U5MR 50'!L24+'HIV Pos Pos U5MR 50'!L24</f>
        <v>20325.41420983956</v>
      </c>
      <c r="O24" s="159" t="str">
        <f>A24&amp;"-"&amp;A24+4</f>
        <v>20-24</v>
      </c>
      <c r="P24" s="180">
        <f>(SUM(M24:M28)/SUM(K24:K28))/(SUM(M24:N28)/SUM(K24:L28))</f>
        <v>0.82346290728402993</v>
      </c>
      <c r="Q24" s="151" t="str">
        <f t="shared" si="9"/>
        <v>20-23</v>
      </c>
      <c r="R24" s="161">
        <f>(SUM(M24:M27)/SUM(K24:K27))/(SUM(M24:N27)/SUM(K24:L27))</f>
        <v>0.80985781265625101</v>
      </c>
      <c r="S24" s="151" t="str">
        <f t="shared" si="10"/>
        <v>20-22</v>
      </c>
      <c r="T24" s="161">
        <f>(SUM(M24:M26)/SUM(K24:K26))/(SUM(M24:N26)/SUM(K24:L26))</f>
        <v>0.79621522764584263</v>
      </c>
      <c r="U24" s="146" t="str">
        <f t="shared" si="11"/>
        <v>20-21</v>
      </c>
      <c r="V24" s="161">
        <f t="shared" si="3"/>
        <v>0.78295474802269516</v>
      </c>
      <c r="W24" s="146">
        <f t="shared" si="12"/>
        <v>20</v>
      </c>
      <c r="X24" s="152">
        <f t="shared" si="13"/>
        <v>0.77048385501195615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15"/>
        <v>#VALUE!</v>
      </c>
      <c r="AD24" s="153" t="e">
        <f t="shared" si="16"/>
        <v>#VALUE!</v>
      </c>
      <c r="AE24" s="150" t="e">
        <f t="shared" ca="1" si="5"/>
        <v>#VALUE!</v>
      </c>
    </row>
    <row r="25" spans="1:32" ht="13.5" thickBot="1">
      <c r="A25" s="186">
        <f>'HIV Neg U5MR 50'!A25</f>
        <v>21</v>
      </c>
      <c r="B25" s="9">
        <f>'HIV Neg U5MR 50'!B25</f>
        <v>827393.24855432892</v>
      </c>
      <c r="C25" s="9">
        <f>'HIV Neg U5MR 50'!I25</f>
        <v>41417.015807679592</v>
      </c>
      <c r="D25" s="5">
        <v>0</v>
      </c>
      <c r="E25" s="9">
        <f>'HIV Pos Neg U5MR 50'!B25</f>
        <v>81886.751445671107</v>
      </c>
      <c r="F25" s="9">
        <f>'HIV Pos Neg U5MR 50'!I25</f>
        <v>3697.7993012167694</v>
      </c>
      <c r="G25" s="10">
        <f>'Base values'!C78</f>
        <v>1</v>
      </c>
      <c r="H25" s="9">
        <f>'HIV Pos Pos U5MR 50'!B25</f>
        <v>26880</v>
      </c>
      <c r="I25" s="9">
        <f>'HIV Pos Pos U5MR 50'!I25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C25+'HIV Pos Neg U5MR 50'!K25+'HIV Pos Pos U5MR 50'!K25</f>
        <v>41417.015807679592</v>
      </c>
      <c r="N25" s="103">
        <f>'HIV Pos Neg U5MR 50'!L25+'HIV Pos Pos U5MR 50'!L25</f>
        <v>17450.35280121677</v>
      </c>
      <c r="O25" s="154"/>
      <c r="P25" s="149"/>
      <c r="Q25" s="159" t="str">
        <f t="shared" si="9"/>
        <v>21-24</v>
      </c>
      <c r="R25" s="182">
        <f>(SUM(M25:M28)/SUM(K25:K28))/(SUM(M25:N28)/SUM(K25:L28))</f>
        <v>0.83844239401275711</v>
      </c>
      <c r="S25" s="151" t="str">
        <f t="shared" si="10"/>
        <v>21-23</v>
      </c>
      <c r="T25" s="161">
        <f>(SUM(M25:M27)/SUM(K25:K27))/(SUM(M25:N27)/SUM(K25:L27))</f>
        <v>0.82434561876742696</v>
      </c>
      <c r="U25" s="146" t="str">
        <f t="shared" si="11"/>
        <v>21-22</v>
      </c>
      <c r="V25" s="161">
        <f>(SUM(M25:M26)/SUM(K25:K26))/(SUM(M25:N26)/SUM(K25:L26))</f>
        <v>0.81007104189195234</v>
      </c>
      <c r="W25" s="146">
        <f t="shared" si="12"/>
        <v>21</v>
      </c>
      <c r="X25" s="152">
        <f t="shared" si="13"/>
        <v>0.79605355950727652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15"/>
        <v>#VALUE!</v>
      </c>
      <c r="AD25" s="153" t="e">
        <f t="shared" si="16"/>
        <v>#VALUE!</v>
      </c>
      <c r="AE25" s="150" t="e">
        <f t="shared" ca="1" si="5"/>
        <v>#VALUE!</v>
      </c>
      <c r="AF25" s="46"/>
    </row>
    <row r="26" spans="1:32" ht="13.5" thickBot="1">
      <c r="A26" s="187">
        <f>'HIV Neg U5MR 50'!A26</f>
        <v>22</v>
      </c>
      <c r="B26" s="171">
        <f>'HIV Neg U5MR 50'!B26</f>
        <v>826385.49363108212</v>
      </c>
      <c r="C26" s="171">
        <f>'HIV Neg U5MR 50'!I26</f>
        <v>41447.877322395972</v>
      </c>
      <c r="D26" s="172">
        <v>0</v>
      </c>
      <c r="E26" s="171">
        <f>'HIV Pos Neg U5MR 50'!B26</f>
        <v>69939.506368917864</v>
      </c>
      <c r="F26" s="171">
        <f>'HIV Pos Neg U5MR 50'!I26</f>
        <v>3104.4759115873449</v>
      </c>
      <c r="G26" s="173">
        <f>'Base values'!C79</f>
        <v>1</v>
      </c>
      <c r="H26" s="171">
        <f>'HIV Pos Pos U5MR 50'!B26</f>
        <v>23012</v>
      </c>
      <c r="I26" s="171">
        <f>'HIV Pos Pos U5MR 50'!I26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C26+'HIV Pos Neg U5MR 50'!K26+'HIV Pos Pos U5MR 50'!K26</f>
        <v>41447.877322395972</v>
      </c>
      <c r="N26" s="174">
        <f>'HIV Pos Neg U5MR 50'!L26+'HIV Pos Pos U5MR 50'!L26</f>
        <v>14455.265911587347</v>
      </c>
      <c r="O26" s="154"/>
      <c r="P26" s="149"/>
      <c r="Q26" s="158"/>
      <c r="R26" s="161"/>
      <c r="S26" s="159" t="str">
        <f t="shared" si="10"/>
        <v>22-24</v>
      </c>
      <c r="T26" s="182">
        <f>(SUM(M26:M28)/SUM(K26:K28))/(SUM(M26:N28)/SUM(K26:L28))</f>
        <v>0.85405841085740686</v>
      </c>
      <c r="U26" s="146" t="str">
        <f t="shared" si="11"/>
        <v>22-23</v>
      </c>
      <c r="V26" s="161">
        <f>(SUM(M26:M27)/SUM(K26:K27))/(SUM(M26:N27)/SUM(K26:L27))</f>
        <v>0.83960248570167162</v>
      </c>
      <c r="W26" s="146">
        <f t="shared" si="12"/>
        <v>22</v>
      </c>
      <c r="X26" s="152">
        <f>(SUM(M26:M26)/SUM(K26:K26))/(SUM(M26:N26)/SUM(K26:L26))</f>
        <v>0.82481798243293514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15"/>
        <v>#VALUE!</v>
      </c>
      <c r="AD26" s="153" t="e">
        <f t="shared" si="16"/>
        <v>#VALUE!</v>
      </c>
      <c r="AE26" s="150" t="e">
        <f t="shared" ca="1" si="5"/>
        <v>#VALUE!</v>
      </c>
      <c r="AF26" s="46"/>
    </row>
    <row r="27" spans="1:32" s="116" customFormat="1" ht="13.5" thickBot="1">
      <c r="A27" s="188">
        <f>'HIV Neg U5MR 50'!A27</f>
        <v>23</v>
      </c>
      <c r="B27" s="189">
        <f>'HIV Neg U5MR 50'!B27</f>
        <v>830227.93305620481</v>
      </c>
      <c r="C27" s="189">
        <f>'HIV Neg U5MR 50'!I27</f>
        <v>41627.411156263384</v>
      </c>
      <c r="D27" s="190">
        <v>0</v>
      </c>
      <c r="E27" s="189">
        <f>'HIV Pos Neg U5MR 50'!B27</f>
        <v>57515.066943795158</v>
      </c>
      <c r="F27" s="189">
        <f>'HIV Pos Neg U5MR 50'!I27</f>
        <v>2511.2974055928366</v>
      </c>
      <c r="G27" s="191">
        <f>'Base values'!C80</f>
        <v>1</v>
      </c>
      <c r="H27" s="189">
        <f>'HIV Pos Pos U5MR 50'!B27</f>
        <v>18989</v>
      </c>
      <c r="I27" s="189">
        <f>'HIV Pos Pos U5MR 50'!I27</f>
        <v>9025.3445000000011</v>
      </c>
      <c r="J27" s="191">
        <f>'Base values'!C80</f>
        <v>1</v>
      </c>
      <c r="K27" s="189">
        <f t="shared" ref="K27:K33" si="17">B27*(1-D27) + E27*(1-G27) + H27*(1-J27)</f>
        <v>830227.93305620481</v>
      </c>
      <c r="L27" s="189">
        <f t="shared" ref="L27:L33" si="18">E27*G27+H27*J27</f>
        <v>76504.066943795158</v>
      </c>
      <c r="M27" s="189">
        <f>C27+'HIV Pos Neg U5MR 50'!K27+'HIV Pos Pos U5MR 50'!K27</f>
        <v>41627.411156263384</v>
      </c>
      <c r="N27" s="192">
        <f>'HIV Pos Neg U5MR 50'!L27+'HIV Pos Pos U5MR 50'!L27</f>
        <v>11536.641905592838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>(SUM(M27:M28)/SUM(K27:K28))/(SUM(M27:N28)/SUM(K27:L28))</f>
        <v>0.86981630317090319</v>
      </c>
      <c r="W27" s="146">
        <f t="shared" si="12"/>
        <v>23</v>
      </c>
      <c r="X27" s="152">
        <f>(SUM(M27:M27)/SUM(K27:K27))/(SUM(M27:N27)/SUM(K27:L27))</f>
        <v>0.85515122382099096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188">
        <f>'HIV Neg U5MR 50'!A28</f>
        <v>24</v>
      </c>
      <c r="B28" s="189">
        <f>'HIV Neg U5MR 50'!B28</f>
        <v>836633.84568017919</v>
      </c>
      <c r="C28" s="189">
        <f>'HIV Neg U5MR 50'!I28</f>
        <v>41822.553514863335</v>
      </c>
      <c r="D28" s="190">
        <v>0</v>
      </c>
      <c r="E28" s="189">
        <f>'HIV Pos Neg U5MR 50'!B28</f>
        <v>45524.15431982078</v>
      </c>
      <c r="F28" s="189">
        <f>'HIV Pos Neg U5MR 50'!I28</f>
        <v>1955.4779562905558</v>
      </c>
      <c r="G28" s="191">
        <f>'Base values'!C81</f>
        <v>1</v>
      </c>
      <c r="H28" s="189">
        <f>'HIV Pos Pos U5MR 50'!B28</f>
        <v>15077</v>
      </c>
      <c r="I28" s="189">
        <f>'HIV Pos Pos U5MR 50'!I28</f>
        <v>6889.0535</v>
      </c>
      <c r="J28" s="191">
        <f>'Base values'!C81</f>
        <v>1</v>
      </c>
      <c r="K28" s="189">
        <f t="shared" si="17"/>
        <v>836633.84568017919</v>
      </c>
      <c r="L28" s="189">
        <f t="shared" si="18"/>
        <v>60601.15431982078</v>
      </c>
      <c r="M28" s="189">
        <f>C28+'HIV Pos Neg U5MR 50'!K28+'HIV Pos Pos U5MR 50'!K28</f>
        <v>41822.553514863335</v>
      </c>
      <c r="N28" s="192">
        <f>'HIV Pos Neg U5MR 50'!L28+'HIV Pos Pos U5MR 50'!L28</f>
        <v>8844.5314562905551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>(SUM(M28:M28)/SUM(K28:K28))/(SUM(M28:N28)/SUM(K28:L28))</f>
        <v>0.88522853237394306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193">
        <f>'HIV Neg U5MR 50'!A29</f>
        <v>25</v>
      </c>
      <c r="B29" s="194">
        <f>'HIV Neg U5MR 50'!B29</f>
        <v>840389.38258109975</v>
      </c>
      <c r="C29" s="194">
        <f>'HIV Neg U5MR 50'!I29</f>
        <v>41293.669357319799</v>
      </c>
      <c r="D29" s="195">
        <v>0</v>
      </c>
      <c r="E29" s="194">
        <f>'HIV Pos Neg U5MR 50'!B29</f>
        <v>34523.6174189003</v>
      </c>
      <c r="F29" s="194">
        <f>'HIV Pos Neg U5MR 50'!I29</f>
        <v>1458.2566287905368</v>
      </c>
      <c r="G29" s="196">
        <f>'Base values'!C82</f>
        <v>1</v>
      </c>
      <c r="H29" s="194">
        <f>'HIV Pos Pos U5MR 50'!B29</f>
        <v>11406</v>
      </c>
      <c r="I29" s="194">
        <f>'HIV Pos Pos U5MR 50'!I29</f>
        <v>5014.1195000000007</v>
      </c>
      <c r="J29" s="196">
        <f>'Base values'!C82</f>
        <v>1</v>
      </c>
      <c r="K29" s="194">
        <f t="shared" si="17"/>
        <v>840389.38258109975</v>
      </c>
      <c r="L29" s="194">
        <f t="shared" si="18"/>
        <v>45929.6174189003</v>
      </c>
      <c r="M29" s="194">
        <f>C29+'HIV Pos Neg U5MR 50'!K29+'HIV Pos Pos U5MR 50'!K29</f>
        <v>41293.669357319799</v>
      </c>
      <c r="N29" s="197">
        <f>'HIV Pos Neg U5MR 50'!L29+'HIV Pos Pos U5MR 50'!L29</f>
        <v>6472.3761287905372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198">
        <f>'HIV Neg U5MR 50'!A30</f>
        <v>26</v>
      </c>
      <c r="B30" s="199">
        <f>'HIV Neg U5MR 50'!B30</f>
        <v>839518.91477298003</v>
      </c>
      <c r="C30" s="199">
        <f>'HIV Neg U5MR 50'!I30</f>
        <v>39860.26716215894</v>
      </c>
      <c r="D30" s="200">
        <v>0</v>
      </c>
      <c r="E30" s="199">
        <f>'HIV Pos Neg U5MR 50'!B30</f>
        <v>25185.085227019939</v>
      </c>
      <c r="F30" s="199">
        <f>'HIV Pos Neg U5MR 50'!I30</f>
        <v>1041.8179810150255</v>
      </c>
      <c r="G30" s="201">
        <f>'Base values'!C83</f>
        <v>1</v>
      </c>
      <c r="H30" s="199">
        <f>'HIV Pos Pos U5MR 50'!B30</f>
        <v>8309</v>
      </c>
      <c r="I30" s="199">
        <f>'HIV Pos Pos U5MR 50'!I30</f>
        <v>3497.8670000000002</v>
      </c>
      <c r="J30" s="201">
        <f>'Base values'!C83</f>
        <v>1</v>
      </c>
      <c r="K30" s="199">
        <f t="shared" si="17"/>
        <v>839518.91477298003</v>
      </c>
      <c r="L30" s="199">
        <f t="shared" si="18"/>
        <v>33494.085227019939</v>
      </c>
      <c r="M30" s="199">
        <f>C30+'HIV Pos Neg U5MR 50'!K30+'HIV Pos Pos U5MR 50'!K30</f>
        <v>39860.26716215894</v>
      </c>
      <c r="N30" s="202">
        <f>'HIV Pos Neg U5MR 50'!L30+'HIV Pos Pos U5MR 50'!L30</f>
        <v>4539.6849810150252</v>
      </c>
      <c r="O30" s="125"/>
    </row>
    <row r="31" spans="1:32" s="116" customFormat="1">
      <c r="A31" s="193">
        <f>'HIV Neg U5MR 50'!A31</f>
        <v>27</v>
      </c>
      <c r="B31" s="194">
        <f>'HIV Neg U5MR 50'!B31</f>
        <v>832038.27103829291</v>
      </c>
      <c r="C31" s="194">
        <f>'HIV Neg U5MR 50'!I31</f>
        <v>37788.863463956266</v>
      </c>
      <c r="D31" s="195">
        <v>0</v>
      </c>
      <c r="E31" s="194">
        <f>'HIV Pos Neg U5MR 50'!B31</f>
        <v>17622.728961707078</v>
      </c>
      <c r="F31" s="194">
        <f>'HIV Pos Neg U5MR 50'!I31</f>
        <v>710.7902331206285</v>
      </c>
      <c r="G31" s="196">
        <f>'Base values'!C84</f>
        <v>1</v>
      </c>
      <c r="H31" s="194">
        <f>'HIV Pos Pos U5MR 50'!B31</f>
        <v>5805</v>
      </c>
      <c r="I31" s="194">
        <f>'HIV Pos Pos U5MR 50'!I31</f>
        <v>2314.4380000000001</v>
      </c>
      <c r="J31" s="196">
        <f>'Base values'!C84</f>
        <v>1</v>
      </c>
      <c r="K31" s="194">
        <f t="shared" si="17"/>
        <v>832038.27103829291</v>
      </c>
      <c r="L31" s="194">
        <f t="shared" si="18"/>
        <v>23427.728961707078</v>
      </c>
      <c r="M31" s="194">
        <f>C31+'HIV Pos Neg U5MR 50'!K31+'HIV Pos Pos U5MR 50'!K31</f>
        <v>37788.863463956266</v>
      </c>
      <c r="N31" s="197">
        <f>'HIV Pos Neg U5MR 50'!L31+'HIV Pos Pos U5MR 50'!L31</f>
        <v>3025.2282331206288</v>
      </c>
      <c r="O31" s="125"/>
    </row>
    <row r="32" spans="1:32" s="116" customFormat="1">
      <c r="A32" s="193">
        <f>'HIV Neg U5MR 50'!A32</f>
        <v>28</v>
      </c>
      <c r="B32" s="194">
        <f>'HIV Neg U5MR 50'!B32</f>
        <v>819828.22422705835</v>
      </c>
      <c r="C32" s="194">
        <f>'HIV Neg U5MR 50'!I32</f>
        <v>34430.48985654267</v>
      </c>
      <c r="D32" s="195">
        <v>0</v>
      </c>
      <c r="E32" s="194">
        <f>'HIV Pos Neg U5MR 50'!B32</f>
        <v>11855.775772941659</v>
      </c>
      <c r="F32" s="194">
        <f>'HIV Pos Neg U5MR 50'!I32</f>
        <v>456.64844537373676</v>
      </c>
      <c r="G32" s="196">
        <f>'Base values'!C85</f>
        <v>1</v>
      </c>
      <c r="H32" s="194">
        <f>'HIV Pos Pos U5MR 50'!B32</f>
        <v>3928</v>
      </c>
      <c r="I32" s="194">
        <f>'HIV Pos Pos U5MR 50'!I32</f>
        <v>1382.0280000000002</v>
      </c>
      <c r="J32" s="196">
        <f>'Base values'!C85</f>
        <v>1</v>
      </c>
      <c r="K32" s="194">
        <f t="shared" si="17"/>
        <v>819828.22422705835</v>
      </c>
      <c r="L32" s="194">
        <f t="shared" si="18"/>
        <v>15783.775772941659</v>
      </c>
      <c r="M32" s="194">
        <f>C32+'HIV Pos Neg U5MR 50'!K32+'HIV Pos Pos U5MR 50'!K32</f>
        <v>34430.48985654267</v>
      </c>
      <c r="N32" s="197">
        <f>'HIV Pos Neg U5MR 50'!L32+'HIV Pos Pos U5MR 50'!L32</f>
        <v>1838.6764453737369</v>
      </c>
      <c r="O32" s="125"/>
    </row>
    <row r="33" spans="1:15" s="116" customFormat="1" ht="13.5" thickBot="1">
      <c r="A33" s="203">
        <f>'HIV Neg U5MR 50'!A33</f>
        <v>29</v>
      </c>
      <c r="B33" s="204">
        <f>'HIV Neg U5MR 50'!B33</f>
        <v>805075.62538199848</v>
      </c>
      <c r="C33" s="204">
        <f>'HIV Neg U5MR 50'!I33</f>
        <v>25686.403640799927</v>
      </c>
      <c r="D33" s="205">
        <v>0</v>
      </c>
      <c r="E33" s="204">
        <f>'HIV Pos Neg U5MR 50'!B33</f>
        <v>7627.3746180014859</v>
      </c>
      <c r="F33" s="204">
        <f>'HIV Pos Neg U5MR 50'!I33</f>
        <v>243.35580035057797</v>
      </c>
      <c r="G33" s="206">
        <f>'Base values'!C86</f>
        <v>1</v>
      </c>
      <c r="H33" s="204">
        <f>'HIV Pos Pos U5MR 50'!B33</f>
        <v>2564</v>
      </c>
      <c r="I33" s="204">
        <f>'HIV Pos Pos U5MR 50'!I33</f>
        <v>482.03199999999987</v>
      </c>
      <c r="J33" s="206">
        <f>'Base values'!C86</f>
        <v>1</v>
      </c>
      <c r="K33" s="204">
        <f t="shared" si="17"/>
        <v>805075.62538199848</v>
      </c>
      <c r="L33" s="204">
        <f t="shared" si="18"/>
        <v>10191.374618001486</v>
      </c>
      <c r="M33" s="204">
        <f>C33+'HIV Pos Neg U5MR 50'!K33+'HIV Pos Pos U5MR 50'!K33</f>
        <v>25686.403640799927</v>
      </c>
      <c r="N33" s="207">
        <f>'HIV Pos Neg U5MR 50'!L33+'HIV Pos Pos U5MR 50'!L33</f>
        <v>725.38780035057789</v>
      </c>
      <c r="O33" s="125"/>
    </row>
  </sheetData>
  <mergeCells count="18">
    <mergeCell ref="B2:D2"/>
    <mergeCell ref="E2:G2"/>
    <mergeCell ref="H2:J2"/>
    <mergeCell ref="K2:L2"/>
    <mergeCell ref="O2:O3"/>
    <mergeCell ref="M2:N2"/>
    <mergeCell ref="Q2:Q3"/>
    <mergeCell ref="R2:R3"/>
    <mergeCell ref="S2:S3"/>
    <mergeCell ref="T2:T3"/>
    <mergeCell ref="P2:P3"/>
    <mergeCell ref="AC2:AC3"/>
    <mergeCell ref="AD2:AD3"/>
    <mergeCell ref="AE2:AE3"/>
    <mergeCell ref="U2:U3"/>
    <mergeCell ref="V2:V3"/>
    <mergeCell ref="W2:W3"/>
    <mergeCell ref="X2:X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39"/>
  <sheetViews>
    <sheetView workbookViewId="0"/>
  </sheetViews>
  <sheetFormatPr defaultRowHeight="12.75"/>
  <cols>
    <col min="1" max="1" width="14.42578125" customWidth="1"/>
  </cols>
  <sheetData>
    <row r="1" spans="1:9" ht="15.75">
      <c r="A1" s="32" t="s">
        <v>30</v>
      </c>
    </row>
    <row r="2" spans="1:9">
      <c r="A2" s="34" t="s">
        <v>0</v>
      </c>
      <c r="B2" s="11"/>
      <c r="C2" s="296" t="s">
        <v>10</v>
      </c>
      <c r="D2" s="296"/>
      <c r="E2" s="296"/>
      <c r="F2" s="296"/>
      <c r="G2" s="296"/>
      <c r="H2" s="296"/>
      <c r="I2" s="19" t="s">
        <v>11</v>
      </c>
    </row>
    <row r="3" spans="1:9">
      <c r="A3" s="63" t="s">
        <v>41</v>
      </c>
      <c r="B3" s="19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19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values'!P$40)</f>
        <v>57132.166340764816</v>
      </c>
      <c r="D4" s="9">
        <f>B5*('Base values'!P$40-'Base values'!P$41)</f>
        <v>6196.9706287114532</v>
      </c>
      <c r="E4" s="9">
        <f>B6*('Base values'!P$41-'Base values'!P$42)</f>
        <v>5828.3122639742915</v>
      </c>
      <c r="F4" s="9">
        <f>B7*('Base values'!P$42-'Base values'!P$43)</f>
        <v>3338.4226917075885</v>
      </c>
      <c r="G4" s="9">
        <f>B8*('Base values'!P$43-'Base values'!P$44)</f>
        <v>2485.3872149701006</v>
      </c>
      <c r="H4" s="9">
        <f>B9*('Base values'!P$44-'Base values'!P$45)</f>
        <v>18970.352409708124</v>
      </c>
      <c r="I4" s="9">
        <f>SUM(C4:H4)</f>
        <v>93951.61154983638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values'!P$40)</f>
        <v>56721.424207909324</v>
      </c>
      <c r="D5" s="9">
        <f>B6*('Base values'!P$40-'Base values'!P$41)</f>
        <v>6142.7908599250068</v>
      </c>
      <c r="E5" s="9">
        <f>B7*('Base values'!P$41-'Base values'!P$42)</f>
        <v>5776.1129676614055</v>
      </c>
      <c r="F5" s="9">
        <f>B8*('Base values'!P$42-'Base values'!P$43)</f>
        <v>3303.5174367209133</v>
      </c>
      <c r="G5" s="9">
        <f>B9*('Base values'!P$43-'Base values'!P$44)</f>
        <v>2457.1885787781998</v>
      </c>
      <c r="H5" s="9">
        <f>B10*('Base values'!P$44-'Base values'!P$45)</f>
        <v>18637.989751376783</v>
      </c>
      <c r="I5" s="9">
        <f t="shared" ref="I5:I26" si="0">SUM(C5:H5)</f>
        <v>93039.023802371623</v>
      </c>
    </row>
    <row r="6" spans="1:9">
      <c r="A6" s="28">
        <f t="shared" ref="A6:A26" si="1">1+A5</f>
        <v>2</v>
      </c>
      <c r="B6" s="9">
        <f>'Base values'!G6</f>
        <v>1248874.5119299444</v>
      </c>
      <c r="C6" s="9">
        <f>B6*(1-'Base values'!P$40)</f>
        <v>56225.511957723073</v>
      </c>
      <c r="D6" s="9">
        <f>B7*('Base values'!P$40-'Base values'!P$41)</f>
        <v>6087.7750430362494</v>
      </c>
      <c r="E6" s="9">
        <f>B8*('Base values'!P$41-'Base values'!P$42)</f>
        <v>5715.7201670526438</v>
      </c>
      <c r="F6" s="9">
        <f>B9*('Base values'!P$42-'Base values'!P$43)</f>
        <v>3266.0364817250083</v>
      </c>
      <c r="G6" s="9">
        <f>B10*('Base values'!P$43-'Base values'!P$44)</f>
        <v>2414.1383649273389</v>
      </c>
      <c r="H6" s="9">
        <f>B11*('Base values'!P$44-'Base values'!P$45)</f>
        <v>18295.07752233545</v>
      </c>
      <c r="I6" s="9">
        <f t="shared" si="0"/>
        <v>92004.259536799771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values'!P$40)</f>
        <v>55721.947284778864</v>
      </c>
      <c r="D7" s="9">
        <f>B8*('Base values'!P$40-'Base values'!P$41)</f>
        <v>6024.12362444671</v>
      </c>
      <c r="E7" s="9">
        <f>B9*('Base values'!P$41-'Base values'!P$42)</f>
        <v>5650.8709103273231</v>
      </c>
      <c r="F7" s="9">
        <f>B10*('Base values'!P$42-'Base values'!P$43)</f>
        <v>3208.8151637531946</v>
      </c>
      <c r="G7" s="9">
        <f>B11*('Base values'!P$43-'Base values'!P$44)</f>
        <v>2369.7216880767533</v>
      </c>
      <c r="H7" s="9">
        <f>B12*('Base values'!P$44-'Base values'!P$45)</f>
        <v>17937.524091480282</v>
      </c>
      <c r="I7" s="9">
        <f t="shared" si="0"/>
        <v>90913.002762863136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values'!P$40)</f>
        <v>55139.340180184088</v>
      </c>
      <c r="D8" s="9">
        <f>B9*('Base values'!P$40-'Base values'!P$41)</f>
        <v>5955.7752924694532</v>
      </c>
      <c r="E8" s="9">
        <f>B10*('Base values'!P$41-'Base values'!P$42)</f>
        <v>5551.8670311646729</v>
      </c>
      <c r="F8" s="9">
        <f>B11*('Base values'!P$42-'Base values'!P$43)</f>
        <v>3149.7775757374084</v>
      </c>
      <c r="G8" s="9">
        <f>B12*('Base values'!P$43-'Base values'!P$44)</f>
        <v>2323.4085681290885</v>
      </c>
      <c r="H8" s="9">
        <f>B13*('Base values'!P$44-'Base values'!P$45)</f>
        <v>17546.212968548774</v>
      </c>
      <c r="I8" s="9">
        <f t="shared" si="0"/>
        <v>89666.381616233484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values'!P$40)</f>
        <v>54513.741808937477</v>
      </c>
      <c r="D9" s="9">
        <f>B10*('Base values'!P$40-'Base values'!P$41)</f>
        <v>5851.4294550343893</v>
      </c>
      <c r="E9" s="9">
        <f>B11*('Base values'!P$41-'Base values'!P$42)</f>
        <v>5449.7206557028494</v>
      </c>
      <c r="F9" s="9">
        <f>B12*('Base values'!P$42-'Base values'!P$43)</f>
        <v>3088.2192807664983</v>
      </c>
      <c r="G9" s="9">
        <f>B13*('Base values'!P$43-'Base values'!P$44)</f>
        <v>2272.7228875866376</v>
      </c>
      <c r="H9" s="9">
        <f>B14*('Base values'!P$44-'Base values'!P$45)</f>
        <v>17135.10883433354</v>
      </c>
      <c r="I9" s="9">
        <f t="shared" si="0"/>
        <v>88310.942922361399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values'!P$40)</f>
        <v>53558.655063478029</v>
      </c>
      <c r="D10" s="9">
        <f>B11*('Base values'!P$40-'Base values'!P$41)</f>
        <v>5743.7715614380204</v>
      </c>
      <c r="E10" s="9">
        <f>B12*('Base values'!P$41-'Base values'!P$42)</f>
        <v>5343.2129726788262</v>
      </c>
      <c r="F10" s="9">
        <f>B13*('Base values'!P$42-'Base values'!P$43)</f>
        <v>3020.8490824909486</v>
      </c>
      <c r="G10" s="9">
        <f>B14*('Base values'!P$43-'Base values'!P$44)</f>
        <v>2219.4734612467655</v>
      </c>
      <c r="H10" s="9">
        <f>B15*('Base values'!P$44-'Base values'!P$45)</f>
        <v>16697.694894859786</v>
      </c>
      <c r="I10" s="9">
        <f t="shared" si="0"/>
        <v>86583.65703619238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values'!P$40)</f>
        <v>52573.252772927015</v>
      </c>
      <c r="D11" s="9">
        <f>B12*('Base values'!P$40-'Base values'!P$41)</f>
        <v>5631.5170369445732</v>
      </c>
      <c r="E11" s="9">
        <f>B13*('Base values'!P$41-'Base values'!P$42)</f>
        <v>5226.6495797747712</v>
      </c>
      <c r="F11" s="9">
        <f>B14*('Base values'!P$42-'Base values'!P$43)</f>
        <v>2950.0712144188828</v>
      </c>
      <c r="G11" s="9">
        <f>B15*('Base values'!P$43-'Base values'!P$44)</f>
        <v>2162.8161829284536</v>
      </c>
      <c r="H11" s="9">
        <f>B16*('Base values'!P$44-'Base values'!P$45)</f>
        <v>16165.076814413052</v>
      </c>
      <c r="I11" s="9">
        <f t="shared" si="0"/>
        <v>84709.383601406749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values'!P$40)</f>
        <v>51545.777110294432</v>
      </c>
      <c r="D12" s="9">
        <f>B13*('Base values'!P$40-'Base values'!P$41)</f>
        <v>5508.6642260272974</v>
      </c>
      <c r="E12" s="9">
        <f>B14*('Base values'!P$41-'Base values'!P$42)</f>
        <v>5104.1902631010707</v>
      </c>
      <c r="F12" s="9">
        <f>B15*('Base values'!P$42-'Base values'!P$43)</f>
        <v>2874.7637107372302</v>
      </c>
      <c r="G12" s="9">
        <f>B16*('Base values'!P$43-'Base values'!P$44)</f>
        <v>2093.8273188388903</v>
      </c>
      <c r="H12" s="9">
        <f>B17*('Base values'!P$44-'Base values'!P$45)</f>
        <v>15635.985617391414</v>
      </c>
      <c r="I12" s="9">
        <f t="shared" si="0"/>
        <v>82763.208246390335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values'!P$40)</f>
        <v>50421.294387899827</v>
      </c>
      <c r="D13" s="9">
        <f>B14*('Base values'!P$40-'Base values'!P$41)</f>
        <v>5379.5973646263401</v>
      </c>
      <c r="E13" s="9">
        <f>B15*('Base values'!P$41-'Base values'!P$42)</f>
        <v>4973.8938061370454</v>
      </c>
      <c r="F13" s="9">
        <f>B16*('Base values'!P$42-'Base values'!P$43)</f>
        <v>2783.0653572224501</v>
      </c>
      <c r="G13" s="9">
        <f>B17*('Base values'!P$43-'Base values'!P$44)</f>
        <v>2025.2952843054495</v>
      </c>
      <c r="H13" s="9">
        <f>B18*('Base values'!P$44-'Base values'!P$45)</f>
        <v>15112.710787906535</v>
      </c>
      <c r="I13" s="9">
        <f t="shared" si="0"/>
        <v>80695.856988097628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values'!P$40)</f>
        <v>49239.933907863247</v>
      </c>
      <c r="D14" s="9">
        <f>B15*('Base values'!P$40-'Base values'!P$41)</f>
        <v>5242.2704938842689</v>
      </c>
      <c r="E14" s="9">
        <f>B16*('Base values'!P$41-'Base values'!P$42)</f>
        <v>4815.2380283155135</v>
      </c>
      <c r="F14" s="9">
        <f>B17*('Base values'!P$42-'Base values'!P$43)</f>
        <v>2691.9742106632593</v>
      </c>
      <c r="G14" s="9">
        <f>B18*('Base values'!P$43-'Base values'!P$44)</f>
        <v>1957.5166312365507</v>
      </c>
      <c r="H14" s="9">
        <f>B19*('Base values'!P$44-'Base values'!P$45)</f>
        <v>14609.336191661401</v>
      </c>
      <c r="I14" s="9">
        <f t="shared" si="0"/>
        <v>78556.269463624238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values'!P$40)</f>
        <v>47982.968826502933</v>
      </c>
      <c r="D15" s="9">
        <f>B16*('Base values'!P$40-'Base values'!P$41)</f>
        <v>5075.0541167006904</v>
      </c>
      <c r="E15" s="9">
        <f>B17*('Base values'!P$41-'Base values'!P$42)</f>
        <v>4657.6328352443616</v>
      </c>
      <c r="F15" s="9">
        <f>B18*('Base values'!P$42-'Base values'!P$43)</f>
        <v>2601.8844407867941</v>
      </c>
      <c r="G15" s="9">
        <f>B19*('Base values'!P$43-'Base values'!P$44)</f>
        <v>1892.3156121923473</v>
      </c>
      <c r="H15" s="9">
        <f>B20*('Base values'!P$44-'Base values'!P$45)</f>
        <v>14160.805347439233</v>
      </c>
      <c r="I15" s="9">
        <f t="shared" si="0"/>
        <v>76370.661178866358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values'!P$40)</f>
        <v>46452.422430043458</v>
      </c>
      <c r="D16" s="9">
        <f>B17*('Base values'!P$40-'Base values'!P$41)</f>
        <v>4908.9450107321609</v>
      </c>
      <c r="E16" s="9">
        <f>B18*('Base values'!P$41-'Base values'!P$42)</f>
        <v>4501.7602163187712</v>
      </c>
      <c r="F16" s="9">
        <f>B19*('Base values'!P$42-'Base values'!P$43)</f>
        <v>2515.2208006074552</v>
      </c>
      <c r="G16" s="9">
        <f>B20*('Base values'!P$43-'Base values'!P$44)</f>
        <v>1834.2183853275242</v>
      </c>
      <c r="H16" s="9">
        <f>B21*('Base values'!P$44-'Base values'!P$45)</f>
        <v>13773.375959771764</v>
      </c>
      <c r="I16" s="9">
        <f t="shared" si="0"/>
        <v>73985.942802801132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values'!P$40)</f>
        <v>44932.010985654117</v>
      </c>
      <c r="D17" s="9">
        <f>B18*('Base values'!P$40-'Base values'!P$41)</f>
        <v>4744.6619635167417</v>
      </c>
      <c r="E17" s="9">
        <f>B19*('Base values'!P$41-'Base values'!P$42)</f>
        <v>4351.8154603392404</v>
      </c>
      <c r="F17" s="9">
        <f>B20*('Base values'!P$42-'Base values'!P$43)</f>
        <v>2437.9993516448708</v>
      </c>
      <c r="G17" s="9">
        <f>B21*('Base values'!P$43-'Base values'!P$44)</f>
        <v>1784.0354975298069</v>
      </c>
      <c r="H17" s="9">
        <f>B22*('Base values'!P$44-'Base values'!P$45)</f>
        <v>13451.488637141361</v>
      </c>
      <c r="I17" s="9">
        <f t="shared" si="0"/>
        <v>71702.011895826145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values'!P$40)</f>
        <v>43428.313619702363</v>
      </c>
      <c r="D18" s="9">
        <f>B19*('Base values'!P$40-'Base values'!P$41)</f>
        <v>4586.626629305485</v>
      </c>
      <c r="E18" s="9">
        <f>B20*('Base values'!P$41-'Base values'!P$42)</f>
        <v>4218.2075101409864</v>
      </c>
      <c r="F18" s="9">
        <f>B21*('Base values'!P$42-'Base values'!P$43)</f>
        <v>2371.2974534994896</v>
      </c>
      <c r="G18" s="9">
        <f>B22*('Base values'!P$43-'Base values'!P$44)</f>
        <v>1742.3421311790503</v>
      </c>
      <c r="H18" s="9">
        <f>B23*('Base values'!P$44-'Base values'!P$45)</f>
        <v>13217.669744085812</v>
      </c>
      <c r="I18" s="9">
        <f t="shared" si="0"/>
        <v>69564.457087913179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values'!P$40)</f>
        <v>41981.802127441289</v>
      </c>
      <c r="D19" s="9">
        <f>B20*('Base values'!P$40-'Base values'!P$41)</f>
        <v>4445.8095868892469</v>
      </c>
      <c r="E19" s="9">
        <f>B21*('Base values'!P$41-'Base values'!P$42)</f>
        <v>4102.8004049226538</v>
      </c>
      <c r="F19" s="9">
        <f>B22*('Base values'!P$42-'Base values'!P$43)</f>
        <v>2315.8796248787794</v>
      </c>
      <c r="G19" s="9">
        <f>B23*('Base values'!P$43-'Base values'!P$44)</f>
        <v>1712.056077387839</v>
      </c>
      <c r="H19" s="9">
        <f>B24*('Base values'!P$44-'Base values'!P$45)</f>
        <v>13056.92246471259</v>
      </c>
      <c r="I19" s="9">
        <f t="shared" si="0"/>
        <v>67615.270286232393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values'!P$40)</f>
        <v>40692.891193833166</v>
      </c>
      <c r="D20" s="9">
        <f>B21*('Base values'!P$40-'Base values'!P$41)</f>
        <v>4324.1754535420114</v>
      </c>
      <c r="E20" s="9">
        <f>B22*('Base values'!P$41-'Base values'!P$42)</f>
        <v>4006.9169090038095</v>
      </c>
      <c r="F20" s="9">
        <f>B23*('Base values'!P$42-'Base values'!P$43)</f>
        <v>2275.6241241720459</v>
      </c>
      <c r="G20" s="9">
        <f>B24*('Base values'!P$43-'Base values'!P$44)</f>
        <v>1691.2348311392236</v>
      </c>
      <c r="H20" s="9">
        <f>B25*('Base values'!P$44-'Base values'!P$45)</f>
        <v>12962.715665364234</v>
      </c>
      <c r="I20" s="9">
        <f t="shared" si="0"/>
        <v>65953.558177054496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values'!P$40)</f>
        <v>39579.563135800316</v>
      </c>
      <c r="D21" s="9">
        <f>B22*('Base values'!P$40-'Base values'!P$41)</f>
        <v>4223.1183660574252</v>
      </c>
      <c r="E21" s="9">
        <f>B23*('Base values'!P$41-'Base values'!P$42)</f>
        <v>3937.2671548760804</v>
      </c>
      <c r="F21" s="9">
        <f>B24*('Base values'!P$42-'Base values'!P$43)</f>
        <v>2247.9490200183504</v>
      </c>
      <c r="G21" s="9">
        <f>B25*('Base values'!P$43-'Base values'!P$44)</f>
        <v>1679.03242886421</v>
      </c>
      <c r="H21" s="9">
        <f>B26*('Base values'!P$44-'Base values'!P$45)</f>
        <v>12946.927235191224</v>
      </c>
      <c r="I21" s="9">
        <f t="shared" si="0"/>
        <v>64613.857340807597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values'!P$40)</f>
        <v>38654.578611608551</v>
      </c>
      <c r="D22" s="9">
        <f>B23*('Base values'!P$40-'Base values'!P$41)</f>
        <v>4149.7105159502153</v>
      </c>
      <c r="E22" s="9">
        <f>B24*('Base values'!P$41-'Base values'!P$42)</f>
        <v>3889.3839049866619</v>
      </c>
      <c r="F22" s="9">
        <f>B25*('Base values'!P$42-'Base values'!P$43)</f>
        <v>2231.7298778088034</v>
      </c>
      <c r="G22" s="9">
        <f>B26*('Base values'!P$43-'Base values'!P$44)</f>
        <v>1676.9873877674456</v>
      </c>
      <c r="H22" s="9">
        <f>B27*('Base values'!P$44-'Base values'!P$45)</f>
        <v>13007.126481216352</v>
      </c>
      <c r="I22" s="9">
        <f t="shared" si="0"/>
        <v>63609.516779338024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values'!P$40)</f>
        <v>37982.670020202582</v>
      </c>
      <c r="D23" s="9">
        <f>B24*('Base values'!P$40-'Base values'!P$41)</f>
        <v>4099.2436266618133</v>
      </c>
      <c r="E23" s="9">
        <f>B25*('Base values'!P$41-'Base values'!P$42)</f>
        <v>3861.321671323557</v>
      </c>
      <c r="F23" s="9">
        <f>B26*('Base values'!P$42-'Base values'!P$43)</f>
        <v>2229.0116579349424</v>
      </c>
      <c r="G23" s="9">
        <f>B27*('Base values'!P$43-'Base values'!P$44)</f>
        <v>1684.7848654626043</v>
      </c>
      <c r="H23" s="9">
        <f>B28*('Base values'!P$44-'Base values'!P$45)</f>
        <v>13107.487493427698</v>
      </c>
      <c r="I23" s="9">
        <f t="shared" si="0"/>
        <v>62964.519335013203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values'!P$40)</f>
        <v>37520.74208681551</v>
      </c>
      <c r="D24" s="9">
        <f>B25*('Base values'!P$40-'Base values'!P$41)</f>
        <v>4069.6672373663546</v>
      </c>
      <c r="E24" s="9">
        <f>B26*('Base values'!P$41-'Base values'!P$42)</f>
        <v>3856.6186284460437</v>
      </c>
      <c r="F24" s="9">
        <f>B27*('Base values'!P$42-'Base values'!P$43)</f>
        <v>2239.3758794024247</v>
      </c>
      <c r="G24" s="9">
        <f>B28*('Base values'!P$43-'Base values'!P$44)</f>
        <v>1697.7844095740854</v>
      </c>
      <c r="H24" s="9">
        <f>B29*('Base values'!P$44-'Base values'!P$45)</f>
        <v>13166.325243315647</v>
      </c>
      <c r="I24" s="9">
        <f t="shared" si="0"/>
        <v>62550.513484920062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values'!P$40)</f>
        <v>37250.026760847475</v>
      </c>
      <c r="D25" s="9">
        <f>B26*('Base values'!P$40-'Base values'!P$41)</f>
        <v>4064.7104321209672</v>
      </c>
      <c r="E25" s="9">
        <f>B27*('Base values'!P$41-'Base values'!P$42)</f>
        <v>3874.5507237935685</v>
      </c>
      <c r="F25" s="9">
        <f>B28*('Base values'!P$42-'Base values'!P$43)</f>
        <v>2256.6545635378529</v>
      </c>
      <c r="G25" s="9">
        <f>B29*('Base values'!P$43-'Base values'!P$44)</f>
        <v>1705.4055356292708</v>
      </c>
      <c r="H25" s="9">
        <f>B30*('Base values'!P$44-'Base values'!P$45)</f>
        <v>13152.68768135557</v>
      </c>
      <c r="I25" s="9">
        <f t="shared" si="0"/>
        <v>62304.035697284708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values'!P$40)</f>
        <v>37204.656680870496</v>
      </c>
      <c r="D26" s="9">
        <f>B27*('Base values'!P$40-'Base values'!P$41)</f>
        <v>4083.6100906174674</v>
      </c>
      <c r="E26" s="9">
        <f>B28*('Base values'!P$41-'Base values'!P$42)</f>
        <v>3904.4461686534055</v>
      </c>
      <c r="F26" s="9">
        <f>B29*('Base values'!P$42-'Base values'!P$43)</f>
        <v>2266.7843826095486</v>
      </c>
      <c r="G26" s="9">
        <f>B30*('Base values'!P$43-'Base values'!P$44)</f>
        <v>1703.6390918243824</v>
      </c>
      <c r="H26" s="9">
        <f>B31*('Base values'!P$44-'Base values'!P$45)</f>
        <v>13035.48892744252</v>
      </c>
      <c r="I26" s="9">
        <f t="shared" si="0"/>
        <v>62198.625342017825</v>
      </c>
    </row>
    <row r="27" spans="1:9" s="116" customFormat="1">
      <c r="A27" s="121">
        <f t="shared" ref="A27:A33" si="2">1+A26</f>
        <v>23</v>
      </c>
      <c r="B27" s="122">
        <f>'Base values'!G27</f>
        <v>830227.93305620481</v>
      </c>
      <c r="C27" s="122">
        <f>B27*(1-'Base values'!P$40)</f>
        <v>37377.646938722908</v>
      </c>
      <c r="D27" s="122">
        <f>B28*('Base values'!P$40-'Base values'!P$41)</f>
        <v>4115.1186057966415</v>
      </c>
      <c r="E27" s="122">
        <f>B29*('Base values'!P$41-'Base values'!P$42)</f>
        <v>3921.9727027994327</v>
      </c>
      <c r="F27" s="122">
        <f>B30*('Base values'!P$42-'Base values'!P$43)</f>
        <v>2264.4364676145378</v>
      </c>
      <c r="G27" s="122">
        <f>B31*('Base values'!P$43-'Base values'!P$44)</f>
        <v>1688.4585915710074</v>
      </c>
      <c r="H27" s="122">
        <f>B32*('Base values'!P$44-'Base values'!P$45)</f>
        <v>12844.194926250984</v>
      </c>
      <c r="I27" s="122">
        <f t="shared" ref="I27:I33" si="3">SUM(C27:H27)</f>
        <v>62211.828232755506</v>
      </c>
    </row>
    <row r="28" spans="1:9" s="116" customFormat="1">
      <c r="A28" s="121">
        <f t="shared" si="2"/>
        <v>24</v>
      </c>
      <c r="B28" s="122">
        <f>'Base values'!G28</f>
        <v>836633.84568017919</v>
      </c>
      <c r="C28" s="122">
        <f>B28*(1-'Base values'!P$40)</f>
        <v>37666.047185023715</v>
      </c>
      <c r="D28" s="122">
        <f>B29*('Base values'!P$40-'Base values'!P$41)</f>
        <v>4133.5908202014625</v>
      </c>
      <c r="E28" s="122">
        <f>B30*('Base values'!P$41-'Base values'!P$42)</f>
        <v>3917.9103585422672</v>
      </c>
      <c r="F28" s="122">
        <f>B31*('Base values'!P$42-'Base values'!P$43)</f>
        <v>2244.2589085673562</v>
      </c>
      <c r="G28" s="122">
        <f>B32*('Base values'!P$43-'Base values'!P$44)</f>
        <v>1663.6806947367832</v>
      </c>
      <c r="H28" s="122">
        <f>B33*('Base values'!P$44-'Base values'!P$45)</f>
        <v>12613.066929391174</v>
      </c>
      <c r="I28" s="122">
        <f t="shared" si="3"/>
        <v>62238.554896462752</v>
      </c>
    </row>
    <row r="29" spans="1:9" s="116" customFormat="1">
      <c r="A29" s="121">
        <f t="shared" si="2"/>
        <v>25</v>
      </c>
      <c r="B29" s="122">
        <f>'Base values'!G29</f>
        <v>840389.38258109975</v>
      </c>
      <c r="C29" s="122">
        <f>B29*(1-'Base values'!P$40)</f>
        <v>37835.125009027084</v>
      </c>
      <c r="D29" s="122">
        <f>B30*('Base values'!P$40-'Base values'!P$41)</f>
        <v>4129.3092837904787</v>
      </c>
      <c r="E29" s="122">
        <f>B31*('Base values'!P$41-'Base values'!P$42)</f>
        <v>3882.9993028638846</v>
      </c>
      <c r="F29" s="122">
        <f>B32*('Base values'!P$42-'Base values'!P$43)</f>
        <v>2211.3247187782949</v>
      </c>
      <c r="G29" s="122">
        <f>B33*('Base values'!P$43-'Base values'!P$44)</f>
        <v>1633.7431868901094</v>
      </c>
      <c r="H29" s="122">
        <f>B34*('Base values'!P$44-'Base values'!P$45)</f>
        <v>0</v>
      </c>
      <c r="I29" s="122">
        <f t="shared" si="3"/>
        <v>49692.501501349856</v>
      </c>
    </row>
    <row r="30" spans="1:9" s="116" customFormat="1">
      <c r="A30" s="121">
        <f t="shared" si="2"/>
        <v>26</v>
      </c>
      <c r="B30" s="122">
        <f>'Base values'!G30</f>
        <v>839518.91477298003</v>
      </c>
      <c r="C30" s="122">
        <f>B30*(1-'Base values'!P$40)</f>
        <v>37795.935724846226</v>
      </c>
      <c r="D30" s="122">
        <f>B31*('Base values'!P$40-'Base values'!P$41)</f>
        <v>4092.5145301776606</v>
      </c>
      <c r="E30" s="122">
        <f>B32*('Base values'!P$41-'Base values'!P$42)</f>
        <v>3826.016823924791</v>
      </c>
      <c r="F30" s="122">
        <f>B33*('Base values'!P$42-'Base values'!P$43)</f>
        <v>2171.5324970320162</v>
      </c>
      <c r="G30" s="122">
        <f>B34*('Base values'!P$43-'Base values'!P$44)</f>
        <v>0</v>
      </c>
      <c r="H30" s="122">
        <f>B35*('Base values'!P$44-'Base values'!P$45)</f>
        <v>0</v>
      </c>
      <c r="I30" s="122">
        <f t="shared" si="3"/>
        <v>47885.999575980692</v>
      </c>
    </row>
    <row r="31" spans="1:9" s="116" customFormat="1">
      <c r="A31" s="121">
        <f t="shared" si="2"/>
        <v>27</v>
      </c>
      <c r="B31" s="122">
        <f>'Base values'!G31</f>
        <v>832038.27103829291</v>
      </c>
      <c r="C31" s="122">
        <f>B31*(1-'Base values'!P$40)</f>
        <v>37459.150067249502</v>
      </c>
      <c r="D31" s="122">
        <f>B32*('Base values'!P$40-'Base values'!P$41)</f>
        <v>4032.4574441895725</v>
      </c>
      <c r="E31" s="122">
        <f>B33*('Base values'!P$41-'Base values'!P$42)</f>
        <v>3757.1686314500466</v>
      </c>
      <c r="F31" s="122">
        <f>B34*('Base values'!P$42-'Base values'!P$43)</f>
        <v>0</v>
      </c>
      <c r="G31" s="122">
        <f>B35*('Base values'!P$43-'Base values'!P$44)</f>
        <v>0</v>
      </c>
      <c r="H31" s="122">
        <f>B36*('Base values'!P$44-'Base values'!P$45)</f>
        <v>0</v>
      </c>
      <c r="I31" s="122">
        <f t="shared" si="3"/>
        <v>45248.776142889124</v>
      </c>
    </row>
    <row r="32" spans="1:9" s="116" customFormat="1">
      <c r="A32" s="121">
        <f t="shared" si="2"/>
        <v>28</v>
      </c>
      <c r="B32" s="122">
        <f>'Base values'!G32</f>
        <v>819828.22422705835</v>
      </c>
      <c r="C32" s="122">
        <f>B32*(1-'Base values'!P$40)</f>
        <v>36909.442209148918</v>
      </c>
      <c r="D32" s="122">
        <f>B33*('Base values'!P$40-'Base values'!P$41)</f>
        <v>3959.8944056457467</v>
      </c>
      <c r="E32" s="122">
        <f>B34*('Base values'!P$41-'Base values'!P$42)</f>
        <v>0</v>
      </c>
      <c r="F32" s="122">
        <f>B35*('Base values'!P$42-'Base values'!P$43)</f>
        <v>0</v>
      </c>
      <c r="G32" s="122">
        <f>B36*('Base values'!P$43-'Base values'!P$44)</f>
        <v>0</v>
      </c>
      <c r="H32" s="122">
        <f>B37*('Base values'!P$44-'Base values'!P$45)</f>
        <v>0</v>
      </c>
      <c r="I32" s="122">
        <f t="shared" si="3"/>
        <v>40869.336614794665</v>
      </c>
    </row>
    <row r="33" spans="1:9" s="116" customFormat="1">
      <c r="A33" s="121">
        <f t="shared" si="2"/>
        <v>29</v>
      </c>
      <c r="B33" s="122">
        <f>'Base values'!G33</f>
        <v>805075.62538199848</v>
      </c>
      <c r="C33" s="122">
        <f>B33*(1-'Base values'!P$40)</f>
        <v>36245.266253240756</v>
      </c>
      <c r="D33" s="122">
        <f>B34*('Base values'!P$40-'Base values'!P$41)</f>
        <v>0</v>
      </c>
      <c r="E33" s="122">
        <f>B35*('Base values'!P$41-'Base values'!P$42)</f>
        <v>0</v>
      </c>
      <c r="F33" s="122">
        <f>B36*('Base values'!P$42-'Base values'!P$43)</f>
        <v>0</v>
      </c>
      <c r="G33" s="122">
        <f>B37*('Base values'!P$43-'Base values'!P$44)</f>
        <v>0</v>
      </c>
      <c r="H33" s="122">
        <f>B38*('Base values'!P$44-'Base values'!P$45)</f>
        <v>0</v>
      </c>
      <c r="I33" s="122">
        <f t="shared" si="3"/>
        <v>36245.266253240756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38"/>
  <sheetViews>
    <sheetView workbookViewId="0">
      <selection activeCell="G19" sqref="G19"/>
    </sheetView>
  </sheetViews>
  <sheetFormatPr defaultRowHeight="12.75"/>
  <cols>
    <col min="1" max="1" width="14.140625" customWidth="1"/>
    <col min="11" max="12" width="13" customWidth="1"/>
  </cols>
  <sheetData>
    <row r="1" spans="1:12" ht="15.75">
      <c r="A1" s="32" t="s">
        <v>32</v>
      </c>
    </row>
    <row r="2" spans="1:12">
      <c r="A2" s="33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40" t="s">
        <v>22</v>
      </c>
      <c r="K2" s="38" t="s">
        <v>12</v>
      </c>
      <c r="L2" s="38" t="s">
        <v>12</v>
      </c>
    </row>
    <row r="3" spans="1:12" ht="12.75" customHeight="1">
      <c r="A3" s="33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40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values'!P$40)</f>
        <v>3988.7651741848963</v>
      </c>
      <c r="D4" s="9">
        <f>B5*('Base values'!P$40-'Base values'!P$41)</f>
        <v>425.02813778415583</v>
      </c>
      <c r="E4" s="9">
        <f>B6*('Base values'!P$41-'Base values'!P$42)</f>
        <v>402.02355920981148</v>
      </c>
      <c r="F4" s="9">
        <f>B7*('Base values'!P$42-'Base values'!P$43)</f>
        <v>234.06276125755656</v>
      </c>
      <c r="G4" s="9">
        <f>B8*('Base values'!P$43-'Base values'!P$44)</f>
        <v>169.61614595776678</v>
      </c>
      <c r="H4" s="9">
        <f>B9*('Base values'!P$44-'Base values'!P$45)</f>
        <v>1275.8231160359644</v>
      </c>
      <c r="I4" s="9">
        <f>SUM(C4:H4)</f>
        <v>6495.3188944301519</v>
      </c>
      <c r="J4" s="41">
        <f>'Base values'!C57</f>
        <v>0</v>
      </c>
      <c r="K4" s="36">
        <f>C4*(1-J4)+D4*(1-J5)+E4*(1-J6)+F4*(1-J7)+G4*(1-J8)+H4*(1-J9)</f>
        <v>5774.5944554870266</v>
      </c>
      <c r="L4" s="36">
        <f>I4-K4</f>
        <v>720.72443894312528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values'!P$40)</f>
        <v>3890.3204078225067</v>
      </c>
      <c r="D5" s="9">
        <f>B6*('Base values'!P$40-'Base values'!P$41)</f>
        <v>423.71556861378264</v>
      </c>
      <c r="E5" s="9">
        <f>B7*('Base values'!P$41-'Base values'!P$42)</f>
        <v>404.97356847729787</v>
      </c>
      <c r="F5" s="9">
        <f>B8*('Base values'!P$42-'Base values'!P$43)</f>
        <v>225.44973770922971</v>
      </c>
      <c r="G5" s="9">
        <f>B9*('Base values'!P$43-'Base values'!P$44)</f>
        <v>165.25459946966896</v>
      </c>
      <c r="H5" s="9">
        <f>B10*('Base values'!P$44-'Base values'!P$45)</f>
        <v>1255.585751011507</v>
      </c>
      <c r="I5" s="9">
        <f t="shared" ref="I5:I33" si="0">SUM(C5:H5)</f>
        <v>6365.2996331039922</v>
      </c>
      <c r="J5" s="41">
        <f>'Base values'!C58</f>
        <v>5.4347826086956513E-2</v>
      </c>
      <c r="K5" s="36">
        <f t="shared" ref="K5:K33" si="1">C5*(1-J5)+D5*(1-J6)+E5*(1-J7)+F5*(1-J8)+G5*(1-J9)+H5*(1-J10)</f>
        <v>5200.7090482727699</v>
      </c>
      <c r="L5" s="36">
        <f t="shared" ref="L5:L33" si="2">I5-K5</f>
        <v>1164.5905848312223</v>
      </c>
    </row>
    <row r="6" spans="1:12">
      <c r="A6" s="28">
        <f t="shared" ref="A6:A30" si="3">1+A5</f>
        <v>2</v>
      </c>
      <c r="B6" s="9">
        <f>'Base values'!F6-'Base values'!E6</f>
        <v>86144.488070055653</v>
      </c>
      <c r="C6" s="9">
        <f>B6*(1-'Base values'!P$40)</f>
        <v>3878.3063452787828</v>
      </c>
      <c r="D6" s="9">
        <f>B7*('Base values'!P$40-'Base values'!P$41)</f>
        <v>426.82475170903649</v>
      </c>
      <c r="E6" s="9">
        <f>B8*('Base values'!P$41-'Base values'!P$42)</f>
        <v>390.07138214486042</v>
      </c>
      <c r="F6" s="9">
        <f>B9*('Base values'!P$42-'Base values'!P$43)</f>
        <v>219.65247409263333</v>
      </c>
      <c r="G6" s="9">
        <f>B10*('Base values'!P$43-'Base values'!P$44)</f>
        <v>162.63329749653249</v>
      </c>
      <c r="H6" s="9">
        <f>B11*('Base values'!P$44-'Base values'!P$45)</f>
        <v>1197.5184635786359</v>
      </c>
      <c r="I6" s="9">
        <f t="shared" si="0"/>
        <v>6275.0067143004817</v>
      </c>
      <c r="J6" s="41">
        <f>'Base values'!C59</f>
        <v>0.13043478260869565</v>
      </c>
      <c r="K6" s="36">
        <f t="shared" si="1"/>
        <v>4618.7046467544951</v>
      </c>
      <c r="L6" s="36">
        <f t="shared" si="2"/>
        <v>1656.3020675459866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values'!P$40)</f>
        <v>3906.7649751242861</v>
      </c>
      <c r="D7" s="9">
        <f>B8*('Base values'!P$40-'Base values'!P$41)</f>
        <v>411.11848721088575</v>
      </c>
      <c r="E7" s="9">
        <f>B9*('Base values'!P$41-'Base values'!P$42)</f>
        <v>380.0410017391826</v>
      </c>
      <c r="F7" s="9">
        <f>B10*('Base values'!P$42-'Base values'!P$43)</f>
        <v>216.16830199944442</v>
      </c>
      <c r="G7" s="9">
        <f>B11*('Base values'!P$43-'Base values'!P$44)</f>
        <v>155.11196777112036</v>
      </c>
      <c r="H7" s="9">
        <f>B12*('Base values'!P$44-'Base values'!P$45)</f>
        <v>1188.152293127805</v>
      </c>
      <c r="I7" s="9">
        <f t="shared" si="0"/>
        <v>6257.3570269727243</v>
      </c>
      <c r="J7" s="41">
        <f>'Base values'!C60</f>
        <v>0.21739130434782611</v>
      </c>
      <c r="K7" s="36">
        <f t="shared" si="1"/>
        <v>4052.073038118785</v>
      </c>
      <c r="L7" s="36">
        <f t="shared" si="2"/>
        <v>2205.2839888539393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values'!P$40)</f>
        <v>3763.0041370151539</v>
      </c>
      <c r="D8" s="9">
        <f>B9*('Base values'!P$40-'Base values'!P$41)</f>
        <v>400.54689696538401</v>
      </c>
      <c r="E8" s="9">
        <f>B10*('Base values'!P$41-'Base values'!P$42)</f>
        <v>374.01271429103491</v>
      </c>
      <c r="F8" s="9">
        <f>B11*('Base values'!P$42-'Base values'!P$43)</f>
        <v>206.17112983022764</v>
      </c>
      <c r="G8" s="9">
        <f>B12*('Base values'!P$43-'Base values'!P$44)</f>
        <v>153.89878803878742</v>
      </c>
      <c r="H8" s="9">
        <f>B13*('Base values'!P$44-'Base values'!P$45)</f>
        <v>1199.5089254157151</v>
      </c>
      <c r="I8" s="9">
        <f t="shared" si="0"/>
        <v>6097.1425915563032</v>
      </c>
      <c r="J8" s="41">
        <f>'Base values'!C61</f>
        <v>0.31521739130434784</v>
      </c>
      <c r="K8" s="36">
        <f t="shared" si="1"/>
        <v>3336.773265721235</v>
      </c>
      <c r="L8" s="36">
        <f t="shared" si="2"/>
        <v>2760.3693258350681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values'!P$40)</f>
        <v>3666.241429751527</v>
      </c>
      <c r="D9" s="9">
        <f>B10*('Base values'!P$40-'Base values'!P$41)</f>
        <v>394.19334084822577</v>
      </c>
      <c r="E9" s="9">
        <f>B11*('Base values'!P$41-'Base values'!P$42)</f>
        <v>356.71568478365975</v>
      </c>
      <c r="F9" s="9">
        <f>B12*('Base values'!P$42-'Base values'!P$43)</f>
        <v>204.55860025113486</v>
      </c>
      <c r="G9" s="9">
        <f>B13*('Base values'!P$43-'Base values'!P$44)</f>
        <v>155.3697879732407</v>
      </c>
      <c r="H9" s="9">
        <f>B14*('Base values'!P$44-'Base values'!P$45)</f>
        <v>1227.2431773099468</v>
      </c>
      <c r="I9" s="9">
        <f t="shared" si="0"/>
        <v>6004.3220209177352</v>
      </c>
      <c r="J9" s="41">
        <f>'Base values'!C62</f>
        <v>0.42391304347826092</v>
      </c>
      <c r="K9" s="36">
        <f t="shared" si="1"/>
        <v>2689.7693892502839</v>
      </c>
      <c r="L9" s="36">
        <f t="shared" si="2"/>
        <v>3314.5526316674514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values'!P$40)</f>
        <v>3608.0867646187949</v>
      </c>
      <c r="D10" s="9">
        <f>B11*('Base values'!P$40-'Base values'!P$41)</f>
        <v>375.96301447767121</v>
      </c>
      <c r="E10" s="9">
        <f>B12*('Base values'!P$41-'Base values'!P$42)</f>
        <v>353.92569865168463</v>
      </c>
      <c r="F10" s="9">
        <f>B13*('Base values'!P$42-'Base values'!P$43)</f>
        <v>206.51381829668202</v>
      </c>
      <c r="G10" s="9">
        <f>B14*('Base values'!P$43-'Base values'!P$44)</f>
        <v>158.96214543311521</v>
      </c>
      <c r="H10" s="9">
        <f>B15*('Base values'!P$44-'Base values'!P$45)</f>
        <v>1295.356141464104</v>
      </c>
      <c r="I10" s="9">
        <f t="shared" si="0"/>
        <v>5998.8075829420522</v>
      </c>
      <c r="J10" s="41">
        <f>'Base values'!C63</f>
        <v>0.53260869565217406</v>
      </c>
      <c r="K10" s="36">
        <f t="shared" si="1"/>
        <v>2100.8602966030035</v>
      </c>
      <c r="L10" s="36">
        <f t="shared" si="2"/>
        <v>3897.9472863390488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values'!P$40)</f>
        <v>3441.2229633411257</v>
      </c>
      <c r="D11" s="9">
        <f>B12*('Base values'!P$40-'Base values'!P$41)</f>
        <v>373.02248889589191</v>
      </c>
      <c r="E11" s="9">
        <f>B13*('Base values'!P$41-'Base values'!P$42)</f>
        <v>357.308601702141</v>
      </c>
      <c r="F11" s="9">
        <f>B14*('Base values'!P$42-'Base values'!P$43)</f>
        <v>211.28869419374527</v>
      </c>
      <c r="G11" s="9">
        <f>B15*('Base values'!P$43-'Base values'!P$44)</f>
        <v>167.78466986342966</v>
      </c>
      <c r="H11" s="9">
        <f>B16*('Base values'!P$44-'Base values'!P$45)</f>
        <v>1370.6094088909383</v>
      </c>
      <c r="I11" s="9">
        <f t="shared" si="0"/>
        <v>5921.2368268872715</v>
      </c>
      <c r="J11" s="41">
        <f>'Base values'!C64</f>
        <v>0.63043478260869579</v>
      </c>
      <c r="K11" s="36">
        <f t="shared" si="1"/>
        <v>1566.0195404718565</v>
      </c>
      <c r="L11" s="36">
        <f t="shared" si="2"/>
        <v>4355.2172864154145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values'!P$40)</f>
        <v>3414.3080707409335</v>
      </c>
      <c r="D12" s="9">
        <f>B13*('Base values'!P$40-'Base values'!P$41)</f>
        <v>376.58792345004292</v>
      </c>
      <c r="E12" s="9">
        <f>B14*('Base values'!P$41-'Base values'!P$42)</f>
        <v>365.57005482984363</v>
      </c>
      <c r="F12" s="9">
        <f>B15*('Base values'!P$42-'Base values'!P$43)</f>
        <v>223.01538334539549</v>
      </c>
      <c r="G12" s="9">
        <f>B16*('Base values'!P$43-'Base values'!P$44)</f>
        <v>177.53206228099643</v>
      </c>
      <c r="H12" s="9">
        <f>B17*('Base values'!P$44-'Base values'!P$45)</f>
        <v>1450.6549350059752</v>
      </c>
      <c r="I12" s="9">
        <f t="shared" si="0"/>
        <v>6007.6684296531866</v>
      </c>
      <c r="J12" s="41">
        <f>'Base values'!C65</f>
        <v>0.71739130434782605</v>
      </c>
      <c r="K12" s="36">
        <f t="shared" si="1"/>
        <v>1166.5951234493377</v>
      </c>
      <c r="L12" s="36">
        <f t="shared" si="2"/>
        <v>4841.0733062038489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values'!P$40)</f>
        <v>3446.9428108338666</v>
      </c>
      <c r="D13" s="9">
        <f>B14*('Base values'!P$40-'Base values'!P$41)</f>
        <v>385.29514030186363</v>
      </c>
      <c r="E13" s="9">
        <f>B15*('Base values'!P$41-'Base values'!P$42)</f>
        <v>385.85948116427079</v>
      </c>
      <c r="F13" s="9">
        <f>B16*('Base values'!P$42-'Base values'!P$43)</f>
        <v>235.9713849776725</v>
      </c>
      <c r="G13" s="9">
        <f>B17*('Base values'!P$43-'Base values'!P$44)</f>
        <v>187.90018556643975</v>
      </c>
      <c r="H13" s="9">
        <f>B18*('Base values'!P$44-'Base values'!P$45)</f>
        <v>1527.8138102983551</v>
      </c>
      <c r="I13" s="9">
        <f t="shared" si="0"/>
        <v>6169.7828131424685</v>
      </c>
      <c r="J13" s="41">
        <f>'Base values'!C66</f>
        <v>0.80434782608695654</v>
      </c>
      <c r="K13" s="36">
        <f t="shared" si="1"/>
        <v>797.95711478406531</v>
      </c>
      <c r="L13" s="36">
        <f t="shared" si="2"/>
        <v>5371.8256983584033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values'!P$40)</f>
        <v>3526.6407423415835</v>
      </c>
      <c r="D14" s="9">
        <f>B15*('Base values'!P$40-'Base values'!P$41)</f>
        <v>406.67932443534278</v>
      </c>
      <c r="E14" s="9">
        <f>B16*('Base values'!P$41-'Base values'!P$42)</f>
        <v>408.27585438840549</v>
      </c>
      <c r="F14" s="9">
        <f>B17*('Base values'!P$42-'Base values'!P$43)</f>
        <v>249.75244728186007</v>
      </c>
      <c r="G14" s="9">
        <f>B18*('Base values'!P$43-'Base values'!P$44)</f>
        <v>197.8944072353415</v>
      </c>
      <c r="H14" s="9">
        <f>B19*('Base values'!P$44-'Base values'!P$45)</f>
        <v>1595.851303149389</v>
      </c>
      <c r="I14" s="9">
        <f t="shared" si="0"/>
        <v>6385.0940788319222</v>
      </c>
      <c r="J14" s="41">
        <f>'Base values'!C67</f>
        <v>0.85869565217391319</v>
      </c>
      <c r="K14" s="36">
        <f t="shared" si="1"/>
        <v>566.17712246680685</v>
      </c>
      <c r="L14" s="36">
        <f t="shared" si="2"/>
        <v>5818.9169563651158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values'!P$40)</f>
        <v>3722.3720846776891</v>
      </c>
      <c r="D15" s="9">
        <f>B16*('Base values'!P$40-'Base values'!P$41)</f>
        <v>430.30521925999415</v>
      </c>
      <c r="E15" s="9">
        <f>B17*('Base values'!P$41-'Base values'!P$42)</f>
        <v>432.11974116795881</v>
      </c>
      <c r="F15" s="9">
        <f>B18*('Base values'!P$42-'Base values'!P$43)</f>
        <v>263.03652847082208</v>
      </c>
      <c r="G15" s="9">
        <f>B19*('Base values'!P$43-'Base values'!P$44)</f>
        <v>206.70715603154775</v>
      </c>
      <c r="H15" s="9">
        <f>B20*('Base values'!P$44-'Base values'!P$45)</f>
        <v>1645.643002502256</v>
      </c>
      <c r="I15" s="9">
        <f t="shared" si="0"/>
        <v>6700.1837321102685</v>
      </c>
      <c r="J15" s="41">
        <f>'Base values'!C68</f>
        <v>0.91304347826086973</v>
      </c>
      <c r="K15" s="36">
        <f t="shared" si="1"/>
        <v>364.02063614887089</v>
      </c>
      <c r="L15" s="36">
        <f t="shared" si="2"/>
        <v>6336.1630959613976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values'!P$40)</f>
        <v>3938.6220046678936</v>
      </c>
      <c r="D16" s="9">
        <f>B17*('Base values'!P$40-'Base values'!P$41)</f>
        <v>455.43565207497363</v>
      </c>
      <c r="E16" s="9">
        <f>B18*('Base values'!P$41-'Base values'!P$42)</f>
        <v>455.10375508855168</v>
      </c>
      <c r="F16" s="9">
        <f>B19*('Base values'!P$42-'Base values'!P$43)</f>
        <v>274.75022408265806</v>
      </c>
      <c r="G16" s="9">
        <f>B20*('Base values'!P$43-'Base values'!P$44)</f>
        <v>213.15656679237324</v>
      </c>
      <c r="H16" s="9">
        <f>B21*('Base values'!P$44-'Base values'!P$45)</f>
        <v>1664.006418864627</v>
      </c>
      <c r="I16" s="9">
        <f t="shared" si="0"/>
        <v>7001.0746215710769</v>
      </c>
      <c r="J16" s="41">
        <f>'Base values'!C69</f>
        <v>0.94565217391304346</v>
      </c>
      <c r="K16" s="36">
        <f t="shared" si="1"/>
        <v>233.85348624622773</v>
      </c>
      <c r="L16" s="36">
        <f t="shared" si="2"/>
        <v>6767.2211353248495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values'!P$40)</f>
        <v>4168.6430949119849</v>
      </c>
      <c r="D17" s="9">
        <f>B18*('Base values'!P$40-'Base values'!P$41)</f>
        <v>479.6598158193392</v>
      </c>
      <c r="E17" s="9">
        <f>B19*('Base values'!P$41-'Base values'!P$42)</f>
        <v>475.37070010148437</v>
      </c>
      <c r="F17" s="9">
        <f>B20*('Base values'!P$42-'Base values'!P$43)</f>
        <v>283.32262711773956</v>
      </c>
      <c r="G17" s="9">
        <f>B21*('Base values'!P$43-'Base values'!P$44)</f>
        <v>215.53514026209302</v>
      </c>
      <c r="H17" s="9">
        <f>B22*('Base values'!P$44-'Base values'!P$45)</f>
        <v>1639.513491056329</v>
      </c>
      <c r="I17" s="9">
        <f t="shared" si="0"/>
        <v>7262.0448692689706</v>
      </c>
      <c r="J17" s="41">
        <f>'Base values'!C70</f>
        <v>0.96739130434782605</v>
      </c>
      <c r="K17" s="36">
        <f t="shared" si="1"/>
        <v>141.14770761473164</v>
      </c>
      <c r="L17" s="36">
        <f t="shared" si="2"/>
        <v>7120.8971616542385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values'!P$40)</f>
        <v>4390.3690236197863</v>
      </c>
      <c r="D18" s="9">
        <f>B19*('Base values'!P$40-'Base values'!P$41)</f>
        <v>501.02030560530562</v>
      </c>
      <c r="E18" s="9">
        <f>B20*('Base values'!P$41-'Base values'!P$42)</f>
        <v>490.20260513793966</v>
      </c>
      <c r="F18" s="9">
        <f>B21*('Base values'!P$42-'Base values'!P$43)</f>
        <v>286.48417027061834</v>
      </c>
      <c r="G18" s="9">
        <f>B22*('Base values'!P$43-'Base values'!P$44)</f>
        <v>212.36262447685175</v>
      </c>
      <c r="H18" s="9">
        <f>B23*('Base values'!P$44-'Base values'!P$45)</f>
        <v>1566.6834790579796</v>
      </c>
      <c r="I18" s="9">
        <f t="shared" si="0"/>
        <v>7447.1222081684818</v>
      </c>
      <c r="J18" s="41">
        <f>'Base values'!C71</f>
        <v>0.98913043478260865</v>
      </c>
      <c r="K18" s="36">
        <f t="shared" si="1"/>
        <v>47.721402430650066</v>
      </c>
      <c r="L18" s="36">
        <f t="shared" si="2"/>
        <v>7399.4008057378314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values'!P$40)</f>
        <v>4585.8834894823503</v>
      </c>
      <c r="D19" s="9">
        <f>B20*('Base values'!P$40-'Base values'!P$41)</f>
        <v>516.6524966353528</v>
      </c>
      <c r="E19" s="9">
        <f>B21*('Base values'!P$41-'Base values'!P$42)</f>
        <v>495.67268250367414</v>
      </c>
      <c r="F19" s="9">
        <f>B22*('Base values'!P$42-'Base values'!P$43)</f>
        <v>282.267337918826</v>
      </c>
      <c r="G19" s="9">
        <f>B23*('Base values'!P$43-'Base values'!P$44)</f>
        <v>202.92911107606528</v>
      </c>
      <c r="H19" s="9">
        <f>B24*('Base values'!P$44-'Base values'!P$45)</f>
        <v>1445.143936213801</v>
      </c>
      <c r="I19" s="9">
        <f t="shared" si="0"/>
        <v>7528.5490538300692</v>
      </c>
      <c r="J19" s="41">
        <f>'Base values'!C72</f>
        <v>1</v>
      </c>
      <c r="K19" s="36">
        <f t="shared" si="1"/>
        <v>0</v>
      </c>
      <c r="L19" s="36">
        <f t="shared" si="2"/>
        <v>7528.5490538300692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values'!P$40)</f>
        <v>4728.9663265392601</v>
      </c>
      <c r="D20" s="9">
        <f>B21*('Base values'!P$40-'Base values'!P$41)</f>
        <v>522.41772329505204</v>
      </c>
      <c r="E20" s="9">
        <f>B22*('Base values'!P$41-'Base values'!P$42)</f>
        <v>488.37675197631984</v>
      </c>
      <c r="F20" s="9">
        <f>B23*('Base values'!P$42-'Base values'!P$43)</f>
        <v>269.72853679305723</v>
      </c>
      <c r="G20" s="9">
        <f>B24*('Base values'!P$43-'Base values'!P$44)</f>
        <v>187.18635785268253</v>
      </c>
      <c r="H20" s="9">
        <f>B25*('Base values'!P$44-'Base values'!P$45)</f>
        <v>1282.9143549397584</v>
      </c>
      <c r="I20" s="9">
        <f t="shared" si="0"/>
        <v>7479.5900513961305</v>
      </c>
      <c r="J20" s="41">
        <f>'Base values'!C73</f>
        <v>1</v>
      </c>
      <c r="K20" s="36">
        <f t="shared" si="1"/>
        <v>0</v>
      </c>
      <c r="L20" s="36">
        <f t="shared" si="2"/>
        <v>7479.5900513961305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values'!P$40)</f>
        <v>4781.7359597378518</v>
      </c>
      <c r="D21" s="9">
        <f>B22*('Base values'!P$40-'Base values'!P$41)</f>
        <v>514.72812580469395</v>
      </c>
      <c r="E21" s="9">
        <f>B23*('Base values'!P$41-'Base values'!P$42)</f>
        <v>466.68221582265045</v>
      </c>
      <c r="F21" s="9">
        <f>B24*('Base values'!P$42-'Base values'!P$43)</f>
        <v>248.80364450175082</v>
      </c>
      <c r="G21" s="9">
        <f>B25*('Base values'!P$43-'Base values'!P$44)</f>
        <v>166.17311225569784</v>
      </c>
      <c r="H21" s="9">
        <f>B26*('Base values'!P$44-'Base values'!P$45)</f>
        <v>1095.7376512562671</v>
      </c>
      <c r="I21" s="9">
        <f t="shared" si="0"/>
        <v>7273.8607093789115</v>
      </c>
      <c r="J21" s="41">
        <f>'Base values'!C74</f>
        <v>1</v>
      </c>
      <c r="K21" s="36">
        <f t="shared" si="1"/>
        <v>0</v>
      </c>
      <c r="L21" s="36">
        <f t="shared" si="2"/>
        <v>7273.8607093789115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values'!P$40)</f>
        <v>4711.3523888979544</v>
      </c>
      <c r="D22" s="9">
        <f>B23*('Base values'!P$40-'Base values'!P$41)</f>
        <v>491.86301625680568</v>
      </c>
      <c r="E22" s="9">
        <f>B24*('Base values'!P$41-'Base values'!P$42)</f>
        <v>430.47812997967065</v>
      </c>
      <c r="F22" s="9">
        <f>B25*('Base values'!P$42-'Base values'!P$43)</f>
        <v>220.87333939129624</v>
      </c>
      <c r="G22" s="9">
        <f>B26*('Base values'!P$43-'Base values'!P$44)</f>
        <v>141.92852003246341</v>
      </c>
      <c r="H22" s="9">
        <f>B27*('Base values'!P$44-'Base values'!P$45)</f>
        <v>901.08477506854001</v>
      </c>
      <c r="I22" s="9">
        <f t="shared" si="0"/>
        <v>6897.5801696267299</v>
      </c>
      <c r="J22" s="41">
        <f>'Base values'!C75</f>
        <v>1</v>
      </c>
      <c r="K22" s="36">
        <f t="shared" si="1"/>
        <v>0</v>
      </c>
      <c r="L22" s="36">
        <f t="shared" si="2"/>
        <v>6897.5801696267299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values'!P$40)</f>
        <v>4502.0660043188227</v>
      </c>
      <c r="D23" s="9">
        <f>B24*('Base values'!P$40-'Base values'!P$41)</f>
        <v>453.70546437290108</v>
      </c>
      <c r="E23" s="9">
        <f>B25*('Base values'!P$41-'Base values'!P$42)</f>
        <v>382.15333338037681</v>
      </c>
      <c r="F23" s="9">
        <f>B26*('Base values'!P$42-'Base values'!P$43)</f>
        <v>188.64800537765572</v>
      </c>
      <c r="G23" s="9">
        <f>B27*('Base values'!P$43-'Base values'!P$44)</f>
        <v>116.71555540930545</v>
      </c>
      <c r="H23" s="9">
        <f>B28*('Base values'!P$44-'Base values'!P$45)</f>
        <v>713.22393479169295</v>
      </c>
      <c r="I23" s="9">
        <f t="shared" si="0"/>
        <v>6356.5122976507546</v>
      </c>
      <c r="J23" s="41">
        <f>'Base values'!C76</f>
        <v>1</v>
      </c>
      <c r="K23" s="36">
        <f t="shared" si="1"/>
        <v>0</v>
      </c>
      <c r="L23" s="36">
        <f t="shared" si="2"/>
        <v>6356.5122976507546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values'!P$40)</f>
        <v>4152.8065327450004</v>
      </c>
      <c r="D24" s="9">
        <f>B25*('Base values'!P$40-'Base values'!P$41)</f>
        <v>402.77320381219846</v>
      </c>
      <c r="E24" s="9">
        <f>B26*('Base values'!P$41-'Base values'!P$42)</f>
        <v>326.39731118889068</v>
      </c>
      <c r="F24" s="9">
        <f>B27*('Base values'!P$42-'Base values'!P$43)</f>
        <v>155.13553385517233</v>
      </c>
      <c r="G24" s="9">
        <f>B28*('Base values'!P$43-'Base values'!P$44)</f>
        <v>92.382348457824975</v>
      </c>
      <c r="H24" s="9">
        <f>B29*('Base values'!P$44-'Base values'!P$45)</f>
        <v>540.87924590024625</v>
      </c>
      <c r="I24" s="9">
        <f t="shared" si="0"/>
        <v>5670.3741759593331</v>
      </c>
      <c r="J24" s="41">
        <f>'Base values'!C77</f>
        <v>1</v>
      </c>
      <c r="K24" s="36">
        <f t="shared" si="1"/>
        <v>0</v>
      </c>
      <c r="L24" s="36">
        <f t="shared" si="2"/>
        <v>5670.3741759593331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values'!P$40)</f>
        <v>3686.6190146460017</v>
      </c>
      <c r="D25" s="9">
        <f>B26*('Base values'!P$40-'Base values'!P$41)</f>
        <v>344.00875057233549</v>
      </c>
      <c r="E25" s="9">
        <f>B27*('Base values'!P$41-'Base values'!P$42)</f>
        <v>268.41429369376675</v>
      </c>
      <c r="F25" s="9">
        <f>B28*('Base values'!P$42-'Base values'!P$43)</f>
        <v>122.79241525724338</v>
      </c>
      <c r="G25" s="9">
        <f>B29*('Base values'!P$43-'Base values'!P$44)</f>
        <v>70.058914922640554</v>
      </c>
      <c r="H25" s="9">
        <f>B30*('Base values'!P$44-'Base values'!P$45)</f>
        <v>394.57307559162172</v>
      </c>
      <c r="I25" s="9">
        <f t="shared" si="0"/>
        <v>4886.46646468361</v>
      </c>
      <c r="J25" s="41">
        <f>'Base values'!C78</f>
        <v>1</v>
      </c>
      <c r="K25" s="36">
        <f t="shared" si="1"/>
        <v>0</v>
      </c>
      <c r="L25" s="36">
        <f t="shared" si="2"/>
        <v>4886.46646468361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values'!P$40)</f>
        <v>3148.7427392412242</v>
      </c>
      <c r="D26" s="9">
        <f>B27*('Base values'!P$40-'Base values'!P$41)</f>
        <v>282.89713990907228</v>
      </c>
      <c r="E26" s="9">
        <f>B28*('Base values'!P$41-'Base values'!P$42)</f>
        <v>212.45448153093005</v>
      </c>
      <c r="F26" s="9">
        <f>B29*('Base values'!P$42-'Base values'!P$43)</f>
        <v>93.1206395730471</v>
      </c>
      <c r="G26" s="9">
        <f>B30*('Base values'!P$43-'Base values'!P$44)</f>
        <v>51.108194191529918</v>
      </c>
      <c r="H26" s="9">
        <f>B31*('Base values'!P$44-'Base values'!P$45)</f>
        <v>276.09413682977186</v>
      </c>
      <c r="I26" s="9">
        <f t="shared" si="0"/>
        <v>4064.4173312755752</v>
      </c>
      <c r="J26" s="41">
        <f>'Base values'!C79</f>
        <v>1</v>
      </c>
      <c r="K26" s="36">
        <f t="shared" si="1"/>
        <v>0</v>
      </c>
      <c r="L26" s="36">
        <f t="shared" si="2"/>
        <v>4064.4173312755752</v>
      </c>
    </row>
    <row r="27" spans="1:12" s="116" customFormat="1">
      <c r="A27" s="121">
        <f t="shared" si="3"/>
        <v>23</v>
      </c>
      <c r="B27" s="122">
        <f>'Base values'!F27-'Base values'!E27</f>
        <v>57515.066943795158</v>
      </c>
      <c r="C27" s="122">
        <f>B27*(1-'Base values'!P$40)</f>
        <v>2589.3827228487776</v>
      </c>
      <c r="D27" s="122">
        <f>B28*('Base values'!P$40-'Base values'!P$41)</f>
        <v>223.91790079009741</v>
      </c>
      <c r="E27" s="122">
        <f>B29*('Base values'!P$41-'Base values'!P$42)</f>
        <v>161.1166060939037</v>
      </c>
      <c r="F27" s="122">
        <f>B30*('Base values'!P$42-'Base values'!P$43)</f>
        <v>67.931793345556699</v>
      </c>
      <c r="G27" s="122">
        <f>B31*('Base values'!P$43-'Base values'!P$44)</f>
        <v>35.761874372906234</v>
      </c>
      <c r="H27" s="122">
        <f>B32*('Base values'!P$44-'Base values'!P$45)</f>
        <v>185.74366011020857</v>
      </c>
      <c r="I27" s="122">
        <f t="shared" si="0"/>
        <v>3263.8545575614503</v>
      </c>
      <c r="J27" s="132">
        <f>'Base values'!C80</f>
        <v>1</v>
      </c>
      <c r="K27" s="126">
        <f t="shared" si="1"/>
        <v>0</v>
      </c>
      <c r="L27" s="126">
        <f t="shared" si="2"/>
        <v>3263.8545575614503</v>
      </c>
    </row>
    <row r="28" spans="1:12" s="116" customFormat="1">
      <c r="A28" s="121">
        <f t="shared" si="3"/>
        <v>24</v>
      </c>
      <c r="B28" s="122">
        <f>'Base values'!F28-'Base values'!E28</f>
        <v>45524.15431982078</v>
      </c>
      <c r="C28" s="122">
        <f>B28*(1-'Base values'!P$40)</f>
        <v>2049.5404931587677</v>
      </c>
      <c r="D28" s="122">
        <f>B29*('Base values'!P$40-'Base values'!P$41)</f>
        <v>169.80998451529345</v>
      </c>
      <c r="E28" s="122">
        <f>B30*('Base values'!P$41-'Base values'!P$42)</f>
        <v>117.53506032486958</v>
      </c>
      <c r="F28" s="122">
        <f>B31*('Base values'!P$42-'Base values'!P$43)</f>
        <v>47.533830885236831</v>
      </c>
      <c r="G28" s="122">
        <f>B32*('Base values'!P$43-'Base values'!P$44)</f>
        <v>24.058973199132396</v>
      </c>
      <c r="H28" s="122">
        <f>B33*('Base values'!P$44-'Base values'!P$45)</f>
        <v>119.49757702171681</v>
      </c>
      <c r="I28" s="122">
        <f t="shared" si="0"/>
        <v>2527.9759191050166</v>
      </c>
      <c r="J28" s="132">
        <f>'Base values'!C81</f>
        <v>1</v>
      </c>
      <c r="K28" s="126">
        <f t="shared" si="1"/>
        <v>0</v>
      </c>
      <c r="L28" s="126">
        <f t="shared" si="2"/>
        <v>2527.9759191050166</v>
      </c>
    </row>
    <row r="29" spans="1:12" s="116" customFormat="1">
      <c r="A29" s="121">
        <f t="shared" si="3"/>
        <v>25</v>
      </c>
      <c r="B29" s="122">
        <f>'Base values'!F29-'Base values'!E29</f>
        <v>34523.6174189003</v>
      </c>
      <c r="C29" s="122">
        <f>B29*(1-'Base values'!P$40)</f>
        <v>1554.2859154123898</v>
      </c>
      <c r="D29" s="122">
        <f>B30*('Base values'!P$40-'Base values'!P$41)</f>
        <v>123.87690665565339</v>
      </c>
      <c r="E29" s="122">
        <f>B31*('Base values'!P$41-'Base values'!P$42)</f>
        <v>82.242664375853522</v>
      </c>
      <c r="F29" s="122">
        <f>B32*('Base values'!P$42-'Base values'!P$43)</f>
        <v>31.978613631796264</v>
      </c>
      <c r="G29" s="122">
        <f>B33*('Base values'!P$43-'Base values'!P$44)</f>
        <v>15.478261821808113</v>
      </c>
      <c r="H29" s="122">
        <f>B34*('Base values'!P$44-'Base values'!P$45)</f>
        <v>0</v>
      </c>
      <c r="I29" s="122">
        <f t="shared" si="0"/>
        <v>1807.8623618975009</v>
      </c>
      <c r="J29" s="132">
        <f>'Base values'!C82</f>
        <v>1</v>
      </c>
      <c r="K29" s="126">
        <f t="shared" si="1"/>
        <v>0</v>
      </c>
      <c r="L29" s="126">
        <f t="shared" si="2"/>
        <v>1807.8623618975009</v>
      </c>
    </row>
    <row r="30" spans="1:12" s="116" customFormat="1">
      <c r="A30" s="121">
        <f t="shared" si="3"/>
        <v>26</v>
      </c>
      <c r="B30" s="122">
        <f>'Base values'!F30-'Base values'!E30</f>
        <v>25185.085227019939</v>
      </c>
      <c r="C30" s="122">
        <f>B30*(1-'Base values'!P$40)</f>
        <v>1133.856361917263</v>
      </c>
      <c r="D30" s="122">
        <f>B31*('Base values'!P$40-'Base values'!P$41)</f>
        <v>86.680236772245365</v>
      </c>
      <c r="E30" s="122">
        <f>B32*('Base values'!P$41-'Base values'!P$42)</f>
        <v>55.329148506348311</v>
      </c>
      <c r="F30" s="122">
        <f>B33*('Base values'!P$42-'Base values'!P$43)</f>
        <v>20.573336625572786</v>
      </c>
      <c r="G30" s="122">
        <f>B34*('Base values'!P$43-'Base values'!P$44)</f>
        <v>0</v>
      </c>
      <c r="H30" s="122">
        <f>B35*('Base values'!P$44-'Base values'!P$45)</f>
        <v>0</v>
      </c>
      <c r="I30" s="122">
        <f t="shared" si="0"/>
        <v>1296.4390838214294</v>
      </c>
      <c r="J30" s="132">
        <f>'Base values'!C83</f>
        <v>1</v>
      </c>
      <c r="K30" s="126">
        <f t="shared" si="1"/>
        <v>0</v>
      </c>
      <c r="L30" s="126">
        <f t="shared" si="2"/>
        <v>1296.4390838214294</v>
      </c>
    </row>
    <row r="31" spans="1:12" s="116" customFormat="1">
      <c r="A31" s="121">
        <f>1+A30</f>
        <v>27</v>
      </c>
      <c r="B31" s="122">
        <f>'Base values'!F31-'Base values'!E31</f>
        <v>17622.728961707078</v>
      </c>
      <c r="C31" s="122">
        <f>B31*(1-'Base values'!P$40)</f>
        <v>793.39192889201627</v>
      </c>
      <c r="D31" s="122">
        <f>B32*('Base values'!P$40-'Base values'!P$41)</f>
        <v>58.314546705579353</v>
      </c>
      <c r="E31" s="122">
        <f>B33*('Base values'!P$41-'Base values'!P$42)</f>
        <v>35.595826965293988</v>
      </c>
      <c r="F31" s="122">
        <f>B34*('Base values'!P$42-'Base values'!P$43)</f>
        <v>0</v>
      </c>
      <c r="G31" s="122">
        <f>B35*('Base values'!P$43-'Base values'!P$44)</f>
        <v>0</v>
      </c>
      <c r="H31" s="122">
        <f>B36*('Base values'!P$44-'Base values'!P$45)</f>
        <v>0</v>
      </c>
      <c r="I31" s="122">
        <f t="shared" si="0"/>
        <v>887.30230256288962</v>
      </c>
      <c r="J31" s="132">
        <f>'Base values'!C84</f>
        <v>1</v>
      </c>
      <c r="K31" s="126">
        <f t="shared" si="1"/>
        <v>0</v>
      </c>
      <c r="L31" s="126">
        <f t="shared" si="2"/>
        <v>887.30230256288962</v>
      </c>
    </row>
    <row r="32" spans="1:12" s="116" customFormat="1">
      <c r="A32" s="121">
        <f>1+A31</f>
        <v>28</v>
      </c>
      <c r="B32" s="122">
        <f>'Base values'!F32-'Base values'!E32</f>
        <v>11855.775772941659</v>
      </c>
      <c r="C32" s="122">
        <f>B32*(1-'Base values'!P$40)</f>
        <v>533.758240817559</v>
      </c>
      <c r="D32" s="122">
        <f>B33*('Base values'!P$40-'Base values'!P$41)</f>
        <v>37.516473145311302</v>
      </c>
      <c r="E32" s="122">
        <f>B34*('Base values'!P$41-'Base values'!P$42)</f>
        <v>0</v>
      </c>
      <c r="F32" s="122">
        <f>B35*('Base values'!P$42-'Base values'!P$43)</f>
        <v>0</v>
      </c>
      <c r="G32" s="122">
        <f>B36*('Base values'!P$43-'Base values'!P$44)</f>
        <v>0</v>
      </c>
      <c r="H32" s="122">
        <f>B37*('Base values'!P$44-'Base values'!P$45)</f>
        <v>0</v>
      </c>
      <c r="I32" s="122">
        <f t="shared" si="0"/>
        <v>571.27471396287035</v>
      </c>
      <c r="J32" s="132">
        <f>'Base values'!C85</f>
        <v>1</v>
      </c>
      <c r="K32" s="126">
        <f t="shared" si="1"/>
        <v>0</v>
      </c>
      <c r="L32" s="126">
        <f t="shared" si="2"/>
        <v>571.27471396287035</v>
      </c>
    </row>
    <row r="33" spans="1:12" s="116" customFormat="1">
      <c r="A33" s="121">
        <f>1+A32</f>
        <v>29</v>
      </c>
      <c r="B33" s="122">
        <f>'Base values'!F33-'Base values'!E33</f>
        <v>7627.3746180014859</v>
      </c>
      <c r="C33" s="122">
        <f>B33*(1-'Base values'!P$40)</f>
        <v>343.39162077040811</v>
      </c>
      <c r="D33" s="122">
        <f>B34*('Base values'!P$40-'Base values'!P$41)</f>
        <v>0</v>
      </c>
      <c r="E33" s="122">
        <f>B35*('Base values'!P$41-'Base values'!P$42)</f>
        <v>0</v>
      </c>
      <c r="F33" s="122">
        <f>B36*('Base values'!P$42-'Base values'!P$43)</f>
        <v>0</v>
      </c>
      <c r="G33" s="122">
        <f>B37*('Base values'!P$43-'Base values'!P$44)</f>
        <v>0</v>
      </c>
      <c r="H33" s="122">
        <f>B38*('Base values'!P$44-'Base values'!P$45)</f>
        <v>0</v>
      </c>
      <c r="I33" s="122">
        <f t="shared" si="0"/>
        <v>343.39162077040811</v>
      </c>
      <c r="J33" s="132">
        <f>'Base values'!C86</f>
        <v>1</v>
      </c>
      <c r="K33" s="126">
        <f t="shared" si="1"/>
        <v>0</v>
      </c>
      <c r="L33" s="126">
        <f t="shared" si="2"/>
        <v>343.39162077040811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38"/>
  <sheetViews>
    <sheetView workbookViewId="0">
      <selection activeCell="B4" sqref="B4"/>
    </sheetView>
  </sheetViews>
  <sheetFormatPr defaultRowHeight="12.75"/>
  <cols>
    <col min="1" max="1" width="13.28515625" customWidth="1"/>
    <col min="10" max="10" width="12.7109375" customWidth="1"/>
    <col min="11" max="11" width="13" customWidth="1"/>
    <col min="12" max="12" width="13.42578125" customWidth="1"/>
  </cols>
  <sheetData>
    <row r="1" spans="1:12" ht="15.75">
      <c r="A1" s="32" t="s">
        <v>31</v>
      </c>
    </row>
    <row r="2" spans="1:12">
      <c r="A2" s="33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38" t="s">
        <v>12</v>
      </c>
      <c r="L2" s="38" t="s">
        <v>12</v>
      </c>
    </row>
    <row r="3" spans="1:12" ht="15.75" customHeight="1">
      <c r="A3" s="33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36">
        <f>C4*(1-J4)+D4*(1-J5)+E4*(1-J6)+F4*(1-J7)+G4*(1-J8)+H4*(1-J9)</f>
        <v>4852.8092500000002</v>
      </c>
      <c r="L4" s="36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36">
        <f t="shared" ref="K5:K33" si="1">C5*(1-J5)+D5*(1-J6)+E5*(1-J7)+F5*(1-J8)+G5*(1-J9)+H5*(1-J10)</f>
        <v>4480.6484076086954</v>
      </c>
      <c r="L5" s="36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36">
        <f t="shared" si="1"/>
        <v>3743.7264945652164</v>
      </c>
      <c r="L6" s="36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36">
        <f t="shared" si="1"/>
        <v>3560.2627554347823</v>
      </c>
      <c r="L7" s="36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36">
        <f t="shared" si="1"/>
        <v>3665.2645489130427</v>
      </c>
      <c r="L8" s="36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36">
        <f t="shared" si="1"/>
        <v>3435.8725434782596</v>
      </c>
      <c r="L9" s="36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36">
        <f t="shared" si="1"/>
        <v>3238.908385869564</v>
      </c>
      <c r="L10" s="36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36">
        <f t="shared" si="1"/>
        <v>2961.0896086956518</v>
      </c>
      <c r="L11" s="36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36">
        <f t="shared" si="1"/>
        <v>2433.675951086956</v>
      </c>
      <c r="L12" s="36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36">
        <f t="shared" si="1"/>
        <v>1937.5311086956508</v>
      </c>
      <c r="L13" s="36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36">
        <f t="shared" si="1"/>
        <v>1428.374820652172</v>
      </c>
      <c r="L14" s="36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36">
        <f t="shared" si="1"/>
        <v>941.1757934782604</v>
      </c>
      <c r="L15" s="36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36">
        <f t="shared" si="1"/>
        <v>581.92063586956579</v>
      </c>
      <c r="L16" s="36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36">
        <f t="shared" si="1"/>
        <v>279.47320652173971</v>
      </c>
      <c r="L17" s="36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36">
        <f t="shared" si="1"/>
        <v>67.019956521739417</v>
      </c>
      <c r="L18" s="36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36">
        <f t="shared" si="1"/>
        <v>0</v>
      </c>
      <c r="L19" s="36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36">
        <f t="shared" si="1"/>
        <v>0</v>
      </c>
      <c r="L20" s="36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36">
        <f t="shared" si="1"/>
        <v>0</v>
      </c>
      <c r="L21" s="36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36">
        <f t="shared" si="1"/>
        <v>0</v>
      </c>
      <c r="L22" s="36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36">
        <f t="shared" si="1"/>
        <v>0</v>
      </c>
      <c r="L23" s="36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36">
        <f t="shared" si="1"/>
        <v>0</v>
      </c>
      <c r="L24" s="36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36">
        <f t="shared" si="1"/>
        <v>0</v>
      </c>
      <c r="L25" s="36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36">
        <f t="shared" si="1"/>
        <v>0</v>
      </c>
      <c r="L26" s="36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6">
        <f t="shared" si="1"/>
        <v>0</v>
      </c>
      <c r="L27" s="126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6">
        <f t="shared" si="1"/>
        <v>0</v>
      </c>
      <c r="L28" s="126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6">
        <f t="shared" si="1"/>
        <v>0</v>
      </c>
      <c r="L29" s="126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6">
        <f t="shared" si="1"/>
        <v>0</v>
      </c>
      <c r="L30" s="126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6">
        <f t="shared" si="1"/>
        <v>0</v>
      </c>
      <c r="L31" s="126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6">
        <f t="shared" si="1"/>
        <v>0</v>
      </c>
      <c r="L32" s="126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6">
        <f t="shared" si="1"/>
        <v>0</v>
      </c>
      <c r="L33" s="126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AF33"/>
  <sheetViews>
    <sheetView topLeftCell="E1" workbookViewId="0">
      <selection activeCell="M4" sqref="M4"/>
    </sheetView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'HIV Neg U5MR 75'!B4</f>
        <v>1269013.013309208</v>
      </c>
      <c r="C4" s="9">
        <f>'HIV Neg U5MR 75'!I4</f>
        <v>93951.61154983638</v>
      </c>
      <c r="D4" s="5">
        <v>0</v>
      </c>
      <c r="E4" s="9">
        <f>'HIV Pos Neg U5MR 75'!B4</f>
        <v>88597.986690792124</v>
      </c>
      <c r="F4" s="9">
        <f>'HIV Pos Neg U5MR 75'!I4</f>
        <v>6495.3188944301519</v>
      </c>
      <c r="G4" s="10">
        <f>'Base values'!C57</f>
        <v>0</v>
      </c>
      <c r="H4" s="9">
        <f>'HIV Pos Pos U5MR 75'!B4</f>
        <v>7809</v>
      </c>
      <c r="I4" s="9">
        <f>'HIV Pos Pos U5MR 75'!I4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C4+'HIV Pos Neg U5MR 75'!K4+'HIV Pos Pos U5MR 75'!K4</f>
        <v>104579.01525532341</v>
      </c>
      <c r="N4" s="57">
        <f>'HIV Pos Neg U5MR 75'!L4+'HIV Pos Pos U5MR 75'!L4</f>
        <v>1182.651688943125</v>
      </c>
      <c r="O4" s="143" t="str">
        <f>$A4&amp;"-"&amp;$A4+4</f>
        <v>0-4</v>
      </c>
      <c r="P4" s="181">
        <f>(SUM(M4:M8)/SUM(K4:K8))/(SUM(M4:N8)/SUM(K4:L8))</f>
        <v>0.97741111716806095</v>
      </c>
      <c r="Q4" s="143" t="str">
        <f>$A4&amp;"-"&amp;$A4+3</f>
        <v>0-3</v>
      </c>
      <c r="R4" s="162">
        <f t="shared" ref="R4:R25" si="0">(SUM(M4:M7)/SUM(K4:K7))/(SUM(M4:N7)/SUM(K4:L7))</f>
        <v>0.98125498915764697</v>
      </c>
      <c r="S4" s="143" t="str">
        <f>$A4&amp;"-"&amp;$A4+2</f>
        <v>0-2</v>
      </c>
      <c r="T4" s="162">
        <f t="shared" ref="T4:T26" si="1">(SUM(M4:M6)/SUM(K4:K6))/(SUM(M4:N6)/SUM(K4:L6))</f>
        <v>0.98425505338462238</v>
      </c>
      <c r="U4" s="143" t="str">
        <f>$A4&amp;"-"&amp;$A4+1</f>
        <v>0-1</v>
      </c>
      <c r="V4" s="162">
        <f t="shared" ref="V4:V27" si="2">(SUM(M4:M5)/SUM(K4:K5))/(SUM(M4:N5)/SUM(K4:L5))</f>
        <v>0.98657632717507948</v>
      </c>
      <c r="W4" s="143">
        <f>$A4</f>
        <v>0</v>
      </c>
      <c r="X4" s="144">
        <f>(SUM(M4:M4)/SUM(K4:K4))/(SUM(M4:N4)/SUM(K4:L4))</f>
        <v>0.98881776618019512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3">RIGHT(Z4,4)-LEFT(Z4,4)+1</f>
        <v>1</v>
      </c>
      <c r="AD4" s="166">
        <v>0</v>
      </c>
      <c r="AE4" s="167">
        <f t="shared" ref="AE4:AE26" ca="1" si="4">OFFSET($P$4,AD4,2*(5-AC4))</f>
        <v>0.98881776618019512</v>
      </c>
    </row>
    <row r="5" spans="1:32">
      <c r="A5" s="48">
        <f>'HIV Neg U5MR 50'!A5</f>
        <v>1</v>
      </c>
      <c r="B5" s="9">
        <f>'HIV Neg U5MR 75'!B5</f>
        <v>1259889.6569743706</v>
      </c>
      <c r="C5" s="9">
        <f>'HIV Neg U5MR 75'!I5</f>
        <v>93039.023802371623</v>
      </c>
      <c r="D5" s="5">
        <v>0</v>
      </c>
      <c r="E5" s="9">
        <f>'HIV Pos Neg U5MR 75'!B5</f>
        <v>86411.343025629394</v>
      </c>
      <c r="F5" s="9">
        <f>'HIV Pos Neg U5MR 75'!I5</f>
        <v>6365.2996331039922</v>
      </c>
      <c r="G5" s="10">
        <f>'Base values'!C58</f>
        <v>5.4347826086956513E-2</v>
      </c>
      <c r="H5" s="9">
        <f>'HIV Pos Pos U5MR 75'!B5</f>
        <v>9229</v>
      </c>
      <c r="I5" s="9">
        <f>'HIV Pos Pos U5MR 75'!I5</f>
        <v>5356.1494999999995</v>
      </c>
      <c r="J5" s="10">
        <f>'Base values'!C58</f>
        <v>5.4347826086956513E-2</v>
      </c>
      <c r="K5" s="9">
        <f t="shared" ref="K5:K26" si="5">B5*(1-D5) + E5*(1-G5) + H5*(1-J5)</f>
        <v>1350332.1552703462</v>
      </c>
      <c r="L5" s="9">
        <f t="shared" ref="L5:L26" si="6">E5*G5+H5*J5</f>
        <v>5197.8447296537706</v>
      </c>
      <c r="M5" s="9">
        <f>C5+'HIV Pos Neg U5MR 75'!K5+'HIV Pos Pos U5MR 75'!K5</f>
        <v>102720.38125825308</v>
      </c>
      <c r="N5" s="57">
        <f>'HIV Pos Neg U5MR 75'!L5+'HIV Pos Pos U5MR 75'!L5</f>
        <v>2040.0916772225264</v>
      </c>
      <c r="O5" s="151" t="str">
        <f t="shared" ref="O5:O24" si="7">A5&amp;"-"&amp;A5+4</f>
        <v>1-5</v>
      </c>
      <c r="P5" s="179">
        <f t="shared" ref="P4:P24" si="8">(SUM(M5:M9)/SUM(K5:K9))/(SUM(M5:N9)/SUM(K5:L9))</f>
        <v>0.96958603821369305</v>
      </c>
      <c r="Q5" s="151" t="str">
        <f t="shared" ref="Q5:Q25" si="9">$A5&amp;"-"&amp;$A5+3</f>
        <v>1-4</v>
      </c>
      <c r="R5" s="161">
        <f t="shared" si="0"/>
        <v>0.97445787817502116</v>
      </c>
      <c r="S5" s="151" t="str">
        <f t="shared" ref="S5:S26" si="10">$A5&amp;"-"&amp;$A5+2</f>
        <v>1-3</v>
      </c>
      <c r="T5" s="161">
        <f t="shared" si="1"/>
        <v>0.9786519048006046</v>
      </c>
      <c r="U5" s="151" t="str">
        <f t="shared" ref="U5:U27" si="11">$A5&amp;"-"&amp;$A5+1</f>
        <v>1-2</v>
      </c>
      <c r="V5" s="161">
        <f t="shared" si="2"/>
        <v>0.98191290929562769</v>
      </c>
      <c r="W5" s="151">
        <f t="shared" ref="W5:W28" si="12">$A5</f>
        <v>1</v>
      </c>
      <c r="X5" s="152">
        <f t="shared" ref="X5:X28" si="13">(SUM(M5:M5)/SUM(K5:K5))/(SUM(M5:N5)/SUM(K5:L5))</f>
        <v>0.98430047881342331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3"/>
        <v>1</v>
      </c>
      <c r="AD5" s="153">
        <f>AC4</f>
        <v>1</v>
      </c>
      <c r="AE5" s="150">
        <f t="shared" ca="1" si="4"/>
        <v>0.98430047881342331</v>
      </c>
    </row>
    <row r="6" spans="1:32">
      <c r="A6" s="48">
        <f>'HIV Neg U5MR 50'!A6</f>
        <v>2</v>
      </c>
      <c r="B6" s="9">
        <f>'HIV Neg U5MR 75'!B6</f>
        <v>1248874.5119299444</v>
      </c>
      <c r="C6" s="9">
        <f>'HIV Neg U5MR 75'!I6</f>
        <v>92004.259536799771</v>
      </c>
      <c r="D6" s="5">
        <v>0</v>
      </c>
      <c r="E6" s="9">
        <f>'HIV Pos Neg U5MR 75'!B6</f>
        <v>86144.488070055653</v>
      </c>
      <c r="F6" s="9">
        <f>'HIV Pos Neg U5MR 75'!I6</f>
        <v>6275.0067143004817</v>
      </c>
      <c r="G6" s="10">
        <f>'Base values'!C59</f>
        <v>0.13043478260869565</v>
      </c>
      <c r="H6" s="9">
        <f>'HIV Pos Pos U5MR 75'!B6</f>
        <v>8311</v>
      </c>
      <c r="I6" s="9">
        <f>'HIV Pos Pos U5MR 75'!I6</f>
        <v>5139.5275000000011</v>
      </c>
      <c r="J6" s="10">
        <f>'Base values'!C59</f>
        <v>0.13043478260869565</v>
      </c>
      <c r="K6" s="9">
        <f t="shared" si="5"/>
        <v>1331009.718947384</v>
      </c>
      <c r="L6" s="9">
        <f t="shared" si="6"/>
        <v>12320.281052615956</v>
      </c>
      <c r="M6" s="9">
        <f>C6+'HIV Pos Neg U5MR 75'!K6+'HIV Pos Pos U5MR 75'!K6</f>
        <v>100366.69067811948</v>
      </c>
      <c r="N6" s="57">
        <f>'HIV Pos Neg U5MR 75'!L6+'HIV Pos Pos U5MR 75'!L6</f>
        <v>3052.1030729807712</v>
      </c>
      <c r="O6" s="151" t="str">
        <f t="shared" si="7"/>
        <v>2-6</v>
      </c>
      <c r="P6" s="179">
        <f t="shared" si="8"/>
        <v>0.95925559385091608</v>
      </c>
      <c r="Q6" s="151" t="str">
        <f t="shared" si="9"/>
        <v>2-5</v>
      </c>
      <c r="R6" s="161">
        <f t="shared" si="0"/>
        <v>0.96580161864615544</v>
      </c>
      <c r="S6" s="151" t="str">
        <f t="shared" si="10"/>
        <v>2-4</v>
      </c>
      <c r="T6" s="161">
        <f t="shared" si="1"/>
        <v>0.97108929606666927</v>
      </c>
      <c r="U6" s="151" t="str">
        <f t="shared" si="11"/>
        <v>2-3</v>
      </c>
      <c r="V6" s="161">
        <f t="shared" si="2"/>
        <v>0.97575549587693167</v>
      </c>
      <c r="W6" s="151">
        <f t="shared" si="12"/>
        <v>2</v>
      </c>
      <c r="X6" s="152">
        <f t="shared" si="13"/>
        <v>0.97947109427560031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3"/>
        <v>1</v>
      </c>
      <c r="AD6" s="153">
        <f t="shared" ref="AD6:AD26" si="14">AD5+AC5</f>
        <v>2</v>
      </c>
      <c r="AE6" s="150">
        <f t="shared" ca="1" si="4"/>
        <v>0.97947109427560031</v>
      </c>
    </row>
    <row r="7" spans="1:32">
      <c r="A7" s="48">
        <f>'HIV Neg U5MR 50'!A7</f>
        <v>3</v>
      </c>
      <c r="B7" s="9">
        <f>'HIV Neg U5MR 75'!B7</f>
        <v>1237689.3921640057</v>
      </c>
      <c r="C7" s="9">
        <f>'HIV Neg U5MR 75'!I7</f>
        <v>90913.002762863136</v>
      </c>
      <c r="D7" s="5">
        <v>0</v>
      </c>
      <c r="E7" s="9">
        <f>'HIV Pos Neg U5MR 75'!B7</f>
        <v>86776.60783599432</v>
      </c>
      <c r="F7" s="9">
        <f>'HIV Pos Neg U5MR 75'!I7</f>
        <v>6257.3570269727243</v>
      </c>
      <c r="G7" s="10">
        <f>'Base values'!C60</f>
        <v>0.21739130434782611</v>
      </c>
      <c r="H7" s="9">
        <f>'HIV Pos Pos U5MR 75'!B7</f>
        <v>6494</v>
      </c>
      <c r="I7" s="9">
        <f>'HIV Pos Pos U5MR 75'!I7</f>
        <v>5759.8829999999998</v>
      </c>
      <c r="J7" s="10">
        <f>'Base values'!C60</f>
        <v>0.21739130434782611</v>
      </c>
      <c r="K7" s="9">
        <f t="shared" si="5"/>
        <v>1310683.7809052186</v>
      </c>
      <c r="L7" s="9">
        <f t="shared" si="6"/>
        <v>20276.219094781376</v>
      </c>
      <c r="M7" s="9">
        <f>C7+'HIV Pos Neg U5MR 75'!K7+'HIV Pos Pos U5MR 75'!K7</f>
        <v>98525.338556416711</v>
      </c>
      <c r="N7" s="57">
        <f>'HIV Pos Neg U5MR 75'!L7+'HIV Pos Pos U5MR 75'!L7</f>
        <v>4404.9042334191563</v>
      </c>
      <c r="O7" s="151" t="str">
        <f t="shared" si="7"/>
        <v>3-7</v>
      </c>
      <c r="P7" s="179">
        <f t="shared" si="8"/>
        <v>0.94618395971980473</v>
      </c>
      <c r="Q7" s="151" t="str">
        <f t="shared" si="9"/>
        <v>3-6</v>
      </c>
      <c r="R7" s="161">
        <f t="shared" si="0"/>
        <v>0.95414102227266495</v>
      </c>
      <c r="S7" s="151" t="str">
        <f t="shared" si="10"/>
        <v>3-5</v>
      </c>
      <c r="T7" s="161">
        <f t="shared" si="1"/>
        <v>0.96119646894518573</v>
      </c>
      <c r="U7" s="151" t="str">
        <f t="shared" si="11"/>
        <v>3-4</v>
      </c>
      <c r="V7" s="161">
        <f t="shared" si="2"/>
        <v>0.96686331625219468</v>
      </c>
      <c r="W7" s="151">
        <f t="shared" si="12"/>
        <v>3</v>
      </c>
      <c r="X7" s="152">
        <f t="shared" si="13"/>
        <v>0.97201287393633173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3"/>
        <v>1</v>
      </c>
      <c r="AD7" s="153">
        <f t="shared" si="14"/>
        <v>3</v>
      </c>
      <c r="AE7" s="150">
        <f t="shared" ca="1" si="4"/>
        <v>0.97201287393633173</v>
      </c>
    </row>
    <row r="8" spans="1:32">
      <c r="A8" s="48">
        <f>'HIV Neg U5MR 50'!A8</f>
        <v>4</v>
      </c>
      <c r="B8" s="9">
        <f>'HIV Neg U5MR 75'!B8</f>
        <v>1224748.5911279062</v>
      </c>
      <c r="C8" s="9">
        <f>'HIV Neg U5MR 75'!I8</f>
        <v>89666.381616233484</v>
      </c>
      <c r="D8" s="5">
        <v>0</v>
      </c>
      <c r="E8" s="9">
        <f>'HIV Pos Neg U5MR 75'!B8</f>
        <v>83583.408872093714</v>
      </c>
      <c r="F8" s="9">
        <f>'HIV Pos Neg U5MR 75'!I8</f>
        <v>6097.1425915563032</v>
      </c>
      <c r="G8" s="10">
        <f>'Base values'!C61</f>
        <v>0.31521739130434784</v>
      </c>
      <c r="H8" s="9">
        <f>'HIV Pos Pos U5MR 75'!B8</f>
        <v>8918</v>
      </c>
      <c r="I8" s="9">
        <f>'HIV Pos Pos U5MR 75'!I8</f>
        <v>7029.9970000000012</v>
      </c>
      <c r="J8" s="10">
        <f>'Base values'!C61</f>
        <v>0.31521739130434784</v>
      </c>
      <c r="K8" s="9">
        <f t="shared" si="5"/>
        <v>1288091.9472033617</v>
      </c>
      <c r="L8" s="9">
        <f t="shared" si="6"/>
        <v>29158.052796638236</v>
      </c>
      <c r="M8" s="9">
        <f>C8+'HIV Pos Neg U5MR 75'!K8+'HIV Pos Pos U5MR 75'!K8</f>
        <v>96668.419430867754</v>
      </c>
      <c r="N8" s="57">
        <f>'HIV Pos Neg U5MR 75'!L8+'HIV Pos Pos U5MR 75'!L8</f>
        <v>6125.1017769220271</v>
      </c>
      <c r="O8" s="151" t="str">
        <f t="shared" si="7"/>
        <v>4-8</v>
      </c>
      <c r="P8" s="179">
        <f t="shared" si="8"/>
        <v>0.93058885258723678</v>
      </c>
      <c r="Q8" s="151" t="str">
        <f t="shared" si="9"/>
        <v>4-7</v>
      </c>
      <c r="R8" s="161">
        <f t="shared" si="0"/>
        <v>0.93967526578971572</v>
      </c>
      <c r="S8" s="151" t="str">
        <f t="shared" si="10"/>
        <v>4-6</v>
      </c>
      <c r="T8" s="161">
        <f t="shared" si="1"/>
        <v>0.94814455004352138</v>
      </c>
      <c r="U8" s="151" t="str">
        <f t="shared" si="11"/>
        <v>4-5</v>
      </c>
      <c r="V8" s="161">
        <f t="shared" si="2"/>
        <v>0.95575974901592231</v>
      </c>
      <c r="W8" s="151">
        <f t="shared" si="12"/>
        <v>4</v>
      </c>
      <c r="X8" s="152">
        <f t="shared" si="13"/>
        <v>0.96170133011233927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3"/>
        <v>1</v>
      </c>
      <c r="AD8" s="153">
        <f t="shared" si="14"/>
        <v>4</v>
      </c>
      <c r="AE8" s="150">
        <f t="shared" ca="1" si="4"/>
        <v>0.96170133011233927</v>
      </c>
    </row>
    <row r="9" spans="1:32">
      <c r="A9" s="48">
        <f>'HIV Neg U5MR 50'!A9</f>
        <v>5</v>
      </c>
      <c r="B9" s="9">
        <f>'HIV Neg U5MR 75'!B9</f>
        <v>1210852.8730926085</v>
      </c>
      <c r="C9" s="9">
        <f>'HIV Neg U5MR 75'!I9</f>
        <v>88310.942922361399</v>
      </c>
      <c r="D9" s="5">
        <v>0</v>
      </c>
      <c r="E9" s="9">
        <f>'HIV Pos Neg U5MR 75'!B9</f>
        <v>81434.126907391517</v>
      </c>
      <c r="F9" s="9">
        <f>'HIV Pos Neg U5MR 75'!I9</f>
        <v>6004.3220209177352</v>
      </c>
      <c r="G9" s="10">
        <f>'Base values'!C62</f>
        <v>0.42391304347826092</v>
      </c>
      <c r="H9" s="9">
        <f>'HIV Pos Pos U5MR 75'!B9</f>
        <v>10663</v>
      </c>
      <c r="I9" s="9">
        <f>'HIV Pos Pos U5MR 75'!I9</f>
        <v>8185.5479999999989</v>
      </c>
      <c r="J9" s="10">
        <f>'Base values'!C62</f>
        <v>0.42391304347826092</v>
      </c>
      <c r="K9" s="9">
        <f t="shared" si="5"/>
        <v>1263908.8266370841</v>
      </c>
      <c r="L9" s="9">
        <f t="shared" si="6"/>
        <v>39041.173362915972</v>
      </c>
      <c r="M9" s="9">
        <f>C9+'HIV Pos Neg U5MR 75'!K9+'HIV Pos Pos U5MR 75'!K9</f>
        <v>94436.584855089939</v>
      </c>
      <c r="N9" s="57">
        <f>'HIV Pos Neg U5MR 75'!L9+'HIV Pos Pos U5MR 75'!L9</f>
        <v>8064.2280881891911</v>
      </c>
      <c r="O9" s="151" t="str">
        <f t="shared" si="7"/>
        <v>5-9</v>
      </c>
      <c r="P9" s="179">
        <f t="shared" si="8"/>
        <v>0.912842762574682</v>
      </c>
      <c r="Q9" s="151" t="str">
        <f t="shared" si="9"/>
        <v>5-8</v>
      </c>
      <c r="R9" s="161">
        <f t="shared" si="0"/>
        <v>0.92273985016586124</v>
      </c>
      <c r="S9" s="151" t="str">
        <f t="shared" si="10"/>
        <v>5-7</v>
      </c>
      <c r="T9" s="161">
        <f t="shared" si="1"/>
        <v>0.93227942795922747</v>
      </c>
      <c r="U9" s="151" t="str">
        <f t="shared" si="11"/>
        <v>5-6</v>
      </c>
      <c r="V9" s="161">
        <f t="shared" si="2"/>
        <v>0.9413242552449167</v>
      </c>
      <c r="W9" s="151">
        <f t="shared" si="12"/>
        <v>5</v>
      </c>
      <c r="X9" s="152">
        <f t="shared" si="13"/>
        <v>0.94978425699886571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3"/>
        <v>1</v>
      </c>
      <c r="AD9" s="153">
        <f t="shared" si="14"/>
        <v>5</v>
      </c>
      <c r="AE9" s="150">
        <f t="shared" ca="1" si="4"/>
        <v>0.94978425699886571</v>
      </c>
    </row>
    <row r="10" spans="1:32">
      <c r="A10" s="48">
        <f>'HIV Neg U5MR 50'!A10</f>
        <v>6</v>
      </c>
      <c r="B10" s="9">
        <f>'HIV Neg U5MR 75'!B10</f>
        <v>1189638.5977297928</v>
      </c>
      <c r="C10" s="9">
        <f>'HIV Neg U5MR 75'!I10</f>
        <v>86583.65703619238</v>
      </c>
      <c r="D10" s="5">
        <v>0</v>
      </c>
      <c r="E10" s="9">
        <f>'HIV Pos Neg U5MR 75'!B10</f>
        <v>80142.40227020724</v>
      </c>
      <c r="F10" s="9">
        <f>'HIV Pos Neg U5MR 75'!I10</f>
        <v>5998.8075829420522</v>
      </c>
      <c r="G10" s="10">
        <f>'Base values'!C63</f>
        <v>0.53260869565217406</v>
      </c>
      <c r="H10" s="9">
        <f>'HIV Pos Pos U5MR 75'!B10</f>
        <v>11419</v>
      </c>
      <c r="I10" s="9">
        <f>'HIV Pos Pos U5MR 75'!I10</f>
        <v>9856.8670000000002</v>
      </c>
      <c r="J10" s="10">
        <f>'Base values'!C63</f>
        <v>0.53260869565217406</v>
      </c>
      <c r="K10" s="9">
        <f t="shared" si="5"/>
        <v>1232433.6009647811</v>
      </c>
      <c r="L10" s="9">
        <f t="shared" si="6"/>
        <v>48766.399035219089</v>
      </c>
      <c r="M10" s="9">
        <f>C10+'HIV Pos Neg U5MR 75'!K10+'HIV Pos Pos U5MR 75'!K10</f>
        <v>91923.425718664948</v>
      </c>
      <c r="N10" s="57">
        <f>'HIV Pos Neg U5MR 75'!L10+'HIV Pos Pos U5MR 75'!L10</f>
        <v>10515.905900469485</v>
      </c>
      <c r="O10" s="151" t="str">
        <f t="shared" si="7"/>
        <v>6-10</v>
      </c>
      <c r="P10" s="179">
        <f t="shared" si="8"/>
        <v>0.89358193986083367</v>
      </c>
      <c r="Q10" s="151" t="str">
        <f t="shared" si="9"/>
        <v>6-9</v>
      </c>
      <c r="R10" s="161">
        <f t="shared" si="0"/>
        <v>0.90354535742011544</v>
      </c>
      <c r="S10" s="151" t="str">
        <f t="shared" si="10"/>
        <v>6-8</v>
      </c>
      <c r="T10" s="161">
        <f t="shared" si="1"/>
        <v>0.9136803569853732</v>
      </c>
      <c r="U10" s="151" t="str">
        <f t="shared" si="11"/>
        <v>6-7</v>
      </c>
      <c r="V10" s="161">
        <f t="shared" si="2"/>
        <v>0.92350168736545091</v>
      </c>
      <c r="W10" s="151">
        <f t="shared" si="12"/>
        <v>6</v>
      </c>
      <c r="X10" s="152">
        <f t="shared" si="13"/>
        <v>0.93285225200907862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3"/>
        <v>#VALUE!</v>
      </c>
      <c r="AD10" s="153">
        <f t="shared" si="14"/>
        <v>6</v>
      </c>
      <c r="AE10" s="150" t="e">
        <f t="shared" ca="1" si="4"/>
        <v>#VALUE!</v>
      </c>
    </row>
    <row r="11" spans="1:32">
      <c r="A11" s="48">
        <f>'HIV Neg U5MR 50'!A11</f>
        <v>7</v>
      </c>
      <c r="B11" s="9">
        <f>'HIV Neg U5MR 75'!B11</f>
        <v>1167750.9570162341</v>
      </c>
      <c r="C11" s="9">
        <f>'HIV Neg U5MR 75'!I11</f>
        <v>84709.383601406749</v>
      </c>
      <c r="D11" s="5">
        <v>0</v>
      </c>
      <c r="E11" s="9">
        <f>'HIV Pos Neg U5MR 75'!B11</f>
        <v>76436.042983765918</v>
      </c>
      <c r="F11" s="9">
        <f>'HIV Pos Neg U5MR 75'!I11</f>
        <v>5921.2368268872715</v>
      </c>
      <c r="G11" s="10">
        <f>'Base values'!C64</f>
        <v>0.63043478260869579</v>
      </c>
      <c r="H11" s="9">
        <f>'HIV Pos Pos U5MR 75'!B11</f>
        <v>15633</v>
      </c>
      <c r="I11" s="9">
        <f>'HIV Pos Pos U5MR 75'!I11</f>
        <v>11703.877</v>
      </c>
      <c r="J11" s="10">
        <f>'Base values'!C64</f>
        <v>0.63043478260869579</v>
      </c>
      <c r="K11" s="9">
        <f t="shared" si="5"/>
        <v>1201776.4729015389</v>
      </c>
      <c r="L11" s="9">
        <f t="shared" si="6"/>
        <v>58043.527098461134</v>
      </c>
      <c r="M11" s="9">
        <f>C11+'HIV Pos Neg U5MR 75'!K11+'HIV Pos Pos U5MR 75'!K11</f>
        <v>89236.492750574253</v>
      </c>
      <c r="N11" s="57">
        <f>'HIV Pos Neg U5MR 75'!L11+'HIV Pos Pos U5MR 75'!L11</f>
        <v>13098.004677719762</v>
      </c>
      <c r="O11" s="151" t="str">
        <f t="shared" si="7"/>
        <v>7-11</v>
      </c>
      <c r="P11" s="179">
        <f t="shared" si="8"/>
        <v>0.87453613275607911</v>
      </c>
      <c r="Q11" s="151" t="str">
        <f t="shared" si="9"/>
        <v>7-10</v>
      </c>
      <c r="R11" s="161">
        <f t="shared" si="0"/>
        <v>0.88367359217360086</v>
      </c>
      <c r="S11" s="151" t="str">
        <f t="shared" si="10"/>
        <v>7-9</v>
      </c>
      <c r="T11" s="161">
        <f t="shared" si="1"/>
        <v>0.89370854338463812</v>
      </c>
      <c r="U11" s="151" t="str">
        <f t="shared" si="11"/>
        <v>7-8</v>
      </c>
      <c r="V11" s="161">
        <f t="shared" si="2"/>
        <v>0.90404476428875113</v>
      </c>
      <c r="W11" s="151">
        <f t="shared" si="12"/>
        <v>7</v>
      </c>
      <c r="X11" s="152">
        <f t="shared" si="13"/>
        <v>0.91412425584037993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3"/>
        <v>#VALUE!</v>
      </c>
      <c r="AD11" s="153" t="e">
        <f t="shared" si="14"/>
        <v>#VALUE!</v>
      </c>
      <c r="AE11" s="150" t="e">
        <f t="shared" ca="1" si="4"/>
        <v>#VALUE!</v>
      </c>
    </row>
    <row r="12" spans="1:32">
      <c r="A12" s="48">
        <f>'HIV Neg U5MR 50'!A12</f>
        <v>8</v>
      </c>
      <c r="B12" s="9">
        <f>'HIV Neg U5MR 75'!B12</f>
        <v>1144928.7874705833</v>
      </c>
      <c r="C12" s="9">
        <f>'HIV Neg U5MR 75'!I12</f>
        <v>82763.208246390335</v>
      </c>
      <c r="D12" s="5">
        <v>0</v>
      </c>
      <c r="E12" s="9">
        <f>'HIV Pos Neg U5MR 75'!B12</f>
        <v>75838.212529416545</v>
      </c>
      <c r="F12" s="9">
        <f>'HIV Pos Neg U5MR 75'!I12</f>
        <v>6007.6684296531866</v>
      </c>
      <c r="G12" s="10">
        <f>'Base values'!C65</f>
        <v>0.71739130434782605</v>
      </c>
      <c r="H12" s="9">
        <f>'HIV Pos Pos U5MR 75'!B12</f>
        <v>17643</v>
      </c>
      <c r="I12" s="9">
        <f>'HIV Pos Pos U5MR 75'!I12</f>
        <v>13372.593500000001</v>
      </c>
      <c r="J12" s="10">
        <f>'Base values'!C65</f>
        <v>0.71739130434782605</v>
      </c>
      <c r="K12" s="9">
        <f t="shared" si="5"/>
        <v>1171347.3910115054</v>
      </c>
      <c r="L12" s="9">
        <f t="shared" si="6"/>
        <v>67062.608988494467</v>
      </c>
      <c r="M12" s="9">
        <f>C12+'HIV Pos Neg U5MR 75'!K12+'HIV Pos Pos U5MR 75'!K12</f>
        <v>86363.479320926635</v>
      </c>
      <c r="N12" s="57">
        <f>'HIV Pos Neg U5MR 75'!L12+'HIV Pos Pos U5MR 75'!L12</f>
        <v>15779.990855116894</v>
      </c>
      <c r="O12" s="151" t="str">
        <f t="shared" si="7"/>
        <v>8-12</v>
      </c>
      <c r="P12" s="179">
        <f t="shared" si="8"/>
        <v>0.85642051008791631</v>
      </c>
      <c r="Q12" s="151" t="str">
        <f t="shared" si="9"/>
        <v>8-11</v>
      </c>
      <c r="R12" s="161">
        <f t="shared" si="0"/>
        <v>0.8645201289631006</v>
      </c>
      <c r="S12" s="151" t="str">
        <f t="shared" si="10"/>
        <v>8-10</v>
      </c>
      <c r="T12" s="161">
        <f t="shared" si="1"/>
        <v>0.87343691219910125</v>
      </c>
      <c r="U12" s="151" t="str">
        <f t="shared" si="11"/>
        <v>8-9</v>
      </c>
      <c r="V12" s="161">
        <f t="shared" si="2"/>
        <v>0.88343833679430972</v>
      </c>
      <c r="W12" s="151">
        <f t="shared" si="12"/>
        <v>8</v>
      </c>
      <c r="X12" s="152">
        <f t="shared" si="13"/>
        <v>0.89391918441551632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3"/>
        <v>#VALUE!</v>
      </c>
      <c r="AD12" s="153" t="e">
        <f t="shared" si="14"/>
        <v>#VALUE!</v>
      </c>
      <c r="AE12" s="150" t="e">
        <f t="shared" ca="1" si="4"/>
        <v>#VALUE!</v>
      </c>
    </row>
    <row r="13" spans="1:32">
      <c r="A13" s="48">
        <f>'HIV Neg U5MR 50'!A13</f>
        <v>9</v>
      </c>
      <c r="B13" s="9">
        <f>'HIV Neg U5MR 75'!B13</f>
        <v>1119951.9084310441</v>
      </c>
      <c r="C13" s="9">
        <f>'HIV Neg U5MR 75'!I13</f>
        <v>80695.856988097628</v>
      </c>
      <c r="D13" s="5">
        <v>0</v>
      </c>
      <c r="E13" s="9">
        <f>'HIV Pos Neg U5MR 75'!B13</f>
        <v>76563.09156895589</v>
      </c>
      <c r="F13" s="9">
        <f>'HIV Pos Neg U5MR 75'!I13</f>
        <v>6169.7828131424685</v>
      </c>
      <c r="G13" s="10">
        <f>'Base values'!C66</f>
        <v>0.80434782608695654</v>
      </c>
      <c r="H13" s="9">
        <f>'HIV Pos Pos U5MR 75'!B13</f>
        <v>20575</v>
      </c>
      <c r="I13" s="9">
        <f>'HIV Pos Pos U5MR 75'!I13</f>
        <v>15267.6245</v>
      </c>
      <c r="J13" s="10">
        <f>'Base values'!C66</f>
        <v>0.80434782608695654</v>
      </c>
      <c r="K13" s="9">
        <f t="shared" si="5"/>
        <v>1138957.1872162747</v>
      </c>
      <c r="L13" s="9">
        <f t="shared" si="6"/>
        <v>78132.8127837254</v>
      </c>
      <c r="M13" s="9">
        <f>C13+'HIV Pos Neg U5MR 75'!K13+'HIV Pos Pos U5MR 75'!K13</f>
        <v>83431.34521157734</v>
      </c>
      <c r="N13" s="57">
        <f>'HIV Pos Neg U5MR 75'!L13+'HIV Pos Pos U5MR 75'!L13</f>
        <v>18701.919089662752</v>
      </c>
      <c r="O13" s="151" t="str">
        <f t="shared" si="7"/>
        <v>9-13</v>
      </c>
      <c r="P13" s="179">
        <f t="shared" si="8"/>
        <v>0.83997236189435309</v>
      </c>
      <c r="Q13" s="151" t="str">
        <f t="shared" si="9"/>
        <v>9-12</v>
      </c>
      <c r="R13" s="161">
        <f t="shared" si="0"/>
        <v>0.84690771482652683</v>
      </c>
      <c r="S13" s="151" t="str">
        <f t="shared" si="10"/>
        <v>9-11</v>
      </c>
      <c r="T13" s="161">
        <f t="shared" si="1"/>
        <v>0.85462336288241203</v>
      </c>
      <c r="U13" s="151" t="str">
        <f t="shared" si="11"/>
        <v>9-10</v>
      </c>
      <c r="V13" s="161">
        <f t="shared" si="2"/>
        <v>0.86313544828970601</v>
      </c>
      <c r="W13" s="151">
        <f t="shared" si="12"/>
        <v>9</v>
      </c>
      <c r="X13" s="152">
        <f t="shared" si="13"/>
        <v>0.87292579672647541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3"/>
        <v>#VALUE!</v>
      </c>
      <c r="AD13" s="153" t="e">
        <f t="shared" si="14"/>
        <v>#VALUE!</v>
      </c>
      <c r="AE13" s="150" t="e">
        <f t="shared" ca="1" si="4"/>
        <v>#VALUE!</v>
      </c>
    </row>
    <row r="14" spans="1:32">
      <c r="A14" s="48">
        <f>'HIV Neg U5MR 50'!A14</f>
        <v>10</v>
      </c>
      <c r="B14" s="9">
        <f>'HIV Neg U5MR 75'!B14</f>
        <v>1093711.6672745319</v>
      </c>
      <c r="C14" s="9">
        <f>'HIV Neg U5MR 75'!I14</f>
        <v>78556.269463624238</v>
      </c>
      <c r="D14" s="5">
        <v>0</v>
      </c>
      <c r="E14" s="9">
        <f>'HIV Pos Neg U5MR 75'!B14</f>
        <v>78333.332725468019</v>
      </c>
      <c r="F14" s="9">
        <f>'HIV Pos Neg U5MR 75'!I14</f>
        <v>6385.0940788319222</v>
      </c>
      <c r="G14" s="10">
        <f>'Base values'!C67</f>
        <v>0.85869565217391319</v>
      </c>
      <c r="H14" s="9">
        <f>'HIV Pos Pos U5MR 75'!B14</f>
        <v>24235</v>
      </c>
      <c r="I14" s="9">
        <f>'HIV Pos Pos U5MR 75'!I14</f>
        <v>16961.538500000002</v>
      </c>
      <c r="J14" s="10">
        <f>'Base values'!C67</f>
        <v>0.85869565217391319</v>
      </c>
      <c r="K14" s="9">
        <f t="shared" si="5"/>
        <v>1108205.0186379133</v>
      </c>
      <c r="L14" s="9">
        <f t="shared" si="6"/>
        <v>88074.981362086677</v>
      </c>
      <c r="M14" s="9">
        <f>C14+'HIV Pos Neg U5MR 75'!K14+'HIV Pos Pos U5MR 75'!K14</f>
        <v>80550.821406743213</v>
      </c>
      <c r="N14" s="57">
        <f>'HIV Pos Neg U5MR 75'!L14+'HIV Pos Pos U5MR 75'!L14</f>
        <v>21352.080635712948</v>
      </c>
      <c r="O14" s="151" t="str">
        <f t="shared" si="7"/>
        <v>10-14</v>
      </c>
      <c r="P14" s="179">
        <f t="shared" si="8"/>
        <v>0.82609483760179447</v>
      </c>
      <c r="Q14" s="151" t="str">
        <f t="shared" si="9"/>
        <v>10-13</v>
      </c>
      <c r="R14" s="161">
        <f t="shared" si="0"/>
        <v>0.83155830909907813</v>
      </c>
      <c r="S14" s="151" t="str">
        <f t="shared" si="10"/>
        <v>10-12</v>
      </c>
      <c r="T14" s="161">
        <f t="shared" si="1"/>
        <v>0.83809892152143639</v>
      </c>
      <c r="U14" s="151" t="str">
        <f t="shared" si="11"/>
        <v>10-11</v>
      </c>
      <c r="V14" s="161">
        <f t="shared" si="2"/>
        <v>0.84537703292780242</v>
      </c>
      <c r="W14" s="151">
        <f t="shared" si="12"/>
        <v>10</v>
      </c>
      <c r="X14" s="152">
        <f t="shared" si="13"/>
        <v>0.85328900709821975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3"/>
        <v>#VALUE!</v>
      </c>
      <c r="AD14" s="153" t="e">
        <f t="shared" si="14"/>
        <v>#VALUE!</v>
      </c>
      <c r="AE14" s="150" t="e">
        <f t="shared" ca="1" si="4"/>
        <v>#VALUE!</v>
      </c>
    </row>
    <row r="15" spans="1:32">
      <c r="A15" s="48">
        <f>'HIV Neg U5MR 50'!A15</f>
        <v>11</v>
      </c>
      <c r="B15" s="9">
        <f>'HIV Neg U5MR 75'!B15</f>
        <v>1065792.1055339968</v>
      </c>
      <c r="C15" s="9">
        <f>'HIV Neg U5MR 75'!I15</f>
        <v>76370.661178866358</v>
      </c>
      <c r="D15" s="5">
        <v>0</v>
      </c>
      <c r="E15" s="9">
        <f>'HIV Pos Neg U5MR 75'!B15</f>
        <v>82680.894466003141</v>
      </c>
      <c r="F15" s="9">
        <f>'HIV Pos Neg U5MR 75'!I15</f>
        <v>6700.1837321102685</v>
      </c>
      <c r="G15" s="10">
        <f>'Base values'!C68</f>
        <v>0.91304347826086973</v>
      </c>
      <c r="H15" s="9">
        <f>'HIV Pos Pos U5MR 75'!B15</f>
        <v>26757</v>
      </c>
      <c r="I15" s="9">
        <f>'HIV Pos Pos U5MR 75'!I15</f>
        <v>18307.986000000001</v>
      </c>
      <c r="J15" s="10">
        <f>'Base values'!C68</f>
        <v>0.91304347826086973</v>
      </c>
      <c r="K15" s="9">
        <f t="shared" si="5"/>
        <v>1075308.4441832143</v>
      </c>
      <c r="L15" s="9">
        <f t="shared" si="6"/>
        <v>99921.555816785505</v>
      </c>
      <c r="M15" s="9">
        <f>C15+'HIV Pos Neg U5MR 75'!K15+'HIV Pos Pos U5MR 75'!K15</f>
        <v>77675.85760849349</v>
      </c>
      <c r="N15" s="57">
        <f>'HIV Pos Neg U5MR 75'!L15+'HIV Pos Pos U5MR 75'!L15</f>
        <v>23702.973302483137</v>
      </c>
      <c r="O15" s="151" t="str">
        <f t="shared" si="7"/>
        <v>11-15</v>
      </c>
      <c r="P15" s="179">
        <f t="shared" si="8"/>
        <v>0.81546453917833273</v>
      </c>
      <c r="Q15" s="151" t="str">
        <f t="shared" si="9"/>
        <v>11-14</v>
      </c>
      <c r="R15" s="161">
        <f t="shared" si="0"/>
        <v>0.819118326370876</v>
      </c>
      <c r="S15" s="151" t="str">
        <f t="shared" si="10"/>
        <v>11-13</v>
      </c>
      <c r="T15" s="161">
        <f t="shared" si="1"/>
        <v>0.824167406310227</v>
      </c>
      <c r="U15" s="151" t="str">
        <f t="shared" si="11"/>
        <v>11-12</v>
      </c>
      <c r="V15" s="161">
        <f t="shared" si="2"/>
        <v>0.83039227280489358</v>
      </c>
      <c r="W15" s="151">
        <f t="shared" si="12"/>
        <v>11</v>
      </c>
      <c r="X15" s="152">
        <f t="shared" si="13"/>
        <v>0.83739158270660541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3"/>
        <v>#VALUE!</v>
      </c>
      <c r="AD15" s="153" t="e">
        <f t="shared" si="14"/>
        <v>#VALUE!</v>
      </c>
      <c r="AE15" s="150" t="e">
        <f t="shared" ca="1" si="4"/>
        <v>#VALUE!</v>
      </c>
    </row>
    <row r="16" spans="1:32">
      <c r="A16" s="48">
        <f>'HIV Neg U5MR 50'!A16</f>
        <v>12</v>
      </c>
      <c r="B16" s="9">
        <f>'HIV Neg U5MR 75'!B16</f>
        <v>1031795.7875404547</v>
      </c>
      <c r="C16" s="9">
        <f>'HIV Neg U5MR 75'!I16</f>
        <v>73985.942802801132</v>
      </c>
      <c r="D16" s="5">
        <v>0</v>
      </c>
      <c r="E16" s="9">
        <f>'HIV Pos Neg U5MR 75'!B16</f>
        <v>87484.212459545393</v>
      </c>
      <c r="F16" s="9">
        <f>'HIV Pos Neg U5MR 75'!I16</f>
        <v>7001.0746215710769</v>
      </c>
      <c r="G16" s="10">
        <f>'Base values'!C69</f>
        <v>0.94565217391304346</v>
      </c>
      <c r="H16" s="9">
        <f>'HIV Pos Pos U5MR 75'!B16</f>
        <v>28900</v>
      </c>
      <c r="I16" s="9">
        <f>'HIV Pos Pos U5MR 75'!I16</f>
        <v>19499.034000000003</v>
      </c>
      <c r="J16" s="10">
        <f>'Base values'!C69</f>
        <v>0.94565217391304346</v>
      </c>
      <c r="K16" s="9">
        <f t="shared" si="5"/>
        <v>1038121.0164784734</v>
      </c>
      <c r="L16" s="9">
        <f t="shared" si="6"/>
        <v>110058.98352152662</v>
      </c>
      <c r="M16" s="9">
        <f>C16+'HIV Pos Neg U5MR 75'!K16+'HIV Pos Pos U5MR 75'!K16</f>
        <v>74801.716924916924</v>
      </c>
      <c r="N16" s="57">
        <f>'HIV Pos Neg U5MR 75'!L16+'HIV Pos Pos U5MR 75'!L16</f>
        <v>25684.334499455286</v>
      </c>
      <c r="O16" s="151" t="str">
        <f t="shared" si="7"/>
        <v>12-16</v>
      </c>
      <c r="P16" s="179">
        <f t="shared" si="8"/>
        <v>0.80822047589203438</v>
      </c>
      <c r="Q16" s="151" t="str">
        <f t="shared" si="9"/>
        <v>12-15</v>
      </c>
      <c r="R16" s="161">
        <f t="shared" si="0"/>
        <v>0.80983207323066431</v>
      </c>
      <c r="S16" s="151" t="str">
        <f t="shared" si="10"/>
        <v>12-14</v>
      </c>
      <c r="T16" s="161">
        <f t="shared" si="1"/>
        <v>0.81289388530119844</v>
      </c>
      <c r="U16" s="151" t="str">
        <f t="shared" si="11"/>
        <v>12-13</v>
      </c>
      <c r="V16" s="161">
        <f t="shared" si="2"/>
        <v>0.81744771763499979</v>
      </c>
      <c r="W16" s="151">
        <f t="shared" si="12"/>
        <v>12</v>
      </c>
      <c r="X16" s="152">
        <f t="shared" si="13"/>
        <v>0.8233183208910605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3"/>
        <v>#VALUE!</v>
      </c>
      <c r="AD16" s="153" t="e">
        <f t="shared" si="14"/>
        <v>#VALUE!</v>
      </c>
      <c r="AE16" s="150" t="e">
        <f t="shared" ca="1" si="4"/>
        <v>#VALUE!</v>
      </c>
    </row>
    <row r="17" spans="1:32">
      <c r="A17" s="48">
        <f>'HIV Neg U5MR 50'!A17</f>
        <v>13</v>
      </c>
      <c r="B17" s="9">
        <f>'HIV Neg U5MR 75'!B17</f>
        <v>998024.5859198774</v>
      </c>
      <c r="C17" s="9">
        <f>'HIV Neg U5MR 75'!I17</f>
        <v>71702.011895826145</v>
      </c>
      <c r="D17" s="5">
        <v>0</v>
      </c>
      <c r="E17" s="9">
        <f>'HIV Pos Neg U5MR 75'!B17</f>
        <v>92593.414080122617</v>
      </c>
      <c r="F17" s="9">
        <f>'HIV Pos Neg U5MR 75'!I17</f>
        <v>7262.0448692689706</v>
      </c>
      <c r="G17" s="10">
        <f>'Base values'!C70</f>
        <v>0.96739130434782605</v>
      </c>
      <c r="H17" s="9">
        <f>'HIV Pos Pos U5MR 75'!B17</f>
        <v>30992</v>
      </c>
      <c r="I17" s="9">
        <f>'HIV Pos Pos U5MR 75'!I17</f>
        <v>20513.944</v>
      </c>
      <c r="J17" s="10">
        <f>'Base values'!C70</f>
        <v>0.96739130434782605</v>
      </c>
      <c r="K17" s="9">
        <f t="shared" si="5"/>
        <v>1002054.5450746641</v>
      </c>
      <c r="L17" s="9">
        <f t="shared" si="6"/>
        <v>119555.454925336</v>
      </c>
      <c r="M17" s="9">
        <f>C17+'HIV Pos Neg U5MR 75'!K17+'HIV Pos Pos U5MR 75'!K17</f>
        <v>72122.632809962612</v>
      </c>
      <c r="N17" s="57">
        <f>'HIV Pos Neg U5MR 75'!L17+'HIV Pos Pos U5MR 75'!L17</f>
        <v>27355.367955132497</v>
      </c>
      <c r="O17" s="151" t="str">
        <f t="shared" si="7"/>
        <v>13-17</v>
      </c>
      <c r="P17" s="179">
        <f t="shared" si="8"/>
        <v>0.80493844051038732</v>
      </c>
      <c r="Q17" s="151" t="str">
        <f t="shared" si="9"/>
        <v>13-16</v>
      </c>
      <c r="R17" s="161">
        <f t="shared" si="0"/>
        <v>0.80434800720668598</v>
      </c>
      <c r="S17" s="151" t="str">
        <f t="shared" si="10"/>
        <v>13-15</v>
      </c>
      <c r="T17" s="161">
        <f t="shared" si="1"/>
        <v>0.80524108437601694</v>
      </c>
      <c r="U17" s="151" t="str">
        <f t="shared" si="11"/>
        <v>13-14</v>
      </c>
      <c r="V17" s="161">
        <f t="shared" si="2"/>
        <v>0.80759644611597547</v>
      </c>
      <c r="W17" s="151">
        <f t="shared" si="12"/>
        <v>13</v>
      </c>
      <c r="X17" s="152">
        <f t="shared" si="13"/>
        <v>0.81151216405994775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3"/>
        <v>#VALUE!</v>
      </c>
      <c r="AD17" s="153" t="e">
        <f t="shared" si="14"/>
        <v>#VALUE!</v>
      </c>
      <c r="AE17" s="150" t="e">
        <f t="shared" ca="1" si="4"/>
        <v>#VALUE!</v>
      </c>
    </row>
    <row r="18" spans="1:32">
      <c r="A18" s="48">
        <f>'HIV Neg U5MR 50'!A18</f>
        <v>14</v>
      </c>
      <c r="B18" s="9">
        <f>'HIV Neg U5MR 75'!B18</f>
        <v>964624.63545957068</v>
      </c>
      <c r="C18" s="9">
        <f>'HIV Neg U5MR 75'!I18</f>
        <v>69564.457087913179</v>
      </c>
      <c r="D18" s="5">
        <v>0</v>
      </c>
      <c r="E18" s="9">
        <f>'HIV Pos Neg U5MR 75'!B18</f>
        <v>97518.364540429335</v>
      </c>
      <c r="F18" s="9">
        <f>'HIV Pos Neg U5MR 75'!I18</f>
        <v>7447.1222081684818</v>
      </c>
      <c r="G18" s="10">
        <f>'Base values'!C71</f>
        <v>0.98913043478260865</v>
      </c>
      <c r="H18" s="9">
        <f>'HIV Pos Pos U5MR 75'!B18</f>
        <v>32797</v>
      </c>
      <c r="I18" s="9">
        <f>'HIV Pos Pos U5MR 75'!I18</f>
        <v>21261.4575</v>
      </c>
      <c r="J18" s="10">
        <f>'Base values'!C71</f>
        <v>0.98913043478260865</v>
      </c>
      <c r="K18" s="9">
        <f t="shared" si="5"/>
        <v>966041.10681327106</v>
      </c>
      <c r="L18" s="9">
        <f t="shared" si="6"/>
        <v>128898.89318672901</v>
      </c>
      <c r="M18" s="9">
        <f>C18+'HIV Pos Neg U5MR 75'!K18+'HIV Pos Pos U5MR 75'!K18</f>
        <v>69679.198446865557</v>
      </c>
      <c r="N18" s="57">
        <f>'HIV Pos Neg U5MR 75'!L18+'HIV Pos Pos U5MR 75'!L18</f>
        <v>28593.83834921609</v>
      </c>
      <c r="O18" s="151" t="str">
        <f t="shared" si="7"/>
        <v>14-18</v>
      </c>
      <c r="P18" s="179">
        <f t="shared" si="8"/>
        <v>0.80610673844351832</v>
      </c>
      <c r="Q18" s="151" t="str">
        <f t="shared" si="9"/>
        <v>14-17</v>
      </c>
      <c r="R18" s="161">
        <f t="shared" si="0"/>
        <v>0.80327809828962871</v>
      </c>
      <c r="S18" s="151" t="str">
        <f t="shared" si="10"/>
        <v>14-16</v>
      </c>
      <c r="T18" s="161">
        <f t="shared" si="1"/>
        <v>0.80192685810114495</v>
      </c>
      <c r="U18" s="151" t="str">
        <f t="shared" si="11"/>
        <v>14-15</v>
      </c>
      <c r="V18" s="161">
        <f t="shared" si="2"/>
        <v>0.80206636867915715</v>
      </c>
      <c r="W18" s="151">
        <f t="shared" si="12"/>
        <v>14</v>
      </c>
      <c r="X18" s="152">
        <f t="shared" si="13"/>
        <v>0.80364358843496719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3"/>
        <v>#VALUE!</v>
      </c>
      <c r="AD18" s="153" t="e">
        <f t="shared" si="14"/>
        <v>#VALUE!</v>
      </c>
      <c r="AE18" s="150" t="e">
        <f t="shared" ca="1" si="4"/>
        <v>#VALUE!</v>
      </c>
    </row>
    <row r="19" spans="1:32">
      <c r="A19" s="48">
        <f>'HIV Neg U5MR 50'!A19</f>
        <v>15</v>
      </c>
      <c r="B19" s="9">
        <f>'HIV Neg U5MR 75'!B19</f>
        <v>932494.89095396351</v>
      </c>
      <c r="C19" s="9">
        <f>'HIV Neg U5MR 75'!I19</f>
        <v>67615.270286232393</v>
      </c>
      <c r="D19" s="5">
        <v>0</v>
      </c>
      <c r="E19" s="9">
        <f>'HIV Pos Neg U5MR 75'!B19</f>
        <v>101861.10904603652</v>
      </c>
      <c r="F19" s="9">
        <f>'HIV Pos Neg U5MR 75'!I19</f>
        <v>7528.5490538300692</v>
      </c>
      <c r="G19" s="10">
        <f>'Base values'!C72</f>
        <v>1</v>
      </c>
      <c r="H19" s="9">
        <f>'HIV Pos Pos U5MR 75'!B19</f>
        <v>34264</v>
      </c>
      <c r="I19" s="9">
        <f>'HIV Pos Pos U5MR 75'!I19</f>
        <v>21654.202999999998</v>
      </c>
      <c r="J19" s="10">
        <f>'Base values'!C72</f>
        <v>1</v>
      </c>
      <c r="K19" s="9">
        <f t="shared" si="5"/>
        <v>932494.89095396351</v>
      </c>
      <c r="L19" s="9">
        <f t="shared" si="6"/>
        <v>136125.10904603652</v>
      </c>
      <c r="M19" s="9">
        <f>C19+'HIV Pos Neg U5MR 75'!K19+'HIV Pos Pos U5MR 75'!K19</f>
        <v>67615.270286232393</v>
      </c>
      <c r="N19" s="57">
        <f>'HIV Pos Neg U5MR 75'!L19+'HIV Pos Pos U5MR 75'!L19</f>
        <v>29182.752053830067</v>
      </c>
      <c r="O19" s="151" t="str">
        <f t="shared" si="7"/>
        <v>15-19</v>
      </c>
      <c r="P19" s="179">
        <f t="shared" si="8"/>
        <v>0.81177401880040168</v>
      </c>
      <c r="Q19" s="151" t="str">
        <f t="shared" si="9"/>
        <v>15-18</v>
      </c>
      <c r="R19" s="161">
        <f t="shared" si="0"/>
        <v>0.80680314434520339</v>
      </c>
      <c r="S19" s="151" t="str">
        <f t="shared" si="10"/>
        <v>15-17</v>
      </c>
      <c r="T19" s="161">
        <f t="shared" si="1"/>
        <v>0.80319571612762608</v>
      </c>
      <c r="U19" s="151" t="str">
        <f t="shared" si="11"/>
        <v>15-16</v>
      </c>
      <c r="V19" s="161">
        <f t="shared" si="2"/>
        <v>0.80108154623388528</v>
      </c>
      <c r="W19" s="151">
        <f t="shared" si="12"/>
        <v>15</v>
      </c>
      <c r="X19" s="152">
        <f t="shared" si="13"/>
        <v>0.80048858093501174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3"/>
        <v>#VALUE!</v>
      </c>
      <c r="AD19" s="153" t="e">
        <f t="shared" si="14"/>
        <v>#VALUE!</v>
      </c>
      <c r="AE19" s="150" t="e">
        <f t="shared" ca="1" si="4"/>
        <v>#VALUE!</v>
      </c>
    </row>
    <row r="20" spans="1:32">
      <c r="A20" s="48">
        <f>'HIV Neg U5MR 50'!A20</f>
        <v>16</v>
      </c>
      <c r="B20" s="9">
        <f>'HIV Neg U5MR 75'!B20</f>
        <v>903865.75167033426</v>
      </c>
      <c r="C20" s="9">
        <f>'HIV Neg U5MR 75'!I20</f>
        <v>65953.558177054496</v>
      </c>
      <c r="D20" s="5">
        <v>0</v>
      </c>
      <c r="E20" s="9">
        <f>'HIV Pos Neg U5MR 75'!B20</f>
        <v>105039.24832966569</v>
      </c>
      <c r="F20" s="9">
        <f>'HIV Pos Neg U5MR 75'!I20</f>
        <v>7479.5900513961305</v>
      </c>
      <c r="G20" s="10">
        <f>'Base values'!C73</f>
        <v>1</v>
      </c>
      <c r="H20" s="9">
        <f>'HIV Pos Pos U5MR 75'!B20</f>
        <v>35185</v>
      </c>
      <c r="I20" s="9">
        <f>'HIV Pos Pos U5MR 75'!I20</f>
        <v>21596.0795</v>
      </c>
      <c r="J20" s="10">
        <f>'Base values'!C73</f>
        <v>1</v>
      </c>
      <c r="K20" s="9">
        <f t="shared" si="5"/>
        <v>903865.75167033426</v>
      </c>
      <c r="L20" s="9">
        <f t="shared" si="6"/>
        <v>140224.24832966569</v>
      </c>
      <c r="M20" s="9">
        <f>C20+'HIV Pos Neg U5MR 75'!K20+'HIV Pos Pos U5MR 75'!K20</f>
        <v>65953.558177054496</v>
      </c>
      <c r="N20" s="57">
        <f>'HIV Pos Neg U5MR 75'!L20+'HIV Pos Pos U5MR 75'!L20</f>
        <v>29075.669551396131</v>
      </c>
      <c r="O20" s="151" t="str">
        <f t="shared" si="7"/>
        <v>16-20</v>
      </c>
      <c r="P20" s="179">
        <f t="shared" si="8"/>
        <v>0.82161241220770387</v>
      </c>
      <c r="Q20" s="151" t="str">
        <f t="shared" si="9"/>
        <v>16-19</v>
      </c>
      <c r="R20" s="161">
        <f t="shared" si="0"/>
        <v>0.81479386776213469</v>
      </c>
      <c r="S20" s="151" t="str">
        <f t="shared" si="10"/>
        <v>16-18</v>
      </c>
      <c r="T20" s="161">
        <f t="shared" si="1"/>
        <v>0.80903289564724001</v>
      </c>
      <c r="U20" s="151" t="str">
        <f t="shared" si="11"/>
        <v>16-17</v>
      </c>
      <c r="V20" s="161">
        <f t="shared" si="2"/>
        <v>0.80461847071853254</v>
      </c>
      <c r="W20" s="151">
        <f t="shared" si="12"/>
        <v>16</v>
      </c>
      <c r="X20" s="152">
        <f t="shared" si="13"/>
        <v>0.80170581936450447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3"/>
        <v>#VALUE!</v>
      </c>
      <c r="AD20" s="153" t="e">
        <f t="shared" si="14"/>
        <v>#VALUE!</v>
      </c>
      <c r="AE20" s="150" t="e">
        <f t="shared" ca="1" si="4"/>
        <v>#VALUE!</v>
      </c>
    </row>
    <row r="21" spans="1:32">
      <c r="A21" s="48">
        <f>'HIV Neg U5MR 50'!A21</f>
        <v>17</v>
      </c>
      <c r="B21" s="9">
        <f>'HIV Neg U5MR 75'!B21</f>
        <v>879136.63873421436</v>
      </c>
      <c r="C21" s="9">
        <f>'HIV Neg U5MR 75'!I21</f>
        <v>64613.857340807597</v>
      </c>
      <c r="D21" s="5">
        <v>0</v>
      </c>
      <c r="E21" s="9">
        <f>'HIV Pos Neg U5MR 75'!B21</f>
        <v>106211.36126578561</v>
      </c>
      <c r="F21" s="9">
        <f>'HIV Pos Neg U5MR 75'!I21</f>
        <v>7273.8607093789115</v>
      </c>
      <c r="G21" s="10">
        <f>'Base values'!C74</f>
        <v>1</v>
      </c>
      <c r="H21" s="9">
        <f>'HIV Pos Pos U5MR 75'!B21</f>
        <v>35412</v>
      </c>
      <c r="I21" s="9">
        <f>'HIV Pos Pos U5MR 75'!I21</f>
        <v>21006.684000000001</v>
      </c>
      <c r="J21" s="10">
        <f>'Base values'!C74</f>
        <v>1</v>
      </c>
      <c r="K21" s="9">
        <f t="shared" si="5"/>
        <v>879136.63873421436</v>
      </c>
      <c r="L21" s="9">
        <f t="shared" si="6"/>
        <v>141623.36126578561</v>
      </c>
      <c r="M21" s="9">
        <f>C21+'HIV Pos Neg U5MR 75'!K21+'HIV Pos Pos U5MR 75'!K21</f>
        <v>64613.857340807597</v>
      </c>
      <c r="N21" s="57">
        <f>'HIV Pos Neg U5MR 75'!L21+'HIV Pos Pos U5MR 75'!L21</f>
        <v>28280.544709378912</v>
      </c>
      <c r="O21" s="151" t="str">
        <f t="shared" si="7"/>
        <v>17-21</v>
      </c>
      <c r="P21" s="179">
        <f t="shared" si="8"/>
        <v>0.83514745905701626</v>
      </c>
      <c r="Q21" s="151" t="str">
        <f t="shared" si="9"/>
        <v>17-20</v>
      </c>
      <c r="R21" s="161">
        <f t="shared" si="0"/>
        <v>0.82694578277757169</v>
      </c>
      <c r="S21" s="151" t="str">
        <f t="shared" si="10"/>
        <v>17-19</v>
      </c>
      <c r="T21" s="161">
        <f t="shared" si="1"/>
        <v>0.81940184546521289</v>
      </c>
      <c r="U21" s="151" t="str">
        <f t="shared" si="11"/>
        <v>17-18</v>
      </c>
      <c r="V21" s="161">
        <f t="shared" si="2"/>
        <v>0.81284994411376688</v>
      </c>
      <c r="W21" s="151">
        <f t="shared" si="12"/>
        <v>17</v>
      </c>
      <c r="X21" s="152">
        <f t="shared" si="13"/>
        <v>0.80761316186865251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3"/>
        <v>#VALUE!</v>
      </c>
      <c r="AD21" s="153" t="e">
        <f t="shared" si="14"/>
        <v>#VALUE!</v>
      </c>
      <c r="AE21" s="150" t="e">
        <f t="shared" ca="1" si="4"/>
        <v>#VALUE!</v>
      </c>
    </row>
    <row r="22" spans="1:32">
      <c r="A22" s="48">
        <f>'HIV Neg U5MR 50'!A22</f>
        <v>18</v>
      </c>
      <c r="B22" s="9">
        <f>'HIV Neg U5MR 75'!B22</f>
        <v>858590.99039825355</v>
      </c>
      <c r="C22" s="9">
        <f>'HIV Neg U5MR 75'!I22</f>
        <v>63609.516779338024</v>
      </c>
      <c r="D22" s="5">
        <v>0</v>
      </c>
      <c r="E22" s="9">
        <f>'HIV Pos Neg U5MR 75'!B22</f>
        <v>104648.00960174639</v>
      </c>
      <c r="F22" s="9">
        <f>'HIV Pos Neg U5MR 75'!I22</f>
        <v>6897.5801696267299</v>
      </c>
      <c r="G22" s="10">
        <f>'Base values'!C75</f>
        <v>1</v>
      </c>
      <c r="H22" s="9">
        <f>'HIV Pos Pos U5MR 75'!B22</f>
        <v>34706</v>
      </c>
      <c r="I22" s="9">
        <f>'HIV Pos Pos U5MR 75'!I22</f>
        <v>19850.184499999996</v>
      </c>
      <c r="J22" s="10">
        <f>'Base values'!C75</f>
        <v>1</v>
      </c>
      <c r="K22" s="9">
        <f t="shared" si="5"/>
        <v>858590.99039825355</v>
      </c>
      <c r="L22" s="9">
        <f t="shared" si="6"/>
        <v>139354.00960174639</v>
      </c>
      <c r="M22" s="9">
        <f>C22+'HIV Pos Neg U5MR 75'!K22+'HIV Pos Pos U5MR 75'!K22</f>
        <v>63609.516779338024</v>
      </c>
      <c r="N22" s="103">
        <f>'HIV Pos Neg U5MR 75'!L22+'HIV Pos Pos U5MR 75'!L22</f>
        <v>26747.764669626726</v>
      </c>
      <c r="O22" s="151" t="str">
        <f t="shared" si="7"/>
        <v>18-22</v>
      </c>
      <c r="P22" s="179">
        <f t="shared" si="8"/>
        <v>0.85163380405593614</v>
      </c>
      <c r="Q22" s="151" t="str">
        <f t="shared" si="9"/>
        <v>18-21</v>
      </c>
      <c r="R22" s="161">
        <f t="shared" si="0"/>
        <v>0.8425733532465387</v>
      </c>
      <c r="S22" s="151" t="str">
        <f t="shared" si="10"/>
        <v>18-20</v>
      </c>
      <c r="T22" s="161">
        <f t="shared" si="1"/>
        <v>0.83378181447886157</v>
      </c>
      <c r="U22" s="151" t="str">
        <f t="shared" si="11"/>
        <v>18-19</v>
      </c>
      <c r="V22" s="161">
        <f t="shared" si="2"/>
        <v>0.8255562287884074</v>
      </c>
      <c r="W22" s="151">
        <f t="shared" si="12"/>
        <v>18</v>
      </c>
      <c r="X22" s="152">
        <f t="shared" si="13"/>
        <v>0.81823719979035925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3"/>
        <v>#VALUE!</v>
      </c>
      <c r="AD22" s="153" t="e">
        <f t="shared" si="14"/>
        <v>#VALUE!</v>
      </c>
      <c r="AE22" s="150" t="e">
        <f t="shared" ca="1" si="4"/>
        <v>#VALUE!</v>
      </c>
    </row>
    <row r="23" spans="1:32">
      <c r="A23" s="48">
        <f>'HIV Neg U5MR 50'!A23</f>
        <v>19</v>
      </c>
      <c r="B23" s="9">
        <f>'HIV Neg U5MR 75'!B23</f>
        <v>843666.6351556615</v>
      </c>
      <c r="C23" s="9">
        <f>'HIV Neg U5MR 75'!I23</f>
        <v>62964.519335013203</v>
      </c>
      <c r="D23" s="5">
        <v>0</v>
      </c>
      <c r="E23" s="9">
        <f>'HIV Pos Neg U5MR 75'!B23</f>
        <v>99999.364844338474</v>
      </c>
      <c r="F23" s="9">
        <f>'HIV Pos Neg U5MR 75'!I23</f>
        <v>6356.5122976507546</v>
      </c>
      <c r="G23" s="10">
        <f>'Base values'!C76</f>
        <v>1</v>
      </c>
      <c r="H23" s="9">
        <f>'HIV Pos Pos U5MR 75'!B23</f>
        <v>32990</v>
      </c>
      <c r="I23" s="9">
        <f>'HIV Pos Pos U5MR 75'!I23</f>
        <v>18170.9355</v>
      </c>
      <c r="J23" s="10">
        <f>'Base values'!C76</f>
        <v>1</v>
      </c>
      <c r="K23" s="9">
        <f t="shared" si="5"/>
        <v>843666.6351556615</v>
      </c>
      <c r="L23" s="9">
        <f t="shared" si="6"/>
        <v>132989.36484433847</v>
      </c>
      <c r="M23" s="9">
        <f>C23+'HIV Pos Neg U5MR 75'!K23+'HIV Pos Pos U5MR 75'!K23</f>
        <v>62964.519335013203</v>
      </c>
      <c r="N23" s="103">
        <f>'HIV Pos Neg U5MR 75'!L23+'HIV Pos Pos U5MR 75'!L23</f>
        <v>24527.447797650755</v>
      </c>
      <c r="O23" s="151" t="str">
        <f t="shared" si="7"/>
        <v>19-23</v>
      </c>
      <c r="P23" s="179">
        <f t="shared" si="8"/>
        <v>0.87014441031412193</v>
      </c>
      <c r="Q23" s="151" t="str">
        <f t="shared" si="9"/>
        <v>19-22</v>
      </c>
      <c r="R23" s="161">
        <f t="shared" si="0"/>
        <v>0.8607179415364058</v>
      </c>
      <c r="S23" s="151" t="str">
        <f t="shared" si="10"/>
        <v>19-21</v>
      </c>
      <c r="T23" s="161">
        <f t="shared" si="1"/>
        <v>0.85123516674123589</v>
      </c>
      <c r="U23" s="151" t="str">
        <f t="shared" si="11"/>
        <v>19-20</v>
      </c>
      <c r="V23" s="161">
        <f t="shared" si="2"/>
        <v>0.84193282487338583</v>
      </c>
      <c r="W23" s="151">
        <f t="shared" si="12"/>
        <v>19</v>
      </c>
      <c r="X23" s="152">
        <f t="shared" si="13"/>
        <v>0.83310254169990727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3"/>
        <v>#VALUE!</v>
      </c>
      <c r="AD23" s="153" t="e">
        <f t="shared" si="14"/>
        <v>#VALUE!</v>
      </c>
      <c r="AE23" s="150" t="e">
        <f t="shared" ca="1" si="4"/>
        <v>#VALUE!</v>
      </c>
    </row>
    <row r="24" spans="1:32" ht="13.5" thickBot="1">
      <c r="A24" s="48">
        <f>'HIV Neg U5MR 50'!A24</f>
        <v>20</v>
      </c>
      <c r="B24" s="9">
        <f>'HIV Neg U5MR 75'!B24</f>
        <v>833406.34579112253</v>
      </c>
      <c r="C24" s="9">
        <f>'HIV Neg U5MR 75'!I24</f>
        <v>62550.513484920062</v>
      </c>
      <c r="D24" s="5">
        <v>0</v>
      </c>
      <c r="E24" s="9">
        <f>'HIV Pos Neg U5MR 75'!B24</f>
        <v>92241.654208877473</v>
      </c>
      <c r="F24" s="9">
        <f>'HIV Pos Neg U5MR 75'!I24</f>
        <v>5670.3741759593331</v>
      </c>
      <c r="G24" s="10">
        <f>'Base values'!C77</f>
        <v>1</v>
      </c>
      <c r="H24" s="9">
        <f>'HIV Pos Pos U5MR 75'!B24</f>
        <v>30311</v>
      </c>
      <c r="I24" s="9">
        <f>'HIV Pos Pos U5MR 75'!I24</f>
        <v>16082.6065</v>
      </c>
      <c r="J24" s="10">
        <f>'Base values'!C77</f>
        <v>1</v>
      </c>
      <c r="K24" s="9">
        <f t="shared" si="5"/>
        <v>833406.34579112253</v>
      </c>
      <c r="L24" s="9">
        <f t="shared" si="6"/>
        <v>122552.65420887747</v>
      </c>
      <c r="M24" s="9">
        <f>C24+'HIV Pos Neg U5MR 75'!K24+'HIV Pos Pos U5MR 75'!K24</f>
        <v>62550.513484920062</v>
      </c>
      <c r="N24" s="103">
        <f>'HIV Pos Neg U5MR 75'!L24+'HIV Pos Pos U5MR 75'!L24</f>
        <v>21752.980675959334</v>
      </c>
      <c r="O24" s="159" t="str">
        <f t="shared" si="7"/>
        <v>20-24</v>
      </c>
      <c r="P24" s="180">
        <f t="shared" si="8"/>
        <v>0.88968149027166421</v>
      </c>
      <c r="Q24" s="151" t="str">
        <f t="shared" si="9"/>
        <v>20-23</v>
      </c>
      <c r="R24" s="161">
        <f t="shared" si="0"/>
        <v>0.88031680060494644</v>
      </c>
      <c r="S24" s="151" t="str">
        <f t="shared" si="10"/>
        <v>20-22</v>
      </c>
      <c r="T24" s="161">
        <f t="shared" si="1"/>
        <v>0.87062592322553789</v>
      </c>
      <c r="U24" s="146" t="str">
        <f t="shared" si="11"/>
        <v>20-21</v>
      </c>
      <c r="V24" s="161">
        <f t="shared" si="2"/>
        <v>0.86080184052685038</v>
      </c>
      <c r="W24" s="146">
        <f t="shared" si="12"/>
        <v>20</v>
      </c>
      <c r="X24" s="152">
        <f t="shared" si="13"/>
        <v>0.85107487002907001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3"/>
        <v>#VALUE!</v>
      </c>
      <c r="AD24" s="153" t="e">
        <f t="shared" si="14"/>
        <v>#VALUE!</v>
      </c>
      <c r="AE24" s="150" t="e">
        <f t="shared" ca="1" si="4"/>
        <v>#VALUE!</v>
      </c>
    </row>
    <row r="25" spans="1:32" ht="13.5" thickBot="1">
      <c r="A25" s="48">
        <f>'HIV Neg U5MR 50'!A25</f>
        <v>21</v>
      </c>
      <c r="B25" s="175">
        <f>'HIV Neg U5MR 75'!B25</f>
        <v>827393.24855432892</v>
      </c>
      <c r="C25" s="175">
        <f>'HIV Neg U5MR 75'!I25</f>
        <v>62304.035697284708</v>
      </c>
      <c r="D25" s="176">
        <v>0</v>
      </c>
      <c r="E25" s="175">
        <f>'HIV Pos Neg U5MR 75'!B25</f>
        <v>81886.751445671107</v>
      </c>
      <c r="F25" s="175">
        <f>'HIV Pos Neg U5MR 75'!I25</f>
        <v>4886.46646468361</v>
      </c>
      <c r="G25" s="177">
        <f>'Base values'!C78</f>
        <v>1</v>
      </c>
      <c r="H25" s="175">
        <f>'HIV Pos Pos U5MR 75'!B25</f>
        <v>26880</v>
      </c>
      <c r="I25" s="175">
        <f>'HIV Pos Pos U5MR 75'!I25</f>
        <v>13752.5535</v>
      </c>
      <c r="J25" s="177">
        <f>'Base values'!C78</f>
        <v>1</v>
      </c>
      <c r="K25" s="175">
        <f t="shared" si="5"/>
        <v>827393.24855432892</v>
      </c>
      <c r="L25" s="175">
        <f t="shared" si="6"/>
        <v>108766.75144567111</v>
      </c>
      <c r="M25" s="175">
        <f>C25+'HIV Pos Neg U5MR 75'!K25+'HIV Pos Pos U5MR 75'!K25</f>
        <v>62304.035697284708</v>
      </c>
      <c r="N25" s="178">
        <f>'HIV Pos Neg U5MR 75'!L25+'HIV Pos Pos U5MR 75'!L25</f>
        <v>18639.019964683612</v>
      </c>
      <c r="O25" s="154"/>
      <c r="P25" s="149"/>
      <c r="Q25" s="159" t="str">
        <f t="shared" si="9"/>
        <v>21-24</v>
      </c>
      <c r="R25" s="182">
        <f t="shared" si="0"/>
        <v>0.90037071640299793</v>
      </c>
      <c r="S25" s="151" t="str">
        <f t="shared" si="10"/>
        <v>21-23</v>
      </c>
      <c r="T25" s="161">
        <f t="shared" si="1"/>
        <v>0.89088384773736096</v>
      </c>
      <c r="U25" s="146" t="str">
        <f t="shared" si="11"/>
        <v>21-22</v>
      </c>
      <c r="V25" s="161">
        <f t="shared" si="2"/>
        <v>0.88100093832561055</v>
      </c>
      <c r="W25" s="146">
        <f t="shared" si="12"/>
        <v>21</v>
      </c>
      <c r="X25" s="152">
        <f t="shared" si="13"/>
        <v>0.87091283575285672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3"/>
        <v>#VALUE!</v>
      </c>
      <c r="AD25" s="153" t="e">
        <f t="shared" si="14"/>
        <v>#VALUE!</v>
      </c>
      <c r="AE25" s="150" t="e">
        <f t="shared" ca="1" si="4"/>
        <v>#VALUE!</v>
      </c>
      <c r="AF25" s="46"/>
    </row>
    <row r="26" spans="1:32" ht="13.5" thickBot="1">
      <c r="A26" s="99">
        <f>'HIV Neg U5MR 50'!A26</f>
        <v>22</v>
      </c>
      <c r="B26" s="171">
        <f>'HIV Neg U5MR 75'!B26</f>
        <v>826385.49363108212</v>
      </c>
      <c r="C26" s="171">
        <f>'HIV Neg U5MR 75'!I26</f>
        <v>62198.625342017825</v>
      </c>
      <c r="D26" s="172">
        <v>0</v>
      </c>
      <c r="E26" s="171">
        <f>'HIV Pos Neg U5MR 75'!B26</f>
        <v>69939.506368917864</v>
      </c>
      <c r="F26" s="171">
        <f>'HIV Pos Neg U5MR 75'!I26</f>
        <v>4064.4173312755752</v>
      </c>
      <c r="G26" s="173">
        <f>'Base values'!C79</f>
        <v>1</v>
      </c>
      <c r="H26" s="171">
        <f>'HIV Pos Pos U5MR 75'!B26</f>
        <v>23012</v>
      </c>
      <c r="I26" s="171">
        <f>'HIV Pos Pos U5MR 75'!I26</f>
        <v>11350.79</v>
      </c>
      <c r="J26" s="173">
        <f>'Base values'!C79</f>
        <v>1</v>
      </c>
      <c r="K26" s="171">
        <f t="shared" si="5"/>
        <v>826385.49363108212</v>
      </c>
      <c r="L26" s="171">
        <f t="shared" si="6"/>
        <v>92951.506368917864</v>
      </c>
      <c r="M26" s="171">
        <f>C26+'HIV Pos Neg U5MR 75'!K26+'HIV Pos Pos U5MR 75'!K26</f>
        <v>62198.625342017825</v>
      </c>
      <c r="N26" s="174">
        <f>'HIV Pos Neg U5MR 75'!L26+'HIV Pos Pos U5MR 75'!L26</f>
        <v>15415.207331275577</v>
      </c>
      <c r="O26" s="154"/>
      <c r="P26" s="149"/>
      <c r="Q26" s="158"/>
      <c r="R26" s="161"/>
      <c r="S26" s="159" t="str">
        <f t="shared" si="10"/>
        <v>22-24</v>
      </c>
      <c r="T26" s="182">
        <f t="shared" si="1"/>
        <v>0.91107417072833474</v>
      </c>
      <c r="U26" s="146" t="str">
        <f t="shared" si="11"/>
        <v>22-23</v>
      </c>
      <c r="V26" s="161">
        <f t="shared" si="2"/>
        <v>0.90153219024208853</v>
      </c>
      <c r="W26" s="146">
        <f t="shared" si="12"/>
        <v>22</v>
      </c>
      <c r="X26" s="152">
        <f t="shared" si="13"/>
        <v>0.89152537894066908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3"/>
        <v>#VALUE!</v>
      </c>
      <c r="AD26" s="153" t="e">
        <f t="shared" si="14"/>
        <v>#VALUE!</v>
      </c>
      <c r="AE26" s="150" t="e">
        <f t="shared" ca="1" si="4"/>
        <v>#VALUE!</v>
      </c>
      <c r="AF26" s="46"/>
    </row>
    <row r="27" spans="1:32" s="116" customFormat="1" ht="13.5" thickBot="1">
      <c r="A27" s="208">
        <f>'HIV Neg U5MR 50'!A27</f>
        <v>23</v>
      </c>
      <c r="B27" s="189">
        <f>'HIV Neg U5MR 75'!B27</f>
        <v>830227.93305620481</v>
      </c>
      <c r="C27" s="189">
        <f>'HIV Neg U5MR 75'!I27</f>
        <v>62211.828232755506</v>
      </c>
      <c r="D27" s="190">
        <v>0</v>
      </c>
      <c r="E27" s="189">
        <f>'HIV Pos Neg U5MR 75'!B27</f>
        <v>57515.066943795158</v>
      </c>
      <c r="F27" s="189">
        <f>'HIV Pos Neg U5MR 75'!I27</f>
        <v>3263.8545575614503</v>
      </c>
      <c r="G27" s="191">
        <f>'Base values'!C80</f>
        <v>1</v>
      </c>
      <c r="H27" s="189">
        <f>'HIV Pos Pos U5MR 75'!B27</f>
        <v>18989</v>
      </c>
      <c r="I27" s="189">
        <f>'HIV Pos Pos U5MR 75'!I27</f>
        <v>9025.3445000000011</v>
      </c>
      <c r="J27" s="191">
        <f>'Base values'!C80</f>
        <v>1</v>
      </c>
      <c r="K27" s="189">
        <f t="shared" ref="K27:K33" si="15">B27*(1-D27) + E27*(1-G27) + H27*(1-J27)</f>
        <v>830227.93305620481</v>
      </c>
      <c r="L27" s="189">
        <f t="shared" ref="L27:L33" si="16">E27*G27+H27*J27</f>
        <v>76504.066943795158</v>
      </c>
      <c r="M27" s="189">
        <f>C27+'HIV Pos Neg U5MR 75'!K27+'HIV Pos Pos U5MR 75'!K27</f>
        <v>62211.828232755506</v>
      </c>
      <c r="N27" s="192">
        <f>'HIV Pos Neg U5MR 75'!L27+'HIV Pos Pos U5MR 75'!L27</f>
        <v>12289.199057561451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2"/>
        <v>0.92152425868414034</v>
      </c>
      <c r="W27" s="146">
        <f t="shared" si="12"/>
        <v>23</v>
      </c>
      <c r="X27" s="152">
        <f t="shared" si="13"/>
        <v>0.91199467966731007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208">
        <f>'HIV Neg U5MR 50'!A28</f>
        <v>24</v>
      </c>
      <c r="B28" s="189">
        <f>'HIV Neg U5MR 75'!B28</f>
        <v>836633.84568017919</v>
      </c>
      <c r="C28" s="189">
        <f>'HIV Neg U5MR 75'!I28</f>
        <v>62238.554896462752</v>
      </c>
      <c r="D28" s="190">
        <v>0</v>
      </c>
      <c r="E28" s="189">
        <f>'HIV Pos Neg U5MR 75'!B28</f>
        <v>45524.15431982078</v>
      </c>
      <c r="F28" s="189">
        <f>'HIV Pos Neg U5MR 75'!I28</f>
        <v>2527.9759191050166</v>
      </c>
      <c r="G28" s="191">
        <f>'Base values'!C81</f>
        <v>1</v>
      </c>
      <c r="H28" s="189">
        <f>'HIV Pos Pos U5MR 75'!B28</f>
        <v>15077</v>
      </c>
      <c r="I28" s="189">
        <f>'HIV Pos Pos U5MR 75'!I28</f>
        <v>6889.0535</v>
      </c>
      <c r="J28" s="191">
        <f>'Base values'!C81</f>
        <v>1</v>
      </c>
      <c r="K28" s="189">
        <f t="shared" si="15"/>
        <v>836633.84568017919</v>
      </c>
      <c r="L28" s="189">
        <f t="shared" si="16"/>
        <v>60601.15431982078</v>
      </c>
      <c r="M28" s="189">
        <f>C28+'HIV Pos Neg U5MR 75'!K28+'HIV Pos Pos U5MR 75'!K28</f>
        <v>62238.554896462752</v>
      </c>
      <c r="N28" s="192">
        <f>'HIV Pos Neg U5MR 75'!L28+'HIV Pos Pos U5MR 75'!L28</f>
        <v>9417.0294191050161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0.93149437186937611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09">
        <f>'HIV Neg U5MR 50'!A29</f>
        <v>25</v>
      </c>
      <c r="B29" s="194">
        <f>'HIV Neg U5MR 75'!B29</f>
        <v>840389.38258109975</v>
      </c>
      <c r="C29" s="194">
        <f>'HIV Neg U5MR 75'!I29</f>
        <v>49692.501501349856</v>
      </c>
      <c r="D29" s="195">
        <v>0</v>
      </c>
      <c r="E29" s="194">
        <f>'HIV Pos Neg U5MR 75'!B29</f>
        <v>34523.6174189003</v>
      </c>
      <c r="F29" s="194">
        <f>'HIV Pos Neg U5MR 75'!I29</f>
        <v>1807.8623618975009</v>
      </c>
      <c r="G29" s="196">
        <f>'Base values'!C82</f>
        <v>1</v>
      </c>
      <c r="H29" s="194">
        <f>'HIV Pos Pos U5MR 75'!B29</f>
        <v>11406</v>
      </c>
      <c r="I29" s="194">
        <f>'HIV Pos Pos U5MR 75'!I29</f>
        <v>5014.1195000000007</v>
      </c>
      <c r="J29" s="196">
        <f>'Base values'!C82</f>
        <v>1</v>
      </c>
      <c r="K29" s="194">
        <f t="shared" si="15"/>
        <v>840389.38258109975</v>
      </c>
      <c r="L29" s="194">
        <f t="shared" si="16"/>
        <v>45929.6174189003</v>
      </c>
      <c r="M29" s="194">
        <f>C29+'HIV Pos Neg U5MR 75'!K29+'HIV Pos Pos U5MR 75'!K29</f>
        <v>49692.501501349856</v>
      </c>
      <c r="N29" s="197">
        <f>'HIV Pos Neg U5MR 75'!L29+'HIV Pos Pos U5MR 75'!L29</f>
        <v>6821.9818618975014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0">
        <f>'HIV Neg U5MR 50'!A30</f>
        <v>26</v>
      </c>
      <c r="B30" s="199">
        <f>'HIV Neg U5MR 75'!B30</f>
        <v>839518.91477298003</v>
      </c>
      <c r="C30" s="199">
        <f>'HIV Neg U5MR 75'!I30</f>
        <v>47885.999575980692</v>
      </c>
      <c r="D30" s="200">
        <v>0</v>
      </c>
      <c r="E30" s="199">
        <f>'HIV Pos Neg U5MR 75'!B30</f>
        <v>25185.085227019939</v>
      </c>
      <c r="F30" s="199">
        <f>'HIV Pos Neg U5MR 75'!I30</f>
        <v>1296.4390838214294</v>
      </c>
      <c r="G30" s="201">
        <f>'Base values'!C83</f>
        <v>1</v>
      </c>
      <c r="H30" s="199">
        <f>'HIV Pos Pos U5MR 75'!B30</f>
        <v>8309</v>
      </c>
      <c r="I30" s="199">
        <f>'HIV Pos Pos U5MR 75'!I30</f>
        <v>3497.8670000000002</v>
      </c>
      <c r="J30" s="201">
        <f>'Base values'!C83</f>
        <v>1</v>
      </c>
      <c r="K30" s="199">
        <f t="shared" si="15"/>
        <v>839518.91477298003</v>
      </c>
      <c r="L30" s="199">
        <f t="shared" si="16"/>
        <v>33494.085227019939</v>
      </c>
      <c r="M30" s="199">
        <f>C30+'HIV Pos Neg U5MR 75'!K30+'HIV Pos Pos U5MR 75'!K30</f>
        <v>47885.999575980692</v>
      </c>
      <c r="N30" s="202">
        <f>'HIV Pos Neg U5MR 75'!L30+'HIV Pos Pos U5MR 75'!L30</f>
        <v>4794.3060838214296</v>
      </c>
      <c r="O30" s="125"/>
    </row>
    <row r="31" spans="1:32" s="116" customFormat="1">
      <c r="A31" s="209">
        <f>'HIV Neg U5MR 50'!A31</f>
        <v>27</v>
      </c>
      <c r="B31" s="194">
        <f>'HIV Neg U5MR 75'!B31</f>
        <v>832038.27103829291</v>
      </c>
      <c r="C31" s="194">
        <f>'HIV Neg U5MR 75'!I31</f>
        <v>45248.776142889124</v>
      </c>
      <c r="D31" s="195">
        <v>0</v>
      </c>
      <c r="E31" s="194">
        <f>'HIV Pos Neg U5MR 75'!B31</f>
        <v>17622.728961707078</v>
      </c>
      <c r="F31" s="194">
        <f>'HIV Pos Neg U5MR 75'!I31</f>
        <v>887.30230256288962</v>
      </c>
      <c r="G31" s="196">
        <f>'Base values'!C84</f>
        <v>1</v>
      </c>
      <c r="H31" s="194">
        <f>'HIV Pos Pos U5MR 75'!B31</f>
        <v>5805</v>
      </c>
      <c r="I31" s="194">
        <f>'HIV Pos Pos U5MR 75'!I31</f>
        <v>2314.4380000000001</v>
      </c>
      <c r="J31" s="196">
        <f>'Base values'!C84</f>
        <v>1</v>
      </c>
      <c r="K31" s="194">
        <f t="shared" si="15"/>
        <v>832038.27103829291</v>
      </c>
      <c r="L31" s="194">
        <f t="shared" si="16"/>
        <v>23427.728961707078</v>
      </c>
      <c r="M31" s="194">
        <f>C31+'HIV Pos Neg U5MR 75'!K31+'HIV Pos Pos U5MR 75'!K31</f>
        <v>45248.776142889124</v>
      </c>
      <c r="N31" s="197">
        <f>'HIV Pos Neg U5MR 75'!L31+'HIV Pos Pos U5MR 75'!L31</f>
        <v>3201.7403025628896</v>
      </c>
      <c r="O31" s="125"/>
    </row>
    <row r="32" spans="1:32" s="116" customFormat="1">
      <c r="A32" s="209">
        <f>'HIV Neg U5MR 50'!A32</f>
        <v>28</v>
      </c>
      <c r="B32" s="194">
        <f>'HIV Neg U5MR 75'!B32</f>
        <v>819828.22422705835</v>
      </c>
      <c r="C32" s="194">
        <f>'HIV Neg U5MR 75'!I32</f>
        <v>40869.336614794665</v>
      </c>
      <c r="D32" s="195">
        <v>0</v>
      </c>
      <c r="E32" s="194">
        <f>'HIV Pos Neg U5MR 75'!B32</f>
        <v>11855.775772941659</v>
      </c>
      <c r="F32" s="194">
        <f>'HIV Pos Neg U5MR 75'!I32</f>
        <v>571.27471396287035</v>
      </c>
      <c r="G32" s="196">
        <f>'Base values'!C85</f>
        <v>1</v>
      </c>
      <c r="H32" s="194">
        <f>'HIV Pos Pos U5MR 75'!B32</f>
        <v>3928</v>
      </c>
      <c r="I32" s="194">
        <f>'HIV Pos Pos U5MR 75'!I32</f>
        <v>1382.0280000000002</v>
      </c>
      <c r="J32" s="196">
        <f>'Base values'!C85</f>
        <v>1</v>
      </c>
      <c r="K32" s="194">
        <f t="shared" si="15"/>
        <v>819828.22422705835</v>
      </c>
      <c r="L32" s="194">
        <f t="shared" si="16"/>
        <v>15783.775772941659</v>
      </c>
      <c r="M32" s="194">
        <f>C32+'HIV Pos Neg U5MR 75'!K32+'HIV Pos Pos U5MR 75'!K32</f>
        <v>40869.336614794665</v>
      </c>
      <c r="N32" s="197">
        <f>'HIV Pos Neg U5MR 75'!L32+'HIV Pos Pos U5MR 75'!L32</f>
        <v>1953.3027139628707</v>
      </c>
      <c r="O32" s="125"/>
    </row>
    <row r="33" spans="1:15" s="116" customFormat="1" ht="13.5" thickBot="1">
      <c r="A33" s="211">
        <f>'HIV Neg U5MR 50'!A33</f>
        <v>29</v>
      </c>
      <c r="B33" s="204">
        <f>'HIV Neg U5MR 75'!B33</f>
        <v>805075.62538199848</v>
      </c>
      <c r="C33" s="204">
        <f>'HIV Neg U5MR 75'!I33</f>
        <v>36245.266253240756</v>
      </c>
      <c r="D33" s="205">
        <v>0</v>
      </c>
      <c r="E33" s="204">
        <f>'HIV Pos Neg U5MR 75'!B33</f>
        <v>7627.3746180014859</v>
      </c>
      <c r="F33" s="204">
        <f>'HIV Pos Neg U5MR 75'!I33</f>
        <v>343.39162077040811</v>
      </c>
      <c r="G33" s="206">
        <f>'Base values'!C86</f>
        <v>1</v>
      </c>
      <c r="H33" s="204">
        <f>'HIV Pos Pos U5MR 75'!B33</f>
        <v>2564</v>
      </c>
      <c r="I33" s="204">
        <f>'HIV Pos Pos U5MR 75'!I33</f>
        <v>482.03199999999987</v>
      </c>
      <c r="J33" s="206">
        <f>'Base values'!C86</f>
        <v>1</v>
      </c>
      <c r="K33" s="204">
        <f t="shared" si="15"/>
        <v>805075.62538199848</v>
      </c>
      <c r="L33" s="204">
        <f t="shared" si="16"/>
        <v>10191.374618001486</v>
      </c>
      <c r="M33" s="204">
        <f>C33+'HIV Pos Neg U5MR 75'!K33+'HIV Pos Pos U5MR 75'!K33</f>
        <v>36245.266253240756</v>
      </c>
      <c r="N33" s="207">
        <f>'HIV Pos Neg U5MR 75'!L33+'HIV Pos Pos U5MR 75'!L33</f>
        <v>825.42362077040798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M2:N2"/>
    <mergeCell ref="O2:O3"/>
    <mergeCell ref="P2:P3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40"/>
  <sheetViews>
    <sheetView workbookViewId="0">
      <selection activeCell="G19" sqref="G19"/>
    </sheetView>
  </sheetViews>
  <sheetFormatPr defaultRowHeight="12.75"/>
  <cols>
    <col min="1" max="1" width="14.140625" customWidth="1"/>
  </cols>
  <sheetData>
    <row r="1" spans="1:9" ht="30" customHeight="1">
      <c r="A1" s="45" t="s">
        <v>30</v>
      </c>
    </row>
    <row r="2" spans="1:9">
      <c r="A2" s="34" t="s">
        <v>0</v>
      </c>
      <c r="B2" s="35" t="s">
        <v>9</v>
      </c>
      <c r="C2" s="301" t="s">
        <v>10</v>
      </c>
      <c r="D2" s="301"/>
      <c r="E2" s="301"/>
      <c r="F2" s="301"/>
      <c r="G2" s="301"/>
      <c r="H2" s="301"/>
      <c r="I2" s="35" t="s">
        <v>11</v>
      </c>
    </row>
    <row r="3" spans="1:9">
      <c r="A3" s="42" t="s">
        <v>41</v>
      </c>
      <c r="B3" s="35"/>
      <c r="C3" s="35"/>
      <c r="D3" s="35"/>
      <c r="E3" s="35"/>
      <c r="F3" s="35"/>
      <c r="G3" s="35"/>
      <c r="H3" s="35"/>
      <c r="I3" s="35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values'!G$40)</f>
        <v>64168.917773133922</v>
      </c>
      <c r="D4" s="9">
        <f>B5*('Base values'!G$40-'Base values'!G$41)</f>
        <v>35851.018168361137</v>
      </c>
      <c r="E4" s="9">
        <f>B6*('Base values'!G$41-'Base values'!G$42)</f>
        <v>12475.401658026576</v>
      </c>
      <c r="F4" s="9">
        <f>B7*('Base values'!G$42-'Base values'!G$43)</f>
        <v>6668.9756670242177</v>
      </c>
      <c r="G4" s="9">
        <f>B8*('Base values'!G$43-'Base values'!G$44)</f>
        <v>4766.8559065039735</v>
      </c>
      <c r="H4" s="9">
        <f>B9*('Base values'!G$44-'Base values'!G$45)</f>
        <v>2068.9147213054339</v>
      </c>
      <c r="I4" s="9">
        <f>SUM(C4:H4)</f>
        <v>126000.08389435527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values'!G$40)</f>
        <v>63707.586095424376</v>
      </c>
      <c r="D5" s="9">
        <f>B6*('Base values'!G$40-'Base values'!G$41)</f>
        <v>35537.574714858056</v>
      </c>
      <c r="E5" s="9">
        <f>B7*('Base values'!G$41-'Base values'!G$42)</f>
        <v>12363.669966539348</v>
      </c>
      <c r="F5" s="9">
        <f>B8*('Base values'!G$42-'Base values'!G$43)</f>
        <v>6599.2474397582018</v>
      </c>
      <c r="G5" s="9">
        <f>B9*('Base values'!G$43-'Base values'!G$44)</f>
        <v>4712.7722471542029</v>
      </c>
      <c r="H5" s="9">
        <f>B10*('Base values'!G$44-'Base values'!G$45)</f>
        <v>2032.6671080938822</v>
      </c>
      <c r="I5" s="9">
        <f t="shared" ref="I5:I25" si="0">SUM(C5:H5)</f>
        <v>124953.51757182807</v>
      </c>
    </row>
    <row r="6" spans="1:9">
      <c r="A6" s="28">
        <f t="shared" ref="A6:A30" si="1">1+A5</f>
        <v>2</v>
      </c>
      <c r="B6" s="9">
        <f>'Base values'!G6</f>
        <v>1248874.5119299444</v>
      </c>
      <c r="C6" s="9">
        <f>B6*(1-'Base values'!G$40)</f>
        <v>63150.594221265637</v>
      </c>
      <c r="D6" s="9">
        <f>B7*('Base values'!G$40-'Base values'!G$41)</f>
        <v>35219.294514902322</v>
      </c>
      <c r="E6" s="9">
        <f>B8*('Base values'!G$41-'Base values'!G$42)</f>
        <v>12234.400220732412</v>
      </c>
      <c r="F6" s="9">
        <f>B9*('Base values'!G$42-'Base values'!G$43)</f>
        <v>6524.3738842119246</v>
      </c>
      <c r="G6" s="9">
        <f>B10*('Base values'!G$43-'Base values'!G$44)</f>
        <v>4630.2039596313653</v>
      </c>
      <c r="H6" s="9">
        <f>B11*('Base values'!G$44-'Base values'!G$45)</f>
        <v>1995.2689542031721</v>
      </c>
      <c r="I6" s="9">
        <f t="shared" si="0"/>
        <v>123754.13575494682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values'!G$40)</f>
        <v>62585.007404569777</v>
      </c>
      <c r="D7" s="9">
        <f>B8*('Base values'!G$40-'Base values'!G$41)</f>
        <v>34851.055208793165</v>
      </c>
      <c r="E7" s="9">
        <f>B9*('Base values'!G$41-'Base values'!G$42)</f>
        <v>12095.591507638308</v>
      </c>
      <c r="F7" s="9">
        <f>B10*('Base values'!G$42-'Base values'!G$43)</f>
        <v>6410.066136982382</v>
      </c>
      <c r="G7" s="9">
        <f>B11*('Base values'!G$43-'Base values'!G$44)</f>
        <v>4545.014860276061</v>
      </c>
      <c r="H7" s="9">
        <f>B12*('Base values'!G$44-'Base values'!G$45)</f>
        <v>1956.2740246007595</v>
      </c>
      <c r="I7" s="9">
        <f t="shared" si="0"/>
        <v>122443.00914286045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values'!G$40)</f>
        <v>61930.642800822709</v>
      </c>
      <c r="D8" s="9">
        <f>B9*('Base values'!G$40-'Base values'!G$41)</f>
        <v>34455.643089177662</v>
      </c>
      <c r="E8" s="9">
        <f>B10*('Base values'!G$41-'Base values'!G$42)</f>
        <v>11883.675415583457</v>
      </c>
      <c r="F8" s="9">
        <f>B11*('Base values'!G$42-'Base values'!G$43)</f>
        <v>6292.1301311868747</v>
      </c>
      <c r="G8" s="9">
        <f>B12*('Base values'!G$43-'Base values'!G$44)</f>
        <v>4456.1884721618007</v>
      </c>
      <c r="H8" s="9">
        <f>B13*('Base values'!G$44-'Base values'!G$45)</f>
        <v>1913.5974667088119</v>
      </c>
      <c r="I8" s="9">
        <f t="shared" si="0"/>
        <v>120931.87737564131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values'!G$40)</f>
        <v>61227.99185977329</v>
      </c>
      <c r="D9" s="9">
        <f>B10*('Base values'!G$40-'Base values'!G$41)</f>
        <v>33851.97643690322</v>
      </c>
      <c r="E9" s="9">
        <f>B11*('Base values'!G$41-'Base values'!G$42)</f>
        <v>11665.032864518615</v>
      </c>
      <c r="F9" s="9">
        <f>B12*('Base values'!G$42-'Base values'!G$43)</f>
        <v>6169.1586535833258</v>
      </c>
      <c r="G9" s="9">
        <f>B13*('Base values'!G$43-'Base values'!G$44)</f>
        <v>4358.9757182642716</v>
      </c>
      <c r="H9" s="9">
        <f>B14*('Base values'!G$44-'Base values'!G$45)</f>
        <v>1868.7622745680401</v>
      </c>
      <c r="I9" s="9">
        <f t="shared" si="0"/>
        <v>119141.89780761076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values'!G$40)</f>
        <v>60155.270715784951</v>
      </c>
      <c r="D10" s="9">
        <f>B11*('Base values'!G$40-'Base values'!G$41)</f>
        <v>33229.14871501462</v>
      </c>
      <c r="E10" s="9">
        <f>B12*('Base values'!G$41-'Base values'!G$42)</f>
        <v>11437.055010002559</v>
      </c>
      <c r="F10" s="9">
        <f>B13*('Base values'!G$42-'Base values'!G$43)</f>
        <v>6034.5770698616952</v>
      </c>
      <c r="G10" s="9">
        <f>B14*('Base values'!G$43-'Base values'!G$44)</f>
        <v>4256.8458203806449</v>
      </c>
      <c r="H10" s="9">
        <f>B15*('Base values'!G$44-'Base values'!G$45)</f>
        <v>1821.0577238492913</v>
      </c>
      <c r="I10" s="9">
        <f t="shared" si="0"/>
        <v>116933.95505489377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values'!G$40)</f>
        <v>59048.500176424037</v>
      </c>
      <c r="D11" s="9">
        <f>B12*('Base values'!G$40-'Base values'!G$41)</f>
        <v>32579.728338798934</v>
      </c>
      <c r="E11" s="9">
        <f>B13*('Base values'!G$41-'Base values'!G$42)</f>
        <v>11187.553082302336</v>
      </c>
      <c r="F11" s="9">
        <f>B14*('Base values'!G$42-'Base values'!G$43)</f>
        <v>5893.188179500713</v>
      </c>
      <c r="G11" s="9">
        <f>B15*('Base values'!G$43-'Base values'!G$44)</f>
        <v>4148.1798225146613</v>
      </c>
      <c r="H11" s="9">
        <f>B16*('Base values'!G$44-'Base values'!G$45)</f>
        <v>1762.970168928289</v>
      </c>
      <c r="I11" s="9">
        <f t="shared" si="0"/>
        <v>114620.11976846898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values'!G$40)</f>
        <v>57894.474247910926</v>
      </c>
      <c r="D12" s="9">
        <f>B13*('Base values'!G$40-'Base values'!G$41)</f>
        <v>31868.994236587241</v>
      </c>
      <c r="E12" s="9">
        <f>B14*('Base values'!G$41-'Base values'!G$42)</f>
        <v>10925.431031684866</v>
      </c>
      <c r="F12" s="9">
        <f>B15*('Base values'!G$42-'Base values'!G$43)</f>
        <v>5742.7506957019214</v>
      </c>
      <c r="G12" s="9">
        <f>B16*('Base values'!G$43-'Base values'!G$44)</f>
        <v>4015.8624225185831</v>
      </c>
      <c r="H12" s="9">
        <f>B17*('Base values'!G$44-'Base values'!G$45)</f>
        <v>1705.2672574172202</v>
      </c>
      <c r="I12" s="9">
        <f t="shared" si="0"/>
        <v>112152.77989182076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values'!G$40)</f>
        <v>56631.493269380029</v>
      </c>
      <c r="D13" s="9">
        <f>B14*('Base values'!G$40-'Base values'!G$41)</f>
        <v>31122.310304993196</v>
      </c>
      <c r="E13" s="9">
        <f>B15*('Base values'!G$41-'Base values'!G$42)</f>
        <v>10646.533717741779</v>
      </c>
      <c r="F13" s="9">
        <f>B16*('Base values'!G$42-'Base values'!G$43)</f>
        <v>5559.5701506453406</v>
      </c>
      <c r="G13" s="9">
        <f>B17*('Base values'!G$43-'Base values'!G$44)</f>
        <v>3884.4212001477681</v>
      </c>
      <c r="H13" s="9">
        <f>B18*('Base values'!G$44-'Base values'!G$45)</f>
        <v>1648.198681429363</v>
      </c>
      <c r="I13" s="9">
        <f t="shared" si="0"/>
        <v>109492.52732433747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values'!G$40)</f>
        <v>55304.629116325705</v>
      </c>
      <c r="D14" s="9">
        <f>B15*('Base values'!G$40-'Base values'!G$41)</f>
        <v>30327.840162571058</v>
      </c>
      <c r="E14" s="9">
        <f>B16*('Base values'!G$41-'Base values'!G$42)</f>
        <v>10306.933767697137</v>
      </c>
      <c r="F14" s="9">
        <f>B17*('Base values'!G$42-'Base values'!G$43)</f>
        <v>5377.6025881214191</v>
      </c>
      <c r="G14" s="9">
        <f>B18*('Base values'!G$43-'Base values'!G$44)</f>
        <v>3754.4249280295621</v>
      </c>
      <c r="H14" s="9">
        <f>B19*('Base values'!G$44-'Base values'!G$45)</f>
        <v>1593.3004333625652</v>
      </c>
      <c r="I14" s="9">
        <f t="shared" si="0"/>
        <v>106664.73099610745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values'!G$40)</f>
        <v>53892.848431020946</v>
      </c>
      <c r="D15" s="9">
        <f>B16*('Base values'!G$40-'Base values'!G$41)</f>
        <v>29360.451782726097</v>
      </c>
      <c r="E15" s="9">
        <f>B17*('Base values'!G$41-'Base values'!G$42)</f>
        <v>9969.5825761512133</v>
      </c>
      <c r="F15" s="9">
        <f>B18*('Base values'!G$42-'Base values'!G$43)</f>
        <v>5197.6354184019228</v>
      </c>
      <c r="G15" s="9">
        <f>B19*('Base values'!G$43-'Base values'!G$44)</f>
        <v>3629.3724368648491</v>
      </c>
      <c r="H15" s="9">
        <f>B20*('Base values'!G$44-'Base values'!G$45)</f>
        <v>1544.3834682725594</v>
      </c>
      <c r="I15" s="9">
        <f t="shared" si="0"/>
        <v>103594.2741134376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values'!G$40)</f>
        <v>52173.790461529999</v>
      </c>
      <c r="D16" s="9">
        <f>B17*('Base values'!G$40-'Base values'!G$41)</f>
        <v>28399.469242577081</v>
      </c>
      <c r="E16" s="9">
        <f>B18*('Base values'!G$41-'Base values'!G$42)</f>
        <v>9635.9399296161318</v>
      </c>
      <c r="F16" s="9">
        <f>B19*('Base values'!G$42-'Base values'!G$43)</f>
        <v>5024.5124316071824</v>
      </c>
      <c r="G16" s="9">
        <f>B20*('Base values'!G$43-'Base values'!G$44)</f>
        <v>3517.9446853402583</v>
      </c>
      <c r="H16" s="9">
        <f>B21*('Base values'!G$44-'Base values'!G$45)</f>
        <v>1502.1302540833817</v>
      </c>
      <c r="I16" s="9">
        <f t="shared" si="0"/>
        <v>100253.78700475405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values'!G$40)</f>
        <v>50466.115727573015</v>
      </c>
      <c r="D17" s="9">
        <f>B18*('Base values'!G$40-'Base values'!G$41)</f>
        <v>27449.050907013923</v>
      </c>
      <c r="E17" s="9">
        <f>B19*('Base values'!G$41-'Base values'!G$42)</f>
        <v>9314.9857712533358</v>
      </c>
      <c r="F17" s="9">
        <f>B20*('Base values'!G$42-'Base values'!G$43)</f>
        <v>4870.2515690198825</v>
      </c>
      <c r="G17" s="9">
        <f>B21*('Base values'!G$43-'Base values'!G$44)</f>
        <v>3421.6962643042416</v>
      </c>
      <c r="H17" s="9">
        <f>B22*('Base values'!G$44-'Base values'!G$45)</f>
        <v>1467.0250854492542</v>
      </c>
      <c r="I17" s="9">
        <f t="shared" si="0"/>
        <v>96989.125324613633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values'!G$40)</f>
        <v>48777.213681466143</v>
      </c>
      <c r="D18" s="9">
        <f>B19*('Base values'!G$40-'Base values'!G$41)</f>
        <v>26534.777146896249</v>
      </c>
      <c r="E18" s="9">
        <f>B20*('Base values'!G$41-'Base values'!G$42)</f>
        <v>9029.0002632819014</v>
      </c>
      <c r="F18" s="9">
        <f>B21*('Base values'!G$42-'Base values'!G$43)</f>
        <v>4737.0050101641655</v>
      </c>
      <c r="G18" s="9">
        <f>B22*('Base values'!G$43-'Base values'!G$44)</f>
        <v>3341.730346537368</v>
      </c>
      <c r="H18" s="9">
        <f>B23*('Base values'!G$44-'Base values'!G$45)</f>
        <v>1441.5246972901809</v>
      </c>
      <c r="I18" s="9">
        <f t="shared" si="0"/>
        <v>93861.251145636023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values'!G$40)</f>
        <v>47152.540875412145</v>
      </c>
      <c r="D19" s="9">
        <f>B20*('Base values'!G$40-'Base values'!G$41)</f>
        <v>25720.115492266272</v>
      </c>
      <c r="E19" s="9">
        <f>B21*('Base values'!G$41-'Base values'!G$42)</f>
        <v>8781.9733493864078</v>
      </c>
      <c r="F19" s="9">
        <f>B22*('Base values'!G$42-'Base values'!G$43)</f>
        <v>4626.2999902429774</v>
      </c>
      <c r="G19" s="9">
        <f>B23*('Base values'!G$43-'Base values'!G$44)</f>
        <v>3283.6431183059835</v>
      </c>
      <c r="H19" s="9">
        <f>B24*('Base values'!G$44-'Base values'!G$45)</f>
        <v>1423.9935304714318</v>
      </c>
      <c r="I19" s="9">
        <f t="shared" si="0"/>
        <v>90988.566356085212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values'!G$40)</f>
        <v>45704.879688852532</v>
      </c>
      <c r="D20" s="9">
        <f>B21*('Base values'!G$40-'Base values'!G$41)</f>
        <v>25016.431743254972</v>
      </c>
      <c r="E20" s="9">
        <f>B22*('Base values'!G$41-'Base values'!G$42)</f>
        <v>8576.7363837287612</v>
      </c>
      <c r="F20" s="9">
        <f>B23*('Base values'!G$42-'Base values'!G$43)</f>
        <v>4545.8838837553467</v>
      </c>
      <c r="G20" s="9">
        <f>B24*('Base values'!G$43-'Base values'!G$44)</f>
        <v>3243.7089462529661</v>
      </c>
      <c r="H20" s="9">
        <f>B25*('Base values'!G$44-'Base values'!G$45)</f>
        <v>1413.7192967719493</v>
      </c>
      <c r="I20" s="9">
        <f t="shared" si="0"/>
        <v>88501.359942616516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values'!G$40)</f>
        <v>44454.427252228248</v>
      </c>
      <c r="D21" s="9">
        <f>B22*('Base values'!G$40-'Base values'!G$41)</f>
        <v>24431.791328361658</v>
      </c>
      <c r="E21" s="9">
        <f>B23*('Base values'!G$41-'Base values'!G$42)</f>
        <v>8427.6522889219195</v>
      </c>
      <c r="F21" s="9">
        <f>B24*('Base values'!G$42-'Base values'!G$43)</f>
        <v>4490.5989144068571</v>
      </c>
      <c r="G21" s="9">
        <f>B25*('Base values'!G$43-'Base values'!G$44)</f>
        <v>3220.3053119991841</v>
      </c>
      <c r="H21" s="9">
        <f>B26*('Base values'!G$44-'Base values'!G$45)</f>
        <v>1411.9974038463058</v>
      </c>
      <c r="I21" s="9">
        <f t="shared" si="0"/>
        <v>86436.772499764178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values'!G$40)</f>
        <v>43415.515905505315</v>
      </c>
      <c r="D22" s="9">
        <f>B23*('Base values'!G$40-'Base values'!G$41)</f>
        <v>24007.108636515313</v>
      </c>
      <c r="E22" s="9">
        <f>B24*('Base values'!G$41-'Base values'!G$42)</f>
        <v>8325.1590202007937</v>
      </c>
      <c r="F22" s="9">
        <f>B25*('Base values'!G$42-'Base values'!G$43)</f>
        <v>4458.1988636271435</v>
      </c>
      <c r="G22" s="9">
        <f>B26*('Base values'!G$43-'Base values'!G$44)</f>
        <v>3216.3830192584642</v>
      </c>
      <c r="H22" s="9">
        <f>B27*('Base values'!G$44-'Base values'!G$45)</f>
        <v>1418.5627592821454</v>
      </c>
      <c r="I22" s="9">
        <f t="shared" si="0"/>
        <v>84840.928204389158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values'!G$40)</f>
        <v>42660.850890777387</v>
      </c>
      <c r="D23" s="9">
        <f>B24*('Base values'!G$40-'Base values'!G$41)</f>
        <v>23715.145115436728</v>
      </c>
      <c r="E23" s="9">
        <f>B25*('Base values'!G$41-'Base values'!G$42)</f>
        <v>8265.0922941036733</v>
      </c>
      <c r="F23" s="9">
        <f>B26*('Base values'!G$42-'Base values'!G$43)</f>
        <v>4452.7688315819414</v>
      </c>
      <c r="G23" s="9">
        <f>B27*('Base values'!G$43-'Base values'!G$44)</f>
        <v>3231.3382151261826</v>
      </c>
      <c r="H23" s="9">
        <f>B28*('Base values'!G$44-'Base values'!G$45)</f>
        <v>1429.5081740601499</v>
      </c>
      <c r="I23" s="9">
        <f t="shared" si="0"/>
        <v>83754.703521086049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values'!G$40)</f>
        <v>42142.02905234346</v>
      </c>
      <c r="D24" s="9">
        <f>B25*('Base values'!G$40-'Base values'!G$41)</f>
        <v>23544.038338671755</v>
      </c>
      <c r="E24" s="9">
        <f>B26*('Base values'!G$41-'Base values'!G$42)</f>
        <v>8255.025512116963</v>
      </c>
      <c r="F24" s="9">
        <f>B27*('Base values'!G$42-'Base values'!G$43)</f>
        <v>4473.4728427744058</v>
      </c>
      <c r="G24" s="9">
        <f>B28*('Base values'!G$43-'Base values'!G$44)</f>
        <v>3256.2707299699182</v>
      </c>
      <c r="H24" s="9">
        <f>B29*('Base values'!G$44-'Base values'!G$45)</f>
        <v>1435.9250441468314</v>
      </c>
      <c r="I24" s="9">
        <f t="shared" si="0"/>
        <v>83106.761520023341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values'!G$40)</f>
        <v>41837.97075025917</v>
      </c>
      <c r="D25" s="9">
        <f>B26*('Base values'!G$40-'Base values'!G$41)</f>
        <v>23515.361986054228</v>
      </c>
      <c r="E25" s="9">
        <f>B27*('Base values'!G$41-'Base values'!G$42)</f>
        <v>8293.4088522501243</v>
      </c>
      <c r="F25" s="9">
        <f>B28*('Base values'!G$42-'Base values'!G$43)</f>
        <v>4507.9894797310126</v>
      </c>
      <c r="G25" s="9">
        <f>B29*('Base values'!G$43-'Base values'!G$44)</f>
        <v>3270.8876916777576</v>
      </c>
      <c r="H25" s="9">
        <f>B30*('Base values'!G$44-'Base values'!G$45)</f>
        <v>1434.4377258254553</v>
      </c>
      <c r="I25" s="9">
        <f t="shared" si="0"/>
        <v>82860.056485797744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values'!G$40)</f>
        <v>41787.012610250291</v>
      </c>
      <c r="D26" s="9">
        <f>B27*('Base values'!G$40-'Base values'!G$41)</f>
        <v>23624.701216579953</v>
      </c>
      <c r="E26" s="9">
        <f>B28*('Base values'!G$41-'Base values'!G$42)</f>
        <v>8357.3995352265956</v>
      </c>
      <c r="F26" s="9">
        <f>B29*('Base values'!G$42-'Base values'!G$43)</f>
        <v>4528.2252386923628</v>
      </c>
      <c r="G26" s="9">
        <f>B30*('Base values'!G$43-'Base values'!G$44)</f>
        <v>3267.4997354534225</v>
      </c>
      <c r="H26" s="9">
        <f>B31*('Base values'!G$44-'Base values'!G$45)</f>
        <v>1421.6559797591422</v>
      </c>
      <c r="I26" s="9">
        <f t="shared" ref="I26:I33" si="2">SUM(C26:H26)</f>
        <v>82986.494315961783</v>
      </c>
    </row>
    <row r="27" spans="1:9" s="116" customFormat="1">
      <c r="A27" s="121">
        <f t="shared" si="1"/>
        <v>23</v>
      </c>
      <c r="B27" s="122">
        <f>'Base values'!G27</f>
        <v>830227.93305620481</v>
      </c>
      <c r="C27" s="122">
        <f>B27*(1-'Base values'!G$40)</f>
        <v>41981.309419607649</v>
      </c>
      <c r="D27" s="122">
        <f>B28*('Base values'!G$40-'Base values'!G$41)</f>
        <v>23806.985822692655</v>
      </c>
      <c r="E27" s="122">
        <f>B29*('Base values'!G$41-'Base values'!G$42)</f>
        <v>8394.9147786181202</v>
      </c>
      <c r="F27" s="122">
        <f>B30*('Base values'!G$42-'Base values'!G$43)</f>
        <v>4523.5349434793379</v>
      </c>
      <c r="G27" s="122">
        <f>B31*('Base values'!G$43-'Base values'!G$44)</f>
        <v>3238.3842491981532</v>
      </c>
      <c r="H27" s="122">
        <f>B32*('Base values'!G$44-'Base values'!G$45)</f>
        <v>1400.7933744361092</v>
      </c>
      <c r="I27" s="122">
        <f t="shared" si="2"/>
        <v>83345.922588032015</v>
      </c>
    </row>
    <row r="28" spans="1:9" s="116" customFormat="1">
      <c r="A28" s="121">
        <f t="shared" si="1"/>
        <v>24</v>
      </c>
      <c r="B28" s="122">
        <f>'Base values'!G28</f>
        <v>836633.84568017919</v>
      </c>
      <c r="C28" s="122">
        <f>B28*(1-'Base values'!G$40)</f>
        <v>42305.230826337567</v>
      </c>
      <c r="D28" s="122">
        <f>B29*('Base values'!G$40-'Base values'!G$41)</f>
        <v>23913.852182711984</v>
      </c>
      <c r="E28" s="122">
        <f>B30*('Base values'!G$41-'Base values'!G$42)</f>
        <v>8386.2194009537197</v>
      </c>
      <c r="F28" s="122">
        <f>B31*('Base values'!G$42-'Base values'!G$43)</f>
        <v>4483.2273902627112</v>
      </c>
      <c r="G28" s="122">
        <f>B32*('Base values'!G$43-'Base values'!G$44)</f>
        <v>3190.8614072186233</v>
      </c>
      <c r="H28" s="122">
        <f>B33*('Base values'!G$44-'Base values'!G$45)</f>
        <v>1375.5864565633351</v>
      </c>
      <c r="I28" s="122">
        <f t="shared" si="2"/>
        <v>83654.977664047939</v>
      </c>
    </row>
    <row r="29" spans="1:9" s="116" customFormat="1">
      <c r="A29" s="121">
        <f t="shared" si="1"/>
        <v>25</v>
      </c>
      <c r="B29" s="122">
        <f>'Base values'!G29</f>
        <v>840389.38258109975</v>
      </c>
      <c r="C29" s="122">
        <f>B29*(1-'Base values'!G$40)</f>
        <v>42495.133322262896</v>
      </c>
      <c r="D29" s="122">
        <f>B30*('Base values'!G$40-'Base values'!G$41)</f>
        <v>23889.082428447298</v>
      </c>
      <c r="E29" s="122">
        <f>B31*('Base values'!G$41-'Base values'!G$42)</f>
        <v>8311.4928897155296</v>
      </c>
      <c r="F29" s="122">
        <f>B32*('Base values'!G$42-'Base values'!G$43)</f>
        <v>4417.4366469688885</v>
      </c>
      <c r="G29" s="122">
        <f>B33*('Base values'!G$43-'Base values'!G$44)</f>
        <v>3133.4426737330068</v>
      </c>
      <c r="H29" s="122">
        <f>B34*('Base values'!G$44-'Base values'!G$45)</f>
        <v>0</v>
      </c>
      <c r="I29" s="122">
        <f t="shared" si="2"/>
        <v>82246.587961127618</v>
      </c>
    </row>
    <row r="30" spans="1:9" s="116" customFormat="1">
      <c r="A30" s="121">
        <f t="shared" si="1"/>
        <v>26</v>
      </c>
      <c r="B30" s="122">
        <f>'Base values'!G30</f>
        <v>839518.91477298003</v>
      </c>
      <c r="C30" s="122">
        <f>B30*(1-'Base values'!G$40)</f>
        <v>42451.117243138746</v>
      </c>
      <c r="D30" s="122">
        <f>B31*('Base values'!G$40-'Base values'!G$41)</f>
        <v>23676.215616692243</v>
      </c>
      <c r="E30" s="122">
        <f>B32*('Base values'!G$41-'Base values'!G$42)</f>
        <v>8189.5228784947358</v>
      </c>
      <c r="F30" s="122">
        <f>B33*('Base values'!G$42-'Base values'!G$43)</f>
        <v>4337.9460063073766</v>
      </c>
      <c r="G30" s="122">
        <f>B34*('Base values'!G$43-'Base values'!G$44)</f>
        <v>0</v>
      </c>
      <c r="H30" s="122">
        <f>B35*('Base values'!G$44-'Base values'!G$45)</f>
        <v>0</v>
      </c>
      <c r="I30" s="122">
        <f t="shared" si="2"/>
        <v>78654.801744633107</v>
      </c>
    </row>
    <row r="31" spans="1:9" s="116" customFormat="1">
      <c r="A31" s="121">
        <f>1+A30</f>
        <v>27</v>
      </c>
      <c r="B31" s="122">
        <f>'Base values'!G31</f>
        <v>832038.27103829291</v>
      </c>
      <c r="C31" s="122">
        <f>B31*(1-'Base values'!G$40)</f>
        <v>42072.850978201495</v>
      </c>
      <c r="D31" s="122">
        <f>B32*('Base values'!G$40-'Base values'!G$41)</f>
        <v>23328.770419691937</v>
      </c>
      <c r="E31" s="122">
        <f>B33*('Base values'!G$41-'Base values'!G$42)</f>
        <v>8042.1545125510293</v>
      </c>
      <c r="F31" s="122">
        <f>B34*('Base values'!G$42-'Base values'!G$43)</f>
        <v>0</v>
      </c>
      <c r="G31" s="122">
        <f>B35*('Base values'!G$43-'Base values'!G$44)</f>
        <v>0</v>
      </c>
      <c r="H31" s="122">
        <f>B36*('Base values'!G$44-'Base values'!G$45)</f>
        <v>0</v>
      </c>
      <c r="I31" s="122">
        <f t="shared" si="2"/>
        <v>73443.775910444456</v>
      </c>
    </row>
    <row r="32" spans="1:9" s="116" customFormat="1">
      <c r="A32" s="121">
        <f>1+A31</f>
        <v>28</v>
      </c>
      <c r="B32" s="122">
        <f>'Base values'!G32</f>
        <v>819828.22422705835</v>
      </c>
      <c r="C32" s="122">
        <f>B32*(1-'Base values'!G$40)</f>
        <v>41455.437695895525</v>
      </c>
      <c r="D32" s="122">
        <f>B33*('Base values'!G$40-'Base values'!G$41)</f>
        <v>22908.975173102699</v>
      </c>
      <c r="E32" s="122">
        <f>B34*('Base values'!G$41-'Base values'!G$42)</f>
        <v>0</v>
      </c>
      <c r="F32" s="122">
        <f>B35*('Base values'!G$42-'Base values'!G$43)</f>
        <v>0</v>
      </c>
      <c r="G32" s="122">
        <f>B36*('Base values'!G$43-'Base values'!G$44)</f>
        <v>0</v>
      </c>
      <c r="H32" s="122">
        <f>B37*('Base values'!G$44-'Base values'!G$45)</f>
        <v>0</v>
      </c>
      <c r="I32" s="122">
        <f t="shared" si="2"/>
        <v>64364.412868998224</v>
      </c>
    </row>
    <row r="33" spans="1:9" s="116" customFormat="1">
      <c r="A33" s="121">
        <f>1+A32</f>
        <v>29</v>
      </c>
      <c r="B33" s="122">
        <f>'Base values'!G33</f>
        <v>805075.62538199848</v>
      </c>
      <c r="C33" s="122">
        <f>B33*(1-'Base values'!G$40)</f>
        <v>40709.457715942386</v>
      </c>
      <c r="D33" s="122">
        <f>B34*('Base values'!G$40-'Base values'!G$41)</f>
        <v>0</v>
      </c>
      <c r="E33" s="122">
        <f>B35*('Base values'!G$41-'Base values'!G$42)</f>
        <v>0</v>
      </c>
      <c r="F33" s="122">
        <f>B36*('Base values'!G$42-'Base values'!G$43)</f>
        <v>0</v>
      </c>
      <c r="G33" s="122">
        <f>B37*('Base values'!G$43-'Base values'!G$44)</f>
        <v>0</v>
      </c>
      <c r="H33" s="122">
        <f>B38*('Base values'!G$44-'Base values'!G$45)</f>
        <v>0</v>
      </c>
      <c r="I33" s="122">
        <f t="shared" si="2"/>
        <v>40709.457715942386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  <row r="40" spans="1:9">
      <c r="A40" s="8" t="s">
        <v>42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38"/>
  <sheetViews>
    <sheetView workbookViewId="0"/>
  </sheetViews>
  <sheetFormatPr defaultRowHeight="12.75"/>
  <cols>
    <col min="1" max="1" width="13.140625" customWidth="1"/>
    <col min="10" max="10" width="11.7109375" customWidth="1"/>
    <col min="11" max="11" width="12.7109375" customWidth="1"/>
    <col min="12" max="12" width="15.28515625" customWidth="1"/>
  </cols>
  <sheetData>
    <row r="1" spans="1:12" ht="31.5" customHeight="1">
      <c r="A1" s="45" t="s">
        <v>31</v>
      </c>
    </row>
    <row r="2" spans="1:12">
      <c r="A2" s="34" t="s">
        <v>0</v>
      </c>
      <c r="B2" s="19" t="s">
        <v>9</v>
      </c>
      <c r="C2" s="296" t="s">
        <v>10</v>
      </c>
      <c r="D2" s="296"/>
      <c r="E2" s="296"/>
      <c r="F2" s="296"/>
      <c r="G2" s="296"/>
      <c r="H2" s="296"/>
      <c r="I2" s="19" t="s">
        <v>11</v>
      </c>
      <c r="J2" s="16" t="s">
        <v>22</v>
      </c>
      <c r="K2" s="38" t="s">
        <v>12</v>
      </c>
      <c r="L2" s="38" t="s">
        <v>12</v>
      </c>
    </row>
    <row r="3" spans="1:12">
      <c r="A3" s="64" t="s">
        <v>41</v>
      </c>
      <c r="B3" s="19"/>
      <c r="C3" s="19">
        <v>0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 t="s">
        <v>12</v>
      </c>
      <c r="J3" s="16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values'!G$40)</f>
        <v>4480.0461959024742</v>
      </c>
      <c r="D4" s="9">
        <f>B5*('Base values'!G$40-'Base values'!G$41)</f>
        <v>2458.8936115278752</v>
      </c>
      <c r="E4" s="9">
        <f>B6*('Base values'!G$41-'Base values'!G$42)</f>
        <v>860.52447946772372</v>
      </c>
      <c r="F4" s="9">
        <f>B7*('Base values'!G$42-'Base values'!G$43)</f>
        <v>467.57376268153752</v>
      </c>
      <c r="G4" s="9">
        <f>B8*('Base values'!G$43-'Base values'!G$44)</f>
        <v>325.31579881284114</v>
      </c>
      <c r="H4" s="9">
        <f>B9*('Base values'!G$44-'Base values'!G$45)</f>
        <v>139.14181294796458</v>
      </c>
      <c r="I4" s="9">
        <f>SUM(C4:H4)</f>
        <v>8731.4956613404156</v>
      </c>
      <c r="J4" s="10">
        <f>'Base values'!C57</f>
        <v>0</v>
      </c>
      <c r="K4" s="9">
        <f>C4*(1-J4)+D4*(1-J5)+E4*(1-J6)+F4*(1-J7)+G4*(1-J8)+H4*(1-J9)</f>
        <v>8222.4421185640476</v>
      </c>
      <c r="L4" s="9">
        <f>I4-K4</f>
        <v>509.05354277636798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values'!G$40)</f>
        <v>4369.4763624355401</v>
      </c>
      <c r="D5" s="9">
        <f>B6*('Base values'!G$40-'Base values'!G$41)</f>
        <v>2451.3000720400073</v>
      </c>
      <c r="E5" s="9">
        <f>B7*('Base values'!G$41-'Base values'!G$42)</f>
        <v>866.83892331354775</v>
      </c>
      <c r="F5" s="9">
        <f>B8*('Base values'!G$42-'Base values'!G$43)</f>
        <v>450.36801920094842</v>
      </c>
      <c r="G5" s="9">
        <f>B9*('Base values'!G$43-'Base values'!G$44)</f>
        <v>316.95055756871938</v>
      </c>
      <c r="H5" s="9">
        <f>B10*('Base values'!G$44-'Base values'!G$45)</f>
        <v>136.93471729073764</v>
      </c>
      <c r="I5" s="9">
        <f t="shared" ref="I5:I33" si="0">SUM(C5:H5)</f>
        <v>8591.8686518495015</v>
      </c>
      <c r="J5" s="10">
        <f>'Base values'!C58</f>
        <v>5.4347826086956513E-2</v>
      </c>
      <c r="K5" s="9">
        <f t="shared" ref="K5:K33" si="1">C5*(1-J5)+D5*(1-J6)+E5*(1-J7)+F5*(1-J8)+G5*(1-J9)+H5*(1-J10)</f>
        <v>7496.9631454127348</v>
      </c>
      <c r="L5" s="9">
        <f t="shared" ref="L5:L33" si="2">I5-K5</f>
        <v>1094.9055064367667</v>
      </c>
    </row>
    <row r="6" spans="1:12">
      <c r="A6" s="28">
        <f t="shared" ref="A6:A30" si="3">1+A5</f>
        <v>2</v>
      </c>
      <c r="B6" s="9">
        <f>'Base values'!F6-'Base values'!E6</f>
        <v>86144.488070055653</v>
      </c>
      <c r="C6" s="9">
        <f>B6*(1-'Base values'!G$40)</f>
        <v>4355.9825735445102</v>
      </c>
      <c r="D6" s="9">
        <f>B7*('Base values'!G$40-'Base values'!G$41)</f>
        <v>2469.287470450492</v>
      </c>
      <c r="E6" s="9">
        <f>B8*('Base values'!G$41-'Base values'!G$42)</f>
        <v>834.94105105487449</v>
      </c>
      <c r="F6" s="9">
        <f>B9*('Base values'!G$42-'Base values'!G$43)</f>
        <v>438.78715794858533</v>
      </c>
      <c r="G6" s="9">
        <f>B10*('Base values'!G$43-'Base values'!G$44)</f>
        <v>311.92302354178247</v>
      </c>
      <c r="H6" s="9">
        <f>B11*('Base values'!G$44-'Base values'!G$45)</f>
        <v>130.60187416787289</v>
      </c>
      <c r="I6" s="9">
        <f t="shared" si="0"/>
        <v>8541.5231507081171</v>
      </c>
      <c r="J6" s="10">
        <f>'Base values'!C59</f>
        <v>0.13043478260869565</v>
      </c>
      <c r="K6" s="9">
        <f t="shared" si="1"/>
        <v>6738.8854682362244</v>
      </c>
      <c r="L6" s="9">
        <f t="shared" si="2"/>
        <v>1802.6376824718927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values'!G$40)</f>
        <v>4387.9463444892353</v>
      </c>
      <c r="D7" s="9">
        <f>B8*('Base values'!G$40-'Base values'!G$41)</f>
        <v>2378.4228193786553</v>
      </c>
      <c r="E7" s="9">
        <f>B9*('Base values'!G$41-'Base values'!G$42)</f>
        <v>813.47119517273563</v>
      </c>
      <c r="F7" s="9">
        <f>B10*('Base values'!G$42-'Base values'!G$43)</f>
        <v>431.82702705595818</v>
      </c>
      <c r="G7" s="9">
        <f>B11*('Base values'!G$43-'Base values'!G$44)</f>
        <v>297.49746650568255</v>
      </c>
      <c r="H7" s="9">
        <f>B12*('Base values'!G$44-'Base values'!G$45)</f>
        <v>129.58039562548888</v>
      </c>
      <c r="I7" s="9">
        <f t="shared" si="0"/>
        <v>8438.7452482277567</v>
      </c>
      <c r="J7" s="10">
        <f>'Base values'!C60</f>
        <v>0.21739130434782611</v>
      </c>
      <c r="K7" s="9">
        <f t="shared" si="1"/>
        <v>5879.7751530336664</v>
      </c>
      <c r="L7" s="9">
        <f t="shared" si="2"/>
        <v>2558.9700951940904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values'!G$40)</f>
        <v>4226.4790312317728</v>
      </c>
      <c r="D8" s="9">
        <f>B9*('Base values'!G$40-'Base values'!G$41)</f>
        <v>2317.2635374217616</v>
      </c>
      <c r="E8" s="9">
        <f>B10*('Base values'!G$41-'Base values'!G$42)</f>
        <v>800.56775008957857</v>
      </c>
      <c r="F8" s="9">
        <f>B11*('Base values'!G$42-'Base values'!G$43)</f>
        <v>411.85624920893343</v>
      </c>
      <c r="G8" s="9">
        <f>B12*('Base values'!G$43-'Base values'!G$44)</f>
        <v>295.17064477831167</v>
      </c>
      <c r="H8" s="9">
        <f>B13*('Base values'!G$44-'Base values'!G$45)</f>
        <v>130.81895478440495</v>
      </c>
      <c r="I8" s="9">
        <f t="shared" si="0"/>
        <v>8182.1561675147632</v>
      </c>
      <c r="J8" s="10">
        <f>'Base values'!C61</f>
        <v>0.31521739130434784</v>
      </c>
      <c r="K8" s="9">
        <f t="shared" si="1"/>
        <v>4864.5635883507166</v>
      </c>
      <c r="L8" s="9">
        <f t="shared" si="2"/>
        <v>3317.5925791640466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values'!G$40)</f>
        <v>4117.7984296793829</v>
      </c>
      <c r="D9" s="9">
        <f>B10*('Base values'!G$40-'Base values'!G$41)</f>
        <v>2280.50663321205</v>
      </c>
      <c r="E9" s="9">
        <f>B11*('Base values'!G$41-'Base values'!G$42)</f>
        <v>763.5437574100755</v>
      </c>
      <c r="F9" s="9">
        <f>B12*('Base values'!G$42-'Base values'!G$43)</f>
        <v>408.63499129212187</v>
      </c>
      <c r="G9" s="9">
        <f>B13*('Base values'!G$43-'Base values'!G$44)</f>
        <v>297.99195354009345</v>
      </c>
      <c r="H9" s="9">
        <f>B14*('Base values'!G$44-'Base values'!G$45)</f>
        <v>133.84366411974679</v>
      </c>
      <c r="I9" s="9">
        <f t="shared" si="0"/>
        <v>8002.3194292534708</v>
      </c>
      <c r="J9" s="10">
        <f>'Base values'!C62</f>
        <v>0.42391304347826092</v>
      </c>
      <c r="K9" s="9">
        <f t="shared" si="1"/>
        <v>3912.9774165645813</v>
      </c>
      <c r="L9" s="9">
        <f t="shared" si="2"/>
        <v>4089.3420126888896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values'!G$40)</f>
        <v>4052.4810758306153</v>
      </c>
      <c r="D10" s="9">
        <f>B11*('Base values'!G$40-'Base values'!G$41)</f>
        <v>2175.0396557024596</v>
      </c>
      <c r="E10" s="9">
        <f>B12*('Base values'!G$41-'Base values'!G$42)</f>
        <v>757.57184031979602</v>
      </c>
      <c r="F10" s="9">
        <f>B13*('Base values'!G$42-'Base values'!G$43)</f>
        <v>412.54081831692292</v>
      </c>
      <c r="G10" s="9">
        <f>B14*('Base values'!G$43-'Base values'!G$44)</f>
        <v>304.88192636715752</v>
      </c>
      <c r="H10" s="9">
        <f>B15*('Base values'!G$44-'Base values'!G$45)</f>
        <v>141.27209302854078</v>
      </c>
      <c r="I10" s="9">
        <f t="shared" si="0"/>
        <v>7843.7874095654925</v>
      </c>
      <c r="J10" s="10">
        <f>'Base values'!C63</f>
        <v>0.53260869565217406</v>
      </c>
      <c r="K10" s="9">
        <f t="shared" si="1"/>
        <v>3048.0899882567464</v>
      </c>
      <c r="L10" s="9">
        <f t="shared" si="2"/>
        <v>4795.697421308746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values'!G$40)</f>
        <v>3865.0652953815661</v>
      </c>
      <c r="D11" s="9">
        <f>B12*('Base values'!G$40-'Base values'!G$41)</f>
        <v>2158.027983004114</v>
      </c>
      <c r="E11" s="9">
        <f>B13*('Base values'!G$41-'Base values'!G$42)</f>
        <v>764.8128858254513</v>
      </c>
      <c r="F11" s="9">
        <f>B14*('Base values'!G$42-'Base values'!G$43)</f>
        <v>422.07931422089354</v>
      </c>
      <c r="G11" s="9">
        <f>B15*('Base values'!G$43-'Base values'!G$44)</f>
        <v>321.80311371277844</v>
      </c>
      <c r="H11" s="9">
        <f>B16*('Base values'!G$44-'Base values'!G$45)</f>
        <v>149.47924645633034</v>
      </c>
      <c r="I11" s="9">
        <f t="shared" si="0"/>
        <v>7681.2678386011339</v>
      </c>
      <c r="J11" s="10">
        <f>'Base values'!C64</f>
        <v>0.63043478260869579</v>
      </c>
      <c r="K11" s="9">
        <f t="shared" si="1"/>
        <v>2283.6568670955844</v>
      </c>
      <c r="L11" s="9">
        <f t="shared" si="2"/>
        <v>5397.61097150555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values'!G$40)</f>
        <v>3834.8353979218205</v>
      </c>
      <c r="D12" s="9">
        <f>B13*('Base values'!G$40-'Base values'!G$41)</f>
        <v>2178.6549097135517</v>
      </c>
      <c r="E12" s="9">
        <f>B14*('Base values'!G$41-'Base values'!G$42)</f>
        <v>782.49638344518428</v>
      </c>
      <c r="F12" s="9">
        <f>B15*('Base values'!G$42-'Base values'!G$43)</f>
        <v>445.50504901516268</v>
      </c>
      <c r="G12" s="9">
        <f>B16*('Base values'!G$43-'Base values'!G$44)</f>
        <v>340.4981544045562</v>
      </c>
      <c r="H12" s="9">
        <f>B17*('Base values'!G$44-'Base values'!G$45)</f>
        <v>158.20904565970667</v>
      </c>
      <c r="I12" s="9">
        <f t="shared" si="0"/>
        <v>7740.1989401599822</v>
      </c>
      <c r="J12" s="10">
        <f>'Base values'!C65</f>
        <v>0.71739130434782605</v>
      </c>
      <c r="K12" s="9">
        <f t="shared" si="1"/>
        <v>1682.9904348556722</v>
      </c>
      <c r="L12" s="9">
        <f t="shared" si="2"/>
        <v>6057.2085053043102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values'!G$40)</f>
        <v>3871.489634715163</v>
      </c>
      <c r="D13" s="9">
        <f>B14*('Base values'!G$40-'Base values'!G$41)</f>
        <v>2229.0283273483215</v>
      </c>
      <c r="E13" s="9">
        <f>B15*('Base values'!G$41-'Base values'!G$42)</f>
        <v>825.92554980908812</v>
      </c>
      <c r="F13" s="9">
        <f>B16*('Base values'!G$42-'Base values'!G$43)</f>
        <v>471.38651089301334</v>
      </c>
      <c r="G13" s="9">
        <f>B17*('Base values'!G$43-'Base values'!G$44)</f>
        <v>360.3837277369077</v>
      </c>
      <c r="H13" s="9">
        <f>B18*('Base values'!G$44-'Base values'!G$45)</f>
        <v>166.62402549371762</v>
      </c>
      <c r="I13" s="9">
        <f t="shared" si="0"/>
        <v>7924.8377759962104</v>
      </c>
      <c r="J13" s="10">
        <f>'Base values'!C66</f>
        <v>0.80434782608695654</v>
      </c>
      <c r="K13" s="9">
        <f t="shared" si="1"/>
        <v>1183.4379765439485</v>
      </c>
      <c r="L13" s="9">
        <f t="shared" si="2"/>
        <v>6741.3997994522615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values'!G$40)</f>
        <v>3961.0036570454963</v>
      </c>
      <c r="D14" s="9">
        <f>B15*('Base values'!G$40-'Base values'!G$41)</f>
        <v>2352.7411573451213</v>
      </c>
      <c r="E14" s="9">
        <f>B16*('Base values'!G$41-'Base values'!G$42)</f>
        <v>873.90740922590305</v>
      </c>
      <c r="F14" s="9">
        <f>B17*('Base values'!G$42-'Base values'!G$43)</f>
        <v>498.91614918616852</v>
      </c>
      <c r="G14" s="9">
        <f>B18*('Base values'!G$43-'Base values'!G$44)</f>
        <v>379.55217533588177</v>
      </c>
      <c r="H14" s="9">
        <f>B19*('Base values'!G$44-'Base values'!G$45)</f>
        <v>174.04422347001778</v>
      </c>
      <c r="I14" s="9">
        <f t="shared" si="0"/>
        <v>8240.1647716085899</v>
      </c>
      <c r="J14" s="10">
        <f>'Base values'!C67</f>
        <v>0.85869565217391319</v>
      </c>
      <c r="K14" s="9">
        <f t="shared" si="1"/>
        <v>832.18276597148088</v>
      </c>
      <c r="L14" s="9">
        <f t="shared" si="2"/>
        <v>7407.9820056371091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values'!G$40)</f>
        <v>4180.8424836896211</v>
      </c>
      <c r="D15" s="9">
        <f>B16*('Base values'!G$40-'Base values'!G$41)</f>
        <v>2489.4228418891848</v>
      </c>
      <c r="E15" s="9">
        <f>B17*('Base values'!G$41-'Base values'!G$42)</f>
        <v>924.9448367333647</v>
      </c>
      <c r="F15" s="9">
        <f>B18*('Base values'!G$42-'Base values'!G$43)</f>
        <v>525.45299679028301</v>
      </c>
      <c r="G15" s="9">
        <f>B19*('Base values'!G$43-'Base values'!G$44)</f>
        <v>396.45461347457513</v>
      </c>
      <c r="H15" s="9">
        <f>B20*('Base values'!G$44-'Base values'!G$45)</f>
        <v>179.47452742880154</v>
      </c>
      <c r="I15" s="9">
        <f t="shared" si="0"/>
        <v>8696.5923000058301</v>
      </c>
      <c r="J15" s="10">
        <f>'Base values'!C68</f>
        <v>0.91304347826086973</v>
      </c>
      <c r="K15" s="9">
        <f t="shared" si="1"/>
        <v>534.71893028210013</v>
      </c>
      <c r="L15" s="9">
        <f t="shared" si="2"/>
        <v>8161.8733697237303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values'!G$40)</f>
        <v>4423.7270830855496</v>
      </c>
      <c r="D16" s="9">
        <f>B17*('Base values'!G$40-'Base values'!G$41)</f>
        <v>2634.8086533458941</v>
      </c>
      <c r="E16" s="9">
        <f>B18*('Base values'!G$41-'Base values'!G$42)</f>
        <v>974.14172124921731</v>
      </c>
      <c r="F16" s="9">
        <f>B19*('Base values'!G$42-'Base values'!G$43)</f>
        <v>548.8527751347998</v>
      </c>
      <c r="G16" s="9">
        <f>B20*('Base values'!G$43-'Base values'!G$44)</f>
        <v>408.82428029893799</v>
      </c>
      <c r="H16" s="9">
        <f>B21*('Base values'!G$44-'Base values'!G$45)</f>
        <v>181.47724944603343</v>
      </c>
      <c r="I16" s="9">
        <f t="shared" si="0"/>
        <v>9171.8317625604323</v>
      </c>
      <c r="J16" s="10">
        <f>'Base values'!C69</f>
        <v>0.94565217391304346</v>
      </c>
      <c r="K16" s="9">
        <f t="shared" si="1"/>
        <v>336.92612061646378</v>
      </c>
      <c r="L16" s="9">
        <f t="shared" si="2"/>
        <v>8834.9056419439694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values'!G$40)</f>
        <v>4682.0789953502181</v>
      </c>
      <c r="D17" s="9">
        <f>B18*('Base values'!G$40-'Base values'!G$41)</f>
        <v>2774.9514725629001</v>
      </c>
      <c r="E17" s="9">
        <f>B19*('Base values'!G$41-'Base values'!G$42)</f>
        <v>1017.5227667330544</v>
      </c>
      <c r="F17" s="9">
        <f>B20*('Base values'!G$42-'Base values'!G$43)</f>
        <v>565.9773733442737</v>
      </c>
      <c r="G17" s="9">
        <f>B21*('Base values'!G$43-'Base values'!G$44)</f>
        <v>413.38627246051908</v>
      </c>
      <c r="H17" s="9">
        <f>B22*('Base values'!G$44-'Base values'!G$45)</f>
        <v>178.80604029735537</v>
      </c>
      <c r="I17" s="9">
        <f t="shared" si="0"/>
        <v>9632.7229207483215</v>
      </c>
      <c r="J17" s="10">
        <f>'Base values'!C70</f>
        <v>0.96739130434782605</v>
      </c>
      <c r="K17" s="9">
        <f t="shared" si="1"/>
        <v>182.83900498493023</v>
      </c>
      <c r="L17" s="9">
        <f t="shared" si="2"/>
        <v>9449.883915763392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values'!G$40)</f>
        <v>4931.1140626109318</v>
      </c>
      <c r="D18" s="9">
        <f>B19*('Base values'!G$40-'Base values'!G$41)</f>
        <v>2898.5272248593101</v>
      </c>
      <c r="E18" s="9">
        <f>B20*('Base values'!G$41-'Base values'!G$42)</f>
        <v>1049.2702030924975</v>
      </c>
      <c r="F18" s="9">
        <f>B21*('Base values'!G$42-'Base values'!G$43)</f>
        <v>572.29300689456295</v>
      </c>
      <c r="G18" s="9">
        <f>B22*('Base values'!G$43-'Base values'!G$44)</f>
        <v>407.30153623983466</v>
      </c>
      <c r="H18" s="9">
        <f>B23*('Base values'!G$44-'Base values'!G$45)</f>
        <v>170.86316813968656</v>
      </c>
      <c r="I18" s="9">
        <f t="shared" si="0"/>
        <v>10029.369201836824</v>
      </c>
      <c r="J18" s="10">
        <f>'Base values'!C71</f>
        <v>0.98913043478260865</v>
      </c>
      <c r="K18" s="9">
        <f t="shared" si="1"/>
        <v>53.599065897945145</v>
      </c>
      <c r="L18" s="9">
        <f t="shared" si="2"/>
        <v>9975.7701359388793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values'!G$40)</f>
        <v>5150.7093009318933</v>
      </c>
      <c r="D19" s="9">
        <f>B20*('Base values'!G$40-'Base values'!G$41)</f>
        <v>2988.9633424734488</v>
      </c>
      <c r="E19" s="9">
        <f>B21*('Base values'!G$41-'Base values'!G$42)</f>
        <v>1060.9788091429709</v>
      </c>
      <c r="F19" s="9">
        <f>B22*('Base values'!G$42-'Base values'!G$43)</f>
        <v>563.86928259629588</v>
      </c>
      <c r="G19" s="9">
        <f>B23*('Base values'!G$43-'Base values'!G$44)</f>
        <v>389.20850075515494</v>
      </c>
      <c r="H19" s="9">
        <f>B24*('Base values'!G$44-'Base values'!G$45)</f>
        <v>157.60801378196513</v>
      </c>
      <c r="I19" s="9">
        <f t="shared" si="0"/>
        <v>10311.337249681726</v>
      </c>
      <c r="J19" s="10">
        <f>'Base values'!C72</f>
        <v>1</v>
      </c>
      <c r="K19" s="9">
        <f t="shared" si="1"/>
        <v>0</v>
      </c>
      <c r="L19" s="9">
        <f t="shared" si="2"/>
        <v>10311.337249681726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values'!G$40)</f>
        <v>5311.4151063286063</v>
      </c>
      <c r="D20" s="9">
        <f>B21*('Base values'!G$40-'Base values'!G$41)</f>
        <v>3022.3166142743471</v>
      </c>
      <c r="E20" s="9">
        <f>B22*('Base values'!G$41-'Base values'!G$42)</f>
        <v>1045.3619959601206</v>
      </c>
      <c r="F20" s="9">
        <f>B23*('Base values'!G$42-'Base values'!G$43)</f>
        <v>538.82123825813687</v>
      </c>
      <c r="G20" s="9">
        <f>B24*('Base values'!G$43-'Base values'!G$44)</f>
        <v>359.01463971993616</v>
      </c>
      <c r="H20" s="9">
        <f>B25*('Base values'!G$44-'Base values'!G$45)</f>
        <v>139.91518648597253</v>
      </c>
      <c r="I20" s="9">
        <f t="shared" si="0"/>
        <v>10416.844781027119</v>
      </c>
      <c r="J20" s="10">
        <f>'Base values'!C73</f>
        <v>1</v>
      </c>
      <c r="K20" s="9">
        <f t="shared" si="1"/>
        <v>0</v>
      </c>
      <c r="L20" s="9">
        <f t="shared" si="2"/>
        <v>10416.844781027119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values'!G$40)</f>
        <v>5370.6841743601253</v>
      </c>
      <c r="D21" s="9">
        <f>B22*('Base values'!G$40-'Base values'!G$41)</f>
        <v>2977.8303780387023</v>
      </c>
      <c r="E21" s="9">
        <f>B23*('Base values'!G$41-'Base values'!G$42)</f>
        <v>998.92521631560442</v>
      </c>
      <c r="F21" s="9">
        <f>B24*('Base values'!G$42-'Base values'!G$43)</f>
        <v>497.02078025368712</v>
      </c>
      <c r="G21" s="9">
        <f>B25*('Base values'!G$43-'Base values'!G$44)</f>
        <v>318.71222193751828</v>
      </c>
      <c r="H21" s="9">
        <f>B26*('Base values'!G$44-'Base values'!G$45)</f>
        <v>119.50161538446665</v>
      </c>
      <c r="I21" s="9">
        <f t="shared" si="0"/>
        <v>10282.674386290106</v>
      </c>
      <c r="J21" s="10">
        <f>'Base values'!C74</f>
        <v>1</v>
      </c>
      <c r="K21" s="9">
        <f t="shared" si="1"/>
        <v>0</v>
      </c>
      <c r="L21" s="9">
        <f t="shared" si="2"/>
        <v>10282.674386290106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values'!G$40)</f>
        <v>5291.6317270423287</v>
      </c>
      <c r="D22" s="9">
        <f>B23*('Base values'!G$40-'Base values'!G$41)</f>
        <v>2845.550025760615</v>
      </c>
      <c r="E22" s="9">
        <f>B24*('Base values'!G$41-'Base values'!G$42)</f>
        <v>921.43099636026159</v>
      </c>
      <c r="F22" s="9">
        <f>B25*('Base values'!G$42-'Base values'!G$43)</f>
        <v>441.22601058091419</v>
      </c>
      <c r="G22" s="9">
        <f>B26*('Base values'!G$43-'Base values'!G$44)</f>
        <v>272.21223314543153</v>
      </c>
      <c r="H22" s="9">
        <f>B27*('Base values'!G$44-'Base values'!G$45)</f>
        <v>98.272689722382509</v>
      </c>
      <c r="I22" s="9">
        <f t="shared" si="0"/>
        <v>9870.3236826119337</v>
      </c>
      <c r="J22" s="10">
        <f>'Base values'!C75</f>
        <v>1</v>
      </c>
      <c r="K22" s="9">
        <f t="shared" si="1"/>
        <v>0</v>
      </c>
      <c r="L22" s="9">
        <f t="shared" si="2"/>
        <v>9870.3236826119337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values'!G$40)</f>
        <v>5056.5683352046472</v>
      </c>
      <c r="D23" s="9">
        <f>B24*('Base values'!G$40-'Base values'!G$41)</f>
        <v>2624.7990866627329</v>
      </c>
      <c r="E23" s="9">
        <f>B25*('Base values'!G$41-'Base values'!G$42)</f>
        <v>817.99260453883005</v>
      </c>
      <c r="F23" s="9">
        <f>B26*('Base values'!G$42-'Base values'!G$43)</f>
        <v>376.85130784104899</v>
      </c>
      <c r="G23" s="9">
        <f>B27*('Base values'!G$43-'Base values'!G$44)</f>
        <v>223.85495158766747</v>
      </c>
      <c r="H23" s="9">
        <f>B28*('Base values'!G$44-'Base values'!G$45)</f>
        <v>77.784506392341896</v>
      </c>
      <c r="I23" s="9">
        <f t="shared" si="0"/>
        <v>9177.8507922272674</v>
      </c>
      <c r="J23" s="10">
        <f>'Base values'!C76</f>
        <v>1</v>
      </c>
      <c r="K23" s="9">
        <f t="shared" si="1"/>
        <v>0</v>
      </c>
      <c r="L23" s="9">
        <f t="shared" si="2"/>
        <v>9177.8507922272674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values'!G$40)</f>
        <v>4664.2919041091618</v>
      </c>
      <c r="D24" s="9">
        <f>B25*('Base values'!G$40-'Base values'!G$41)</f>
        <v>2330.1432768937698</v>
      </c>
      <c r="E24" s="9">
        <f>B26*('Base values'!G$41-'Base values'!G$42)</f>
        <v>698.64780278685225</v>
      </c>
      <c r="F24" s="9">
        <f>B27*('Base values'!G$42-'Base values'!G$43)</f>
        <v>309.90536427301998</v>
      </c>
      <c r="G24" s="9">
        <f>B28*('Base values'!G$43-'Base values'!G$44)</f>
        <v>177.18500391022127</v>
      </c>
      <c r="H24" s="9">
        <f>B29*('Base values'!G$44-'Base values'!G$45)</f>
        <v>58.988521147289454</v>
      </c>
      <c r="I24" s="9">
        <f t="shared" si="0"/>
        <v>8239.1618731203143</v>
      </c>
      <c r="J24" s="10">
        <f>'Base values'!C77</f>
        <v>1</v>
      </c>
      <c r="K24" s="9">
        <f t="shared" si="1"/>
        <v>0</v>
      </c>
      <c r="L24" s="9">
        <f t="shared" si="2"/>
        <v>8239.1618731203143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values'!G$40)</f>
        <v>4140.6858441301038</v>
      </c>
      <c r="D25" s="9">
        <f>B26*('Base values'!G$40-'Base values'!G$41)</f>
        <v>1990.1762822149201</v>
      </c>
      <c r="E25" s="9">
        <f>B27*('Base values'!G$41-'Base values'!G$42)</f>
        <v>574.53615608129337</v>
      </c>
      <c r="F25" s="9">
        <f>B28*('Base values'!G$42-'Base values'!G$43)</f>
        <v>245.29537002003357</v>
      </c>
      <c r="G25" s="9">
        <f>B29*('Base values'!G$43-'Base values'!G$44)</f>
        <v>134.36970721935015</v>
      </c>
      <c r="H25" s="9">
        <f>B30*('Base values'!G$44-'Base values'!G$45)</f>
        <v>43.032307839705965</v>
      </c>
      <c r="I25" s="9">
        <f t="shared" si="0"/>
        <v>7128.0956675054067</v>
      </c>
      <c r="J25" s="10">
        <f>'Base values'!C78</f>
        <v>1</v>
      </c>
      <c r="K25" s="9">
        <f t="shared" si="1"/>
        <v>0</v>
      </c>
      <c r="L25" s="9">
        <f t="shared" si="2"/>
        <v>7128.0956675054067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values'!G$40)</f>
        <v>3536.5613955190652</v>
      </c>
      <c r="D26" s="9">
        <f>B27*('Base values'!G$40-'Base values'!G$41)</f>
        <v>1636.6303973860254</v>
      </c>
      <c r="E26" s="9">
        <f>B28*('Base values'!G$41-'Base values'!G$42)</f>
        <v>454.75514541817154</v>
      </c>
      <c r="F26" s="9">
        <f>B29*('Base values'!G$42-'Base values'!G$43)</f>
        <v>186.02176439578864</v>
      </c>
      <c r="G26" s="9">
        <f>B30*('Base values'!G$43-'Base values'!G$44)</f>
        <v>98.023115225358282</v>
      </c>
      <c r="H26" s="9">
        <f>B31*('Base values'!G$44-'Base values'!G$45)</f>
        <v>30.110944268010062</v>
      </c>
      <c r="I26" s="9">
        <f t="shared" si="0"/>
        <v>5942.1027622124184</v>
      </c>
      <c r="J26" s="10">
        <f>'Base values'!C79</f>
        <v>1</v>
      </c>
      <c r="K26" s="9">
        <f t="shared" si="1"/>
        <v>0</v>
      </c>
      <c r="L26" s="9">
        <f t="shared" si="2"/>
        <v>5942.1027622124184</v>
      </c>
    </row>
    <row r="27" spans="1:12" s="116" customFormat="1">
      <c r="A27" s="121">
        <f t="shared" si="3"/>
        <v>23</v>
      </c>
      <c r="B27" s="122">
        <f>'Base values'!F27-'Base values'!E27</f>
        <v>57515.066943795158</v>
      </c>
      <c r="C27" s="122">
        <f>B27*(1-'Base values'!G$40)</f>
        <v>2908.3071353291257</v>
      </c>
      <c r="D27" s="122">
        <f>B28*('Base values'!G$40-'Base values'!G$41)</f>
        <v>1295.4208129135961</v>
      </c>
      <c r="E27" s="122">
        <f>B29*('Base values'!G$41-'Base values'!G$42)</f>
        <v>344.86731042596847</v>
      </c>
      <c r="F27" s="122">
        <f>B30*('Base values'!G$42-'Base values'!G$43)</f>
        <v>135.70345000474151</v>
      </c>
      <c r="G27" s="122">
        <f>B31*('Base values'!G$43-'Base values'!G$44)</f>
        <v>68.589594834699412</v>
      </c>
      <c r="H27" s="122">
        <f>B32*('Base values'!G$44-'Base values'!G$45)</f>
        <v>20.257282758463841</v>
      </c>
      <c r="I27" s="122">
        <f t="shared" si="0"/>
        <v>4773.1455862665953</v>
      </c>
      <c r="J27" s="124">
        <f>'Base values'!C80</f>
        <v>1</v>
      </c>
      <c r="K27" s="122">
        <f t="shared" si="1"/>
        <v>0</v>
      </c>
      <c r="L27" s="122">
        <f t="shared" si="2"/>
        <v>4773.1455862665953</v>
      </c>
    </row>
    <row r="28" spans="1:12" s="116" customFormat="1">
      <c r="A28" s="121">
        <f t="shared" si="3"/>
        <v>24</v>
      </c>
      <c r="B28" s="122">
        <f>'Base values'!F28-'Base values'!E28</f>
        <v>45524.15431982078</v>
      </c>
      <c r="C28" s="122">
        <f>B28*(1-'Base values'!G$40)</f>
        <v>2301.9745933277127</v>
      </c>
      <c r="D28" s="122">
        <f>B29*('Base values'!G$40-'Base values'!G$41)</f>
        <v>982.39304408205157</v>
      </c>
      <c r="E28" s="122">
        <f>B30*('Base values'!G$41-'Base values'!G$42)</f>
        <v>251.58176501910216</v>
      </c>
      <c r="F28" s="122">
        <f>B31*('Base values'!G$42-'Base values'!G$43)</f>
        <v>94.955609522275196</v>
      </c>
      <c r="G28" s="122">
        <f>B32*('Base values'!G$43-'Base values'!G$44)</f>
        <v>46.143980224861963</v>
      </c>
      <c r="H28" s="122">
        <f>B33*('Base values'!G$44-'Base values'!G$45)</f>
        <v>13.032456694586186</v>
      </c>
      <c r="I28" s="122">
        <f t="shared" si="0"/>
        <v>3690.0814488705892</v>
      </c>
      <c r="J28" s="124">
        <f>'Base values'!C81</f>
        <v>1</v>
      </c>
      <c r="K28" s="122">
        <f t="shared" si="1"/>
        <v>0</v>
      </c>
      <c r="L28" s="122">
        <f t="shared" si="2"/>
        <v>3690.0814488705892</v>
      </c>
    </row>
    <row r="29" spans="1:12" s="116" customFormat="1">
      <c r="A29" s="121">
        <f t="shared" si="3"/>
        <v>25</v>
      </c>
      <c r="B29" s="122">
        <f>'Base values'!F29-'Base values'!E29</f>
        <v>34523.6174189003</v>
      </c>
      <c r="C29" s="122">
        <f>B29*(1-'Base values'!G$40)</f>
        <v>1745.7213946195809</v>
      </c>
      <c r="D29" s="122">
        <f>B30*('Base values'!G$40-'Base values'!G$41)</f>
        <v>716.65875106392991</v>
      </c>
      <c r="E29" s="122">
        <f>B31*('Base values'!G$41-'Base values'!G$42)</f>
        <v>176.03900152312977</v>
      </c>
      <c r="F29" s="122">
        <f>B32*('Base values'!G$42-'Base values'!G$43)</f>
        <v>63.881843574018589</v>
      </c>
      <c r="G29" s="122">
        <f>B33*('Base values'!G$43-'Base values'!G$44)</f>
        <v>29.686578953689747</v>
      </c>
      <c r="H29" s="122">
        <f>B34*('Base values'!G$44-'Base values'!G$45)</f>
        <v>0</v>
      </c>
      <c r="I29" s="122">
        <f t="shared" si="0"/>
        <v>2731.9875697343487</v>
      </c>
      <c r="J29" s="124">
        <f>'Base values'!C82</f>
        <v>1</v>
      </c>
      <c r="K29" s="122">
        <f t="shared" si="1"/>
        <v>0</v>
      </c>
      <c r="L29" s="122">
        <f t="shared" si="2"/>
        <v>2731.9875697343487</v>
      </c>
    </row>
    <row r="30" spans="1:12" s="116" customFormat="1">
      <c r="A30" s="121">
        <f t="shared" si="3"/>
        <v>26</v>
      </c>
      <c r="B30" s="122">
        <f>'Base values'!F30-'Base values'!E30</f>
        <v>25185.085227019939</v>
      </c>
      <c r="C30" s="122">
        <f>B30*(1-'Base values'!G$40)</f>
        <v>1273.5091335491554</v>
      </c>
      <c r="D30" s="122">
        <f>B31*('Base values'!G$40-'Base values'!G$41)</f>
        <v>501.46675360405533</v>
      </c>
      <c r="E30" s="122">
        <f>B32*('Base values'!G$41-'Base values'!G$42)</f>
        <v>118.43108600749828</v>
      </c>
      <c r="F30" s="122">
        <f>B33*('Base values'!G$42-'Base values'!G$43)</f>
        <v>41.09817540069028</v>
      </c>
      <c r="G30" s="122">
        <f>B34*('Base values'!G$43-'Base values'!G$44)</f>
        <v>0</v>
      </c>
      <c r="H30" s="122">
        <f>B35*('Base values'!G$44-'Base values'!G$45)</f>
        <v>0</v>
      </c>
      <c r="I30" s="122">
        <f t="shared" si="0"/>
        <v>1934.5051485613994</v>
      </c>
      <c r="J30" s="124">
        <f>'Base values'!C83</f>
        <v>1</v>
      </c>
      <c r="K30" s="122">
        <f t="shared" si="1"/>
        <v>0</v>
      </c>
      <c r="L30" s="122">
        <f t="shared" si="2"/>
        <v>1934.5051485613994</v>
      </c>
    </row>
    <row r="31" spans="1:12" s="116" customFormat="1">
      <c r="A31" s="121">
        <f>1+A30</f>
        <v>27</v>
      </c>
      <c r="B31" s="122">
        <f>'Base values'!F31-'Base values'!E31</f>
        <v>17622.728961707078</v>
      </c>
      <c r="C31" s="122">
        <f>B31*(1-'Base values'!G$40)</f>
        <v>891.11099241853765</v>
      </c>
      <c r="D31" s="122">
        <f>B32*('Base values'!G$40-'Base values'!G$41)</f>
        <v>337.36417334870913</v>
      </c>
      <c r="E31" s="122">
        <f>B33*('Base values'!G$41-'Base values'!G$42)</f>
        <v>76.192252341477243</v>
      </c>
      <c r="F31" s="122">
        <f>B34*('Base values'!G$42-'Base values'!G$43)</f>
        <v>0</v>
      </c>
      <c r="G31" s="122">
        <f>B35*('Base values'!G$43-'Base values'!G$44)</f>
        <v>0</v>
      </c>
      <c r="H31" s="122">
        <f>B36*('Base values'!G$44-'Base values'!G$45)</f>
        <v>0</v>
      </c>
      <c r="I31" s="122">
        <f t="shared" si="0"/>
        <v>1304.6674181087242</v>
      </c>
      <c r="J31" s="124">
        <f>'Base values'!C84</f>
        <v>1</v>
      </c>
      <c r="K31" s="122">
        <f t="shared" si="1"/>
        <v>0</v>
      </c>
      <c r="L31" s="122">
        <f t="shared" si="2"/>
        <v>1304.6674181087242</v>
      </c>
    </row>
    <row r="32" spans="1:12" s="116" customFormat="1">
      <c r="A32" s="121">
        <f>1+A31</f>
        <v>28</v>
      </c>
      <c r="B32" s="122">
        <f>'Base values'!F32-'Base values'!E32</f>
        <v>11855.775772941659</v>
      </c>
      <c r="C32" s="122">
        <f>B32*(1-'Base values'!G$40)</f>
        <v>599.49921138061381</v>
      </c>
      <c r="D32" s="122">
        <f>B33*('Base values'!G$40-'Base values'!G$41)</f>
        <v>217.04213896283341</v>
      </c>
      <c r="E32" s="122">
        <f>B34*('Base values'!G$41-'Base values'!G$42)</f>
        <v>0</v>
      </c>
      <c r="F32" s="122">
        <f>B35*('Base values'!G$42-'Base values'!G$43)</f>
        <v>0</v>
      </c>
      <c r="G32" s="122">
        <f>B36*('Base values'!G$43-'Base values'!G$44)</f>
        <v>0</v>
      </c>
      <c r="H32" s="122">
        <f>B37*('Base values'!G$44-'Base values'!G$45)</f>
        <v>0</v>
      </c>
      <c r="I32" s="122">
        <f t="shared" si="0"/>
        <v>816.54135034344722</v>
      </c>
      <c r="J32" s="124">
        <f>'Base values'!C85</f>
        <v>1</v>
      </c>
      <c r="K32" s="122">
        <f t="shared" si="1"/>
        <v>0</v>
      </c>
      <c r="L32" s="122">
        <f t="shared" si="2"/>
        <v>816.54135034344722</v>
      </c>
    </row>
    <row r="33" spans="1:12" s="116" customFormat="1">
      <c r="A33" s="121">
        <f>1+A32</f>
        <v>29</v>
      </c>
      <c r="B33" s="122">
        <f>'Base values'!F33-'Base values'!E33</f>
        <v>7627.3746180014859</v>
      </c>
      <c r="C33" s="122">
        <f>B33*(1-'Base values'!G$40)</f>
        <v>385.68585944687158</v>
      </c>
      <c r="D33" s="122">
        <f>B34*('Base values'!G$40-'Base values'!G$41)</f>
        <v>0</v>
      </c>
      <c r="E33" s="122">
        <f>B35*('Base values'!G$41-'Base values'!G$42)</f>
        <v>0</v>
      </c>
      <c r="F33" s="122">
        <f>B36*('Base values'!G$42-'Base values'!G$43)</f>
        <v>0</v>
      </c>
      <c r="G33" s="122">
        <f>B37*('Base values'!G$43-'Base values'!G$44)</f>
        <v>0</v>
      </c>
      <c r="H33" s="122">
        <f>B38*('Base values'!G$44-'Base values'!G$45)</f>
        <v>0</v>
      </c>
      <c r="I33" s="122">
        <f t="shared" si="0"/>
        <v>385.68585944687158</v>
      </c>
      <c r="J33" s="124">
        <f>'Base values'!C86</f>
        <v>1</v>
      </c>
      <c r="K33" s="122">
        <f t="shared" si="1"/>
        <v>0</v>
      </c>
      <c r="L33" s="122">
        <f t="shared" si="2"/>
        <v>385.68585944687158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38"/>
  <sheetViews>
    <sheetView workbookViewId="0"/>
  </sheetViews>
  <sheetFormatPr defaultRowHeight="12.75"/>
  <cols>
    <col min="1" max="1" width="13.85546875" customWidth="1"/>
    <col min="9" max="9" width="12.28515625" customWidth="1"/>
    <col min="10" max="10" width="15.85546875" customWidth="1"/>
    <col min="11" max="11" width="14.5703125" customWidth="1"/>
    <col min="12" max="12" width="14.140625" customWidth="1"/>
  </cols>
  <sheetData>
    <row r="1" spans="1:12" ht="29.25" customHeight="1">
      <c r="A1" s="45" t="s">
        <v>31</v>
      </c>
    </row>
    <row r="2" spans="1:12">
      <c r="A2" s="34" t="s">
        <v>0</v>
      </c>
      <c r="B2" s="35" t="s">
        <v>9</v>
      </c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43" t="s">
        <v>12</v>
      </c>
      <c r="L2" s="43" t="s">
        <v>12</v>
      </c>
    </row>
    <row r="3" spans="1:12">
      <c r="A3" s="42" t="s">
        <v>41</v>
      </c>
      <c r="B3" s="35"/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43" t="s">
        <v>19</v>
      </c>
      <c r="L3" s="43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44">
        <f>'Base values'!C57</f>
        <v>0</v>
      </c>
      <c r="K4" s="9">
        <f>C4*(1-J4)+D4*(1-J5)+E4*(1-J6)+F4*(1-J7)+G4*(1-J8)+H4*(1-J9)</f>
        <v>4852.8092500000002</v>
      </c>
      <c r="L4" s="9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44">
        <f>'Base values'!C58</f>
        <v>5.4347826086956513E-2</v>
      </c>
      <c r="K5" s="9">
        <f t="shared" ref="K5:K33" si="1">C5*(1-J5)+D5*(1-J6)+E5*(1-J7)+F5*(1-J8)+G5*(1-J9)+H5*(1-J10)</f>
        <v>4480.6484076086954</v>
      </c>
      <c r="L5" s="9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44">
        <f>'Base values'!C59</f>
        <v>0.13043478260869565</v>
      </c>
      <c r="K6" s="9">
        <f t="shared" si="1"/>
        <v>3743.7264945652164</v>
      </c>
      <c r="L6" s="9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44">
        <f>'Base values'!C60</f>
        <v>0.21739130434782611</v>
      </c>
      <c r="K7" s="9">
        <f t="shared" si="1"/>
        <v>3560.2627554347823</v>
      </c>
      <c r="L7" s="9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44">
        <f>'Base values'!C61</f>
        <v>0.31521739130434784</v>
      </c>
      <c r="K8" s="9">
        <f t="shared" si="1"/>
        <v>3665.2645489130427</v>
      </c>
      <c r="L8" s="9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44">
        <f>'Base values'!C62</f>
        <v>0.42391304347826092</v>
      </c>
      <c r="K9" s="9">
        <f t="shared" si="1"/>
        <v>3435.8725434782596</v>
      </c>
      <c r="L9" s="9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44">
        <f>'Base values'!C63</f>
        <v>0.53260869565217406</v>
      </c>
      <c r="K10" s="9">
        <f t="shared" si="1"/>
        <v>3238.908385869564</v>
      </c>
      <c r="L10" s="9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44">
        <f>'Base values'!C64</f>
        <v>0.63043478260869579</v>
      </c>
      <c r="K11" s="9">
        <f t="shared" si="1"/>
        <v>2961.0896086956518</v>
      </c>
      <c r="L11" s="9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44">
        <f>'Base values'!C65</f>
        <v>0.71739130434782605</v>
      </c>
      <c r="K12" s="9">
        <f t="shared" si="1"/>
        <v>2433.675951086956</v>
      </c>
      <c r="L12" s="9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44">
        <f>'Base values'!C66</f>
        <v>0.80434782608695654</v>
      </c>
      <c r="K13" s="9">
        <f t="shared" si="1"/>
        <v>1937.5311086956508</v>
      </c>
      <c r="L13" s="9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44">
        <f>'Base values'!C67</f>
        <v>0.85869565217391319</v>
      </c>
      <c r="K14" s="9">
        <f t="shared" si="1"/>
        <v>1428.374820652172</v>
      </c>
      <c r="L14" s="9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44">
        <f>'Base values'!C68</f>
        <v>0.91304347826086973</v>
      </c>
      <c r="K15" s="9">
        <f t="shared" si="1"/>
        <v>941.1757934782604</v>
      </c>
      <c r="L15" s="9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44">
        <f>'Base values'!C69</f>
        <v>0.94565217391304346</v>
      </c>
      <c r="K16" s="9">
        <f t="shared" si="1"/>
        <v>581.92063586956579</v>
      </c>
      <c r="L16" s="9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44">
        <f>'Base values'!C70</f>
        <v>0.96739130434782605</v>
      </c>
      <c r="K17" s="9">
        <f t="shared" si="1"/>
        <v>279.47320652173971</v>
      </c>
      <c r="L17" s="9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44">
        <f>'Base values'!C71</f>
        <v>0.98913043478260865</v>
      </c>
      <c r="K18" s="9">
        <f t="shared" si="1"/>
        <v>67.019956521739417</v>
      </c>
      <c r="L18" s="9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44">
        <f>'Base values'!C72</f>
        <v>1</v>
      </c>
      <c r="K19" s="9">
        <f t="shared" si="1"/>
        <v>0</v>
      </c>
      <c r="L19" s="9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44">
        <f>'Base values'!C73</f>
        <v>1</v>
      </c>
      <c r="K20" s="9">
        <f t="shared" si="1"/>
        <v>0</v>
      </c>
      <c r="L20" s="9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44">
        <f>'Base values'!C74</f>
        <v>1</v>
      </c>
      <c r="K21" s="9">
        <f t="shared" si="1"/>
        <v>0</v>
      </c>
      <c r="L21" s="9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44">
        <f>'Base values'!C75</f>
        <v>1</v>
      </c>
      <c r="K22" s="9">
        <f t="shared" si="1"/>
        <v>0</v>
      </c>
      <c r="L22" s="9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44">
        <f>'Base values'!C76</f>
        <v>1</v>
      </c>
      <c r="K23" s="9">
        <f t="shared" si="1"/>
        <v>0</v>
      </c>
      <c r="L23" s="9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44">
        <f>'Base values'!C77</f>
        <v>1</v>
      </c>
      <c r="K24" s="9">
        <f t="shared" si="1"/>
        <v>0</v>
      </c>
      <c r="L24" s="9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44">
        <f>'Base values'!C78</f>
        <v>1</v>
      </c>
      <c r="K25" s="9">
        <f t="shared" si="1"/>
        <v>0</v>
      </c>
      <c r="L25" s="9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44">
        <f>'Base values'!C79</f>
        <v>1</v>
      </c>
      <c r="K26" s="9">
        <f t="shared" si="1"/>
        <v>0</v>
      </c>
      <c r="L26" s="9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33">
        <f>'Base values'!C80</f>
        <v>1</v>
      </c>
      <c r="K27" s="122">
        <f t="shared" si="1"/>
        <v>0</v>
      </c>
      <c r="L27" s="122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33">
        <f>'Base values'!C81</f>
        <v>1</v>
      </c>
      <c r="K28" s="122">
        <f t="shared" si="1"/>
        <v>0</v>
      </c>
      <c r="L28" s="122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33">
        <f>'Base values'!C82</f>
        <v>1</v>
      </c>
      <c r="K29" s="122">
        <f t="shared" si="1"/>
        <v>0</v>
      </c>
      <c r="L29" s="122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33">
        <f>'Base values'!C83</f>
        <v>1</v>
      </c>
      <c r="K30" s="122">
        <f t="shared" si="1"/>
        <v>0</v>
      </c>
      <c r="L30" s="122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33">
        <f>'Base values'!C84</f>
        <v>1</v>
      </c>
      <c r="K31" s="122">
        <f t="shared" si="1"/>
        <v>0</v>
      </c>
      <c r="L31" s="122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33">
        <f>'Base values'!C85</f>
        <v>1</v>
      </c>
      <c r="K32" s="122">
        <f t="shared" si="1"/>
        <v>0</v>
      </c>
      <c r="L32" s="122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33">
        <f>'Base values'!C86</f>
        <v>1</v>
      </c>
      <c r="K33" s="122">
        <f t="shared" si="1"/>
        <v>0</v>
      </c>
      <c r="L33" s="122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33"/>
  <sheetViews>
    <sheetView workbookViewId="0">
      <selection activeCell="A26" sqref="A26:N26"/>
    </sheetView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'HIV Neg U5MR 50'!B4</f>
        <v>1269013.013309208</v>
      </c>
      <c r="C4" s="9">
        <f>'Neg U5MR 100'!I4</f>
        <v>126000.08389435527</v>
      </c>
      <c r="D4" s="5">
        <v>0</v>
      </c>
      <c r="E4" s="9">
        <f>'HIV Pos Neg U5MR 50'!B4</f>
        <v>88597.986690792124</v>
      </c>
      <c r="F4" s="9">
        <f>'Pos-Neg U5MR 100'!I4</f>
        <v>8731.4956613404156</v>
      </c>
      <c r="G4" s="10">
        <f>'Base values'!C57</f>
        <v>0</v>
      </c>
      <c r="H4" s="9">
        <f>'HIV Pos Pos U5MR 50'!B4</f>
        <v>7809</v>
      </c>
      <c r="I4" s="9">
        <f>'Pos-Pos U5MR 100'!I4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C4+'Pos-Neg U5MR 100'!K4+'Pos-Pos U5MR 100'!K4</f>
        <v>139075.33526291931</v>
      </c>
      <c r="N4" s="57">
        <f>'Pos-Neg U5MR 100'!L4+'Pos-Pos U5MR 100'!L4</f>
        <v>970.98079277636771</v>
      </c>
      <c r="O4" s="143" t="str">
        <f>$A4&amp;"-"&amp;$A4+4</f>
        <v>0-4</v>
      </c>
      <c r="P4" s="181">
        <f t="shared" ref="P4:P24" si="0">(SUM(M4:M8)/SUM(K4:K8))/(SUM(M4:N8)/SUM(K4:L8))</f>
        <v>0.98430771239088144</v>
      </c>
      <c r="Q4" s="143" t="str">
        <f>$A4&amp;"-"&amp;$A4+3</f>
        <v>0-3</v>
      </c>
      <c r="R4" s="162">
        <f t="shared" ref="R4:R25" si="1">(SUM(M4:M7)/SUM(K4:K7))/(SUM(M4:N7)/SUM(K4:L7))</f>
        <v>0.98720859611710265</v>
      </c>
      <c r="S4" s="143" t="str">
        <f>$A4&amp;"-"&amp;$A4+2</f>
        <v>0-2</v>
      </c>
      <c r="T4" s="162">
        <f t="shared" ref="T4:T26" si="2">(SUM(M4:M6)/SUM(K4:K6))/(SUM(M4:N6)/SUM(K4:L6))</f>
        <v>0.98951947156176912</v>
      </c>
      <c r="U4" s="143" t="str">
        <f>$A4&amp;"-"&amp;$A4+1</f>
        <v>0-1</v>
      </c>
      <c r="V4" s="162">
        <f t="shared" ref="V4:V27" si="3">(SUM(M4:M5)/SUM(K4:K5))/(SUM(M4:N5)/SUM(K4:L5))</f>
        <v>0.9913492014221188</v>
      </c>
      <c r="W4" s="143">
        <f>$A4</f>
        <v>0</v>
      </c>
      <c r="X4" s="144">
        <f>(SUM(M4:M4)/SUM(K4:K4))/(SUM(M4:N4)/SUM(K4:L4))</f>
        <v>0.9930667166397279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4">RIGHT(Z4,4)-LEFT(Z4,4)+1</f>
        <v>1</v>
      </c>
      <c r="AD4" s="166">
        <v>0</v>
      </c>
      <c r="AE4" s="167">
        <f t="shared" ref="AE4:AE26" ca="1" si="5">OFFSET($P$4,AD4,2*(5-AC4))</f>
        <v>0.9930667166397279</v>
      </c>
    </row>
    <row r="5" spans="1:32">
      <c r="A5" s="48">
        <f>'HIV Neg U5MR 50'!A5</f>
        <v>1</v>
      </c>
      <c r="B5" s="9">
        <f>'HIV Neg U5MR 50'!B5</f>
        <v>1259889.6569743706</v>
      </c>
      <c r="C5" s="9">
        <f>'Neg U5MR 100'!I5</f>
        <v>124953.51757182807</v>
      </c>
      <c r="D5" s="5">
        <v>0</v>
      </c>
      <c r="E5" s="9">
        <f>'HIV Pos Neg U5MR 50'!B5</f>
        <v>86411.343025629394</v>
      </c>
      <c r="F5" s="9">
        <f>'Pos-Neg U5MR 100'!I5</f>
        <v>8591.8686518495015</v>
      </c>
      <c r="G5" s="10">
        <f>'Base values'!C58</f>
        <v>5.4347826086956513E-2</v>
      </c>
      <c r="H5" s="9">
        <f>'HIV Pos Pos U5MR 50'!B5</f>
        <v>9229</v>
      </c>
      <c r="I5" s="9">
        <f>'Pos-Pos U5MR 100'!I5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C5+'Pos-Neg U5MR 100'!K5+'Pos-Pos U5MR 100'!K5</f>
        <v>136931.12912484951</v>
      </c>
      <c r="N5" s="57">
        <f>'Pos-Neg U5MR 100'!L5+'Pos-Pos U5MR 100'!L5</f>
        <v>1970.4065988280709</v>
      </c>
      <c r="O5" s="151" t="str">
        <f t="shared" ref="O5:O24" si="8">A5&amp;"-"&amp;A5+4</f>
        <v>1-5</v>
      </c>
      <c r="P5" s="179">
        <f t="shared" si="0"/>
        <v>0.97841353433929035</v>
      </c>
      <c r="Q5" s="151" t="str">
        <f t="shared" ref="Q5:Q25" si="9">$A5&amp;"-"&amp;$A5+3</f>
        <v>1-4</v>
      </c>
      <c r="R5" s="161">
        <f t="shared" si="1"/>
        <v>0.98204872062241633</v>
      </c>
      <c r="S5" s="151" t="str">
        <f t="shared" ref="S5:S26" si="10">$A5&amp;"-"&amp;$A5+2</f>
        <v>1-3</v>
      </c>
      <c r="T5" s="161">
        <f t="shared" si="2"/>
        <v>0.98520124162139111</v>
      </c>
      <c r="U5" s="151" t="str">
        <f t="shared" ref="U5:U27" si="11">$A5&amp;"-"&amp;$A5+1</f>
        <v>1-2</v>
      </c>
      <c r="V5" s="161">
        <f t="shared" si="3"/>
        <v>0.98770625724579397</v>
      </c>
      <c r="W5" s="151">
        <f t="shared" ref="W5:W28" si="12">$A5</f>
        <v>1</v>
      </c>
      <c r="X5" s="152">
        <f t="shared" ref="X5:X28" si="13">(SUM(M5:M5)/SUM(K5:K5))/(SUM(M5:N5)/SUM(K5:L5))</f>
        <v>0.98960906757553668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t="shared" ca="1" si="5"/>
        <v>0.98960906757553668</v>
      </c>
    </row>
    <row r="6" spans="1:32">
      <c r="A6" s="48">
        <f>'HIV Neg U5MR 50'!A6</f>
        <v>2</v>
      </c>
      <c r="B6" s="9">
        <f>'HIV Neg U5MR 50'!B6</f>
        <v>1248874.5119299444</v>
      </c>
      <c r="C6" s="9">
        <f>'Neg U5MR 100'!I6</f>
        <v>123754.13575494682</v>
      </c>
      <c r="D6" s="5">
        <v>0</v>
      </c>
      <c r="E6" s="9">
        <f>'HIV Pos Neg U5MR 50'!B6</f>
        <v>86144.488070055653</v>
      </c>
      <c r="F6" s="9">
        <f>'Pos-Neg U5MR 100'!I6</f>
        <v>8541.5231507081171</v>
      </c>
      <c r="G6" s="10">
        <f>'Base values'!C59</f>
        <v>0.13043478260869565</v>
      </c>
      <c r="H6" s="9">
        <f>'HIV Pos Pos U5MR 50'!B6</f>
        <v>8311</v>
      </c>
      <c r="I6" s="9">
        <f>'Pos-Pos U5MR 100'!I6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C6+'Pos-Neg U5MR 100'!K6+'Pos-Pos U5MR 100'!K6</f>
        <v>134236.74771774828</v>
      </c>
      <c r="N6" s="57">
        <f>'Pos-Neg U5MR 100'!L6+'Pos-Pos U5MR 100'!L6</f>
        <v>3198.4386879066774</v>
      </c>
      <c r="O6" s="151" t="str">
        <f t="shared" si="8"/>
        <v>2-6</v>
      </c>
      <c r="P6" s="179">
        <f t="shared" si="0"/>
        <v>0.9707823250980081</v>
      </c>
      <c r="Q6" s="151" t="str">
        <f t="shared" si="9"/>
        <v>2-5</v>
      </c>
      <c r="R6" s="161">
        <f t="shared" si="1"/>
        <v>0.97553601097482789</v>
      </c>
      <c r="S6" s="151" t="str">
        <f t="shared" si="10"/>
        <v>2-4</v>
      </c>
      <c r="T6" s="161">
        <f t="shared" si="2"/>
        <v>0.97946717099082858</v>
      </c>
      <c r="U6" s="151" t="str">
        <f t="shared" si="11"/>
        <v>2-3</v>
      </c>
      <c r="V6" s="161">
        <f t="shared" si="3"/>
        <v>0.98294889755917403</v>
      </c>
      <c r="W6" s="151">
        <f t="shared" si="12"/>
        <v>2</v>
      </c>
      <c r="X6" s="152">
        <f t="shared" si="13"/>
        <v>0.98576858296307102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26" si="14">AD5+AC5</f>
        <v>2</v>
      </c>
      <c r="AE6" s="150">
        <f t="shared" ca="1" si="5"/>
        <v>0.98576858296307102</v>
      </c>
    </row>
    <row r="7" spans="1:32">
      <c r="A7" s="48">
        <f>'HIV Neg U5MR 50'!A7</f>
        <v>3</v>
      </c>
      <c r="B7" s="9">
        <f>'HIV Neg U5MR 50'!B7</f>
        <v>1237689.3921640057</v>
      </c>
      <c r="C7" s="9">
        <f>'Neg U5MR 100'!I7</f>
        <v>122443.00914286045</v>
      </c>
      <c r="D7" s="5">
        <v>0</v>
      </c>
      <c r="E7" s="9">
        <f>'HIV Pos Neg U5MR 50'!B7</f>
        <v>86776.60783599432</v>
      </c>
      <c r="F7" s="9">
        <f>'Pos-Neg U5MR 100'!I7</f>
        <v>8438.7452482277567</v>
      </c>
      <c r="G7" s="10">
        <f>'Base values'!C60</f>
        <v>0.21739130434782611</v>
      </c>
      <c r="H7" s="9">
        <f>'HIV Pos Pos U5MR 50'!B7</f>
        <v>6494</v>
      </c>
      <c r="I7" s="9">
        <f>'Pos-Pos U5MR 100'!I7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C7+'Pos-Neg U5MR 100'!K7+'Pos-Pos U5MR 100'!K7</f>
        <v>131883.0470513289</v>
      </c>
      <c r="N7" s="57">
        <f>'Pos-Neg U5MR 100'!L7+'Pos-Pos U5MR 100'!L7</f>
        <v>4758.5903397593083</v>
      </c>
      <c r="O7" s="151" t="str">
        <f t="shared" si="8"/>
        <v>3-7</v>
      </c>
      <c r="P7" s="179">
        <f t="shared" si="0"/>
        <v>0.96118649344108986</v>
      </c>
      <c r="Q7" s="151" t="str">
        <f t="shared" si="9"/>
        <v>3-6</v>
      </c>
      <c r="R7" s="161">
        <f t="shared" si="1"/>
        <v>0.96696859190892293</v>
      </c>
      <c r="S7" s="151" t="str">
        <f t="shared" si="10"/>
        <v>3-5</v>
      </c>
      <c r="T7" s="161">
        <f t="shared" si="2"/>
        <v>0.97207531507240874</v>
      </c>
      <c r="U7" s="151" t="str">
        <f t="shared" si="11"/>
        <v>3-4</v>
      </c>
      <c r="V7" s="161">
        <f t="shared" si="3"/>
        <v>0.97628328741259096</v>
      </c>
      <c r="W7" s="151">
        <f t="shared" si="12"/>
        <v>3</v>
      </c>
      <c r="X7" s="152">
        <f t="shared" si="13"/>
        <v>0.98010587702234131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0.98010587702234131</v>
      </c>
    </row>
    <row r="8" spans="1:32">
      <c r="A8" s="48">
        <f>'HIV Neg U5MR 50'!A8</f>
        <v>4</v>
      </c>
      <c r="B8" s="9">
        <f>'HIV Neg U5MR 50'!B8</f>
        <v>1224748.5911279062</v>
      </c>
      <c r="C8" s="9">
        <f>'Neg U5MR 100'!I8</f>
        <v>120931.87737564131</v>
      </c>
      <c r="D8" s="5">
        <v>0</v>
      </c>
      <c r="E8" s="9">
        <f>'HIV Pos Neg U5MR 50'!B8</f>
        <v>83583.408872093714</v>
      </c>
      <c r="F8" s="9">
        <f>'Pos-Neg U5MR 100'!I8</f>
        <v>8182.1561675147632</v>
      </c>
      <c r="G8" s="10">
        <f>'Base values'!C61</f>
        <v>0.31521739130434784</v>
      </c>
      <c r="H8" s="9">
        <f>'HIV Pos Pos U5MR 50'!B8</f>
        <v>8918</v>
      </c>
      <c r="I8" s="9">
        <f>'Pos-Pos U5MR 100'!I8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C8+'Pos-Neg U5MR 100'!K8+'Pos-Pos U5MR 100'!K8</f>
        <v>129461.70551290507</v>
      </c>
      <c r="N8" s="57">
        <f>'Pos-Neg U5MR 100'!L8+'Pos-Pos U5MR 100'!L8</f>
        <v>6682.325030251005</v>
      </c>
      <c r="O8" s="151" t="str">
        <f t="shared" si="8"/>
        <v>4-8</v>
      </c>
      <c r="P8" s="179">
        <f t="shared" si="0"/>
        <v>0.94968368340565024</v>
      </c>
      <c r="Q8" s="151" t="str">
        <f t="shared" si="9"/>
        <v>4-7</v>
      </c>
      <c r="R8" s="161">
        <f t="shared" si="1"/>
        <v>0.9563798506661878</v>
      </c>
      <c r="S8" s="151" t="str">
        <f t="shared" si="10"/>
        <v>4-6</v>
      </c>
      <c r="T8" s="161">
        <f t="shared" si="2"/>
        <v>0.96253247990348068</v>
      </c>
      <c r="U8" s="151" t="str">
        <f t="shared" si="11"/>
        <v>4-5</v>
      </c>
      <c r="V8" s="161">
        <f t="shared" si="3"/>
        <v>0.96802154146934516</v>
      </c>
      <c r="W8" s="151">
        <f t="shared" si="12"/>
        <v>4</v>
      </c>
      <c r="X8" s="152">
        <f t="shared" si="13"/>
        <v>0.97244279389776611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0.97244279389776611</v>
      </c>
    </row>
    <row r="9" spans="1:32">
      <c r="A9" s="48">
        <f>'HIV Neg U5MR 50'!A9</f>
        <v>5</v>
      </c>
      <c r="B9" s="9">
        <f>'HIV Neg U5MR 50'!B9</f>
        <v>1210852.8730926085</v>
      </c>
      <c r="C9" s="9">
        <f>'Neg U5MR 100'!I9</f>
        <v>119141.89780761076</v>
      </c>
      <c r="D9" s="5">
        <v>0</v>
      </c>
      <c r="E9" s="9">
        <f>'HIV Pos Neg U5MR 50'!B9</f>
        <v>81434.126907391517</v>
      </c>
      <c r="F9" s="9">
        <f>'Pos-Neg U5MR 100'!I9</f>
        <v>8002.3194292534708</v>
      </c>
      <c r="G9" s="10">
        <f>'Base values'!C62</f>
        <v>0.42391304347826092</v>
      </c>
      <c r="H9" s="9">
        <f>'HIV Pos Pos U5MR 50'!B9</f>
        <v>10663</v>
      </c>
      <c r="I9" s="9">
        <f>'Pos-Pos U5MR 100'!I9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C9+'Pos-Neg U5MR 100'!K9+'Pos-Pos U5MR 100'!K9</f>
        <v>126490.74776765359</v>
      </c>
      <c r="N9" s="57">
        <f>'Pos-Neg U5MR 100'!L9+'Pos-Pos U5MR 100'!L9</f>
        <v>8839.0174692106302</v>
      </c>
      <c r="O9" s="151" t="str">
        <f t="shared" si="8"/>
        <v>5-9</v>
      </c>
      <c r="P9" s="179">
        <f t="shared" si="0"/>
        <v>0.93660220580360942</v>
      </c>
      <c r="Q9" s="151" t="str">
        <f t="shared" si="9"/>
        <v>5-8</v>
      </c>
      <c r="R9" s="161">
        <f t="shared" si="1"/>
        <v>0.94388686744214523</v>
      </c>
      <c r="S9" s="151" t="str">
        <f t="shared" si="10"/>
        <v>5-7</v>
      </c>
      <c r="T9" s="161">
        <f t="shared" si="2"/>
        <v>0.95094373205124771</v>
      </c>
      <c r="U9" s="151" t="str">
        <f t="shared" si="11"/>
        <v>5-6</v>
      </c>
      <c r="V9" s="161">
        <f t="shared" si="3"/>
        <v>0.95751590662099106</v>
      </c>
      <c r="W9" s="151">
        <f t="shared" si="12"/>
        <v>5</v>
      </c>
      <c r="X9" s="152">
        <f t="shared" si="13"/>
        <v>0.96355705363198019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0.96355705363198019</v>
      </c>
    </row>
    <row r="10" spans="1:32">
      <c r="A10" s="48">
        <f>'HIV Neg U5MR 50'!A10</f>
        <v>6</v>
      </c>
      <c r="B10" s="9">
        <f>'HIV Neg U5MR 50'!B10</f>
        <v>1189638.5977297928</v>
      </c>
      <c r="C10" s="9">
        <f>'Neg U5MR 100'!I10</f>
        <v>116933.95505489377</v>
      </c>
      <c r="D10" s="5">
        <v>0</v>
      </c>
      <c r="E10" s="9">
        <f>'HIV Pos Neg U5MR 50'!B10</f>
        <v>80142.40227020724</v>
      </c>
      <c r="F10" s="9">
        <f>'Pos-Neg U5MR 100'!I10</f>
        <v>7843.7874095654925</v>
      </c>
      <c r="G10" s="10">
        <f>'Base values'!C63</f>
        <v>0.53260869565217406</v>
      </c>
      <c r="H10" s="9">
        <f>'HIV Pos Pos U5MR 50'!B10</f>
        <v>11419</v>
      </c>
      <c r="I10" s="9">
        <f>'Pos-Pos U5MR 100'!I10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C10+'Pos-Neg U5MR 100'!K10+'Pos-Pos U5MR 100'!K10</f>
        <v>123220.95342902008</v>
      </c>
      <c r="N10" s="57">
        <f>'Pos-Neg U5MR 100'!L10+'Pos-Pos U5MR 100'!L10</f>
        <v>11413.656035439182</v>
      </c>
      <c r="O10" s="151" t="str">
        <f t="shared" si="8"/>
        <v>6-10</v>
      </c>
      <c r="P10" s="179">
        <f t="shared" si="0"/>
        <v>0.92226177933970332</v>
      </c>
      <c r="Q10" s="151" t="str">
        <f t="shared" si="9"/>
        <v>6-9</v>
      </c>
      <c r="R10" s="161">
        <f t="shared" si="1"/>
        <v>0.92975368558448734</v>
      </c>
      <c r="S10" s="151" t="str">
        <f t="shared" si="10"/>
        <v>6-8</v>
      </c>
      <c r="T10" s="161">
        <f t="shared" si="2"/>
        <v>0.93724688600921857</v>
      </c>
      <c r="U10" s="151" t="str">
        <f t="shared" si="11"/>
        <v>6-7</v>
      </c>
      <c r="V10" s="161">
        <f t="shared" si="3"/>
        <v>0.9445809397025583</v>
      </c>
      <c r="W10" s="151">
        <f t="shared" si="12"/>
        <v>6</v>
      </c>
      <c r="X10" s="152">
        <f t="shared" si="13"/>
        <v>0.95143965751748338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48">
        <f>'HIV Neg U5MR 50'!A11</f>
        <v>7</v>
      </c>
      <c r="B11" s="9">
        <f>'HIV Neg U5MR 50'!B11</f>
        <v>1167750.9570162341</v>
      </c>
      <c r="C11" s="9">
        <f>'Neg U5MR 100'!I11</f>
        <v>114620.11976846898</v>
      </c>
      <c r="D11" s="5">
        <v>0</v>
      </c>
      <c r="E11" s="9">
        <f>'HIV Pos Neg U5MR 50'!B11</f>
        <v>76436.042983765918</v>
      </c>
      <c r="F11" s="9">
        <f>'Pos-Neg U5MR 100'!I11</f>
        <v>7681.2678386011339</v>
      </c>
      <c r="G11" s="10">
        <f>'Base values'!C64</f>
        <v>0.63043478260869579</v>
      </c>
      <c r="H11" s="9">
        <f>'HIV Pos Pos U5MR 50'!B11</f>
        <v>15633</v>
      </c>
      <c r="I11" s="9">
        <f>'Pos-Pos U5MR 100'!I11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C11+'Pos-Neg U5MR 100'!K11+'Pos-Pos U5MR 100'!K11</f>
        <v>119864.86624426022</v>
      </c>
      <c r="N11" s="57">
        <f>'Pos-Neg U5MR 100'!L11+'Pos-Pos U5MR 100'!L11</f>
        <v>14140.398362809898</v>
      </c>
      <c r="O11" s="151" t="str">
        <f t="shared" si="8"/>
        <v>7-11</v>
      </c>
      <c r="P11" s="179">
        <f t="shared" si="0"/>
        <v>0.90787958460427631</v>
      </c>
      <c r="Q11" s="151" t="str">
        <f t="shared" si="9"/>
        <v>7-10</v>
      </c>
      <c r="R11" s="161">
        <f t="shared" si="1"/>
        <v>0.91483547588726799</v>
      </c>
      <c r="S11" s="151" t="str">
        <f t="shared" si="10"/>
        <v>7-9</v>
      </c>
      <c r="T11" s="161">
        <f t="shared" si="2"/>
        <v>0.92242519205337903</v>
      </c>
      <c r="U11" s="151" t="str">
        <f t="shared" si="11"/>
        <v>7-8</v>
      </c>
      <c r="V11" s="161">
        <f t="shared" si="3"/>
        <v>0.93007835565804042</v>
      </c>
      <c r="W11" s="151">
        <f t="shared" si="12"/>
        <v>7</v>
      </c>
      <c r="X11" s="152">
        <f t="shared" si="13"/>
        <v>0.93768041569514449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48">
        <f>'HIV Neg U5MR 50'!A12</f>
        <v>8</v>
      </c>
      <c r="B12" s="9">
        <f>'HIV Neg U5MR 50'!B12</f>
        <v>1144928.7874705833</v>
      </c>
      <c r="C12" s="9">
        <f>'Neg U5MR 100'!I12</f>
        <v>112152.77989182076</v>
      </c>
      <c r="D12" s="5">
        <v>0</v>
      </c>
      <c r="E12" s="9">
        <f>'HIV Pos Neg U5MR 50'!B12</f>
        <v>75838.212529416545</v>
      </c>
      <c r="F12" s="9">
        <f>'Pos-Neg U5MR 100'!I12</f>
        <v>7740.1989401599822</v>
      </c>
      <c r="G12" s="10">
        <f>'Base values'!C65</f>
        <v>0.71739130434782605</v>
      </c>
      <c r="H12" s="9">
        <f>'HIV Pos Pos U5MR 50'!B12</f>
        <v>17643</v>
      </c>
      <c r="I12" s="9">
        <f>'Pos-Pos U5MR 100'!I12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C12+'Pos-Neg U5MR 100'!K12+'Pos-Pos U5MR 100'!K12</f>
        <v>116269.44627776339</v>
      </c>
      <c r="N12" s="57">
        <f>'Pos-Neg U5MR 100'!L12+'Pos-Pos U5MR 100'!L12</f>
        <v>16996.126054217355</v>
      </c>
      <c r="O12" s="151" t="str">
        <f t="shared" si="8"/>
        <v>8-12</v>
      </c>
      <c r="P12" s="179">
        <f t="shared" si="0"/>
        <v>0.89397130881596898</v>
      </c>
      <c r="Q12" s="151" t="str">
        <f t="shared" si="9"/>
        <v>8-11</v>
      </c>
      <c r="R12" s="161">
        <f t="shared" si="1"/>
        <v>0.90026710121518971</v>
      </c>
      <c r="S12" s="151" t="str">
        <f t="shared" si="10"/>
        <v>8-10</v>
      </c>
      <c r="T12" s="161">
        <f t="shared" si="2"/>
        <v>0.9070990166890226</v>
      </c>
      <c r="U12" s="151" t="str">
        <f t="shared" si="11"/>
        <v>8-9</v>
      </c>
      <c r="V12" s="161">
        <f t="shared" si="3"/>
        <v>0.91470955535102783</v>
      </c>
      <c r="W12" s="151">
        <f t="shared" si="12"/>
        <v>8</v>
      </c>
      <c r="X12" s="152">
        <f t="shared" si="13"/>
        <v>0.92241503050490614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48">
        <f>'HIV Neg U5MR 50'!A13</f>
        <v>9</v>
      </c>
      <c r="B13" s="9">
        <f>'HIV Neg U5MR 50'!B13</f>
        <v>1119951.9084310441</v>
      </c>
      <c r="C13" s="9">
        <f>'Neg U5MR 100'!I13</f>
        <v>109492.52732433747</v>
      </c>
      <c r="D13" s="5">
        <v>0</v>
      </c>
      <c r="E13" s="9">
        <f>'HIV Pos Neg U5MR 50'!B13</f>
        <v>76563.09156895589</v>
      </c>
      <c r="F13" s="9">
        <f>'Pos-Neg U5MR 100'!I13</f>
        <v>7924.8377759962104</v>
      </c>
      <c r="G13" s="10">
        <f>'Base values'!C66</f>
        <v>0.80434782608695654</v>
      </c>
      <c r="H13" s="9">
        <f>'HIV Pos Pos U5MR 50'!B13</f>
        <v>20575</v>
      </c>
      <c r="I13" s="9">
        <f>'Pos-Pos U5MR 100'!I13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C13+'Pos-Neg U5MR 100'!K13+'Pos-Pos U5MR 100'!K13</f>
        <v>112613.49640957707</v>
      </c>
      <c r="N13" s="57">
        <f>'Pos-Neg U5MR 100'!L13+'Pos-Pos U5MR 100'!L13</f>
        <v>20071.49319075661</v>
      </c>
      <c r="O13" s="151" t="str">
        <f t="shared" si="8"/>
        <v>9-13</v>
      </c>
      <c r="P13" s="179">
        <f t="shared" si="0"/>
        <v>0.88110895864641603</v>
      </c>
      <c r="Q13" s="151" t="str">
        <f t="shared" si="9"/>
        <v>9-12</v>
      </c>
      <c r="R13" s="161">
        <f t="shared" si="1"/>
        <v>0.88667915266496833</v>
      </c>
      <c r="S13" s="151" t="str">
        <f t="shared" si="10"/>
        <v>9-11</v>
      </c>
      <c r="T13" s="161">
        <f t="shared" si="2"/>
        <v>0.8927496657024192</v>
      </c>
      <c r="U13" s="151" t="str">
        <f t="shared" si="11"/>
        <v>9-10</v>
      </c>
      <c r="V13" s="161">
        <f t="shared" si="3"/>
        <v>0.89935085941334658</v>
      </c>
      <c r="W13" s="151">
        <f t="shared" si="12"/>
        <v>9</v>
      </c>
      <c r="X13" s="152">
        <f t="shared" si="13"/>
        <v>0.90695124750800793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48">
        <f>'HIV Neg U5MR 50'!A14</f>
        <v>10</v>
      </c>
      <c r="B14" s="9">
        <f>'HIV Neg U5MR 50'!B14</f>
        <v>1093711.6672745319</v>
      </c>
      <c r="C14" s="9">
        <f>'Neg U5MR 100'!I14</f>
        <v>106664.73099610745</v>
      </c>
      <c r="D14" s="5">
        <v>0</v>
      </c>
      <c r="E14" s="9">
        <f>'HIV Pos Neg U5MR 50'!B14</f>
        <v>78333.332725468019</v>
      </c>
      <c r="F14" s="9">
        <f>'Pos-Neg U5MR 100'!I14</f>
        <v>8240.1647716085899</v>
      </c>
      <c r="G14" s="10">
        <f>'Base values'!C67</f>
        <v>0.85869565217391319</v>
      </c>
      <c r="H14" s="9">
        <f>'HIV Pos Pos U5MR 50'!B14</f>
        <v>24235</v>
      </c>
      <c r="I14" s="9">
        <f>'Pos-Pos U5MR 100'!I14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C14+'Pos-Neg U5MR 100'!K14+'Pos-Pos U5MR 100'!K14</f>
        <v>108925.2885827311</v>
      </c>
      <c r="N14" s="57">
        <f>'Pos-Neg U5MR 100'!L14+'Pos-Pos U5MR 100'!L14</f>
        <v>22941.145684984938</v>
      </c>
      <c r="O14" s="151" t="str">
        <f t="shared" si="8"/>
        <v>10-14</v>
      </c>
      <c r="P14" s="179">
        <f t="shared" si="0"/>
        <v>0.86992214413178781</v>
      </c>
      <c r="Q14" s="151" t="str">
        <f t="shared" si="9"/>
        <v>10-13</v>
      </c>
      <c r="R14" s="161">
        <f t="shared" si="1"/>
        <v>0.87443427341647939</v>
      </c>
      <c r="S14" s="151" t="str">
        <f t="shared" si="10"/>
        <v>10-12</v>
      </c>
      <c r="T14" s="161">
        <f t="shared" si="2"/>
        <v>0.87975295242314777</v>
      </c>
      <c r="U14" s="151" t="str">
        <f t="shared" si="11"/>
        <v>10-11</v>
      </c>
      <c r="V14" s="161">
        <f t="shared" si="3"/>
        <v>0.88552692041444414</v>
      </c>
      <c r="W14" s="151">
        <f t="shared" si="12"/>
        <v>10</v>
      </c>
      <c r="X14" s="152">
        <f t="shared" si="13"/>
        <v>0.89167622248746492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4"/>
        <v>#VALUE!</v>
      </c>
      <c r="AD14" s="153" t="e">
        <f t="shared" si="14"/>
        <v>#VALUE!</v>
      </c>
      <c r="AE14" s="150" t="e">
        <f t="shared" ca="1" si="5"/>
        <v>#VALUE!</v>
      </c>
    </row>
    <row r="15" spans="1:32">
      <c r="A15" s="48">
        <f>'HIV Neg U5MR 50'!A15</f>
        <v>11</v>
      </c>
      <c r="B15" s="9">
        <f>'HIV Neg U5MR 50'!B15</f>
        <v>1065792.1055339968</v>
      </c>
      <c r="C15" s="9">
        <f>'Neg U5MR 100'!I15</f>
        <v>103594.2741134376</v>
      </c>
      <c r="D15" s="5">
        <v>0</v>
      </c>
      <c r="E15" s="9">
        <f>'HIV Pos Neg U5MR 50'!B15</f>
        <v>82680.894466003141</v>
      </c>
      <c r="F15" s="9">
        <f>'Pos-Neg U5MR 100'!I15</f>
        <v>8696.5923000058301</v>
      </c>
      <c r="G15" s="10">
        <f>'Base values'!C68</f>
        <v>0.91304347826086973</v>
      </c>
      <c r="H15" s="9">
        <f>'HIV Pos Pos U5MR 50'!B15</f>
        <v>26757</v>
      </c>
      <c r="I15" s="9">
        <f>'Pos-Pos U5MR 100'!I15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C15+'Pos-Neg U5MR 100'!K15+'Pos-Pos U5MR 100'!K15</f>
        <v>105070.16883719797</v>
      </c>
      <c r="N15" s="57">
        <f>'Pos-Neg U5MR 100'!L15+'Pos-Pos U5MR 100'!L15</f>
        <v>25528.683576245468</v>
      </c>
      <c r="O15" s="151" t="str">
        <f t="shared" si="8"/>
        <v>11-15</v>
      </c>
      <c r="P15" s="179">
        <f t="shared" si="0"/>
        <v>0.86112163690139121</v>
      </c>
      <c r="Q15" s="151" t="str">
        <f t="shared" si="9"/>
        <v>11-14</v>
      </c>
      <c r="R15" s="161">
        <f t="shared" si="1"/>
        <v>0.86426936998744275</v>
      </c>
      <c r="S15" s="151" t="str">
        <f t="shared" si="10"/>
        <v>11-13</v>
      </c>
      <c r="T15" s="161">
        <f t="shared" si="2"/>
        <v>0.86850899198057818</v>
      </c>
      <c r="U15" s="151" t="str">
        <f t="shared" si="11"/>
        <v>11-12</v>
      </c>
      <c r="V15" s="161">
        <f t="shared" si="3"/>
        <v>0.87365547023372436</v>
      </c>
      <c r="W15" s="151">
        <f t="shared" si="12"/>
        <v>11</v>
      </c>
      <c r="X15" s="152">
        <f t="shared" si="13"/>
        <v>0.87928544093806116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4"/>
        <v>#VALUE!</v>
      </c>
      <c r="AD15" s="153" t="e">
        <f t="shared" si="14"/>
        <v>#VALUE!</v>
      </c>
      <c r="AE15" s="150" t="e">
        <f t="shared" ca="1" si="5"/>
        <v>#VALUE!</v>
      </c>
    </row>
    <row r="16" spans="1:32">
      <c r="A16" s="48">
        <f>'HIV Neg U5MR 50'!A16</f>
        <v>12</v>
      </c>
      <c r="B16" s="9">
        <f>'HIV Neg U5MR 50'!B16</f>
        <v>1031795.7875404547</v>
      </c>
      <c r="C16" s="9">
        <f>'Neg U5MR 100'!I16</f>
        <v>100253.78700475405</v>
      </c>
      <c r="D16" s="5">
        <v>0</v>
      </c>
      <c r="E16" s="9">
        <f>'HIV Pos Neg U5MR 50'!B16</f>
        <v>87484.212459545393</v>
      </c>
      <c r="F16" s="9">
        <f>'Pos-Neg U5MR 100'!I16</f>
        <v>9171.8317625604323</v>
      </c>
      <c r="G16" s="10">
        <f>'Base values'!C69</f>
        <v>0.94565217391304346</v>
      </c>
      <c r="H16" s="9">
        <f>'HIV Pos Pos U5MR 50'!B16</f>
        <v>28900</v>
      </c>
      <c r="I16" s="9">
        <f>'Pos-Pos U5MR 100'!I16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C16+'Pos-Neg U5MR 100'!K16+'Pos-Pos U5MR 100'!K16</f>
        <v>101172.63376124008</v>
      </c>
      <c r="N16" s="57">
        <f>'Pos-Neg U5MR 100'!L16+'Pos-Pos U5MR 100'!L16</f>
        <v>27752.019006074406</v>
      </c>
      <c r="O16" s="151" t="str">
        <f t="shared" si="8"/>
        <v>12-16</v>
      </c>
      <c r="P16" s="179">
        <f t="shared" si="0"/>
        <v>0.85481675950349656</v>
      </c>
      <c r="Q16" s="151" t="str">
        <f t="shared" si="9"/>
        <v>12-15</v>
      </c>
      <c r="R16" s="161">
        <f t="shared" si="1"/>
        <v>0.85639894815666107</v>
      </c>
      <c r="S16" s="151" t="str">
        <f t="shared" si="10"/>
        <v>12-14</v>
      </c>
      <c r="T16" s="161">
        <f t="shared" si="2"/>
        <v>0.85910436067746121</v>
      </c>
      <c r="U16" s="151" t="str">
        <f t="shared" si="11"/>
        <v>12-13</v>
      </c>
      <c r="V16" s="161">
        <f t="shared" si="3"/>
        <v>0.8629934926670576</v>
      </c>
      <c r="W16" s="151">
        <f t="shared" si="12"/>
        <v>12</v>
      </c>
      <c r="X16" s="152">
        <f t="shared" si="13"/>
        <v>0.86793875301352286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4"/>
        <v>#VALUE!</v>
      </c>
      <c r="AD16" s="153" t="e">
        <f t="shared" si="14"/>
        <v>#VALUE!</v>
      </c>
      <c r="AE16" s="150" t="e">
        <f t="shared" ca="1" si="5"/>
        <v>#VALUE!</v>
      </c>
    </row>
    <row r="17" spans="1:32">
      <c r="A17" s="48">
        <f>'HIV Neg U5MR 50'!A17</f>
        <v>13</v>
      </c>
      <c r="B17" s="9">
        <f>'HIV Neg U5MR 50'!B17</f>
        <v>998024.5859198774</v>
      </c>
      <c r="C17" s="9">
        <f>'Neg U5MR 100'!I17</f>
        <v>96989.125324613633</v>
      </c>
      <c r="D17" s="5">
        <v>0</v>
      </c>
      <c r="E17" s="9">
        <f>'HIV Pos Neg U5MR 50'!B17</f>
        <v>92593.414080122617</v>
      </c>
      <c r="F17" s="9">
        <f>'Pos-Neg U5MR 100'!I17</f>
        <v>9632.7229207483215</v>
      </c>
      <c r="G17" s="10">
        <f>'Base values'!C70</f>
        <v>0.96739130434782605</v>
      </c>
      <c r="H17" s="9">
        <f>'HIV Pos Pos U5MR 50'!B17</f>
        <v>30992</v>
      </c>
      <c r="I17" s="9">
        <f>'Pos-Pos U5MR 100'!I17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C17+'Pos-Neg U5MR 100'!K17+'Pos-Pos U5MR 100'!K17</f>
        <v>97451.437536120298</v>
      </c>
      <c r="N17" s="57">
        <f>'Pos-Neg U5MR 100'!L17+'Pos-Pos U5MR 100'!L17</f>
        <v>29684.354709241652</v>
      </c>
      <c r="O17" s="151" t="str">
        <f t="shared" si="8"/>
        <v>13-17</v>
      </c>
      <c r="P17" s="179">
        <f t="shared" si="0"/>
        <v>0.85159351735850097</v>
      </c>
      <c r="Q17" s="151" t="str">
        <f t="shared" si="9"/>
        <v>13-16</v>
      </c>
      <c r="R17" s="161">
        <f t="shared" si="1"/>
        <v>0.85140637856482859</v>
      </c>
      <c r="S17" s="151" t="str">
        <f t="shared" si="10"/>
        <v>13-15</v>
      </c>
      <c r="T17" s="161">
        <f t="shared" si="2"/>
        <v>0.85242923720991148</v>
      </c>
      <c r="U17" s="151" t="str">
        <f t="shared" si="11"/>
        <v>13-14</v>
      </c>
      <c r="V17" s="161">
        <f t="shared" si="3"/>
        <v>0.85457948634676972</v>
      </c>
      <c r="W17" s="151">
        <f t="shared" si="12"/>
        <v>13</v>
      </c>
      <c r="X17" s="152">
        <f t="shared" si="13"/>
        <v>0.85796767722305778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4"/>
        <v>#VALUE!</v>
      </c>
      <c r="AD17" s="153" t="e">
        <f t="shared" si="14"/>
        <v>#VALUE!</v>
      </c>
      <c r="AE17" s="150" t="e">
        <f t="shared" ca="1" si="5"/>
        <v>#VALUE!</v>
      </c>
    </row>
    <row r="18" spans="1:32">
      <c r="A18" s="48">
        <f>'HIV Neg U5MR 50'!A18</f>
        <v>14</v>
      </c>
      <c r="B18" s="9">
        <f>'HIV Neg U5MR 50'!B18</f>
        <v>964624.63545957068</v>
      </c>
      <c r="C18" s="9">
        <f>'Neg U5MR 100'!I18</f>
        <v>93861.251145636023</v>
      </c>
      <c r="D18" s="5">
        <v>0</v>
      </c>
      <c r="E18" s="9">
        <f>'HIV Pos Neg U5MR 50'!B18</f>
        <v>97518.364540429335</v>
      </c>
      <c r="F18" s="9">
        <f>'Pos-Neg U5MR 100'!I18</f>
        <v>10029.369201836824</v>
      </c>
      <c r="G18" s="10">
        <f>'Base values'!C71</f>
        <v>0.98913043478260865</v>
      </c>
      <c r="H18" s="9">
        <f>'HIV Pos Pos U5MR 50'!B18</f>
        <v>32797</v>
      </c>
      <c r="I18" s="9">
        <f>'Pos-Pos U5MR 100'!I18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C18+'Pos-Neg U5MR 100'!K18+'Pos-Pos U5MR 100'!K18</f>
        <v>93981.870168055699</v>
      </c>
      <c r="N18" s="57">
        <f>'Pos-Neg U5MR 100'!L18+'Pos-Pos U5MR 100'!L18</f>
        <v>31170.207679417137</v>
      </c>
      <c r="O18" s="151" t="str">
        <f t="shared" si="8"/>
        <v>14-18</v>
      </c>
      <c r="P18" s="179">
        <f t="shared" si="0"/>
        <v>0.85199712783952541</v>
      </c>
      <c r="Q18" s="151" t="str">
        <f t="shared" si="9"/>
        <v>14-17</v>
      </c>
      <c r="R18" s="161">
        <f t="shared" si="1"/>
        <v>0.84995133620331154</v>
      </c>
      <c r="S18" s="151" t="str">
        <f t="shared" si="10"/>
        <v>14-16</v>
      </c>
      <c r="T18" s="161">
        <f t="shared" si="2"/>
        <v>0.84916028809211586</v>
      </c>
      <c r="U18" s="151" t="str">
        <f t="shared" si="11"/>
        <v>14-15</v>
      </c>
      <c r="V18" s="161">
        <f t="shared" si="3"/>
        <v>0.8496006559335525</v>
      </c>
      <c r="W18" s="151">
        <f t="shared" si="12"/>
        <v>14</v>
      </c>
      <c r="X18" s="152">
        <f t="shared" si="13"/>
        <v>0.85113947519140698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4"/>
        <v>#VALUE!</v>
      </c>
      <c r="AD18" s="153" t="e">
        <f t="shared" si="14"/>
        <v>#VALUE!</v>
      </c>
      <c r="AE18" s="150" t="e">
        <f t="shared" ca="1" si="5"/>
        <v>#VALUE!</v>
      </c>
    </row>
    <row r="19" spans="1:32">
      <c r="A19" s="48">
        <f>'HIV Neg U5MR 50'!A19</f>
        <v>15</v>
      </c>
      <c r="B19" s="9">
        <f>'HIV Neg U5MR 50'!B19</f>
        <v>932494.89095396351</v>
      </c>
      <c r="C19" s="9">
        <f>'Neg U5MR 100'!I19</f>
        <v>90988.566356085212</v>
      </c>
      <c r="D19" s="5">
        <v>0</v>
      </c>
      <c r="E19" s="9">
        <f>'HIV Pos Neg U5MR 50'!B19</f>
        <v>101861.10904603652</v>
      </c>
      <c r="F19" s="9">
        <f>'Pos-Neg U5MR 100'!I19</f>
        <v>10311.337249681726</v>
      </c>
      <c r="G19" s="10">
        <f>'Base values'!C72</f>
        <v>1</v>
      </c>
      <c r="H19" s="9">
        <f>'HIV Pos Pos U5MR 50'!B19</f>
        <v>34264</v>
      </c>
      <c r="I19" s="9">
        <f>'Pos-Pos U5MR 100'!I19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C19+'Pos-Neg U5MR 100'!K19+'Pos-Pos U5MR 100'!K19</f>
        <v>90988.566356085212</v>
      </c>
      <c r="N19" s="57">
        <f>'Pos-Neg U5MR 100'!L19+'Pos-Pos U5MR 100'!L19</f>
        <v>31965.540249681726</v>
      </c>
      <c r="O19" s="151" t="str">
        <f t="shared" si="8"/>
        <v>15-19</v>
      </c>
      <c r="P19" s="179">
        <f t="shared" si="0"/>
        <v>0.85611736603521138</v>
      </c>
      <c r="Q19" s="151" t="str">
        <f t="shared" si="9"/>
        <v>15-18</v>
      </c>
      <c r="R19" s="161">
        <f t="shared" si="1"/>
        <v>0.85225354513455054</v>
      </c>
      <c r="S19" s="151" t="str">
        <f t="shared" si="10"/>
        <v>15-17</v>
      </c>
      <c r="T19" s="161">
        <f t="shared" si="2"/>
        <v>0.84956567319070364</v>
      </c>
      <c r="U19" s="151" t="str">
        <f t="shared" si="11"/>
        <v>15-16</v>
      </c>
      <c r="V19" s="161">
        <f t="shared" si="3"/>
        <v>0.84816316120780944</v>
      </c>
      <c r="W19" s="151">
        <f t="shared" si="12"/>
        <v>15</v>
      </c>
      <c r="X19" s="152">
        <f t="shared" si="13"/>
        <v>0.84804836404558626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4"/>
        <v>#VALUE!</v>
      </c>
      <c r="AD19" s="153" t="e">
        <f t="shared" si="14"/>
        <v>#VALUE!</v>
      </c>
      <c r="AE19" s="150" t="e">
        <f t="shared" ca="1" si="5"/>
        <v>#VALUE!</v>
      </c>
    </row>
    <row r="20" spans="1:32">
      <c r="A20" s="48">
        <f>'HIV Neg U5MR 50'!A20</f>
        <v>16</v>
      </c>
      <c r="B20" s="9">
        <f>'HIV Neg U5MR 50'!B20</f>
        <v>903865.75167033426</v>
      </c>
      <c r="C20" s="9">
        <f>'Neg U5MR 100'!I20</f>
        <v>88501.359942616516</v>
      </c>
      <c r="D20" s="5">
        <v>0</v>
      </c>
      <c r="E20" s="9">
        <f>'HIV Pos Neg U5MR 50'!B20</f>
        <v>105039.24832966569</v>
      </c>
      <c r="F20" s="9">
        <f>'Pos-Neg U5MR 100'!I20</f>
        <v>10416.844781027119</v>
      </c>
      <c r="G20" s="10">
        <f>'Base values'!C73</f>
        <v>1</v>
      </c>
      <c r="H20" s="9">
        <f>'HIV Pos Pos U5MR 50'!B20</f>
        <v>35185</v>
      </c>
      <c r="I20" s="9">
        <f>'Pos-Pos U5MR 100'!I20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C20+'Pos-Neg U5MR 100'!K20+'Pos-Pos U5MR 100'!K20</f>
        <v>88501.359942616516</v>
      </c>
      <c r="N20" s="57">
        <f>'Pos-Neg U5MR 100'!L20+'Pos-Pos U5MR 100'!L20</f>
        <v>32012.924281027117</v>
      </c>
      <c r="O20" s="151" t="str">
        <f t="shared" si="8"/>
        <v>16-20</v>
      </c>
      <c r="P20" s="179">
        <f t="shared" si="0"/>
        <v>0.86376105538759529</v>
      </c>
      <c r="Q20" s="151" t="str">
        <f t="shared" si="9"/>
        <v>16-19</v>
      </c>
      <c r="R20" s="161">
        <f t="shared" si="1"/>
        <v>0.85827648820900193</v>
      </c>
      <c r="S20" s="151" t="str">
        <f t="shared" si="10"/>
        <v>16-18</v>
      </c>
      <c r="T20" s="161">
        <f t="shared" si="2"/>
        <v>0.85373924992297834</v>
      </c>
      <c r="U20" s="151" t="str">
        <f t="shared" si="11"/>
        <v>16-17</v>
      </c>
      <c r="V20" s="161">
        <f t="shared" si="3"/>
        <v>0.85036549839068654</v>
      </c>
      <c r="W20" s="151">
        <f t="shared" si="12"/>
        <v>16</v>
      </c>
      <c r="X20" s="152">
        <f t="shared" si="13"/>
        <v>0.84829210280143585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4"/>
        <v>#VALUE!</v>
      </c>
      <c r="AD20" s="153" t="e">
        <f t="shared" si="14"/>
        <v>#VALUE!</v>
      </c>
      <c r="AE20" s="150" t="e">
        <f t="shared" ca="1" si="5"/>
        <v>#VALUE!</v>
      </c>
    </row>
    <row r="21" spans="1:32">
      <c r="A21" s="48">
        <f>'HIV Neg U5MR 50'!A21</f>
        <v>17</v>
      </c>
      <c r="B21" s="9">
        <f>'HIV Neg U5MR 50'!B21</f>
        <v>879136.63873421436</v>
      </c>
      <c r="C21" s="9">
        <f>'Neg U5MR 100'!I21</f>
        <v>86436.772499764178</v>
      </c>
      <c r="D21" s="5">
        <v>0</v>
      </c>
      <c r="E21" s="9">
        <f>'HIV Pos Neg U5MR 50'!B21</f>
        <v>106211.36126578561</v>
      </c>
      <c r="F21" s="9">
        <f>'Pos-Neg U5MR 100'!I21</f>
        <v>10282.674386290106</v>
      </c>
      <c r="G21" s="10">
        <f>'Base values'!C74</f>
        <v>1</v>
      </c>
      <c r="H21" s="9">
        <f>'HIV Pos Pos U5MR 50'!B21</f>
        <v>35412</v>
      </c>
      <c r="I21" s="9">
        <f>'Pos-Pos U5MR 100'!I21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C21+'Pos-Neg U5MR 100'!K21+'Pos-Pos U5MR 100'!K21</f>
        <v>86436.772499764178</v>
      </c>
      <c r="N21" s="57">
        <f>'Pos-Neg U5MR 100'!L21+'Pos-Pos U5MR 100'!L21</f>
        <v>31289.358386290107</v>
      </c>
      <c r="O21" s="151" t="str">
        <f t="shared" si="8"/>
        <v>17-21</v>
      </c>
      <c r="P21" s="179">
        <f t="shared" si="0"/>
        <v>0.87463530862426109</v>
      </c>
      <c r="Q21" s="151" t="str">
        <f t="shared" si="9"/>
        <v>17-20</v>
      </c>
      <c r="R21" s="161">
        <f t="shared" si="1"/>
        <v>0.86789972829777196</v>
      </c>
      <c r="S21" s="151" t="str">
        <f t="shared" si="10"/>
        <v>17-19</v>
      </c>
      <c r="T21" s="161">
        <f t="shared" si="2"/>
        <v>0.86178953218244114</v>
      </c>
      <c r="U21" s="151" t="str">
        <f t="shared" si="11"/>
        <v>17-18</v>
      </c>
      <c r="V21" s="161">
        <f t="shared" si="3"/>
        <v>0.85657621499650693</v>
      </c>
      <c r="W21" s="151">
        <f t="shared" si="12"/>
        <v>17</v>
      </c>
      <c r="X21" s="152">
        <f t="shared" si="13"/>
        <v>0.85249714737411364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4"/>
        <v>#VALUE!</v>
      </c>
      <c r="AD21" s="153" t="e">
        <f t="shared" si="14"/>
        <v>#VALUE!</v>
      </c>
      <c r="AE21" s="150" t="e">
        <f t="shared" ca="1" si="5"/>
        <v>#VALUE!</v>
      </c>
    </row>
    <row r="22" spans="1:32">
      <c r="A22" s="48">
        <f>'HIV Neg U5MR 50'!A22</f>
        <v>18</v>
      </c>
      <c r="B22" s="9">
        <f>'HIV Neg U5MR 50'!B22</f>
        <v>858590.99039825355</v>
      </c>
      <c r="C22" s="9">
        <f>'Neg U5MR 100'!I22</f>
        <v>84840.928204389158</v>
      </c>
      <c r="D22" s="5">
        <v>0</v>
      </c>
      <c r="E22" s="9">
        <f>'HIV Pos Neg U5MR 50'!B22</f>
        <v>104648.00960174639</v>
      </c>
      <c r="F22" s="9">
        <f>'Pos-Neg U5MR 100'!I22</f>
        <v>9870.3236826119337</v>
      </c>
      <c r="G22" s="10">
        <f>'Base values'!C75</f>
        <v>1</v>
      </c>
      <c r="H22" s="9">
        <f>'HIV Pos Pos U5MR 50'!B22</f>
        <v>34706</v>
      </c>
      <c r="I22" s="9">
        <f>'Pos-Pos U5MR 100'!I22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C22+'Pos-Neg U5MR 100'!K22+'Pos-Pos U5MR 100'!K22</f>
        <v>84840.928204389158</v>
      </c>
      <c r="N22" s="103">
        <f>'Pos-Neg U5MR 100'!L22+'Pos-Pos U5MR 100'!L22</f>
        <v>29720.508182611928</v>
      </c>
      <c r="O22" s="151" t="str">
        <f t="shared" si="8"/>
        <v>18-22</v>
      </c>
      <c r="P22" s="179">
        <f t="shared" si="0"/>
        <v>0.88810209050170308</v>
      </c>
      <c r="Q22" s="151" t="str">
        <f t="shared" si="9"/>
        <v>18-21</v>
      </c>
      <c r="R22" s="161">
        <f t="shared" si="1"/>
        <v>0.88058051109439361</v>
      </c>
      <c r="S22" s="151" t="str">
        <f t="shared" si="10"/>
        <v>18-20</v>
      </c>
      <c r="T22" s="161">
        <f t="shared" si="2"/>
        <v>0.87333358524209104</v>
      </c>
      <c r="U22" s="151" t="str">
        <f t="shared" si="11"/>
        <v>18-19</v>
      </c>
      <c r="V22" s="161">
        <f t="shared" si="3"/>
        <v>0.86663518615736401</v>
      </c>
      <c r="W22" s="151">
        <f t="shared" si="12"/>
        <v>18</v>
      </c>
      <c r="X22" s="152">
        <f t="shared" si="13"/>
        <v>0.86077023459231661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4"/>
        <v>#VALUE!</v>
      </c>
      <c r="AD22" s="153" t="e">
        <f t="shared" si="14"/>
        <v>#VALUE!</v>
      </c>
      <c r="AE22" s="150" t="e">
        <f t="shared" ca="1" si="5"/>
        <v>#VALUE!</v>
      </c>
    </row>
    <row r="23" spans="1:32">
      <c r="A23" s="48">
        <f>'HIV Neg U5MR 50'!A23</f>
        <v>19</v>
      </c>
      <c r="B23" s="9">
        <f>'HIV Neg U5MR 50'!B23</f>
        <v>843666.6351556615</v>
      </c>
      <c r="C23" s="9">
        <f>'Neg U5MR 100'!I23</f>
        <v>83754.703521086049</v>
      </c>
      <c r="D23" s="5">
        <v>0</v>
      </c>
      <c r="E23" s="9">
        <f>'HIV Pos Neg U5MR 50'!B23</f>
        <v>99999.364844338474</v>
      </c>
      <c r="F23" s="9">
        <f>'Pos-Neg U5MR 100'!I23</f>
        <v>9177.8507922272674</v>
      </c>
      <c r="G23" s="10">
        <f>'Base values'!C76</f>
        <v>1</v>
      </c>
      <c r="H23" s="9">
        <f>'HIV Pos Pos U5MR 50'!B23</f>
        <v>32990</v>
      </c>
      <c r="I23" s="9">
        <f>'Pos-Pos U5MR 100'!I23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C23+'Pos-Neg U5MR 100'!K23+'Pos-Pos U5MR 100'!K23</f>
        <v>83754.703521086049</v>
      </c>
      <c r="N23" s="103">
        <f>'Pos-Neg U5MR 100'!L23+'Pos-Pos U5MR 100'!L23</f>
        <v>27348.786292227269</v>
      </c>
      <c r="O23" s="151" t="str">
        <f t="shared" si="8"/>
        <v>19-23</v>
      </c>
      <c r="P23" s="179">
        <f t="shared" si="0"/>
        <v>0.90326453952933394</v>
      </c>
      <c r="Q23" s="151" t="str">
        <f t="shared" si="9"/>
        <v>19-22</v>
      </c>
      <c r="R23" s="161">
        <f t="shared" si="1"/>
        <v>0.89546888121910795</v>
      </c>
      <c r="S23" s="151" t="str">
        <f t="shared" si="10"/>
        <v>19-21</v>
      </c>
      <c r="T23" s="161">
        <f t="shared" si="2"/>
        <v>0.88759271317825816</v>
      </c>
      <c r="U23" s="151" t="str">
        <f t="shared" si="11"/>
        <v>19-20</v>
      </c>
      <c r="V23" s="161">
        <f t="shared" si="3"/>
        <v>0.879902104918038</v>
      </c>
      <c r="W23" s="151">
        <f t="shared" si="12"/>
        <v>19</v>
      </c>
      <c r="X23" s="152">
        <f t="shared" si="13"/>
        <v>0.87267443465270533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4"/>
        <v>#VALUE!</v>
      </c>
      <c r="AD23" s="153" t="e">
        <f t="shared" si="14"/>
        <v>#VALUE!</v>
      </c>
      <c r="AE23" s="150" t="e">
        <f t="shared" ca="1" si="5"/>
        <v>#VALUE!</v>
      </c>
    </row>
    <row r="24" spans="1:32" ht="13.5" thickBot="1">
      <c r="A24" s="48">
        <f>'HIV Neg U5MR 50'!A24</f>
        <v>20</v>
      </c>
      <c r="B24" s="9">
        <f>'HIV Neg U5MR 50'!B24</f>
        <v>833406.34579112253</v>
      </c>
      <c r="C24" s="9">
        <f>'Neg U5MR 100'!I24</f>
        <v>83106.761520023341</v>
      </c>
      <c r="D24" s="5">
        <v>0</v>
      </c>
      <c r="E24" s="9">
        <f>'HIV Pos Neg U5MR 50'!B24</f>
        <v>92241.654208877473</v>
      </c>
      <c r="F24" s="9">
        <f>'Pos-Neg U5MR 100'!I24</f>
        <v>8239.1618731203143</v>
      </c>
      <c r="G24" s="10">
        <f>'Base values'!C77</f>
        <v>1</v>
      </c>
      <c r="H24" s="9">
        <f>'HIV Pos Pos U5MR 50'!B24</f>
        <v>30311</v>
      </c>
      <c r="I24" s="9">
        <f>'Pos-Pos U5MR 100'!I24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C24+'Pos-Neg U5MR 100'!K24+'Pos-Pos U5MR 100'!K24</f>
        <v>83106.761520023341</v>
      </c>
      <c r="N24" s="103">
        <f>'Pos-Neg U5MR 100'!L24+'Pos-Pos U5MR 100'!L24</f>
        <v>24321.768373120314</v>
      </c>
      <c r="O24" s="159" t="str">
        <f t="shared" si="8"/>
        <v>20-24</v>
      </c>
      <c r="P24" s="180">
        <f t="shared" si="0"/>
        <v>0.91910880673677509</v>
      </c>
      <c r="Q24" s="151" t="str">
        <f t="shared" si="9"/>
        <v>20-23</v>
      </c>
      <c r="R24" s="161">
        <f t="shared" si="1"/>
        <v>0.91152835268598009</v>
      </c>
      <c r="S24" s="151" t="str">
        <f t="shared" si="10"/>
        <v>20-22</v>
      </c>
      <c r="T24" s="161">
        <f t="shared" si="2"/>
        <v>0.90355518048037387</v>
      </c>
      <c r="U24" s="146" t="str">
        <f t="shared" si="11"/>
        <v>20-21</v>
      </c>
      <c r="V24" s="161">
        <f t="shared" si="3"/>
        <v>0.89540978600974352</v>
      </c>
      <c r="W24" s="146">
        <f t="shared" si="12"/>
        <v>20</v>
      </c>
      <c r="X24" s="152">
        <f t="shared" si="13"/>
        <v>0.88735865539571901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4"/>
        <v>#VALUE!</v>
      </c>
      <c r="AD24" s="153" t="e">
        <f t="shared" si="14"/>
        <v>#VALUE!</v>
      </c>
      <c r="AE24" s="150" t="e">
        <f t="shared" ca="1" si="5"/>
        <v>#VALUE!</v>
      </c>
    </row>
    <row r="25" spans="1:32" ht="13.5" thickBot="1">
      <c r="A25" s="48">
        <f>'HIV Neg U5MR 50'!A25</f>
        <v>21</v>
      </c>
      <c r="B25" s="9">
        <f>'HIV Neg U5MR 50'!B25</f>
        <v>827393.24855432892</v>
      </c>
      <c r="C25" s="9">
        <f>'Neg U5MR 100'!I25</f>
        <v>82860.056485797744</v>
      </c>
      <c r="D25" s="5">
        <v>0</v>
      </c>
      <c r="E25" s="9">
        <f>'HIV Pos Neg U5MR 50'!B25</f>
        <v>81886.751445671107</v>
      </c>
      <c r="F25" s="9">
        <f>'Pos-Neg U5MR 100'!I25</f>
        <v>7128.0956675054067</v>
      </c>
      <c r="G25" s="10">
        <f>'Base values'!C78</f>
        <v>1</v>
      </c>
      <c r="H25" s="9">
        <f>'HIV Pos Pos U5MR 50'!B25</f>
        <v>26880</v>
      </c>
      <c r="I25" s="9">
        <f>'Pos-Pos U5MR 100'!I25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C25+'Pos-Neg U5MR 100'!K25+'Pos-Pos U5MR 100'!K25</f>
        <v>82860.056485797744</v>
      </c>
      <c r="N25" s="103">
        <f>'Pos-Neg U5MR 100'!L25+'Pos-Pos U5MR 100'!L25</f>
        <v>20880.649167505406</v>
      </c>
      <c r="O25" s="154"/>
      <c r="P25" s="149"/>
      <c r="Q25" s="159" t="str">
        <f t="shared" si="9"/>
        <v>21-24</v>
      </c>
      <c r="R25" s="182">
        <f t="shared" si="1"/>
        <v>0.92769604346761936</v>
      </c>
      <c r="S25" s="151" t="str">
        <f t="shared" si="10"/>
        <v>21-23</v>
      </c>
      <c r="T25" s="161">
        <f t="shared" si="2"/>
        <v>0.92010641186646858</v>
      </c>
      <c r="U25" s="146" t="str">
        <f t="shared" si="11"/>
        <v>21-22</v>
      </c>
      <c r="V25" s="161">
        <f t="shared" si="3"/>
        <v>0.91204518398291634</v>
      </c>
      <c r="W25" s="146">
        <f t="shared" si="12"/>
        <v>21</v>
      </c>
      <c r="X25" s="152">
        <f t="shared" si="13"/>
        <v>0.90372050271869231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4"/>
        <v>#VALUE!</v>
      </c>
      <c r="AD25" s="153" t="e">
        <f t="shared" si="14"/>
        <v>#VALUE!</v>
      </c>
      <c r="AE25" s="150" t="e">
        <f t="shared" ca="1" si="5"/>
        <v>#VALUE!</v>
      </c>
      <c r="AF25" s="46"/>
    </row>
    <row r="26" spans="1:32" ht="13.5" thickBot="1">
      <c r="A26" s="99">
        <f>'HIV Neg U5MR 50'!A26</f>
        <v>22</v>
      </c>
      <c r="B26" s="171">
        <f>'HIV Neg U5MR 50'!B26</f>
        <v>826385.49363108212</v>
      </c>
      <c r="C26" s="171">
        <f>'Neg U5MR 100'!I26</f>
        <v>82986.494315961783</v>
      </c>
      <c r="D26" s="172">
        <v>0</v>
      </c>
      <c r="E26" s="171">
        <f>'HIV Pos Neg U5MR 50'!B26</f>
        <v>69939.506368917864</v>
      </c>
      <c r="F26" s="171">
        <f>'Pos-Neg U5MR 100'!I26</f>
        <v>5942.1027622124184</v>
      </c>
      <c r="G26" s="173">
        <f>'Base values'!C79</f>
        <v>1</v>
      </c>
      <c r="H26" s="171">
        <f>'HIV Pos Pos U5MR 50'!B26</f>
        <v>23012</v>
      </c>
      <c r="I26" s="171">
        <f>'Pos-Pos U5MR 100'!I26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C26+'Pos-Neg U5MR 100'!K26+'Pos-Pos U5MR 100'!K26</f>
        <v>82986.494315961783</v>
      </c>
      <c r="N26" s="174">
        <f>'Pos-Neg U5MR 100'!L26+'Pos-Pos U5MR 100'!L26</f>
        <v>17292.892762212417</v>
      </c>
      <c r="O26" s="154"/>
      <c r="P26" s="149"/>
      <c r="Q26" s="158"/>
      <c r="R26" s="161"/>
      <c r="S26" s="159" t="str">
        <f t="shared" si="10"/>
        <v>22-24</v>
      </c>
      <c r="T26" s="182">
        <f t="shared" si="2"/>
        <v>0.93621397310187793</v>
      </c>
      <c r="U26" s="146" t="str">
        <f t="shared" si="11"/>
        <v>22-23</v>
      </c>
      <c r="V26" s="161">
        <f t="shared" si="3"/>
        <v>0.92869562274663742</v>
      </c>
      <c r="W26" s="146">
        <f t="shared" si="12"/>
        <v>22</v>
      </c>
      <c r="X26" s="152">
        <f t="shared" si="13"/>
        <v>0.9206356794798799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4"/>
        <v>#VALUE!</v>
      </c>
      <c r="AD26" s="153" t="e">
        <f t="shared" si="14"/>
        <v>#VALUE!</v>
      </c>
      <c r="AE26" s="150" t="e">
        <f t="shared" ca="1" si="5"/>
        <v>#VALUE!</v>
      </c>
      <c r="AF26" s="46"/>
    </row>
    <row r="27" spans="1:32" s="116" customFormat="1" ht="13.5" thickBot="1">
      <c r="A27" s="208">
        <f>'HIV Neg U5MR 50'!A27</f>
        <v>23</v>
      </c>
      <c r="B27" s="189">
        <f>'HIV Neg U5MR 50'!B27</f>
        <v>830227.93305620481</v>
      </c>
      <c r="C27" s="189">
        <f>'Neg U5MR 100'!I27</f>
        <v>83345.922588032015</v>
      </c>
      <c r="D27" s="190">
        <v>0</v>
      </c>
      <c r="E27" s="189">
        <f>'HIV Pos Neg U5MR 50'!B27</f>
        <v>57515.066943795158</v>
      </c>
      <c r="F27" s="189">
        <f>'Pos-Neg U5MR 100'!I27</f>
        <v>4773.1455862665953</v>
      </c>
      <c r="G27" s="191">
        <f>'Base values'!C80</f>
        <v>1</v>
      </c>
      <c r="H27" s="189">
        <f>'HIV Pos Pos U5MR 50'!B27</f>
        <v>18989</v>
      </c>
      <c r="I27" s="189">
        <f>'Pos-Pos U5MR 100'!I27</f>
        <v>9025.3445000000011</v>
      </c>
      <c r="J27" s="191">
        <f>'Base values'!C80</f>
        <v>1</v>
      </c>
      <c r="K27" s="189">
        <f t="shared" ref="K27:K33" si="15">B27*(1-D27) + E27*(1-G27) + H27*(1-J27)</f>
        <v>830227.93305620481</v>
      </c>
      <c r="L27" s="189">
        <f t="shared" ref="L27:L33" si="16">E27*G27+H27*J27</f>
        <v>76504.066943795158</v>
      </c>
      <c r="M27" s="189">
        <f>C27+'Pos-Neg U5MR 100'!K27+'Pos-Pos U5MR 100'!K27</f>
        <v>83345.922588032015</v>
      </c>
      <c r="N27" s="192">
        <f>'Pos-Neg U5MR 100'!L27+'Pos-Pos U5MR 100'!L27</f>
        <v>13798.490086266596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3"/>
        <v>0.94439702221277111</v>
      </c>
      <c r="W27" s="146">
        <f t="shared" si="12"/>
        <v>23</v>
      </c>
      <c r="X27" s="152">
        <f t="shared" si="13"/>
        <v>0.93701843040270016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208">
        <f>'HIV Neg U5MR 50'!A28</f>
        <v>24</v>
      </c>
      <c r="B28" s="189">
        <f>'HIV Neg U5MR 50'!B28</f>
        <v>836633.84568017919</v>
      </c>
      <c r="C28" s="189">
        <f>'Neg U5MR 100'!I28</f>
        <v>83654.977664047939</v>
      </c>
      <c r="D28" s="190">
        <v>0</v>
      </c>
      <c r="E28" s="189">
        <f>'HIV Pos Neg U5MR 50'!B28</f>
        <v>45524.15431982078</v>
      </c>
      <c r="F28" s="189">
        <f>'Pos-Neg U5MR 100'!I28</f>
        <v>3690.0814488705892</v>
      </c>
      <c r="G28" s="191">
        <f>'Base values'!C81</f>
        <v>1</v>
      </c>
      <c r="H28" s="189">
        <f>'HIV Pos Pos U5MR 50'!B28</f>
        <v>15077</v>
      </c>
      <c r="I28" s="189">
        <f>'Pos-Pos U5MR 100'!I28</f>
        <v>6889.0535</v>
      </c>
      <c r="J28" s="191">
        <f>'Base values'!C81</f>
        <v>1</v>
      </c>
      <c r="K28" s="189">
        <f t="shared" si="15"/>
        <v>836633.84568017919</v>
      </c>
      <c r="L28" s="189">
        <f t="shared" si="16"/>
        <v>60601.15431982078</v>
      </c>
      <c r="M28" s="189">
        <f>C28+'Pos-Neg U5MR 100'!K28+'Pos-Pos U5MR 100'!K28</f>
        <v>83654.977664047939</v>
      </c>
      <c r="N28" s="192">
        <f>'Pos-Neg U5MR 100'!L28+'Pos-Pos U5MR 100'!L28</f>
        <v>10579.134948870589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0.95203829758190173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09">
        <f>'HIV Neg U5MR 50'!A29</f>
        <v>25</v>
      </c>
      <c r="B29" s="194">
        <f>'HIV Neg U5MR 50'!B29</f>
        <v>840389.38258109975</v>
      </c>
      <c r="C29" s="194">
        <f>'Neg U5MR 100'!I29</f>
        <v>82246.587961127618</v>
      </c>
      <c r="D29" s="195">
        <v>0</v>
      </c>
      <c r="E29" s="194">
        <f>'HIV Pos Neg U5MR 50'!B29</f>
        <v>34523.6174189003</v>
      </c>
      <c r="F29" s="194">
        <f>'Pos-Neg U5MR 100'!I29</f>
        <v>2731.9875697343487</v>
      </c>
      <c r="G29" s="196">
        <f>'Base values'!C82</f>
        <v>1</v>
      </c>
      <c r="H29" s="194">
        <f>'HIV Pos Pos U5MR 50'!B29</f>
        <v>11406</v>
      </c>
      <c r="I29" s="194">
        <f>'Pos-Pos U5MR 100'!I29</f>
        <v>5014.1195000000007</v>
      </c>
      <c r="J29" s="196">
        <f>'Base values'!C82</f>
        <v>1</v>
      </c>
      <c r="K29" s="194">
        <f t="shared" si="15"/>
        <v>840389.38258109975</v>
      </c>
      <c r="L29" s="194">
        <f t="shared" si="16"/>
        <v>45929.6174189003</v>
      </c>
      <c r="M29" s="194">
        <f>C29+'Pos-Neg U5MR 100'!K29+'Pos-Pos U5MR 100'!K29</f>
        <v>82246.587961127618</v>
      </c>
      <c r="N29" s="197">
        <f>'Pos-Neg U5MR 100'!L29+'Pos-Pos U5MR 100'!L29</f>
        <v>7746.1070697343494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0">
        <f>'HIV Neg U5MR 50'!A30</f>
        <v>26</v>
      </c>
      <c r="B30" s="199">
        <f>'HIV Neg U5MR 50'!B30</f>
        <v>839518.91477298003</v>
      </c>
      <c r="C30" s="199">
        <f>'Neg U5MR 100'!I30</f>
        <v>78654.801744633107</v>
      </c>
      <c r="D30" s="200">
        <v>0</v>
      </c>
      <c r="E30" s="199">
        <f>'HIV Pos Neg U5MR 50'!B30</f>
        <v>25185.085227019939</v>
      </c>
      <c r="F30" s="199">
        <f>'Pos-Neg U5MR 100'!I30</f>
        <v>1934.5051485613994</v>
      </c>
      <c r="G30" s="201">
        <f>'Base values'!C83</f>
        <v>1</v>
      </c>
      <c r="H30" s="199">
        <f>'HIV Pos Pos U5MR 50'!B30</f>
        <v>8309</v>
      </c>
      <c r="I30" s="199">
        <f>'Pos-Pos U5MR 100'!I30</f>
        <v>3497.8670000000002</v>
      </c>
      <c r="J30" s="201">
        <f>'Base values'!C83</f>
        <v>1</v>
      </c>
      <c r="K30" s="199">
        <f t="shared" si="15"/>
        <v>839518.91477298003</v>
      </c>
      <c r="L30" s="199">
        <f t="shared" si="16"/>
        <v>33494.085227019939</v>
      </c>
      <c r="M30" s="199">
        <f>C30+'Pos-Neg U5MR 100'!K30+'Pos-Pos U5MR 100'!K30</f>
        <v>78654.801744633107</v>
      </c>
      <c r="N30" s="202">
        <f>'Pos-Neg U5MR 100'!L30+'Pos-Pos U5MR 100'!L30</f>
        <v>5432.3721485613996</v>
      </c>
      <c r="O30" s="125"/>
    </row>
    <row r="31" spans="1:32" s="116" customFormat="1">
      <c r="A31" s="209">
        <f>'HIV Neg U5MR 50'!A31</f>
        <v>27</v>
      </c>
      <c r="B31" s="194">
        <f>'HIV Neg U5MR 50'!B31</f>
        <v>832038.27103829291</v>
      </c>
      <c r="C31" s="194">
        <f>'Neg U5MR 100'!I31</f>
        <v>73443.775910444456</v>
      </c>
      <c r="D31" s="195">
        <v>0</v>
      </c>
      <c r="E31" s="194">
        <f>'HIV Pos Neg U5MR 50'!B31</f>
        <v>17622.728961707078</v>
      </c>
      <c r="F31" s="194">
        <f>'Pos-Neg U5MR 100'!I31</f>
        <v>1304.6674181087242</v>
      </c>
      <c r="G31" s="196">
        <f>'Base values'!C84</f>
        <v>1</v>
      </c>
      <c r="H31" s="194">
        <f>'HIV Pos Pos U5MR 50'!B31</f>
        <v>5805</v>
      </c>
      <c r="I31" s="194">
        <f>'Pos-Pos U5MR 100'!I31</f>
        <v>2314.4380000000001</v>
      </c>
      <c r="J31" s="196">
        <f>'Base values'!C84</f>
        <v>1</v>
      </c>
      <c r="K31" s="194">
        <f t="shared" si="15"/>
        <v>832038.27103829291</v>
      </c>
      <c r="L31" s="194">
        <f t="shared" si="16"/>
        <v>23427.728961707078</v>
      </c>
      <c r="M31" s="194">
        <f>C31+'Pos-Neg U5MR 100'!K31+'Pos-Pos U5MR 100'!K31</f>
        <v>73443.775910444456</v>
      </c>
      <c r="N31" s="197">
        <f>'Pos-Neg U5MR 100'!L31+'Pos-Pos U5MR 100'!L31</f>
        <v>3619.1054181087243</v>
      </c>
      <c r="O31" s="125"/>
    </row>
    <row r="32" spans="1:32" s="116" customFormat="1">
      <c r="A32" s="209">
        <f>'HIV Neg U5MR 50'!A32</f>
        <v>28</v>
      </c>
      <c r="B32" s="194">
        <f>'HIV Neg U5MR 50'!B32</f>
        <v>819828.22422705835</v>
      </c>
      <c r="C32" s="194">
        <f>'Neg U5MR 100'!I32</f>
        <v>64364.412868998224</v>
      </c>
      <c r="D32" s="195">
        <v>0</v>
      </c>
      <c r="E32" s="194">
        <f>'HIV Pos Neg U5MR 50'!B32</f>
        <v>11855.775772941659</v>
      </c>
      <c r="F32" s="194">
        <f>'Pos-Neg U5MR 100'!I32</f>
        <v>816.54135034344722</v>
      </c>
      <c r="G32" s="196">
        <f>'Base values'!C85</f>
        <v>1</v>
      </c>
      <c r="H32" s="194">
        <f>'HIV Pos Pos U5MR 50'!B32</f>
        <v>3928</v>
      </c>
      <c r="I32" s="194">
        <f>'Pos-Pos U5MR 100'!I32</f>
        <v>1382.0280000000002</v>
      </c>
      <c r="J32" s="196">
        <f>'Base values'!C85</f>
        <v>1</v>
      </c>
      <c r="K32" s="194">
        <f t="shared" si="15"/>
        <v>819828.22422705835</v>
      </c>
      <c r="L32" s="194">
        <f t="shared" si="16"/>
        <v>15783.775772941659</v>
      </c>
      <c r="M32" s="194">
        <f>C32+'Pos-Neg U5MR 100'!K32+'Pos-Pos U5MR 100'!K32</f>
        <v>64364.412868998224</v>
      </c>
      <c r="N32" s="197">
        <f>'Pos-Neg U5MR 100'!L32+'Pos-Pos U5MR 100'!L32</f>
        <v>2198.5693503434477</v>
      </c>
      <c r="O32" s="125"/>
    </row>
    <row r="33" spans="1:15" s="116" customFormat="1" ht="13.5" thickBot="1">
      <c r="A33" s="211">
        <f>'HIV Neg U5MR 50'!A33</f>
        <v>29</v>
      </c>
      <c r="B33" s="204">
        <f>'HIV Neg U5MR 50'!B33</f>
        <v>805075.62538199848</v>
      </c>
      <c r="C33" s="204">
        <f>'Neg U5MR 100'!I33</f>
        <v>40709.457715942386</v>
      </c>
      <c r="D33" s="205">
        <v>0</v>
      </c>
      <c r="E33" s="204">
        <f>'HIV Pos Neg U5MR 50'!B33</f>
        <v>7627.3746180014859</v>
      </c>
      <c r="F33" s="204">
        <f>'Pos-Neg U5MR 100'!I33</f>
        <v>385.68585944687158</v>
      </c>
      <c r="G33" s="206">
        <f>'Base values'!C86</f>
        <v>1</v>
      </c>
      <c r="H33" s="204">
        <f>'HIV Pos Pos U5MR 50'!B33</f>
        <v>2564</v>
      </c>
      <c r="I33" s="204">
        <f>'Pos-Pos U5MR 100'!I33</f>
        <v>482.03199999999987</v>
      </c>
      <c r="J33" s="206">
        <f>'Base values'!C86</f>
        <v>1</v>
      </c>
      <c r="K33" s="204">
        <f t="shared" si="15"/>
        <v>805075.62538199848</v>
      </c>
      <c r="L33" s="204">
        <f t="shared" si="16"/>
        <v>10191.374618001486</v>
      </c>
      <c r="M33" s="204">
        <f>C33+'Pos-Neg U5MR 100'!K33+'Pos-Pos U5MR 100'!K33</f>
        <v>40709.457715942386</v>
      </c>
      <c r="N33" s="207">
        <f>'Pos-Neg U5MR 100'!L33+'Pos-Pos U5MR 100'!L33</f>
        <v>867.71785944687144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O2:O3"/>
    <mergeCell ref="P2:P3"/>
    <mergeCell ref="M2:N2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I39"/>
  <sheetViews>
    <sheetView workbookViewId="0"/>
  </sheetViews>
  <sheetFormatPr defaultRowHeight="12.75"/>
  <cols>
    <col min="1" max="1" width="13.28515625" customWidth="1"/>
  </cols>
  <sheetData>
    <row r="1" spans="1:9" ht="15.75">
      <c r="A1" s="32" t="s">
        <v>30</v>
      </c>
    </row>
    <row r="2" spans="1:9">
      <c r="A2" s="33" t="s">
        <v>0</v>
      </c>
      <c r="B2" s="11"/>
      <c r="C2" s="296" t="s">
        <v>10</v>
      </c>
      <c r="D2" s="296"/>
      <c r="E2" s="296"/>
      <c r="F2" s="296"/>
      <c r="G2" s="296"/>
      <c r="H2" s="296"/>
      <c r="I2" s="19" t="s">
        <v>11</v>
      </c>
    </row>
    <row r="3" spans="1:9" ht="17.25" customHeight="1">
      <c r="A3" s="34" t="s">
        <v>41</v>
      </c>
      <c r="B3" s="19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19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values'!S$40)</f>
        <v>89469.397742472487</v>
      </c>
      <c r="D4" s="9">
        <f>B5*('Base values'!S$40-'Base values'!S$41)</f>
        <v>21766.114970469596</v>
      </c>
      <c r="E4" s="9">
        <f>B6*('Base values'!S$41-'Base values'!S$42)</f>
        <v>14541.466452954717</v>
      </c>
      <c r="F4" s="9">
        <f>B7*('Base values'!S$42-'Base values'!S$43)</f>
        <v>7624.3341151048044</v>
      </c>
      <c r="G4" s="9">
        <f>B8*('Base values'!S$43-'Base values'!S$44)</f>
        <v>5382.7960226774348</v>
      </c>
      <c r="H4" s="9">
        <f>B9*('Base values'!S$44-'Base values'!S$45)</f>
        <v>18189.241271354877</v>
      </c>
      <c r="I4" s="9">
        <f>SUM(C4:H4)</f>
        <v>156973.35057503392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values'!S$40)</f>
        <v>88826.172505136812</v>
      </c>
      <c r="D5" s="9">
        <f>B6*('Base values'!S$40-'Base values'!S$41)</f>
        <v>21575.815040530371</v>
      </c>
      <c r="E5" s="9">
        <f>B7*('Base values'!S$41-'Base values'!S$42)</f>
        <v>14411.230754896205</v>
      </c>
      <c r="F5" s="9">
        <f>B8*('Base values'!S$42-'Base values'!S$43)</f>
        <v>7544.617029832054</v>
      </c>
      <c r="G5" s="9">
        <f>B9*('Base values'!S$43-'Base values'!S$44)</f>
        <v>5321.7240473230777</v>
      </c>
      <c r="H5" s="9">
        <f>B10*('Base values'!S$44-'Base values'!S$45)</f>
        <v>17870.563765981602</v>
      </c>
      <c r="I5" s="9">
        <f t="shared" ref="I5:I26" si="0">SUM(C5:H5)</f>
        <v>155550.12314370016</v>
      </c>
    </row>
    <row r="6" spans="1:9">
      <c r="A6" s="28">
        <f t="shared" ref="A6:A30" si="1">1+A5</f>
        <v>2</v>
      </c>
      <c r="B6" s="9">
        <f>'Base values'!G6</f>
        <v>1248874.5119299444</v>
      </c>
      <c r="C6" s="9">
        <f>B6*(1-'Base values'!S$40)</f>
        <v>88049.570230112979</v>
      </c>
      <c r="D6" s="9">
        <f>B7*('Base values'!S$40-'Base values'!S$41)</f>
        <v>21382.578592055543</v>
      </c>
      <c r="E6" s="9">
        <f>B8*('Base values'!S$41-'Base values'!S$42)</f>
        <v>14260.55250632662</v>
      </c>
      <c r="F6" s="9">
        <f>B9*('Base values'!S$42-'Base values'!S$43)</f>
        <v>7459.0175266439728</v>
      </c>
      <c r="G6" s="9">
        <f>B10*('Base values'!S$43-'Base values'!S$44)</f>
        <v>5228.4868573608619</v>
      </c>
      <c r="H6" s="9">
        <f>B11*('Base values'!S$44-'Base values'!S$45)</f>
        <v>17541.771072297171</v>
      </c>
      <c r="I6" s="9">
        <f t="shared" si="0"/>
        <v>153921.97678479718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values'!S$40)</f>
        <v>87260.984204090782</v>
      </c>
      <c r="D7" s="9">
        <f>B8*('Base values'!S$40-'Base values'!S$41)</f>
        <v>21159.010629891185</v>
      </c>
      <c r="E7" s="9">
        <f>B9*('Base values'!S$41-'Base values'!S$42)</f>
        <v>14098.755531754898</v>
      </c>
      <c r="F7" s="9">
        <f>B10*('Base values'!S$42-'Base values'!S$43)</f>
        <v>7328.3347201175748</v>
      </c>
      <c r="G7" s="9">
        <f>B11*('Base values'!S$43-'Base values'!S$44)</f>
        <v>5132.290212406785</v>
      </c>
      <c r="H7" s="9">
        <f>B12*('Base values'!S$44-'Base values'!S$45)</f>
        <v>17198.940033591894</v>
      </c>
      <c r="I7" s="9">
        <f t="shared" si="0"/>
        <v>152178.31533185314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values'!S$40)</f>
        <v>86348.617141765892</v>
      </c>
      <c r="D8" s="9">
        <f>B9*('Base values'!S$40-'Base values'!S$41)</f>
        <v>20918.945323632648</v>
      </c>
      <c r="E8" s="9">
        <f>B10*('Base values'!S$41-'Base values'!S$42)</f>
        <v>13851.743785926721</v>
      </c>
      <c r="F8" s="9">
        <f>B11*('Base values'!S$42-'Base values'!S$43)</f>
        <v>7193.5038919242688</v>
      </c>
      <c r="G8" s="9">
        <f>B12*('Base values'!S$43-'Base values'!S$44)</f>
        <v>5031.9862934236526</v>
      </c>
      <c r="H8" s="9">
        <f>B13*('Base values'!S$44-'Base values'!S$45)</f>
        <v>16823.741288020698</v>
      </c>
      <c r="I8" s="9">
        <f t="shared" si="0"/>
        <v>150168.53772469389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values'!S$40)</f>
        <v>85368.925435866593</v>
      </c>
      <c r="D9" s="9">
        <f>B10*('Base values'!S$40-'Base values'!S$41)</f>
        <v>20552.443103373815</v>
      </c>
      <c r="E9" s="9">
        <f>B11*('Base values'!S$41-'Base values'!S$42)</f>
        <v>13596.891604918806</v>
      </c>
      <c r="F9" s="9">
        <f>B12*('Base values'!S$42-'Base values'!S$43)</f>
        <v>7052.9162396835245</v>
      </c>
      <c r="G9" s="9">
        <f>B13*('Base values'!S$43-'Base values'!S$44)</f>
        <v>4922.2123805350393</v>
      </c>
      <c r="H9" s="9">
        <f>B14*('Base values'!S$44-'Base values'!S$45)</f>
        <v>16429.564515581529</v>
      </c>
      <c r="I9" s="9">
        <f t="shared" si="0"/>
        <v>147922.95327995933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values'!S$40)</f>
        <v>83873.252483463526</v>
      </c>
      <c r="D10" s="9">
        <f>B11*('Base values'!S$40-'Base values'!S$41)</f>
        <v>20174.307683683372</v>
      </c>
      <c r="E10" s="9">
        <f>B12*('Base values'!S$41-'Base values'!S$42)</f>
        <v>13331.158090733405</v>
      </c>
      <c r="F10" s="9">
        <f>B13*('Base values'!S$42-'Base values'!S$43)</f>
        <v>6899.0552854282341</v>
      </c>
      <c r="G10" s="9">
        <f>B14*('Base values'!S$43-'Base values'!S$44)</f>
        <v>4806.8859643590522</v>
      </c>
      <c r="H10" s="9">
        <f>B15*('Base values'!S$44-'Base values'!S$45)</f>
        <v>16010.161253654232</v>
      </c>
      <c r="I10" s="9">
        <f t="shared" si="0"/>
        <v>145094.82076132181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values'!S$40)</f>
        <v>82330.105161798856</v>
      </c>
      <c r="D11" s="9">
        <f>B12*('Base values'!S$40-'Base values'!S$41)</f>
        <v>19780.027150101461</v>
      </c>
      <c r="E11" s="9">
        <f>B13*('Base values'!S$41-'Base values'!S$42)</f>
        <v>13040.335878266518</v>
      </c>
      <c r="F11" s="9">
        <f>B14*('Base values'!S$42-'Base values'!S$43)</f>
        <v>6737.4118495994953</v>
      </c>
      <c r="G11" s="9">
        <f>B15*('Base values'!S$43-'Base values'!S$44)</f>
        <v>4684.1788986146885</v>
      </c>
      <c r="H11" s="9">
        <f>B16*('Base values'!S$44-'Base values'!S$45)</f>
        <v>15499.473915775696</v>
      </c>
      <c r="I11" s="9">
        <f t="shared" si="0"/>
        <v>142071.53285415671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values'!S$40)</f>
        <v>80721.070626288987</v>
      </c>
      <c r="D12" s="9">
        <f>B13*('Base values'!S$40-'Base values'!S$41)</f>
        <v>19348.52140849255</v>
      </c>
      <c r="E12" s="9">
        <f>B14*('Base values'!S$41-'Base values'!S$42)</f>
        <v>12734.803510642807</v>
      </c>
      <c r="F12" s="9">
        <f>B15*('Base values'!S$42-'Base values'!S$43)</f>
        <v>6565.4235717611009</v>
      </c>
      <c r="G12" s="9">
        <f>B16*('Base values'!S$43-'Base values'!S$44)</f>
        <v>4534.7643603111246</v>
      </c>
      <c r="H12" s="9">
        <f>B17*('Base values'!S$44-'Base values'!S$45)</f>
        <v>14992.168240618521</v>
      </c>
      <c r="I12" s="9">
        <f t="shared" si="0"/>
        <v>138896.75171811509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values'!S$40)</f>
        <v>78960.122313137472</v>
      </c>
      <c r="D13" s="9">
        <f>B14*('Base values'!S$40-'Base values'!S$41)</f>
        <v>18895.189560974166</v>
      </c>
      <c r="E13" s="9">
        <f>B15*('Base values'!S$41-'Base values'!S$42)</f>
        <v>12409.717710145693</v>
      </c>
      <c r="F13" s="9">
        <f>B16*('Base values'!S$42-'Base values'!S$43)</f>
        <v>6356.001653219063</v>
      </c>
      <c r="G13" s="9">
        <f>B17*('Base values'!S$43-'Base values'!S$44)</f>
        <v>4386.3392132392091</v>
      </c>
      <c r="H13" s="9">
        <f>B18*('Base values'!S$44-'Base values'!S$45)</f>
        <v>14490.439441955998</v>
      </c>
      <c r="I13" s="9">
        <f t="shared" si="0"/>
        <v>135497.80989267159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values'!S$40)</f>
        <v>77110.103008159436</v>
      </c>
      <c r="D14" s="9">
        <f>B15*('Base values'!S$40-'Base values'!S$41)</f>
        <v>18412.845422814476</v>
      </c>
      <c r="E14" s="9">
        <f>B16*('Base values'!S$41-'Base values'!S$42)</f>
        <v>12013.876244165958</v>
      </c>
      <c r="F14" s="9">
        <f>B17*('Base values'!S$42-'Base values'!S$43)</f>
        <v>6147.9664819927339</v>
      </c>
      <c r="G14" s="9">
        <f>B18*('Base values'!S$43-'Base values'!S$44)</f>
        <v>4239.5457228872074</v>
      </c>
      <c r="H14" s="9">
        <f>B19*('Base values'!S$44-'Base values'!S$45)</f>
        <v>14007.791477214554</v>
      </c>
      <c r="I14" s="9">
        <f t="shared" si="0"/>
        <v>131932.12835723438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values'!S$40)</f>
        <v>75141.686334759419</v>
      </c>
      <c r="D15" s="9">
        <f>B16*('Base values'!S$40-'Base values'!S$41)</f>
        <v>17825.51798352339</v>
      </c>
      <c r="E15" s="9">
        <f>B17*('Base values'!S$41-'Base values'!S$42)</f>
        <v>11620.655956018112</v>
      </c>
      <c r="F15" s="9">
        <f>B18*('Base values'!S$42-'Base values'!S$43)</f>
        <v>5942.2182681439535</v>
      </c>
      <c r="G15" s="9">
        <f>B19*('Base values'!S$43-'Base values'!S$44)</f>
        <v>4098.3348146344761</v>
      </c>
      <c r="H15" s="9">
        <f>B20*('Base values'!S$44-'Base values'!S$45)</f>
        <v>13577.729053122399</v>
      </c>
      <c r="I15" s="9">
        <f t="shared" si="0"/>
        <v>128206.14241020175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values'!S$40)</f>
        <v>72744.839285561597</v>
      </c>
      <c r="D16" s="9">
        <f>B17*('Base values'!S$40-'Base values'!S$41)</f>
        <v>17242.079701372822</v>
      </c>
      <c r="E16" s="9">
        <f>B18*('Base values'!S$41-'Base values'!S$42)</f>
        <v>11231.758389041306</v>
      </c>
      <c r="F16" s="9">
        <f>B19*('Base values'!S$42-'Base values'!S$43)</f>
        <v>5744.2946948349872</v>
      </c>
      <c r="G16" s="9">
        <f>B20*('Base values'!S$43-'Base values'!S$44)</f>
        <v>3972.509140545169</v>
      </c>
      <c r="H16" s="9">
        <f>B21*('Base values'!S$44-'Base values'!S$45)</f>
        <v>13206.252210958384</v>
      </c>
      <c r="I16" s="9">
        <f t="shared" si="0"/>
        <v>124141.73342231425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values'!S$40)</f>
        <v>70363.863646743281</v>
      </c>
      <c r="D17" s="9">
        <f>B18*('Base values'!S$40-'Base values'!S$41)</f>
        <v>16665.055231251456</v>
      </c>
      <c r="E17" s="9">
        <f>B19*('Base values'!S$41-'Base values'!S$42)</f>
        <v>10857.650664520381</v>
      </c>
      <c r="F17" s="9">
        <f>B20*('Base values'!S$42-'Base values'!S$43)</f>
        <v>5567.9353233252914</v>
      </c>
      <c r="G17" s="9">
        <f>B21*('Base values'!S$43-'Base values'!S$44)</f>
        <v>3863.8241649337247</v>
      </c>
      <c r="H17" s="9">
        <f>B22*('Base values'!S$44-'Base values'!S$45)</f>
        <v>12897.61871554063</v>
      </c>
      <c r="I17" s="9">
        <f t="shared" si="0"/>
        <v>120215.94774631475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values'!S$40)</f>
        <v>68009.062379166411</v>
      </c>
      <c r="D18" s="9">
        <f>B19*('Base values'!S$40-'Base values'!S$41)</f>
        <v>16109.975102599297</v>
      </c>
      <c r="E18" s="9">
        <f>B20*('Base values'!S$41-'Base values'!S$42)</f>
        <v>10524.302786496575</v>
      </c>
      <c r="F18" s="9">
        <f>B21*('Base values'!S$42-'Base values'!S$43)</f>
        <v>5415.6006417898179</v>
      </c>
      <c r="G18" s="9">
        <f>B22*('Base values'!S$43-'Base values'!S$44)</f>
        <v>3773.5256049294294</v>
      </c>
      <c r="H18" s="9">
        <f>B23*('Base values'!S$44-'Base values'!S$45)</f>
        <v>12673.427400179928</v>
      </c>
      <c r="I18" s="9">
        <f t="shared" si="0"/>
        <v>116505.89391516146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values'!S$40)</f>
        <v>65743.814615441748</v>
      </c>
      <c r="D19" s="9">
        <f>B20*('Base values'!S$40-'Base values'!S$41)</f>
        <v>15615.372155663812</v>
      </c>
      <c r="E19" s="9">
        <f>B21*('Base values'!S$41-'Base values'!S$42)</f>
        <v>10236.365477554133</v>
      </c>
      <c r="F19" s="9">
        <f>B22*('Base values'!S$42-'Base values'!S$43)</f>
        <v>5289.036668214083</v>
      </c>
      <c r="G19" s="9">
        <f>B23*('Base values'!S$43-'Base values'!S$44)</f>
        <v>3707.9327472419045</v>
      </c>
      <c r="H19" s="9">
        <f>B24*('Base values'!S$44-'Base values'!S$45)</f>
        <v>12519.298948315371</v>
      </c>
      <c r="I19" s="9">
        <f t="shared" si="0"/>
        <v>113111.82061243107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values'!S$40)</f>
        <v>63725.370499638535</v>
      </c>
      <c r="D20" s="9">
        <f>B21*('Base values'!S$40-'Base values'!S$41)</f>
        <v>15188.146872635503</v>
      </c>
      <c r="E20" s="9">
        <f>B22*('Base values'!S$41-'Base values'!S$42)</f>
        <v>9997.1389954875831</v>
      </c>
      <c r="F20" s="9">
        <f>B23*('Base values'!S$42-'Base values'!S$43)</f>
        <v>5197.1006206544544</v>
      </c>
      <c r="G20" s="9">
        <f>B24*('Base values'!S$43-'Base values'!S$44)</f>
        <v>3662.8385579666196</v>
      </c>
      <c r="H20" s="9">
        <f>B25*('Base values'!S$44-'Base values'!S$45)</f>
        <v>12428.971148085762</v>
      </c>
      <c r="I20" s="9">
        <f t="shared" si="0"/>
        <v>110199.56669446846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values'!S$40)</f>
        <v>61981.89047390523</v>
      </c>
      <c r="D21" s="9">
        <f>B22*('Base values'!S$40-'Base values'!S$41)</f>
        <v>14833.195991542227</v>
      </c>
      <c r="E21" s="9">
        <f>B23*('Base values'!S$41-'Base values'!S$42)</f>
        <v>9823.364922096689</v>
      </c>
      <c r="F21" s="9">
        <f>B24*('Base values'!S$42-'Base values'!S$43)</f>
        <v>5133.8958499517448</v>
      </c>
      <c r="G21" s="9">
        <f>B25*('Base values'!S$43-'Base values'!S$44)</f>
        <v>3636.4108681332496</v>
      </c>
      <c r="H21" s="9">
        <f>B26*('Base values'!S$44-'Base values'!S$45)</f>
        <v>12413.832812249373</v>
      </c>
      <c r="I21" s="9">
        <f t="shared" si="0"/>
        <v>107822.59091787851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values'!S$40)</f>
        <v>60533.357824067745</v>
      </c>
      <c r="D22" s="9">
        <f>B23*('Base values'!S$40-'Base values'!S$41)</f>
        <v>14575.359735587474</v>
      </c>
      <c r="E22" s="9">
        <f>B24*('Base values'!S$41-'Base values'!S$42)</f>
        <v>9703.8976320152487</v>
      </c>
      <c r="F22" s="9">
        <f>B25*('Base values'!S$42-'Base values'!S$43)</f>
        <v>5096.8543574010419</v>
      </c>
      <c r="G22" s="9">
        <f>B26*('Base values'!S$43-'Base values'!S$44)</f>
        <v>3631.9817638811755</v>
      </c>
      <c r="H22" s="9">
        <f>B27*('Base values'!S$44-'Base values'!S$45)</f>
        <v>12471.5533324936</v>
      </c>
      <c r="I22" s="9">
        <f t="shared" si="0"/>
        <v>106013.00464544629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values'!S$40)</f>
        <v>59481.143968697237</v>
      </c>
      <c r="D23" s="9">
        <f>B24*('Base values'!S$40-'Base values'!S$41)</f>
        <v>14398.100848904363</v>
      </c>
      <c r="E23" s="9">
        <f>B25*('Base values'!S$41-'Base values'!S$42)</f>
        <v>9633.8831902823767</v>
      </c>
      <c r="F23" s="9">
        <f>B26*('Base values'!S$42-'Base values'!S$43)</f>
        <v>5090.6464507246001</v>
      </c>
      <c r="G23" s="9">
        <f>B27*('Base values'!S$43-'Base values'!S$44)</f>
        <v>3648.8693666143058</v>
      </c>
      <c r="H23" s="9">
        <f>B28*('Base values'!S$44-'Base values'!S$45)</f>
        <v>12567.781943640297</v>
      </c>
      <c r="I23" s="9">
        <f t="shared" si="0"/>
        <v>104820.42576886318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values'!S$40)</f>
        <v>58757.761386736966</v>
      </c>
      <c r="D24" s="9">
        <f>B25*('Base values'!S$40-'Base values'!S$41)</f>
        <v>14294.217334137702</v>
      </c>
      <c r="E24" s="9">
        <f>B26*('Base values'!S$41-'Base values'!S$42)</f>
        <v>9622.1492376160295</v>
      </c>
      <c r="F24" s="9">
        <f>B27*('Base values'!S$42-'Base values'!S$43)</f>
        <v>5114.3163974654099</v>
      </c>
      <c r="G24" s="9">
        <f>B28*('Base values'!S$43-'Base values'!S$44)</f>
        <v>3677.0234884020219</v>
      </c>
      <c r="H24" s="9">
        <f>B29*('Base values'!S$44-'Base values'!S$45)</f>
        <v>12624.197027844417</v>
      </c>
      <c r="I24" s="9">
        <f t="shared" si="0"/>
        <v>104089.66487220256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values'!S$40)</f>
        <v>58333.819171250987</v>
      </c>
      <c r="D25" s="9">
        <f>B26*('Base values'!S$40-'Base values'!S$41)</f>
        <v>14276.807151110941</v>
      </c>
      <c r="E25" s="9">
        <f>B27*('Base values'!S$41-'Base values'!S$42)</f>
        <v>9666.8892843254343</v>
      </c>
      <c r="F25" s="9">
        <f>B28*('Base values'!S$42-'Base values'!S$43)</f>
        <v>5153.7776859490687</v>
      </c>
      <c r="G25" s="9">
        <f>B29*('Base values'!S$43-'Base values'!S$44)</f>
        <v>3693.5291526989504</v>
      </c>
      <c r="H25" s="9">
        <f>B30*('Base values'!S$44-'Base values'!S$45)</f>
        <v>12611.120997442475</v>
      </c>
      <c r="I25" s="9">
        <f t="shared" si="0"/>
        <v>103735.94344277785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values'!S$40)</f>
        <v>58262.769288303149</v>
      </c>
      <c r="D26" s="9">
        <f>B27*('Base values'!S$40-'Base values'!S$41)</f>
        <v>14343.189931405475</v>
      </c>
      <c r="E26" s="9">
        <f>B28*('Base values'!S$41-'Base values'!S$42)</f>
        <v>9741.4775336909624</v>
      </c>
      <c r="F26" s="9">
        <f>B29*('Base values'!S$42-'Base values'!S$43)</f>
        <v>5176.9123013828812</v>
      </c>
      <c r="G26" s="9">
        <f>B30*('Base values'!S$43-'Base values'!S$44)</f>
        <v>3689.7034282283466</v>
      </c>
      <c r="H26" s="9">
        <f>B31*('Base values'!S$44-'Base values'!S$45)</f>
        <v>12498.74794471333</v>
      </c>
      <c r="I26" s="9">
        <f t="shared" si="0"/>
        <v>103712.80042772414</v>
      </c>
    </row>
    <row r="27" spans="1:9" s="116" customFormat="1">
      <c r="A27" s="121">
        <f t="shared" si="1"/>
        <v>23</v>
      </c>
      <c r="B27" s="122">
        <f>'Base values'!G27</f>
        <v>830227.93305620481</v>
      </c>
      <c r="C27" s="122">
        <f>B27*(1-'Base values'!S$40)</f>
        <v>58533.673319721376</v>
      </c>
      <c r="D27" s="122">
        <f>B28*('Base values'!S$40-'Base values'!S$41)</f>
        <v>14453.859806257098</v>
      </c>
      <c r="E27" s="122">
        <f>B29*('Base values'!S$41-'Base values'!S$42)</f>
        <v>9785.2057172161258</v>
      </c>
      <c r="F27" s="122">
        <f>B30*('Base values'!S$42-'Base values'!S$43)</f>
        <v>5171.5501019105695</v>
      </c>
      <c r="G27" s="122">
        <f>B31*('Base values'!S$43-'Base values'!S$44)</f>
        <v>3656.8258404247485</v>
      </c>
      <c r="H27" s="122">
        <f>B32*('Base values'!S$44-'Base values'!S$45)</f>
        <v>12315.330543376333</v>
      </c>
      <c r="I27" s="122">
        <f t="shared" ref="I27:I33" si="2">SUM(C27:H27)</f>
        <v>103916.44532890625</v>
      </c>
    </row>
    <row r="28" spans="1:9" s="116" customFormat="1">
      <c r="A28" s="121">
        <f t="shared" si="1"/>
        <v>24</v>
      </c>
      <c r="B28" s="122">
        <f>'Base values'!G28</f>
        <v>836633.84568017919</v>
      </c>
      <c r="C28" s="122">
        <f>B28*(1-'Base values'!S$40)</f>
        <v>58985.310252082949</v>
      </c>
      <c r="D28" s="122">
        <f>B29*('Base values'!S$40-'Base values'!S$41)</f>
        <v>14518.741240523004</v>
      </c>
      <c r="E28" s="122">
        <f>B30*('Base values'!S$41-'Base values'!S$42)</f>
        <v>9775.0702886288364</v>
      </c>
      <c r="F28" s="122">
        <f>B31*('Base values'!S$42-'Base values'!S$43)</f>
        <v>5125.4683243738009</v>
      </c>
      <c r="G28" s="122">
        <f>B32*('Base values'!S$43-'Base values'!S$44)</f>
        <v>3603.1624258363786</v>
      </c>
      <c r="H28" s="122">
        <f>B33*('Base values'!S$44-'Base values'!S$45)</f>
        <v>12093.719325584903</v>
      </c>
      <c r="I28" s="122">
        <f t="shared" si="2"/>
        <v>104101.47185702986</v>
      </c>
    </row>
    <row r="29" spans="1:9" s="116" customFormat="1">
      <c r="A29" s="121">
        <f t="shared" si="1"/>
        <v>25</v>
      </c>
      <c r="B29" s="122">
        <f>'Base values'!G29</f>
        <v>840389.38258109975</v>
      </c>
      <c r="C29" s="122">
        <f>B29*(1-'Base values'!S$40)</f>
        <v>59250.087382972088</v>
      </c>
      <c r="D29" s="122">
        <f>B30*('Base values'!S$40-'Base values'!S$41)</f>
        <v>14503.702858165674</v>
      </c>
      <c r="E29" s="122">
        <f>B31*('Base values'!S$41-'Base values'!S$42)</f>
        <v>9687.968238842941</v>
      </c>
      <c r="F29" s="122">
        <f>B32*('Base values'!S$42-'Base values'!S$43)</f>
        <v>5050.2527839972645</v>
      </c>
      <c r="G29" s="122">
        <f>B33*('Base values'!S$43-'Base values'!S$44)</f>
        <v>3538.3244411572432</v>
      </c>
      <c r="H29" s="122">
        <f>B34*('Base values'!S$44-'Base values'!S$45)</f>
        <v>0</v>
      </c>
      <c r="I29" s="122">
        <f t="shared" si="2"/>
        <v>92030.335705135192</v>
      </c>
    </row>
    <row r="30" spans="1:9" s="116" customFormat="1">
      <c r="A30" s="121">
        <f t="shared" si="1"/>
        <v>26</v>
      </c>
      <c r="B30" s="122">
        <f>'Base values'!G30</f>
        <v>839518.91477298003</v>
      </c>
      <c r="C30" s="122">
        <f>B30*(1-'Base values'!S$40)</f>
        <v>59188.716672246599</v>
      </c>
      <c r="D30" s="122">
        <f>B31*('Base values'!S$40-'Base values'!S$41)</f>
        <v>14374.465705784134</v>
      </c>
      <c r="E30" s="122">
        <f>B32*('Base values'!S$41-'Base values'!S$42)</f>
        <v>9545.7986418189812</v>
      </c>
      <c r="F30" s="122">
        <f>B33*('Base values'!S$42-'Base values'!S$43)</f>
        <v>4959.3747790850748</v>
      </c>
      <c r="G30" s="122">
        <f>B34*('Base values'!S$43-'Base values'!S$44)</f>
        <v>0</v>
      </c>
      <c r="H30" s="122">
        <f>B35*('Base values'!S$44-'Base values'!S$45)</f>
        <v>0</v>
      </c>
      <c r="I30" s="122">
        <f t="shared" si="2"/>
        <v>88068.35579893479</v>
      </c>
    </row>
    <row r="31" spans="1:9" s="116" customFormat="1">
      <c r="A31" s="121">
        <f>1+A30</f>
        <v>27</v>
      </c>
      <c r="B31" s="122">
        <f>'Base values'!G31</f>
        <v>832038.27103829291</v>
      </c>
      <c r="C31" s="122">
        <f>B31*(1-'Base values'!S$40)</f>
        <v>58661.307825647658</v>
      </c>
      <c r="D31" s="122">
        <f>B32*('Base values'!S$40-'Base values'!S$41)</f>
        <v>14163.522405141137</v>
      </c>
      <c r="E31" s="122">
        <f>B33*('Base values'!S$41-'Base values'!S$42)</f>
        <v>9374.0244410085088</v>
      </c>
      <c r="F31" s="122">
        <f>B34*('Base values'!S$42-'Base values'!S$43)</f>
        <v>0</v>
      </c>
      <c r="G31" s="122">
        <f>B35*('Base values'!S$43-'Base values'!S$44)</f>
        <v>0</v>
      </c>
      <c r="H31" s="122">
        <f>B36*('Base values'!S$44-'Base values'!S$45)</f>
        <v>0</v>
      </c>
      <c r="I31" s="122">
        <f t="shared" si="2"/>
        <v>82198.854671797308</v>
      </c>
    </row>
    <row r="32" spans="1:9" s="116" customFormat="1">
      <c r="A32" s="121">
        <f>1+A31</f>
        <v>28</v>
      </c>
      <c r="B32" s="122">
        <f>'Base values'!G32</f>
        <v>819828.22422705835</v>
      </c>
      <c r="C32" s="122">
        <f>B32*(1-'Base values'!S$40)</f>
        <v>57800.461228212196</v>
      </c>
      <c r="D32" s="122">
        <f>B33*('Base values'!S$40-'Base values'!S$41)</f>
        <v>13908.653448326357</v>
      </c>
      <c r="E32" s="122">
        <f>B34*('Base values'!S$41-'Base values'!S$42)</f>
        <v>0</v>
      </c>
      <c r="F32" s="122">
        <f>B35*('Base values'!S$42-'Base values'!S$43)</f>
        <v>0</v>
      </c>
      <c r="G32" s="122">
        <f>B36*('Base values'!S$43-'Base values'!S$44)</f>
        <v>0</v>
      </c>
      <c r="H32" s="122">
        <f>B37*('Base values'!S$44-'Base values'!S$45)</f>
        <v>0</v>
      </c>
      <c r="I32" s="122">
        <f t="shared" si="2"/>
        <v>71709.114676538549</v>
      </c>
    </row>
    <row r="33" spans="1:9" s="116" customFormat="1">
      <c r="A33" s="121">
        <f>1+A32</f>
        <v>29</v>
      </c>
      <c r="B33" s="122">
        <f>'Base values'!G33</f>
        <v>805075.62538199848</v>
      </c>
      <c r="C33" s="122">
        <f>B33*(1-'Base values'!S$40)</f>
        <v>56760.356737587725</v>
      </c>
      <c r="D33" s="122">
        <f>B34*('Base values'!S$40-'Base values'!S$41)</f>
        <v>0</v>
      </c>
      <c r="E33" s="122">
        <f>B35*('Base values'!S$41-'Base values'!S$42)</f>
        <v>0</v>
      </c>
      <c r="F33" s="122">
        <f>B36*('Base values'!S$42-'Base values'!S$43)</f>
        <v>0</v>
      </c>
      <c r="G33" s="122">
        <f>B37*('Base values'!S$43-'Base values'!S$44)</f>
        <v>0</v>
      </c>
      <c r="H33" s="122">
        <f>B38*('Base values'!S$44-'Base values'!S$45)</f>
        <v>0</v>
      </c>
      <c r="I33" s="122">
        <f t="shared" si="2"/>
        <v>56760.356737587725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L55"/>
  <sheetViews>
    <sheetView tabSelected="1" zoomScale="60" zoomScaleNormal="60" workbookViewId="0">
      <selection activeCell="D9" sqref="D9"/>
    </sheetView>
  </sheetViews>
  <sheetFormatPr defaultRowHeight="12.75"/>
  <cols>
    <col min="1" max="1" width="15" customWidth="1"/>
    <col min="2" max="2" width="13.7109375" customWidth="1"/>
    <col min="3" max="3" width="13" customWidth="1"/>
    <col min="4" max="4" width="71.85546875" customWidth="1"/>
    <col min="5" max="5" width="11.85546875" customWidth="1"/>
    <col min="6" max="7" width="9.140625" customWidth="1"/>
    <col min="22" max="22" width="12.7109375" customWidth="1"/>
  </cols>
  <sheetData>
    <row r="1" spans="1:1026">
      <c r="A1" s="247" t="s">
        <v>255</v>
      </c>
      <c r="B1">
        <f>VLOOKUP(A4,'input data'!J3:L66,3,FALSE)</f>
        <v>75</v>
      </c>
    </row>
    <row r="3" spans="1:1026" ht="15.75">
      <c r="A3" s="278" t="s">
        <v>219</v>
      </c>
      <c r="B3" s="278" t="s">
        <v>220</v>
      </c>
      <c r="C3" s="279" t="s">
        <v>221</v>
      </c>
      <c r="D3" s="278" t="s">
        <v>222</v>
      </c>
      <c r="E3" s="278" t="s">
        <v>223</v>
      </c>
      <c r="F3" s="280" t="s">
        <v>224</v>
      </c>
      <c r="G3" s="280" t="s">
        <v>225</v>
      </c>
      <c r="H3" s="280" t="s">
        <v>226</v>
      </c>
      <c r="I3" s="278" t="s">
        <v>227</v>
      </c>
      <c r="J3" s="278" t="s">
        <v>228</v>
      </c>
      <c r="K3" s="278" t="s">
        <v>229</v>
      </c>
      <c r="L3" s="278" t="s">
        <v>230</v>
      </c>
      <c r="M3" s="278" t="s">
        <v>231</v>
      </c>
      <c r="N3" s="278" t="s">
        <v>232</v>
      </c>
      <c r="O3" s="281" t="s">
        <v>233</v>
      </c>
      <c r="P3" s="278" t="s">
        <v>234</v>
      </c>
      <c r="Q3" s="280" t="s">
        <v>235</v>
      </c>
      <c r="R3" s="280" t="s">
        <v>236</v>
      </c>
      <c r="S3" s="278" t="s">
        <v>237</v>
      </c>
      <c r="T3" s="278" t="s">
        <v>238</v>
      </c>
      <c r="U3" s="278" t="s">
        <v>239</v>
      </c>
      <c r="V3" s="278" t="s">
        <v>240</v>
      </c>
      <c r="W3" s="278" t="s">
        <v>117</v>
      </c>
      <c r="X3" s="278" t="s">
        <v>241</v>
      </c>
      <c r="Y3" s="278" t="s">
        <v>242</v>
      </c>
      <c r="Z3" s="278" t="s">
        <v>243</v>
      </c>
      <c r="AA3" s="278" t="s">
        <v>244</v>
      </c>
      <c r="AB3" s="278" t="s">
        <v>245</v>
      </c>
      <c r="AC3" s="278" t="s">
        <v>246</v>
      </c>
      <c r="AD3" s="278" t="s">
        <v>247</v>
      </c>
      <c r="AE3" s="278" t="s">
        <v>248</v>
      </c>
      <c r="AF3" s="278" t="s">
        <v>249</v>
      </c>
      <c r="AG3" s="278" t="s">
        <v>250</v>
      </c>
      <c r="AH3" s="278" t="s">
        <v>268</v>
      </c>
      <c r="AI3" s="278" t="s">
        <v>269</v>
      </c>
      <c r="AJ3" s="278" t="s">
        <v>251</v>
      </c>
      <c r="AK3" s="278" t="s">
        <v>252</v>
      </c>
      <c r="AL3" s="278" t="s">
        <v>253</v>
      </c>
      <c r="AM3" s="278" t="s">
        <v>264</v>
      </c>
      <c r="AN3" s="278" t="s">
        <v>265</v>
      </c>
      <c r="AO3" s="278" t="s">
        <v>266</v>
      </c>
      <c r="AP3" s="278" t="s">
        <v>267</v>
      </c>
      <c r="AQ3" s="278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277"/>
      <c r="BU3" s="277"/>
      <c r="BV3" s="277"/>
      <c r="BW3" s="277"/>
      <c r="BX3" s="277"/>
      <c r="BY3" s="277"/>
      <c r="BZ3" s="277"/>
      <c r="CA3" s="277"/>
      <c r="CB3" s="277"/>
      <c r="CC3" s="277"/>
      <c r="CD3" s="277"/>
      <c r="CE3" s="277"/>
      <c r="CF3" s="277"/>
      <c r="CG3" s="277"/>
      <c r="CH3" s="277"/>
      <c r="CI3" s="277"/>
      <c r="CJ3" s="277"/>
      <c r="CK3" s="277"/>
      <c r="CL3" s="277"/>
      <c r="CM3" s="277"/>
      <c r="CN3" s="277"/>
      <c r="CO3" s="277"/>
      <c r="CP3" s="277"/>
      <c r="CQ3" s="277"/>
      <c r="CR3" s="277"/>
      <c r="CS3" s="277"/>
      <c r="CT3" s="277"/>
      <c r="CU3" s="277"/>
      <c r="CV3" s="277"/>
      <c r="CW3" s="277"/>
      <c r="CX3" s="277"/>
      <c r="CY3" s="277"/>
      <c r="CZ3" s="277"/>
      <c r="DA3" s="277"/>
      <c r="DB3" s="277"/>
      <c r="DC3" s="277"/>
      <c r="DD3" s="277"/>
      <c r="DE3" s="277"/>
      <c r="DF3" s="277"/>
      <c r="DG3" s="277"/>
      <c r="DH3" s="277"/>
      <c r="DI3" s="277"/>
      <c r="DJ3" s="277"/>
      <c r="DK3" s="277"/>
      <c r="DL3" s="277"/>
      <c r="DM3" s="277"/>
      <c r="DN3" s="277"/>
      <c r="DO3" s="277"/>
      <c r="DP3" s="277"/>
      <c r="DQ3" s="277"/>
      <c r="DR3" s="277"/>
      <c r="DS3" s="277"/>
      <c r="DT3" s="277"/>
      <c r="DU3" s="277"/>
      <c r="DV3" s="277"/>
      <c r="DW3" s="277"/>
      <c r="DX3" s="277"/>
      <c r="DY3" s="277"/>
      <c r="DZ3" s="277"/>
      <c r="EA3" s="277"/>
      <c r="EB3" s="277"/>
      <c r="EC3" s="277"/>
      <c r="ED3" s="277"/>
      <c r="EE3" s="277"/>
      <c r="EF3" s="277"/>
      <c r="EG3" s="277"/>
      <c r="EH3" s="277"/>
      <c r="EI3" s="277"/>
      <c r="EJ3" s="277"/>
      <c r="EK3" s="277"/>
      <c r="EL3" s="277"/>
      <c r="EM3" s="277"/>
      <c r="EN3" s="277"/>
      <c r="EO3" s="277"/>
      <c r="EP3" s="277"/>
      <c r="EQ3" s="277"/>
      <c r="ER3" s="277"/>
      <c r="ES3" s="277"/>
      <c r="ET3" s="277"/>
      <c r="EU3" s="277"/>
      <c r="EV3" s="277"/>
      <c r="EW3" s="277"/>
      <c r="EX3" s="277"/>
      <c r="EY3" s="277"/>
      <c r="EZ3" s="277"/>
      <c r="FA3" s="277"/>
      <c r="FB3" s="277"/>
      <c r="FC3" s="277"/>
      <c r="FD3" s="277"/>
      <c r="FE3" s="277"/>
      <c r="FF3" s="277"/>
      <c r="FG3" s="277"/>
      <c r="FH3" s="277"/>
      <c r="FI3" s="277"/>
      <c r="FJ3" s="277"/>
      <c r="FK3" s="277"/>
      <c r="FL3" s="277"/>
      <c r="FM3" s="277"/>
      <c r="FN3" s="277"/>
      <c r="FO3" s="277"/>
      <c r="FP3" s="277"/>
      <c r="FQ3" s="277"/>
      <c r="FR3" s="277"/>
      <c r="FS3" s="277"/>
      <c r="FT3" s="277"/>
      <c r="FU3" s="277"/>
      <c r="FV3" s="277"/>
      <c r="FW3" s="277"/>
      <c r="FX3" s="277"/>
      <c r="FY3" s="277"/>
      <c r="FZ3" s="277"/>
      <c r="GA3" s="277"/>
      <c r="GB3" s="277"/>
      <c r="GC3" s="277"/>
      <c r="GD3" s="277"/>
      <c r="GE3" s="277"/>
      <c r="GF3" s="277"/>
      <c r="GG3" s="277"/>
      <c r="GH3" s="277"/>
      <c r="GI3" s="277"/>
      <c r="GJ3" s="277"/>
      <c r="GK3" s="277"/>
      <c r="GL3" s="277"/>
      <c r="GM3" s="277"/>
      <c r="GN3" s="277"/>
      <c r="GO3" s="277"/>
      <c r="GP3" s="277"/>
      <c r="GQ3" s="277"/>
      <c r="GR3" s="277"/>
      <c r="GS3" s="277"/>
      <c r="GT3" s="277"/>
      <c r="GU3" s="277"/>
      <c r="GV3" s="277"/>
      <c r="GW3" s="277"/>
      <c r="GX3" s="277"/>
      <c r="GY3" s="277"/>
      <c r="GZ3" s="277"/>
      <c r="HA3" s="277"/>
      <c r="HB3" s="277"/>
      <c r="HC3" s="277"/>
      <c r="HD3" s="277"/>
      <c r="HE3" s="277"/>
      <c r="HF3" s="277"/>
      <c r="HG3" s="277"/>
      <c r="HH3" s="277"/>
      <c r="HI3" s="277"/>
      <c r="HJ3" s="277"/>
      <c r="HK3" s="277"/>
      <c r="HL3" s="277"/>
      <c r="HM3" s="277"/>
      <c r="HN3" s="277"/>
      <c r="HO3" s="277"/>
      <c r="HP3" s="277"/>
      <c r="HQ3" s="277"/>
      <c r="HR3" s="277"/>
      <c r="HS3" s="277"/>
      <c r="HT3" s="277"/>
      <c r="HU3" s="277"/>
      <c r="HV3" s="277"/>
      <c r="HW3" s="277"/>
      <c r="HX3" s="277"/>
      <c r="HY3" s="277"/>
      <c r="HZ3" s="277"/>
      <c r="IA3" s="277"/>
      <c r="IB3" s="277"/>
      <c r="IC3" s="277"/>
      <c r="ID3" s="277"/>
      <c r="IE3" s="277"/>
      <c r="IF3" s="277"/>
      <c r="IG3" s="277"/>
      <c r="IH3" s="277"/>
      <c r="II3" s="277"/>
      <c r="IJ3" s="277"/>
      <c r="IK3" s="277"/>
      <c r="IL3" s="277"/>
      <c r="IM3" s="277"/>
      <c r="IN3" s="277"/>
      <c r="IO3" s="277"/>
      <c r="IP3" s="277"/>
      <c r="IQ3" s="277"/>
      <c r="IR3" s="277"/>
      <c r="IS3" s="277"/>
      <c r="IT3" s="277"/>
      <c r="IU3" s="277"/>
      <c r="IV3" s="277"/>
      <c r="IW3" s="277"/>
      <c r="IX3" s="277"/>
      <c r="IY3" s="277"/>
      <c r="IZ3" s="277"/>
      <c r="JA3" s="277"/>
      <c r="JB3" s="277"/>
      <c r="JC3" s="277"/>
      <c r="JD3" s="277"/>
      <c r="JE3" s="277"/>
      <c r="JF3" s="277"/>
      <c r="JG3" s="277"/>
      <c r="JH3" s="277"/>
      <c r="JI3" s="277"/>
      <c r="JJ3" s="277"/>
      <c r="JK3" s="277"/>
      <c r="JL3" s="277"/>
      <c r="JM3" s="277"/>
      <c r="JN3" s="277"/>
      <c r="JO3" s="277"/>
      <c r="JP3" s="277"/>
      <c r="JQ3" s="277"/>
      <c r="JR3" s="277"/>
      <c r="JS3" s="277"/>
      <c r="JT3" s="277"/>
      <c r="JU3" s="277"/>
      <c r="JV3" s="277"/>
      <c r="JW3" s="277"/>
      <c r="JX3" s="277"/>
      <c r="JY3" s="277"/>
      <c r="JZ3" s="277"/>
      <c r="KA3" s="277"/>
      <c r="KB3" s="277"/>
      <c r="KC3" s="277"/>
      <c r="KD3" s="277"/>
      <c r="KE3" s="277"/>
      <c r="KF3" s="277"/>
      <c r="KG3" s="277"/>
      <c r="KH3" s="277"/>
      <c r="KI3" s="277"/>
      <c r="KJ3" s="277"/>
      <c r="KK3" s="277"/>
      <c r="KL3" s="277"/>
      <c r="KM3" s="277"/>
      <c r="KN3" s="277"/>
      <c r="KO3" s="277"/>
      <c r="KP3" s="277"/>
      <c r="KQ3" s="277"/>
      <c r="KR3" s="277"/>
      <c r="KS3" s="277"/>
      <c r="KT3" s="277"/>
      <c r="KU3" s="277"/>
      <c r="KV3" s="277"/>
      <c r="KW3" s="277"/>
      <c r="KX3" s="277"/>
      <c r="KY3" s="277"/>
      <c r="KZ3" s="277"/>
      <c r="LA3" s="277"/>
      <c r="LB3" s="277"/>
      <c r="LC3" s="277"/>
      <c r="LD3" s="277"/>
      <c r="LE3" s="277"/>
      <c r="LF3" s="277"/>
      <c r="LG3" s="277"/>
      <c r="LH3" s="277"/>
      <c r="LI3" s="277"/>
      <c r="LJ3" s="277"/>
      <c r="LK3" s="277"/>
      <c r="LL3" s="277"/>
      <c r="LM3" s="277"/>
      <c r="LN3" s="277"/>
      <c r="LO3" s="277"/>
      <c r="LP3" s="277"/>
      <c r="LQ3" s="277"/>
      <c r="LR3" s="277"/>
      <c r="LS3" s="277"/>
      <c r="LT3" s="277"/>
      <c r="LU3" s="277"/>
      <c r="LV3" s="277"/>
      <c r="LW3" s="277"/>
      <c r="LX3" s="277"/>
      <c r="LY3" s="277"/>
      <c r="LZ3" s="277"/>
      <c r="MA3" s="277"/>
      <c r="MB3" s="277"/>
      <c r="MC3" s="277"/>
      <c r="MD3" s="277"/>
      <c r="ME3" s="277"/>
      <c r="MF3" s="277"/>
      <c r="MG3" s="277"/>
      <c r="MH3" s="277"/>
      <c r="MI3" s="277"/>
      <c r="MJ3" s="277"/>
      <c r="MK3" s="277"/>
      <c r="ML3" s="277"/>
      <c r="MM3" s="277"/>
      <c r="MN3" s="277"/>
      <c r="MO3" s="277"/>
      <c r="MP3" s="277"/>
      <c r="MQ3" s="277"/>
      <c r="MR3" s="277"/>
      <c r="MS3" s="277"/>
      <c r="MT3" s="277"/>
      <c r="MU3" s="277"/>
      <c r="MV3" s="277"/>
      <c r="MW3" s="277"/>
      <c r="MX3" s="277"/>
      <c r="MY3" s="277"/>
      <c r="MZ3" s="277"/>
      <c r="NA3" s="277"/>
      <c r="NB3" s="277"/>
      <c r="NC3" s="277"/>
      <c r="ND3" s="277"/>
      <c r="NE3" s="277"/>
      <c r="NF3" s="277"/>
      <c r="NG3" s="277"/>
      <c r="NH3" s="277"/>
      <c r="NI3" s="277"/>
      <c r="NJ3" s="277"/>
      <c r="NK3" s="277"/>
      <c r="NL3" s="277"/>
      <c r="NM3" s="277"/>
      <c r="NN3" s="277"/>
      <c r="NO3" s="277"/>
      <c r="NP3" s="277"/>
      <c r="NQ3" s="277"/>
      <c r="NR3" s="277"/>
      <c r="NS3" s="277"/>
      <c r="NT3" s="277"/>
      <c r="NU3" s="277"/>
      <c r="NV3" s="277"/>
      <c r="NW3" s="277"/>
      <c r="NX3" s="277"/>
      <c r="NY3" s="277"/>
      <c r="NZ3" s="277"/>
      <c r="OA3" s="277"/>
      <c r="OB3" s="277"/>
      <c r="OC3" s="277"/>
      <c r="OD3" s="277"/>
      <c r="OE3" s="277"/>
      <c r="OF3" s="277"/>
      <c r="OG3" s="277"/>
      <c r="OH3" s="277"/>
      <c r="OI3" s="277"/>
      <c r="OJ3" s="277"/>
      <c r="OK3" s="277"/>
      <c r="OL3" s="277"/>
      <c r="OM3" s="277"/>
      <c r="ON3" s="277"/>
      <c r="OO3" s="277"/>
      <c r="OP3" s="277"/>
      <c r="OQ3" s="277"/>
      <c r="OR3" s="277"/>
      <c r="OS3" s="277"/>
      <c r="OT3" s="277"/>
      <c r="OU3" s="277"/>
      <c r="OV3" s="277"/>
      <c r="OW3" s="277"/>
      <c r="OX3" s="277"/>
      <c r="OY3" s="277"/>
      <c r="OZ3" s="277"/>
      <c r="PA3" s="277"/>
      <c r="PB3" s="277"/>
      <c r="PC3" s="277"/>
      <c r="PD3" s="277"/>
      <c r="PE3" s="277"/>
      <c r="PF3" s="277"/>
      <c r="PG3" s="277"/>
      <c r="PH3" s="277"/>
      <c r="PI3" s="277"/>
      <c r="PJ3" s="277"/>
      <c r="PK3" s="277"/>
      <c r="PL3" s="277"/>
      <c r="PM3" s="277"/>
      <c r="PN3" s="277"/>
      <c r="PO3" s="277"/>
      <c r="PP3" s="277"/>
      <c r="PQ3" s="277"/>
      <c r="PR3" s="277"/>
      <c r="PS3" s="277"/>
      <c r="PT3" s="277"/>
      <c r="PU3" s="277"/>
      <c r="PV3" s="277"/>
      <c r="PW3" s="277"/>
      <c r="PX3" s="277"/>
      <c r="PY3" s="277"/>
      <c r="PZ3" s="277"/>
      <c r="QA3" s="277"/>
      <c r="QB3" s="277"/>
      <c r="QC3" s="277"/>
      <c r="QD3" s="277"/>
      <c r="QE3" s="277"/>
      <c r="QF3" s="277"/>
      <c r="QG3" s="277"/>
      <c r="QH3" s="277"/>
      <c r="QI3" s="277"/>
      <c r="QJ3" s="277"/>
      <c r="QK3" s="277"/>
      <c r="QL3" s="277"/>
      <c r="QM3" s="277"/>
      <c r="QN3" s="277"/>
      <c r="QO3" s="277"/>
      <c r="QP3" s="277"/>
      <c r="QQ3" s="277"/>
      <c r="QR3" s="277"/>
      <c r="QS3" s="277"/>
      <c r="QT3" s="277"/>
      <c r="QU3" s="277"/>
      <c r="QV3" s="277"/>
      <c r="QW3" s="277"/>
      <c r="QX3" s="277"/>
      <c r="QY3" s="277"/>
      <c r="QZ3" s="277"/>
      <c r="RA3" s="277"/>
      <c r="RB3" s="277"/>
      <c r="RC3" s="277"/>
      <c r="RD3" s="277"/>
      <c r="RE3" s="277"/>
      <c r="RF3" s="277"/>
      <c r="RG3" s="277"/>
      <c r="RH3" s="277"/>
      <c r="RI3" s="277"/>
      <c r="RJ3" s="277"/>
      <c r="RK3" s="277"/>
      <c r="RL3" s="277"/>
      <c r="RM3" s="277"/>
      <c r="RN3" s="277"/>
      <c r="RO3" s="277"/>
      <c r="RP3" s="277"/>
      <c r="RQ3" s="277"/>
      <c r="RR3" s="277"/>
      <c r="RS3" s="277"/>
      <c r="RT3" s="277"/>
      <c r="RU3" s="277"/>
      <c r="RV3" s="277"/>
      <c r="RW3" s="277"/>
      <c r="RX3" s="277"/>
      <c r="RY3" s="277"/>
      <c r="RZ3" s="277"/>
      <c r="SA3" s="277"/>
      <c r="SB3" s="277"/>
      <c r="SC3" s="277"/>
      <c r="SD3" s="277"/>
      <c r="SE3" s="277"/>
      <c r="SF3" s="277"/>
      <c r="SG3" s="277"/>
      <c r="SH3" s="277"/>
      <c r="SI3" s="277"/>
      <c r="SJ3" s="277"/>
      <c r="SK3" s="277"/>
      <c r="SL3" s="277"/>
      <c r="SM3" s="277"/>
      <c r="SN3" s="277"/>
      <c r="SO3" s="277"/>
      <c r="SP3" s="277"/>
      <c r="SQ3" s="277"/>
      <c r="SR3" s="277"/>
      <c r="SS3" s="277"/>
      <c r="ST3" s="277"/>
      <c r="SU3" s="277"/>
      <c r="SV3" s="277"/>
      <c r="SW3" s="277"/>
      <c r="SX3" s="277"/>
      <c r="SY3" s="277"/>
      <c r="SZ3" s="277"/>
      <c r="TA3" s="277"/>
      <c r="TB3" s="277"/>
      <c r="TC3" s="277"/>
      <c r="TD3" s="277"/>
      <c r="TE3" s="277"/>
      <c r="TF3" s="277"/>
      <c r="TG3" s="277"/>
      <c r="TH3" s="277"/>
      <c r="TI3" s="277"/>
      <c r="TJ3" s="277"/>
      <c r="TK3" s="277"/>
      <c r="TL3" s="277"/>
      <c r="TM3" s="277"/>
      <c r="TN3" s="277"/>
      <c r="TO3" s="277"/>
      <c r="TP3" s="277"/>
      <c r="TQ3" s="277"/>
      <c r="TR3" s="277"/>
      <c r="TS3" s="277"/>
      <c r="TT3" s="277"/>
      <c r="TU3" s="277"/>
      <c r="TV3" s="277"/>
      <c r="TW3" s="277"/>
      <c r="TX3" s="277"/>
      <c r="TY3" s="277"/>
      <c r="TZ3" s="277"/>
      <c r="UA3" s="277"/>
      <c r="UB3" s="277"/>
      <c r="UC3" s="277"/>
      <c r="UD3" s="277"/>
      <c r="UE3" s="277"/>
      <c r="UF3" s="277"/>
      <c r="UG3" s="277"/>
      <c r="UH3" s="277"/>
      <c r="UI3" s="277"/>
      <c r="UJ3" s="277"/>
      <c r="UK3" s="277"/>
      <c r="UL3" s="277"/>
      <c r="UM3" s="277"/>
      <c r="UN3" s="277"/>
      <c r="UO3" s="277"/>
      <c r="UP3" s="277"/>
      <c r="UQ3" s="277"/>
      <c r="UR3" s="277"/>
      <c r="US3" s="277"/>
      <c r="UT3" s="277"/>
      <c r="UU3" s="277"/>
      <c r="UV3" s="277"/>
      <c r="UW3" s="277"/>
      <c r="UX3" s="277"/>
      <c r="UY3" s="277"/>
      <c r="UZ3" s="277"/>
      <c r="VA3" s="277"/>
      <c r="VB3" s="277"/>
      <c r="VC3" s="277"/>
      <c r="VD3" s="277"/>
      <c r="VE3" s="277"/>
      <c r="VF3" s="277"/>
      <c r="VG3" s="277"/>
      <c r="VH3" s="277"/>
      <c r="VI3" s="277"/>
      <c r="VJ3" s="277"/>
      <c r="VK3" s="277"/>
      <c r="VL3" s="277"/>
      <c r="VM3" s="277"/>
      <c r="VN3" s="277"/>
      <c r="VO3" s="277"/>
      <c r="VP3" s="277"/>
      <c r="VQ3" s="277"/>
      <c r="VR3" s="277"/>
      <c r="VS3" s="277"/>
      <c r="VT3" s="277"/>
      <c r="VU3" s="277"/>
      <c r="VV3" s="277"/>
      <c r="VW3" s="277"/>
      <c r="VX3" s="277"/>
      <c r="VY3" s="277"/>
      <c r="VZ3" s="277"/>
      <c r="WA3" s="277"/>
      <c r="WB3" s="277"/>
      <c r="WC3" s="277"/>
      <c r="WD3" s="277"/>
      <c r="WE3" s="277"/>
      <c r="WF3" s="277"/>
      <c r="WG3" s="277"/>
      <c r="WH3" s="277"/>
      <c r="WI3" s="277"/>
      <c r="WJ3" s="277"/>
      <c r="WK3" s="277"/>
      <c r="WL3" s="277"/>
      <c r="WM3" s="277"/>
      <c r="WN3" s="277"/>
      <c r="WO3" s="277"/>
      <c r="WP3" s="277"/>
      <c r="WQ3" s="277"/>
      <c r="WR3" s="277"/>
      <c r="WS3" s="277"/>
      <c r="WT3" s="277"/>
      <c r="WU3" s="277"/>
      <c r="WV3" s="277"/>
      <c r="WW3" s="277"/>
      <c r="WX3" s="277"/>
      <c r="WY3" s="277"/>
      <c r="WZ3" s="277"/>
      <c r="XA3" s="277"/>
      <c r="XB3" s="277"/>
      <c r="XC3" s="277"/>
      <c r="XD3" s="277"/>
      <c r="XE3" s="277"/>
      <c r="XF3" s="277"/>
      <c r="XG3" s="277"/>
      <c r="XH3" s="277"/>
      <c r="XI3" s="277"/>
      <c r="XJ3" s="277"/>
      <c r="XK3" s="277"/>
      <c r="XL3" s="277"/>
      <c r="XM3" s="277"/>
      <c r="XN3" s="277"/>
      <c r="XO3" s="277"/>
      <c r="XP3" s="277"/>
      <c r="XQ3" s="277"/>
      <c r="XR3" s="277"/>
      <c r="XS3" s="277"/>
      <c r="XT3" s="277"/>
      <c r="XU3" s="277"/>
      <c r="XV3" s="277"/>
      <c r="XW3" s="277"/>
      <c r="XX3" s="277"/>
      <c r="XY3" s="277"/>
      <c r="XZ3" s="277"/>
      <c r="YA3" s="277"/>
      <c r="YB3" s="277"/>
      <c r="YC3" s="277"/>
      <c r="YD3" s="277"/>
      <c r="YE3" s="277"/>
      <c r="YF3" s="277"/>
      <c r="YG3" s="277"/>
      <c r="YH3" s="277"/>
      <c r="YI3" s="277"/>
      <c r="YJ3" s="277"/>
      <c r="YK3" s="277"/>
      <c r="YL3" s="277"/>
      <c r="YM3" s="277"/>
      <c r="YN3" s="277"/>
      <c r="YO3" s="277"/>
      <c r="YP3" s="277"/>
      <c r="YQ3" s="277"/>
      <c r="YR3" s="277"/>
      <c r="YS3" s="277"/>
      <c r="YT3" s="277"/>
      <c r="YU3" s="277"/>
      <c r="YV3" s="277"/>
      <c r="YW3" s="277"/>
      <c r="YX3" s="277"/>
      <c r="YY3" s="277"/>
      <c r="YZ3" s="277"/>
      <c r="ZA3" s="277"/>
      <c r="ZB3" s="277"/>
      <c r="ZC3" s="277"/>
      <c r="ZD3" s="277"/>
      <c r="ZE3" s="277"/>
      <c r="ZF3" s="277"/>
      <c r="ZG3" s="277"/>
      <c r="ZH3" s="277"/>
      <c r="ZI3" s="277"/>
      <c r="ZJ3" s="277"/>
      <c r="ZK3" s="277"/>
      <c r="ZL3" s="277"/>
      <c r="ZM3" s="277"/>
      <c r="ZN3" s="277"/>
      <c r="ZO3" s="277"/>
      <c r="ZP3" s="277"/>
      <c r="ZQ3" s="277"/>
      <c r="ZR3" s="277"/>
      <c r="ZS3" s="277"/>
      <c r="ZT3" s="277"/>
      <c r="ZU3" s="277"/>
      <c r="ZV3" s="277"/>
      <c r="ZW3" s="277"/>
      <c r="ZX3" s="277"/>
      <c r="ZY3" s="277"/>
      <c r="ZZ3" s="277"/>
      <c r="AAA3" s="277"/>
      <c r="AAB3" s="277"/>
      <c r="AAC3" s="277"/>
      <c r="AAD3" s="277"/>
      <c r="AAE3" s="277"/>
      <c r="AAF3" s="277"/>
      <c r="AAG3" s="277"/>
      <c r="AAH3" s="277"/>
      <c r="AAI3" s="277"/>
      <c r="AAJ3" s="277"/>
      <c r="AAK3" s="277"/>
      <c r="AAL3" s="277"/>
      <c r="AAM3" s="277"/>
      <c r="AAN3" s="277"/>
      <c r="AAO3" s="277"/>
      <c r="AAP3" s="277"/>
      <c r="AAQ3" s="277"/>
      <c r="AAR3" s="277"/>
      <c r="AAS3" s="277"/>
      <c r="AAT3" s="277"/>
      <c r="AAU3" s="277"/>
      <c r="AAV3" s="277"/>
      <c r="AAW3" s="277"/>
      <c r="AAX3" s="277"/>
      <c r="AAY3" s="277"/>
      <c r="AAZ3" s="277"/>
      <c r="ABA3" s="277"/>
      <c r="ABB3" s="277"/>
      <c r="ABC3" s="277"/>
      <c r="ABD3" s="277"/>
      <c r="ABE3" s="277"/>
      <c r="ABF3" s="277"/>
      <c r="ABG3" s="277"/>
      <c r="ABH3" s="277"/>
      <c r="ABI3" s="277"/>
      <c r="ABJ3" s="277"/>
      <c r="ABK3" s="277"/>
      <c r="ABL3" s="277"/>
      <c r="ABM3" s="277"/>
      <c r="ABN3" s="277"/>
      <c r="ABO3" s="277"/>
      <c r="ABP3" s="277"/>
      <c r="ABQ3" s="277"/>
      <c r="ABR3" s="277"/>
      <c r="ABS3" s="277"/>
      <c r="ABT3" s="277"/>
      <c r="ABU3" s="277"/>
      <c r="ABV3" s="277"/>
      <c r="ABW3" s="277"/>
      <c r="ABX3" s="277"/>
      <c r="ABY3" s="277"/>
      <c r="ABZ3" s="277"/>
      <c r="ACA3" s="277"/>
      <c r="ACB3" s="277"/>
      <c r="ACC3" s="277"/>
      <c r="ACD3" s="277"/>
      <c r="ACE3" s="277"/>
      <c r="ACF3" s="277"/>
      <c r="ACG3" s="277"/>
      <c r="ACH3" s="277"/>
      <c r="ACI3" s="277"/>
      <c r="ACJ3" s="277"/>
      <c r="ACK3" s="277"/>
      <c r="ACL3" s="277"/>
      <c r="ACM3" s="277"/>
      <c r="ACN3" s="277"/>
      <c r="ACO3" s="277"/>
      <c r="ACP3" s="277"/>
      <c r="ACQ3" s="277"/>
      <c r="ACR3" s="277"/>
      <c r="ACS3" s="277"/>
      <c r="ACT3" s="277"/>
      <c r="ACU3" s="277"/>
      <c r="ACV3" s="277"/>
      <c r="ACW3" s="277"/>
      <c r="ACX3" s="277"/>
      <c r="ACY3" s="277"/>
      <c r="ACZ3" s="277"/>
      <c r="ADA3" s="277"/>
      <c r="ADB3" s="277"/>
      <c r="ADC3" s="277"/>
      <c r="ADD3" s="277"/>
      <c r="ADE3" s="277"/>
      <c r="ADF3" s="277"/>
      <c r="ADG3" s="277"/>
      <c r="ADH3" s="277"/>
      <c r="ADI3" s="277"/>
      <c r="ADJ3" s="277"/>
      <c r="ADK3" s="277"/>
      <c r="ADL3" s="277"/>
      <c r="ADM3" s="277"/>
      <c r="ADN3" s="277"/>
      <c r="ADO3" s="277"/>
      <c r="ADP3" s="277"/>
      <c r="ADQ3" s="277"/>
      <c r="ADR3" s="277"/>
      <c r="ADS3" s="277"/>
      <c r="ADT3" s="277"/>
      <c r="ADU3" s="277"/>
      <c r="ADV3" s="277"/>
      <c r="ADW3" s="277"/>
      <c r="ADX3" s="277"/>
      <c r="ADY3" s="277"/>
      <c r="ADZ3" s="277"/>
      <c r="AEA3" s="277"/>
      <c r="AEB3" s="277"/>
      <c r="AEC3" s="277"/>
      <c r="AED3" s="277"/>
      <c r="AEE3" s="277"/>
      <c r="AEF3" s="277"/>
      <c r="AEG3" s="277"/>
      <c r="AEH3" s="277"/>
      <c r="AEI3" s="277"/>
      <c r="AEJ3" s="277"/>
      <c r="AEK3" s="277"/>
      <c r="AEL3" s="277"/>
      <c r="AEM3" s="277"/>
      <c r="AEN3" s="277"/>
      <c r="AEO3" s="277"/>
      <c r="AEP3" s="277"/>
      <c r="AEQ3" s="277"/>
      <c r="AER3" s="277"/>
      <c r="AES3" s="277"/>
      <c r="AET3" s="277"/>
      <c r="AEU3" s="277"/>
      <c r="AEV3" s="277"/>
      <c r="AEW3" s="277"/>
      <c r="AEX3" s="277"/>
      <c r="AEY3" s="277"/>
      <c r="AEZ3" s="277"/>
      <c r="AFA3" s="277"/>
      <c r="AFB3" s="277"/>
      <c r="AFC3" s="277"/>
      <c r="AFD3" s="277"/>
      <c r="AFE3" s="277"/>
      <c r="AFF3" s="277"/>
      <c r="AFG3" s="277"/>
      <c r="AFH3" s="277"/>
      <c r="AFI3" s="277"/>
      <c r="AFJ3" s="277"/>
      <c r="AFK3" s="277"/>
      <c r="AFL3" s="277"/>
      <c r="AFM3" s="277"/>
      <c r="AFN3" s="277"/>
      <c r="AFO3" s="277"/>
      <c r="AFP3" s="277"/>
      <c r="AFQ3" s="277"/>
      <c r="AFR3" s="277"/>
      <c r="AFS3" s="277"/>
      <c r="AFT3" s="277"/>
      <c r="AFU3" s="277"/>
      <c r="AFV3" s="277"/>
      <c r="AFW3" s="277"/>
      <c r="AFX3" s="277"/>
      <c r="AFY3" s="277"/>
      <c r="AFZ3" s="277"/>
      <c r="AGA3" s="277"/>
      <c r="AGB3" s="277"/>
      <c r="AGC3" s="277"/>
      <c r="AGD3" s="277"/>
      <c r="AGE3" s="277"/>
      <c r="AGF3" s="277"/>
      <c r="AGG3" s="277"/>
      <c r="AGH3" s="277"/>
      <c r="AGI3" s="277"/>
      <c r="AGJ3" s="277"/>
      <c r="AGK3" s="277"/>
      <c r="AGL3" s="277"/>
      <c r="AGM3" s="277"/>
      <c r="AGN3" s="277"/>
      <c r="AGO3" s="277"/>
      <c r="AGP3" s="277"/>
      <c r="AGQ3" s="277"/>
      <c r="AGR3" s="277"/>
      <c r="AGS3" s="277"/>
      <c r="AGT3" s="277"/>
      <c r="AGU3" s="277"/>
      <c r="AGV3" s="277"/>
      <c r="AGW3" s="277"/>
      <c r="AGX3" s="277"/>
      <c r="AGY3" s="277"/>
      <c r="AGZ3" s="277"/>
      <c r="AHA3" s="277"/>
      <c r="AHB3" s="277"/>
      <c r="AHC3" s="277"/>
      <c r="AHD3" s="277"/>
      <c r="AHE3" s="277"/>
      <c r="AHF3" s="277"/>
      <c r="AHG3" s="277"/>
      <c r="AHH3" s="277"/>
      <c r="AHI3" s="277"/>
      <c r="AHJ3" s="277"/>
      <c r="AHK3" s="277"/>
      <c r="AHL3" s="277"/>
      <c r="AHM3" s="277"/>
      <c r="AHN3" s="277"/>
      <c r="AHO3" s="277"/>
      <c r="AHP3" s="277"/>
      <c r="AHQ3" s="277"/>
      <c r="AHR3" s="277"/>
      <c r="AHS3" s="277"/>
      <c r="AHT3" s="277"/>
      <c r="AHU3" s="277"/>
      <c r="AHV3" s="277"/>
      <c r="AHW3" s="277"/>
      <c r="AHX3" s="277"/>
      <c r="AHY3" s="277"/>
      <c r="AHZ3" s="277"/>
      <c r="AIA3" s="277"/>
      <c r="AIB3" s="277"/>
      <c r="AIC3" s="277"/>
      <c r="AID3" s="277"/>
      <c r="AIE3" s="277"/>
      <c r="AIF3" s="277"/>
      <c r="AIG3" s="277"/>
      <c r="AIH3" s="277"/>
      <c r="AII3" s="277"/>
      <c r="AIJ3" s="277"/>
      <c r="AIK3" s="277"/>
      <c r="AIL3" s="277"/>
      <c r="AIM3" s="277"/>
      <c r="AIN3" s="277"/>
      <c r="AIO3" s="277"/>
      <c r="AIP3" s="277"/>
      <c r="AIQ3" s="277"/>
      <c r="AIR3" s="277"/>
      <c r="AIS3" s="277"/>
      <c r="AIT3" s="277"/>
      <c r="AIU3" s="277"/>
      <c r="AIV3" s="277"/>
      <c r="AIW3" s="277"/>
      <c r="AIX3" s="277"/>
      <c r="AIY3" s="277"/>
      <c r="AIZ3" s="277"/>
      <c r="AJA3" s="277"/>
      <c r="AJB3" s="277"/>
      <c r="AJC3" s="277"/>
      <c r="AJD3" s="277"/>
      <c r="AJE3" s="277"/>
      <c r="AJF3" s="277"/>
      <c r="AJG3" s="277"/>
      <c r="AJH3" s="277"/>
      <c r="AJI3" s="277"/>
      <c r="AJJ3" s="277"/>
      <c r="AJK3" s="277"/>
      <c r="AJL3" s="277"/>
      <c r="AJM3" s="277"/>
      <c r="AJN3" s="277"/>
      <c r="AJO3" s="277"/>
      <c r="AJP3" s="277"/>
      <c r="AJQ3" s="277"/>
      <c r="AJR3" s="277"/>
      <c r="AJS3" s="277"/>
      <c r="AJT3" s="277"/>
      <c r="AJU3" s="277"/>
      <c r="AJV3" s="277"/>
      <c r="AJW3" s="277"/>
      <c r="AJX3" s="277"/>
      <c r="AJY3" s="277"/>
      <c r="AJZ3" s="277"/>
      <c r="AKA3" s="277"/>
      <c r="AKB3" s="277"/>
      <c r="AKC3" s="277"/>
      <c r="AKD3" s="277"/>
      <c r="AKE3" s="277"/>
      <c r="AKF3" s="277"/>
      <c r="AKG3" s="277"/>
      <c r="AKH3" s="277"/>
      <c r="AKI3" s="277"/>
      <c r="AKJ3" s="277"/>
      <c r="AKK3" s="277"/>
      <c r="AKL3" s="277"/>
      <c r="AKM3" s="277"/>
      <c r="AKN3" s="277"/>
      <c r="AKO3" s="277"/>
      <c r="AKP3" s="277"/>
      <c r="AKQ3" s="277"/>
      <c r="AKR3" s="277"/>
      <c r="AKS3" s="277"/>
      <c r="AKT3" s="277"/>
      <c r="AKU3" s="277"/>
      <c r="AKV3" s="277"/>
      <c r="AKW3" s="277"/>
      <c r="AKX3" s="277"/>
      <c r="AKY3" s="277"/>
      <c r="AKZ3" s="277"/>
      <c r="ALA3" s="277"/>
      <c r="ALB3" s="277"/>
      <c r="ALC3" s="277"/>
      <c r="ALD3" s="277"/>
      <c r="ALE3" s="277"/>
      <c r="ALF3" s="277"/>
      <c r="ALG3" s="277"/>
      <c r="ALH3" s="277"/>
      <c r="ALI3" s="277"/>
      <c r="ALJ3" s="277"/>
      <c r="ALK3" s="277"/>
      <c r="ALL3" s="277"/>
      <c r="ALM3" s="277"/>
      <c r="ALN3" s="277"/>
      <c r="ALO3" s="277"/>
      <c r="ALP3" s="277"/>
      <c r="ALQ3" s="277"/>
      <c r="ALR3" s="277"/>
      <c r="ALS3" s="277"/>
      <c r="ALT3" s="277"/>
      <c r="ALU3" s="277"/>
      <c r="ALV3" s="277"/>
      <c r="ALW3" s="277"/>
      <c r="ALX3" s="277"/>
      <c r="ALY3" s="277"/>
      <c r="ALZ3" s="277"/>
      <c r="AMA3" s="277"/>
      <c r="AMB3" s="277"/>
      <c r="AMC3" s="277"/>
      <c r="AMD3" s="277"/>
      <c r="AME3" s="277"/>
      <c r="AMF3" s="277"/>
      <c r="AMG3" s="277"/>
      <c r="AMH3" s="277"/>
      <c r="AMI3" s="277"/>
      <c r="AMJ3" s="277"/>
      <c r="AMK3" s="277"/>
      <c r="AML3" s="277"/>
    </row>
    <row r="4" spans="1:1026" ht="15" customHeight="1">
      <c r="A4" t="s">
        <v>90</v>
      </c>
      <c r="B4" t="s">
        <v>89</v>
      </c>
      <c r="C4">
        <v>404</v>
      </c>
      <c r="D4" t="s">
        <v>163</v>
      </c>
      <c r="E4">
        <v>2014</v>
      </c>
      <c r="F4">
        <v>2014.375</v>
      </c>
      <c r="G4">
        <v>2014.791667</v>
      </c>
      <c r="H4">
        <v>2014.541667</v>
      </c>
      <c r="I4" t="s">
        <v>257</v>
      </c>
      <c r="J4" t="s">
        <v>122</v>
      </c>
      <c r="K4" t="s">
        <v>270</v>
      </c>
      <c r="L4" t="s">
        <v>260</v>
      </c>
      <c r="M4" t="s">
        <v>258</v>
      </c>
      <c r="P4">
        <v>1</v>
      </c>
      <c r="Q4">
        <v>2013</v>
      </c>
      <c r="R4">
        <v>2013</v>
      </c>
      <c r="S4">
        <v>1</v>
      </c>
      <c r="T4">
        <v>2013.5</v>
      </c>
      <c r="U4">
        <v>49.39</v>
      </c>
      <c r="V4">
        <v>4.3899999999999997</v>
      </c>
      <c r="X4" t="s">
        <v>271</v>
      </c>
      <c r="Y4">
        <v>0</v>
      </c>
      <c r="AD4" t="s">
        <v>272</v>
      </c>
      <c r="AE4">
        <v>1</v>
      </c>
      <c r="AK4" t="s">
        <v>273</v>
      </c>
      <c r="AL4" t="s">
        <v>256</v>
      </c>
      <c r="AP4">
        <v>1</v>
      </c>
    </row>
    <row r="5" spans="1:1026" ht="15" customHeight="1">
      <c r="A5" t="s">
        <v>90</v>
      </c>
      <c r="B5" t="s">
        <v>89</v>
      </c>
      <c r="C5">
        <v>404</v>
      </c>
      <c r="D5" t="s">
        <v>163</v>
      </c>
      <c r="E5">
        <v>2014</v>
      </c>
      <c r="F5">
        <v>2014.375</v>
      </c>
      <c r="G5">
        <v>2014.791667</v>
      </c>
      <c r="H5">
        <v>2014.541667</v>
      </c>
      <c r="I5" t="s">
        <v>257</v>
      </c>
      <c r="J5" t="s">
        <v>122</v>
      </c>
      <c r="K5" t="s">
        <v>270</v>
      </c>
      <c r="L5" t="s">
        <v>260</v>
      </c>
      <c r="M5" t="s">
        <v>258</v>
      </c>
      <c r="P5">
        <v>1</v>
      </c>
      <c r="Q5">
        <v>2012</v>
      </c>
      <c r="R5">
        <v>2012</v>
      </c>
      <c r="S5">
        <v>1</v>
      </c>
      <c r="T5">
        <v>2012.5</v>
      </c>
      <c r="U5">
        <v>51.73</v>
      </c>
      <c r="V5">
        <v>4.9400000000000004</v>
      </c>
      <c r="X5" t="s">
        <v>271</v>
      </c>
      <c r="Y5">
        <v>0</v>
      </c>
      <c r="AD5" t="s">
        <v>272</v>
      </c>
      <c r="AE5">
        <v>1</v>
      </c>
      <c r="AK5" t="s">
        <v>273</v>
      </c>
      <c r="AL5" t="s">
        <v>256</v>
      </c>
      <c r="AP5">
        <v>1</v>
      </c>
    </row>
    <row r="6" spans="1:1026" ht="15" customHeight="1">
      <c r="A6" t="s">
        <v>90</v>
      </c>
      <c r="B6" t="s">
        <v>89</v>
      </c>
      <c r="C6">
        <v>404</v>
      </c>
      <c r="D6" t="s">
        <v>163</v>
      </c>
      <c r="E6">
        <v>2014</v>
      </c>
      <c r="F6">
        <v>2014.375</v>
      </c>
      <c r="G6">
        <v>2014.791667</v>
      </c>
      <c r="H6">
        <v>2014.541667</v>
      </c>
      <c r="I6" t="s">
        <v>257</v>
      </c>
      <c r="J6" t="s">
        <v>122</v>
      </c>
      <c r="K6" t="s">
        <v>270</v>
      </c>
      <c r="L6" t="s">
        <v>260</v>
      </c>
      <c r="M6" t="s">
        <v>258</v>
      </c>
      <c r="P6">
        <v>1</v>
      </c>
      <c r="Q6">
        <v>2011</v>
      </c>
      <c r="R6">
        <v>2011</v>
      </c>
      <c r="S6">
        <v>1</v>
      </c>
      <c r="T6">
        <v>2011.5</v>
      </c>
      <c r="U6">
        <v>50.43</v>
      </c>
      <c r="V6">
        <v>4.6100000000000003</v>
      </c>
      <c r="X6" t="s">
        <v>271</v>
      </c>
      <c r="Y6">
        <v>0</v>
      </c>
      <c r="AD6" t="s">
        <v>272</v>
      </c>
      <c r="AE6">
        <v>1</v>
      </c>
      <c r="AK6" t="s">
        <v>273</v>
      </c>
      <c r="AL6" t="s">
        <v>256</v>
      </c>
      <c r="AP6">
        <v>1</v>
      </c>
    </row>
    <row r="7" spans="1:1026" s="46" customFormat="1" ht="15" customHeight="1">
      <c r="A7" t="s">
        <v>90</v>
      </c>
      <c r="B7" t="s">
        <v>89</v>
      </c>
      <c r="C7">
        <v>404</v>
      </c>
      <c r="D7" t="s">
        <v>163</v>
      </c>
      <c r="E7">
        <v>2014</v>
      </c>
      <c r="F7">
        <v>2014.375</v>
      </c>
      <c r="G7">
        <v>2014.791667</v>
      </c>
      <c r="H7">
        <v>2014.541667</v>
      </c>
      <c r="I7" t="s">
        <v>257</v>
      </c>
      <c r="J7" t="s">
        <v>122</v>
      </c>
      <c r="K7" t="s">
        <v>270</v>
      </c>
      <c r="L7" t="s">
        <v>260</v>
      </c>
      <c r="M7" t="s">
        <v>258</v>
      </c>
      <c r="N7"/>
      <c r="O7"/>
      <c r="P7">
        <v>1</v>
      </c>
      <c r="Q7">
        <v>2010</v>
      </c>
      <c r="R7">
        <v>2010</v>
      </c>
      <c r="S7">
        <v>1</v>
      </c>
      <c r="T7">
        <v>2010.5</v>
      </c>
      <c r="U7">
        <v>50.57</v>
      </c>
      <c r="V7">
        <v>4.28</v>
      </c>
      <c r="W7"/>
      <c r="X7" t="s">
        <v>271</v>
      </c>
      <c r="Y7">
        <v>0</v>
      </c>
      <c r="Z7"/>
      <c r="AA7"/>
      <c r="AB7"/>
      <c r="AC7"/>
      <c r="AD7" t="s">
        <v>272</v>
      </c>
      <c r="AE7">
        <v>1</v>
      </c>
      <c r="AF7"/>
      <c r="AG7"/>
      <c r="AH7"/>
      <c r="AI7"/>
      <c r="AJ7"/>
      <c r="AK7" t="s">
        <v>273</v>
      </c>
      <c r="AL7" t="s">
        <v>256</v>
      </c>
      <c r="AM7"/>
      <c r="AN7"/>
      <c r="AO7"/>
      <c r="AP7">
        <v>1</v>
      </c>
    </row>
    <row r="8" spans="1:1026" s="46" customFormat="1" ht="15" customHeight="1">
      <c r="A8" t="s">
        <v>90</v>
      </c>
      <c r="B8" t="s">
        <v>89</v>
      </c>
      <c r="C8">
        <v>404</v>
      </c>
      <c r="D8" t="s">
        <v>163</v>
      </c>
      <c r="E8">
        <v>2014</v>
      </c>
      <c r="F8">
        <v>2014.375</v>
      </c>
      <c r="G8">
        <v>2014.791667</v>
      </c>
      <c r="H8">
        <v>2014.541667</v>
      </c>
      <c r="I8" t="s">
        <v>257</v>
      </c>
      <c r="J8" t="s">
        <v>122</v>
      </c>
      <c r="K8" t="s">
        <v>270</v>
      </c>
      <c r="L8" t="s">
        <v>260</v>
      </c>
      <c r="M8" t="s">
        <v>258</v>
      </c>
      <c r="N8"/>
      <c r="O8"/>
      <c r="P8">
        <v>1</v>
      </c>
      <c r="Q8">
        <v>2009</v>
      </c>
      <c r="R8">
        <v>2009</v>
      </c>
      <c r="S8">
        <v>1</v>
      </c>
      <c r="T8">
        <v>2009.5</v>
      </c>
      <c r="U8">
        <v>53.22</v>
      </c>
      <c r="V8">
        <v>4.46</v>
      </c>
      <c r="W8"/>
      <c r="X8" t="s">
        <v>271</v>
      </c>
      <c r="Y8">
        <v>0</v>
      </c>
      <c r="Z8"/>
      <c r="AA8"/>
      <c r="AB8"/>
      <c r="AC8"/>
      <c r="AD8" t="s">
        <v>272</v>
      </c>
      <c r="AE8">
        <v>1</v>
      </c>
      <c r="AF8"/>
      <c r="AG8"/>
      <c r="AH8"/>
      <c r="AI8"/>
      <c r="AJ8"/>
      <c r="AK8" t="s">
        <v>273</v>
      </c>
      <c r="AL8" t="s">
        <v>256</v>
      </c>
      <c r="AM8"/>
      <c r="AN8"/>
      <c r="AO8"/>
      <c r="AP8">
        <v>1</v>
      </c>
    </row>
    <row r="9" spans="1:1026" s="46" customFormat="1" ht="15" customHeight="1">
      <c r="A9" t="s">
        <v>90</v>
      </c>
      <c r="B9" t="s">
        <v>89</v>
      </c>
      <c r="C9">
        <v>404</v>
      </c>
      <c r="D9" t="s">
        <v>163</v>
      </c>
      <c r="E9">
        <v>2014</v>
      </c>
      <c r="F9">
        <v>2014.375</v>
      </c>
      <c r="G9">
        <v>2014.791667</v>
      </c>
      <c r="H9">
        <v>2014.541667</v>
      </c>
      <c r="I9" t="s">
        <v>257</v>
      </c>
      <c r="J9" t="s">
        <v>122</v>
      </c>
      <c r="K9" t="s">
        <v>270</v>
      </c>
      <c r="L9" t="s">
        <v>260</v>
      </c>
      <c r="M9" t="s">
        <v>258</v>
      </c>
      <c r="N9"/>
      <c r="O9"/>
      <c r="P9">
        <v>1</v>
      </c>
      <c r="Q9">
        <v>2008</v>
      </c>
      <c r="R9">
        <v>2008</v>
      </c>
      <c r="S9">
        <v>1</v>
      </c>
      <c r="T9">
        <v>2008.5</v>
      </c>
      <c r="U9">
        <v>65.709999999999994</v>
      </c>
      <c r="V9">
        <v>5.91</v>
      </c>
      <c r="W9"/>
      <c r="X9" t="s">
        <v>271</v>
      </c>
      <c r="Y9">
        <v>0</v>
      </c>
      <c r="Z9"/>
      <c r="AA9"/>
      <c r="AB9"/>
      <c r="AC9"/>
      <c r="AD9" t="s">
        <v>272</v>
      </c>
      <c r="AE9">
        <v>1</v>
      </c>
      <c r="AF9"/>
      <c r="AG9"/>
      <c r="AH9"/>
      <c r="AI9"/>
      <c r="AJ9"/>
      <c r="AK9" t="s">
        <v>273</v>
      </c>
      <c r="AL9" t="s">
        <v>256</v>
      </c>
      <c r="AM9"/>
      <c r="AN9"/>
      <c r="AO9"/>
      <c r="AP9">
        <v>1</v>
      </c>
    </row>
    <row r="10" spans="1:1026" s="46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1026" s="46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30" spans="1:41" ht="15.75">
      <c r="A30" s="278" t="s">
        <v>254</v>
      </c>
      <c r="B30" s="278"/>
      <c r="C30" s="279"/>
      <c r="D30" s="278"/>
      <c r="E30" s="278"/>
      <c r="F30" s="280"/>
      <c r="G30" s="280"/>
      <c r="H30" s="280"/>
      <c r="I30" s="278"/>
      <c r="J30" s="278"/>
      <c r="K30" s="278"/>
      <c r="L30" s="278"/>
      <c r="M30" s="278"/>
      <c r="N30" s="278"/>
      <c r="O30" s="281"/>
      <c r="P30" s="278"/>
      <c r="Q30" s="280"/>
      <c r="R30" s="280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</row>
    <row r="31" spans="1:41">
      <c r="A31" t="str">
        <f t="shared" ref="A31" si="0">IF(A4&lt;&gt;"",A4,"")</f>
        <v>Kenya</v>
      </c>
      <c r="B31" t="str">
        <f t="shared" ref="B31:C31" si="1">IF(B4&lt;&gt;"",B4,"")</f>
        <v>KEN</v>
      </c>
      <c r="C31">
        <f t="shared" si="1"/>
        <v>404</v>
      </c>
      <c r="D31" t="str">
        <f>IF(D4&lt;&gt;"",CONCATENATE(D4," (MM adjusted)"),"")</f>
        <v>Demographic and Health Survey (MM adjusted)</v>
      </c>
      <c r="E31">
        <f t="shared" ref="E31:T31" si="2">IF(E4&lt;&gt;"",E4,"")</f>
        <v>2014</v>
      </c>
      <c r="F31">
        <f t="shared" si="2"/>
        <v>2014.375</v>
      </c>
      <c r="G31">
        <f t="shared" si="2"/>
        <v>2014.791667</v>
      </c>
      <c r="H31">
        <f t="shared" si="2"/>
        <v>2014.541667</v>
      </c>
      <c r="I31" t="str">
        <f t="shared" si="2"/>
        <v>Under-five Mortality Rate</v>
      </c>
      <c r="J31" t="str">
        <f t="shared" si="2"/>
        <v>Total</v>
      </c>
      <c r="K31" t="str">
        <f t="shared" si="2"/>
        <v>Direct (Various periods)</v>
      </c>
      <c r="L31" t="str">
        <f t="shared" si="2"/>
        <v>DHS</v>
      </c>
      <c r="M31" t="str">
        <f t="shared" si="2"/>
        <v>Full Birth Histories</v>
      </c>
      <c r="N31" t="str">
        <f t="shared" si="2"/>
        <v/>
      </c>
      <c r="O31" t="str">
        <f t="shared" si="2"/>
        <v/>
      </c>
      <c r="P31">
        <f t="shared" si="2"/>
        <v>1</v>
      </c>
      <c r="Q31">
        <f t="shared" si="2"/>
        <v>2013</v>
      </c>
      <c r="R31">
        <f t="shared" si="2"/>
        <v>2013</v>
      </c>
      <c r="S31">
        <f t="shared" si="2"/>
        <v>1</v>
      </c>
      <c r="T31">
        <f t="shared" si="2"/>
        <v>2013.5</v>
      </c>
      <c r="U31" s="247">
        <f ca="1">IF('output Corrected U5MR'!F2&lt;&gt;0,'output Corrected U5MR'!F2,"")</f>
        <v>49.948536210866905</v>
      </c>
      <c r="V31">
        <f ca="1">'output Corrected U5MR'!G2</f>
        <v>4.4396451501458936</v>
      </c>
      <c r="W31" s="247" t="str">
        <f t="shared" ref="W31:W42" ca="1" si="3">IF(U4&lt;&gt;U31,"MM adjustment","")</f>
        <v>MM adjustment</v>
      </c>
      <c r="X31" t="str">
        <f t="shared" ref="X31:X55" si="4">IF(X4&lt;&gt;"",X4,"")</f>
        <v>Computed from microdata</v>
      </c>
      <c r="Y31">
        <v>1</v>
      </c>
      <c r="Z31" t="str">
        <f t="shared" ref="Z31:AC42" si="5">IF(Z4&lt;&gt;"",Z4,"")</f>
        <v/>
      </c>
      <c r="AA31" t="str">
        <f>IF(AA4&lt;&gt;"",AA4,"")</f>
        <v/>
      </c>
      <c r="AB31" t="str">
        <f t="shared" si="5"/>
        <v/>
      </c>
      <c r="AC31" t="str">
        <f t="shared" si="5"/>
        <v/>
      </c>
      <c r="AD31" s="286" t="s">
        <v>262</v>
      </c>
      <c r="AE31">
        <v>1</v>
      </c>
      <c r="AF31" t="str">
        <f t="shared" ref="AF31:AH34" si="6">IF(AF4&lt;&gt;"",AF4,"")</f>
        <v/>
      </c>
      <c r="AG31" t="str">
        <f t="shared" si="6"/>
        <v/>
      </c>
      <c r="AH31" t="str">
        <f t="shared" si="6"/>
        <v/>
      </c>
      <c r="AI31" t="str">
        <f t="shared" ref="AI31:AJ31" si="7">IF(AI4&lt;&gt;"",AI4,"")</f>
        <v/>
      </c>
      <c r="AJ31" t="str">
        <f t="shared" si="7"/>
        <v/>
      </c>
      <c r="AK31" t="s">
        <v>263</v>
      </c>
      <c r="AL31" t="str">
        <f t="shared" ref="AL31" si="8">IF(AL4&lt;&gt;"",AL4,"")</f>
        <v>UNICEF HQ</v>
      </c>
      <c r="AO31">
        <v>2016</v>
      </c>
    </row>
    <row r="32" spans="1:41">
      <c r="A32" t="str">
        <f t="shared" ref="A32" si="9">IF(A5&lt;&gt;"",A5,"")</f>
        <v>Kenya</v>
      </c>
      <c r="B32" t="str">
        <f t="shared" ref="B32:C32" si="10">IF(B5&lt;&gt;"",B5,"")</f>
        <v>KEN</v>
      </c>
      <c r="C32">
        <f t="shared" si="10"/>
        <v>404</v>
      </c>
      <c r="D32" t="str">
        <f t="shared" ref="D32:D55" si="11">IF(D5&lt;&gt;"",CONCATENATE(D5," (MM adjusted)"),"")</f>
        <v>Demographic and Health Survey (MM adjusted)</v>
      </c>
      <c r="E32">
        <f t="shared" ref="E32:T32" si="12">IF(E5&lt;&gt;"",E5,"")</f>
        <v>2014</v>
      </c>
      <c r="F32">
        <f t="shared" si="12"/>
        <v>2014.375</v>
      </c>
      <c r="G32">
        <f t="shared" si="12"/>
        <v>2014.791667</v>
      </c>
      <c r="H32">
        <f t="shared" si="12"/>
        <v>2014.541667</v>
      </c>
      <c r="I32" t="str">
        <f t="shared" si="12"/>
        <v>Under-five Mortality Rate</v>
      </c>
      <c r="J32" t="str">
        <f t="shared" si="12"/>
        <v>Total</v>
      </c>
      <c r="K32" t="str">
        <f t="shared" si="12"/>
        <v>Direct (Various periods)</v>
      </c>
      <c r="L32" t="str">
        <f t="shared" si="12"/>
        <v>DHS</v>
      </c>
      <c r="M32" t="str">
        <f t="shared" si="12"/>
        <v>Full Birth Histories</v>
      </c>
      <c r="N32" t="str">
        <f t="shared" si="12"/>
        <v/>
      </c>
      <c r="O32" t="str">
        <f t="shared" si="12"/>
        <v/>
      </c>
      <c r="P32">
        <f t="shared" si="12"/>
        <v>1</v>
      </c>
      <c r="Q32">
        <f t="shared" si="12"/>
        <v>2012</v>
      </c>
      <c r="R32">
        <f t="shared" si="12"/>
        <v>2012</v>
      </c>
      <c r="S32">
        <f t="shared" si="12"/>
        <v>1</v>
      </c>
      <c r="T32">
        <f t="shared" si="12"/>
        <v>2012.5</v>
      </c>
      <c r="U32" s="247">
        <f ca="1">IF('output Corrected U5MR'!F3&lt;&gt;0,'output Corrected U5MR'!F3,"")</f>
        <v>52.555089744912692</v>
      </c>
      <c r="V32">
        <f ca="1">'output Corrected U5MR'!G3</f>
        <v>5.0187926414047688</v>
      </c>
      <c r="W32" s="247" t="str">
        <f t="shared" ca="1" si="3"/>
        <v>MM adjustment</v>
      </c>
      <c r="X32" t="str">
        <f t="shared" si="4"/>
        <v>Computed from microdata</v>
      </c>
      <c r="Y32">
        <v>1</v>
      </c>
      <c r="Z32" t="str">
        <f t="shared" si="5"/>
        <v/>
      </c>
      <c r="AA32" t="str">
        <f t="shared" si="5"/>
        <v/>
      </c>
      <c r="AB32" t="str">
        <f t="shared" si="5"/>
        <v/>
      </c>
      <c r="AC32" t="str">
        <f t="shared" si="5"/>
        <v/>
      </c>
      <c r="AD32" s="286" t="s">
        <v>262</v>
      </c>
      <c r="AE32">
        <v>1</v>
      </c>
      <c r="AF32" t="str">
        <f t="shared" si="6"/>
        <v/>
      </c>
      <c r="AG32" t="str">
        <f t="shared" si="6"/>
        <v/>
      </c>
      <c r="AH32" t="str">
        <f t="shared" si="6"/>
        <v/>
      </c>
      <c r="AI32" t="str">
        <f t="shared" ref="AI32:AJ32" si="13">IF(AI5&lt;&gt;"",AI5,"")</f>
        <v/>
      </c>
      <c r="AJ32" t="str">
        <f t="shared" si="13"/>
        <v/>
      </c>
      <c r="AK32" t="s">
        <v>263</v>
      </c>
      <c r="AL32" t="str">
        <f t="shared" ref="AL32" si="14">IF(AL5&lt;&gt;"",AL5,"")</f>
        <v>UNICEF HQ</v>
      </c>
      <c r="AO32">
        <v>2016</v>
      </c>
    </row>
    <row r="33" spans="1:41">
      <c r="A33" t="str">
        <f t="shared" ref="A33" si="15">IF(A6&lt;&gt;"",A6,"")</f>
        <v>Kenya</v>
      </c>
      <c r="B33" t="str">
        <f t="shared" ref="B33:C33" si="16">IF(B6&lt;&gt;"",B6,"")</f>
        <v>KEN</v>
      </c>
      <c r="C33">
        <f t="shared" si="16"/>
        <v>404</v>
      </c>
      <c r="D33" t="str">
        <f t="shared" si="11"/>
        <v>Demographic and Health Survey (MM adjusted)</v>
      </c>
      <c r="E33">
        <f t="shared" ref="E33:T33" si="17">IF(E6&lt;&gt;"",E6,"")</f>
        <v>2014</v>
      </c>
      <c r="F33">
        <f t="shared" si="17"/>
        <v>2014.375</v>
      </c>
      <c r="G33">
        <f t="shared" si="17"/>
        <v>2014.791667</v>
      </c>
      <c r="H33">
        <f t="shared" si="17"/>
        <v>2014.541667</v>
      </c>
      <c r="I33" t="str">
        <f t="shared" si="17"/>
        <v>Under-five Mortality Rate</v>
      </c>
      <c r="J33" t="str">
        <f t="shared" si="17"/>
        <v>Total</v>
      </c>
      <c r="K33" t="str">
        <f t="shared" si="17"/>
        <v>Direct (Various periods)</v>
      </c>
      <c r="L33" t="str">
        <f t="shared" si="17"/>
        <v>DHS</v>
      </c>
      <c r="M33" t="str">
        <f t="shared" si="17"/>
        <v>Full Birth Histories</v>
      </c>
      <c r="N33" t="str">
        <f t="shared" si="17"/>
        <v/>
      </c>
      <c r="O33" t="str">
        <f t="shared" si="17"/>
        <v/>
      </c>
      <c r="P33">
        <f t="shared" si="17"/>
        <v>1</v>
      </c>
      <c r="Q33">
        <f t="shared" si="17"/>
        <v>2011</v>
      </c>
      <c r="R33">
        <f t="shared" si="17"/>
        <v>2011</v>
      </c>
      <c r="S33">
        <f t="shared" si="17"/>
        <v>1</v>
      </c>
      <c r="T33">
        <f t="shared" si="17"/>
        <v>2011.5</v>
      </c>
      <c r="U33" s="247">
        <f ca="1">IF('output Corrected U5MR'!F4&lt;&gt;0,'output Corrected U5MR'!F4,"")</f>
        <v>51.486971177334382</v>
      </c>
      <c r="V33">
        <f ca="1">'output Corrected U5MR'!G4</f>
        <v>4.7066217951122651</v>
      </c>
      <c r="W33" s="247" t="str">
        <f t="shared" ca="1" si="3"/>
        <v>MM adjustment</v>
      </c>
      <c r="X33" t="str">
        <f t="shared" si="4"/>
        <v>Computed from microdata</v>
      </c>
      <c r="Y33">
        <v>1</v>
      </c>
      <c r="Z33" t="str">
        <f t="shared" si="5"/>
        <v/>
      </c>
      <c r="AA33" t="str">
        <f t="shared" si="5"/>
        <v/>
      </c>
      <c r="AB33" t="str">
        <f t="shared" si="5"/>
        <v/>
      </c>
      <c r="AC33" t="str">
        <f t="shared" si="5"/>
        <v/>
      </c>
      <c r="AD33" s="286" t="s">
        <v>262</v>
      </c>
      <c r="AE33">
        <v>1</v>
      </c>
      <c r="AF33" t="str">
        <f t="shared" si="6"/>
        <v/>
      </c>
      <c r="AG33" t="str">
        <f t="shared" si="6"/>
        <v/>
      </c>
      <c r="AH33" t="str">
        <f t="shared" si="6"/>
        <v/>
      </c>
      <c r="AI33" t="str">
        <f t="shared" ref="AI33:AJ33" si="18">IF(AI6&lt;&gt;"",AI6,"")</f>
        <v/>
      </c>
      <c r="AJ33" t="str">
        <f t="shared" si="18"/>
        <v/>
      </c>
      <c r="AK33" t="s">
        <v>263</v>
      </c>
      <c r="AL33" t="str">
        <f t="shared" ref="AL33" si="19">IF(AL6&lt;&gt;"",AL6,"")</f>
        <v>UNICEF HQ</v>
      </c>
      <c r="AO33">
        <v>2016</v>
      </c>
    </row>
    <row r="34" spans="1:41">
      <c r="A34" t="str">
        <f t="shared" ref="A34" si="20">IF(A7&lt;&gt;"",A7,"")</f>
        <v>Kenya</v>
      </c>
      <c r="B34" t="str">
        <f t="shared" ref="B34:C34" si="21">IF(B7&lt;&gt;"",B7,"")</f>
        <v>KEN</v>
      </c>
      <c r="C34">
        <f t="shared" si="21"/>
        <v>404</v>
      </c>
      <c r="D34" t="str">
        <f t="shared" si="11"/>
        <v>Demographic and Health Survey (MM adjusted)</v>
      </c>
      <c r="E34">
        <f t="shared" ref="E34:T34" si="22">IF(E7&lt;&gt;"",E7,"")</f>
        <v>2014</v>
      </c>
      <c r="F34">
        <f t="shared" si="22"/>
        <v>2014.375</v>
      </c>
      <c r="G34">
        <f t="shared" si="22"/>
        <v>2014.791667</v>
      </c>
      <c r="H34">
        <f t="shared" si="22"/>
        <v>2014.541667</v>
      </c>
      <c r="I34" t="str">
        <f t="shared" si="22"/>
        <v>Under-five Mortality Rate</v>
      </c>
      <c r="J34" t="str">
        <f t="shared" si="22"/>
        <v>Total</v>
      </c>
      <c r="K34" t="str">
        <f t="shared" si="22"/>
        <v>Direct (Various periods)</v>
      </c>
      <c r="L34" t="str">
        <f t="shared" si="22"/>
        <v>DHS</v>
      </c>
      <c r="M34" t="str">
        <f t="shared" si="22"/>
        <v>Full Birth Histories</v>
      </c>
      <c r="N34" t="str">
        <f t="shared" si="22"/>
        <v/>
      </c>
      <c r="O34" t="str">
        <f t="shared" si="22"/>
        <v/>
      </c>
      <c r="P34">
        <f t="shared" si="22"/>
        <v>1</v>
      </c>
      <c r="Q34">
        <f t="shared" si="22"/>
        <v>2010</v>
      </c>
      <c r="R34">
        <f t="shared" si="22"/>
        <v>2010</v>
      </c>
      <c r="S34">
        <f t="shared" si="22"/>
        <v>1</v>
      </c>
      <c r="T34">
        <f t="shared" si="22"/>
        <v>2010.5</v>
      </c>
      <c r="U34" s="247">
        <f ca="1">IF('output Corrected U5MR'!F5&lt;&gt;0,'output Corrected U5MR'!F5,"")</f>
        <v>52.026059896931372</v>
      </c>
      <c r="V34">
        <f ca="1">'output Corrected U5MR'!G5</f>
        <v>4.4032338611600998</v>
      </c>
      <c r="W34" s="247" t="str">
        <f t="shared" ca="1" si="3"/>
        <v>MM adjustment</v>
      </c>
      <c r="X34" t="str">
        <f t="shared" si="4"/>
        <v>Computed from microdata</v>
      </c>
      <c r="Y34">
        <v>1</v>
      </c>
      <c r="Z34" t="str">
        <f t="shared" si="5"/>
        <v/>
      </c>
      <c r="AA34" t="str">
        <f t="shared" si="5"/>
        <v/>
      </c>
      <c r="AB34" t="str">
        <f t="shared" si="5"/>
        <v/>
      </c>
      <c r="AC34" t="str">
        <f t="shared" si="5"/>
        <v/>
      </c>
      <c r="AD34" s="286" t="s">
        <v>262</v>
      </c>
      <c r="AE34">
        <v>1</v>
      </c>
      <c r="AF34" t="str">
        <f t="shared" si="6"/>
        <v/>
      </c>
      <c r="AG34" t="str">
        <f t="shared" si="6"/>
        <v/>
      </c>
      <c r="AH34" t="str">
        <f t="shared" si="6"/>
        <v/>
      </c>
      <c r="AI34" t="str">
        <f t="shared" ref="AI34:AJ34" si="23">IF(AI7&lt;&gt;"",AI7,"")</f>
        <v/>
      </c>
      <c r="AJ34" t="str">
        <f t="shared" si="23"/>
        <v/>
      </c>
      <c r="AK34" t="s">
        <v>263</v>
      </c>
      <c r="AL34" t="str">
        <f t="shared" ref="AL34" si="24">IF(AL7&lt;&gt;"",AL7,"")</f>
        <v>UNICEF HQ</v>
      </c>
      <c r="AO34">
        <v>2016</v>
      </c>
    </row>
    <row r="35" spans="1:41">
      <c r="A35" t="str">
        <f t="shared" ref="A35" si="25">IF(A8&lt;&gt;"",A8,"")</f>
        <v>Kenya</v>
      </c>
      <c r="B35" t="str">
        <f t="shared" ref="B35:C35" si="26">IF(B8&lt;&gt;"",B8,"")</f>
        <v>KEN</v>
      </c>
      <c r="C35">
        <f t="shared" si="26"/>
        <v>404</v>
      </c>
      <c r="D35" t="str">
        <f t="shared" si="11"/>
        <v>Demographic and Health Survey (MM adjusted)</v>
      </c>
      <c r="E35">
        <f t="shared" ref="E35:T35" si="27">IF(E8&lt;&gt;"",E8,"")</f>
        <v>2014</v>
      </c>
      <c r="F35">
        <f t="shared" si="27"/>
        <v>2014.375</v>
      </c>
      <c r="G35">
        <f t="shared" si="27"/>
        <v>2014.791667</v>
      </c>
      <c r="H35">
        <f t="shared" si="27"/>
        <v>2014.541667</v>
      </c>
      <c r="I35" t="str">
        <f t="shared" si="27"/>
        <v>Under-five Mortality Rate</v>
      </c>
      <c r="J35" t="str">
        <f t="shared" si="27"/>
        <v>Total</v>
      </c>
      <c r="K35" t="str">
        <f t="shared" si="27"/>
        <v>Direct (Various periods)</v>
      </c>
      <c r="L35" t="str">
        <f t="shared" si="27"/>
        <v>DHS</v>
      </c>
      <c r="M35" t="str">
        <f t="shared" si="27"/>
        <v>Full Birth Histories</v>
      </c>
      <c r="N35" t="str">
        <f t="shared" si="27"/>
        <v/>
      </c>
      <c r="O35" t="str">
        <f t="shared" si="27"/>
        <v/>
      </c>
      <c r="P35">
        <f t="shared" si="27"/>
        <v>1</v>
      </c>
      <c r="Q35">
        <f t="shared" si="27"/>
        <v>2009</v>
      </c>
      <c r="R35">
        <f t="shared" si="27"/>
        <v>2009</v>
      </c>
      <c r="S35">
        <f t="shared" si="27"/>
        <v>1</v>
      </c>
      <c r="T35">
        <f t="shared" si="27"/>
        <v>2009.5</v>
      </c>
      <c r="U35" s="247">
        <f ca="1">IF('output Corrected U5MR'!F6&lt;&gt;0,'output Corrected U5MR'!F6,"")</f>
        <v>55.339426424400607</v>
      </c>
      <c r="V35">
        <f ca="1">'output Corrected U5MR'!G6</f>
        <v>4.6376144654796443</v>
      </c>
      <c r="W35" s="247" t="str">
        <f t="shared" ca="1" si="3"/>
        <v>MM adjustment</v>
      </c>
      <c r="X35" t="str">
        <f t="shared" si="4"/>
        <v>Computed from microdata</v>
      </c>
      <c r="Y35">
        <v>1</v>
      </c>
      <c r="Z35" t="str">
        <f t="shared" si="5"/>
        <v/>
      </c>
      <c r="AA35" t="str">
        <f t="shared" si="5"/>
        <v/>
      </c>
      <c r="AB35" t="str">
        <f t="shared" si="5"/>
        <v/>
      </c>
      <c r="AC35" t="str">
        <f t="shared" si="5"/>
        <v/>
      </c>
      <c r="AD35" s="286" t="s">
        <v>262</v>
      </c>
      <c r="AE35">
        <v>1</v>
      </c>
      <c r="AF35" t="str">
        <f t="shared" ref="AF35:AJ35" si="28">IF(AF8&lt;&gt;"",AF8,"")</f>
        <v/>
      </c>
      <c r="AG35" t="str">
        <f t="shared" si="28"/>
        <v/>
      </c>
      <c r="AH35" t="str">
        <f t="shared" si="28"/>
        <v/>
      </c>
      <c r="AI35" t="str">
        <f t="shared" si="28"/>
        <v/>
      </c>
      <c r="AJ35" t="str">
        <f t="shared" si="28"/>
        <v/>
      </c>
      <c r="AK35" t="s">
        <v>263</v>
      </c>
      <c r="AL35" t="str">
        <f t="shared" ref="AL35" si="29">IF(AL8&lt;&gt;"",AL8,"")</f>
        <v>UNICEF HQ</v>
      </c>
      <c r="AO35">
        <v>2016</v>
      </c>
    </row>
    <row r="36" spans="1:41">
      <c r="A36" t="str">
        <f t="shared" ref="A36" si="30">IF(A9&lt;&gt;"",A9,"")</f>
        <v>Kenya</v>
      </c>
      <c r="B36" t="str">
        <f t="shared" ref="B36:C36" si="31">IF(B9&lt;&gt;"",B9,"")</f>
        <v>KEN</v>
      </c>
      <c r="C36">
        <f t="shared" si="31"/>
        <v>404</v>
      </c>
      <c r="D36" t="str">
        <f t="shared" si="11"/>
        <v>Demographic and Health Survey (MM adjusted)</v>
      </c>
      <c r="E36">
        <f t="shared" ref="E36:T36" si="32">IF(E9&lt;&gt;"",E9,"")</f>
        <v>2014</v>
      </c>
      <c r="F36">
        <f t="shared" si="32"/>
        <v>2014.375</v>
      </c>
      <c r="G36">
        <f t="shared" si="32"/>
        <v>2014.791667</v>
      </c>
      <c r="H36">
        <f t="shared" si="32"/>
        <v>2014.541667</v>
      </c>
      <c r="I36" t="str">
        <f t="shared" si="32"/>
        <v>Under-five Mortality Rate</v>
      </c>
      <c r="J36" t="str">
        <f t="shared" si="32"/>
        <v>Total</v>
      </c>
      <c r="K36" t="str">
        <f t="shared" si="32"/>
        <v>Direct (Various periods)</v>
      </c>
      <c r="L36" t="str">
        <f t="shared" si="32"/>
        <v>DHS</v>
      </c>
      <c r="M36" t="str">
        <f t="shared" si="32"/>
        <v>Full Birth Histories</v>
      </c>
      <c r="N36" t="str">
        <f t="shared" si="32"/>
        <v/>
      </c>
      <c r="O36" t="str">
        <f t="shared" si="32"/>
        <v/>
      </c>
      <c r="P36">
        <f t="shared" si="32"/>
        <v>1</v>
      </c>
      <c r="Q36">
        <f t="shared" si="32"/>
        <v>2008</v>
      </c>
      <c r="R36">
        <f t="shared" si="32"/>
        <v>2008</v>
      </c>
      <c r="S36">
        <f t="shared" si="32"/>
        <v>1</v>
      </c>
      <c r="T36">
        <f t="shared" si="32"/>
        <v>2008.5</v>
      </c>
      <c r="U36" s="247">
        <f ca="1">IF('output Corrected U5MR'!F7&lt;&gt;0,'output Corrected U5MR'!F7,"")</f>
        <v>69.184132623582187</v>
      </c>
      <c r="V36">
        <f ca="1">'output Corrected U5MR'!G7</f>
        <v>6.2224657404561068</v>
      </c>
      <c r="W36" s="247" t="str">
        <f t="shared" ca="1" si="3"/>
        <v>MM adjustment</v>
      </c>
      <c r="X36" t="str">
        <f t="shared" si="4"/>
        <v>Computed from microdata</v>
      </c>
      <c r="Y36">
        <v>1</v>
      </c>
      <c r="Z36" t="str">
        <f t="shared" si="5"/>
        <v/>
      </c>
      <c r="AA36" t="str">
        <f t="shared" si="5"/>
        <v/>
      </c>
      <c r="AB36" t="str">
        <f t="shared" si="5"/>
        <v/>
      </c>
      <c r="AC36" t="str">
        <f t="shared" si="5"/>
        <v/>
      </c>
      <c r="AD36" s="286" t="s">
        <v>262</v>
      </c>
      <c r="AE36">
        <v>1</v>
      </c>
      <c r="AF36" t="str">
        <f t="shared" ref="AF36:AJ36" si="33">IF(AF9&lt;&gt;"",AF9,"")</f>
        <v/>
      </c>
      <c r="AG36" t="str">
        <f t="shared" si="33"/>
        <v/>
      </c>
      <c r="AH36" t="str">
        <f t="shared" si="33"/>
        <v/>
      </c>
      <c r="AI36" t="str">
        <f t="shared" si="33"/>
        <v/>
      </c>
      <c r="AJ36" t="str">
        <f t="shared" si="33"/>
        <v/>
      </c>
      <c r="AK36" t="s">
        <v>263</v>
      </c>
      <c r="AL36" t="str">
        <f t="shared" ref="AL36" si="34">IF(AL9&lt;&gt;"",AL9,"")</f>
        <v>UNICEF HQ</v>
      </c>
      <c r="AO36">
        <v>2016</v>
      </c>
    </row>
    <row r="37" spans="1:41">
      <c r="A37" t="str">
        <f t="shared" ref="A37" si="35">IF(A10&lt;&gt;"",A10,"")</f>
        <v/>
      </c>
      <c r="B37" t="str">
        <f t="shared" ref="B37:C37" si="36">IF(B10&lt;&gt;"",B10,"")</f>
        <v/>
      </c>
      <c r="C37" t="str">
        <f t="shared" si="36"/>
        <v/>
      </c>
      <c r="D37" t="str">
        <f t="shared" si="11"/>
        <v/>
      </c>
      <c r="E37" t="str">
        <f t="shared" ref="E37:T37" si="37">IF(E10&lt;&gt;"",E10,"")</f>
        <v/>
      </c>
      <c r="F37" t="str">
        <f t="shared" si="37"/>
        <v/>
      </c>
      <c r="G37" t="str">
        <f t="shared" si="37"/>
        <v/>
      </c>
      <c r="H37" t="str">
        <f t="shared" si="37"/>
        <v/>
      </c>
      <c r="I37" t="str">
        <f t="shared" si="37"/>
        <v/>
      </c>
      <c r="J37" t="str">
        <f t="shared" si="37"/>
        <v/>
      </c>
      <c r="K37" t="str">
        <f t="shared" si="37"/>
        <v/>
      </c>
      <c r="L37" t="str">
        <f t="shared" si="37"/>
        <v/>
      </c>
      <c r="M37" t="str">
        <f t="shared" si="37"/>
        <v/>
      </c>
      <c r="N37" t="str">
        <f t="shared" si="37"/>
        <v/>
      </c>
      <c r="O37" t="str">
        <f t="shared" si="37"/>
        <v/>
      </c>
      <c r="P37" t="str">
        <f t="shared" si="37"/>
        <v/>
      </c>
      <c r="Q37" t="str">
        <f t="shared" si="37"/>
        <v/>
      </c>
      <c r="R37" t="str">
        <f t="shared" si="37"/>
        <v/>
      </c>
      <c r="S37" t="str">
        <f t="shared" si="37"/>
        <v/>
      </c>
      <c r="T37" t="str">
        <f t="shared" si="37"/>
        <v/>
      </c>
      <c r="U37" s="247" t="str">
        <f ca="1">IF('output Corrected U5MR'!F8&lt;&gt;0,'output Corrected U5MR'!F8,"")</f>
        <v/>
      </c>
      <c r="V37" t="e">
        <f ca="1">'output Corrected U5MR'!G8</f>
        <v>#DIV/0!</v>
      </c>
      <c r="W37" s="247" t="str">
        <f t="shared" ca="1" si="3"/>
        <v/>
      </c>
      <c r="X37" t="str">
        <f t="shared" si="4"/>
        <v/>
      </c>
      <c r="Y37">
        <v>1</v>
      </c>
      <c r="Z37" t="str">
        <f t="shared" si="5"/>
        <v/>
      </c>
      <c r="AA37" t="str">
        <f t="shared" si="5"/>
        <v/>
      </c>
      <c r="AB37" t="str">
        <f t="shared" si="5"/>
        <v/>
      </c>
      <c r="AC37" t="str">
        <f t="shared" si="5"/>
        <v/>
      </c>
      <c r="AD37" s="286" t="s">
        <v>262</v>
      </c>
      <c r="AE37">
        <v>1</v>
      </c>
      <c r="AF37" t="str">
        <f t="shared" ref="AF37:AJ37" si="38">IF(AF10&lt;&gt;"",AF10,"")</f>
        <v/>
      </c>
      <c r="AG37" t="str">
        <f t="shared" si="38"/>
        <v/>
      </c>
      <c r="AH37" t="str">
        <f t="shared" si="38"/>
        <v/>
      </c>
      <c r="AI37" t="str">
        <f t="shared" si="38"/>
        <v/>
      </c>
      <c r="AJ37" t="str">
        <f t="shared" si="38"/>
        <v/>
      </c>
      <c r="AK37" t="s">
        <v>263</v>
      </c>
      <c r="AL37" t="str">
        <f t="shared" ref="AL37" si="39">IF(AL10&lt;&gt;"",AL10,"")</f>
        <v/>
      </c>
      <c r="AM37" t="str">
        <f t="shared" ref="AM37" si="40">IF(AM10&lt;&gt;"",AM10,"")</f>
        <v/>
      </c>
      <c r="AO37">
        <v>2016</v>
      </c>
    </row>
    <row r="38" spans="1:41">
      <c r="A38" t="str">
        <f t="shared" ref="A38" si="41">IF(A11&lt;&gt;"",A11,"")</f>
        <v/>
      </c>
      <c r="B38" t="str">
        <f t="shared" ref="B38:C38" si="42">IF(B11&lt;&gt;"",B11,"")</f>
        <v/>
      </c>
      <c r="C38" t="str">
        <f t="shared" si="42"/>
        <v/>
      </c>
      <c r="D38" t="str">
        <f t="shared" si="11"/>
        <v/>
      </c>
      <c r="E38" t="str">
        <f t="shared" ref="E38:T38" si="43">IF(E11&lt;&gt;"",E11,"")</f>
        <v/>
      </c>
      <c r="F38" t="str">
        <f t="shared" si="43"/>
        <v/>
      </c>
      <c r="G38" t="str">
        <f t="shared" si="43"/>
        <v/>
      </c>
      <c r="H38" t="str">
        <f t="shared" si="43"/>
        <v/>
      </c>
      <c r="I38" t="str">
        <f t="shared" si="43"/>
        <v/>
      </c>
      <c r="J38" t="str">
        <f t="shared" si="43"/>
        <v/>
      </c>
      <c r="K38" t="str">
        <f t="shared" si="43"/>
        <v/>
      </c>
      <c r="L38" t="str">
        <f t="shared" si="43"/>
        <v/>
      </c>
      <c r="M38" t="str">
        <f t="shared" si="43"/>
        <v/>
      </c>
      <c r="N38" t="str">
        <f t="shared" si="43"/>
        <v/>
      </c>
      <c r="O38" t="str">
        <f t="shared" si="43"/>
        <v/>
      </c>
      <c r="P38" t="str">
        <f t="shared" si="43"/>
        <v/>
      </c>
      <c r="Q38" t="str">
        <f t="shared" si="43"/>
        <v/>
      </c>
      <c r="R38" t="str">
        <f t="shared" si="43"/>
        <v/>
      </c>
      <c r="S38" t="str">
        <f t="shared" si="43"/>
        <v/>
      </c>
      <c r="T38" t="str">
        <f t="shared" si="43"/>
        <v/>
      </c>
      <c r="U38" s="247" t="str">
        <f ca="1">IF('output Corrected U5MR'!F9&lt;&gt;0,'output Corrected U5MR'!F9,"")</f>
        <v/>
      </c>
      <c r="V38" t="e">
        <f ca="1">'output Corrected U5MR'!G9</f>
        <v>#DIV/0!</v>
      </c>
      <c r="W38" s="247" t="str">
        <f t="shared" ca="1" si="3"/>
        <v/>
      </c>
      <c r="X38" t="str">
        <f t="shared" si="4"/>
        <v/>
      </c>
      <c r="Y38">
        <v>1</v>
      </c>
      <c r="Z38" t="str">
        <f t="shared" si="5"/>
        <v/>
      </c>
      <c r="AA38" t="str">
        <f t="shared" si="5"/>
        <v/>
      </c>
      <c r="AB38" t="str">
        <f t="shared" si="5"/>
        <v/>
      </c>
      <c r="AC38" t="str">
        <f t="shared" si="5"/>
        <v/>
      </c>
      <c r="AD38" s="286" t="s">
        <v>262</v>
      </c>
      <c r="AE38">
        <v>1</v>
      </c>
      <c r="AF38" t="str">
        <f t="shared" ref="AF38:AJ38" si="44">IF(AF11&lt;&gt;"",AF11,"")</f>
        <v/>
      </c>
      <c r="AG38" t="str">
        <f t="shared" si="44"/>
        <v/>
      </c>
      <c r="AH38" t="str">
        <f t="shared" si="44"/>
        <v/>
      </c>
      <c r="AI38" t="str">
        <f t="shared" si="44"/>
        <v/>
      </c>
      <c r="AJ38" t="str">
        <f t="shared" si="44"/>
        <v/>
      </c>
      <c r="AK38" t="s">
        <v>263</v>
      </c>
      <c r="AL38" t="str">
        <f t="shared" ref="AL38" si="45">IF(AL11&lt;&gt;"",AL11,"")</f>
        <v/>
      </c>
      <c r="AM38" t="str">
        <f t="shared" ref="AM38" si="46">IF(AM11&lt;&gt;"",AM11,"")</f>
        <v/>
      </c>
      <c r="AO38">
        <v>2016</v>
      </c>
    </row>
    <row r="39" spans="1:41">
      <c r="A39" t="str">
        <f t="shared" ref="A39" si="47">IF(A12&lt;&gt;"",A12,"")</f>
        <v/>
      </c>
      <c r="B39" t="str">
        <f t="shared" ref="B39:C39" si="48">IF(B12&lt;&gt;"",B12,"")</f>
        <v/>
      </c>
      <c r="C39" t="str">
        <f t="shared" si="48"/>
        <v/>
      </c>
      <c r="D39" t="str">
        <f t="shared" si="11"/>
        <v/>
      </c>
      <c r="E39" t="str">
        <f t="shared" ref="E39:T39" si="49">IF(E12&lt;&gt;"",E12,"")</f>
        <v/>
      </c>
      <c r="F39" t="str">
        <f t="shared" si="49"/>
        <v/>
      </c>
      <c r="G39" t="str">
        <f t="shared" si="49"/>
        <v/>
      </c>
      <c r="H39" t="str">
        <f t="shared" si="49"/>
        <v/>
      </c>
      <c r="I39" t="str">
        <f t="shared" si="49"/>
        <v/>
      </c>
      <c r="J39" t="str">
        <f t="shared" si="49"/>
        <v/>
      </c>
      <c r="K39" t="str">
        <f t="shared" si="49"/>
        <v/>
      </c>
      <c r="L39" t="str">
        <f t="shared" si="49"/>
        <v/>
      </c>
      <c r="M39" t="str">
        <f t="shared" si="49"/>
        <v/>
      </c>
      <c r="N39" t="str">
        <f t="shared" si="49"/>
        <v/>
      </c>
      <c r="O39" t="str">
        <f t="shared" si="49"/>
        <v/>
      </c>
      <c r="P39" t="str">
        <f t="shared" si="49"/>
        <v/>
      </c>
      <c r="Q39" t="str">
        <f t="shared" si="49"/>
        <v/>
      </c>
      <c r="R39" t="str">
        <f t="shared" si="49"/>
        <v/>
      </c>
      <c r="S39" t="str">
        <f t="shared" si="49"/>
        <v/>
      </c>
      <c r="T39" t="str">
        <f t="shared" si="49"/>
        <v/>
      </c>
      <c r="U39" s="247" t="str">
        <f ca="1">IF('output Corrected U5MR'!F10&lt;&gt;0,'output Corrected U5MR'!F10,"")</f>
        <v/>
      </c>
      <c r="V39" t="e">
        <f ca="1">'output Corrected U5MR'!G10</f>
        <v>#DIV/0!</v>
      </c>
      <c r="W39" s="247" t="str">
        <f t="shared" ca="1" si="3"/>
        <v/>
      </c>
      <c r="X39" t="str">
        <f t="shared" si="4"/>
        <v/>
      </c>
      <c r="Y39">
        <v>1</v>
      </c>
      <c r="Z39" t="str">
        <f t="shared" si="5"/>
        <v/>
      </c>
      <c r="AA39" t="str">
        <f t="shared" si="5"/>
        <v/>
      </c>
      <c r="AB39" t="str">
        <f t="shared" si="5"/>
        <v/>
      </c>
      <c r="AC39" t="str">
        <f t="shared" si="5"/>
        <v/>
      </c>
      <c r="AD39" s="286" t="s">
        <v>262</v>
      </c>
      <c r="AE39">
        <v>1</v>
      </c>
      <c r="AF39" t="str">
        <f t="shared" ref="AF39:AJ39" si="50">IF(AF12&lt;&gt;"",AF12,"")</f>
        <v/>
      </c>
      <c r="AG39" t="str">
        <f t="shared" si="50"/>
        <v/>
      </c>
      <c r="AH39" t="str">
        <f t="shared" si="50"/>
        <v/>
      </c>
      <c r="AI39" t="str">
        <f t="shared" si="50"/>
        <v/>
      </c>
      <c r="AJ39" t="str">
        <f t="shared" si="50"/>
        <v/>
      </c>
      <c r="AK39" t="s">
        <v>263</v>
      </c>
      <c r="AL39" t="str">
        <f t="shared" ref="AL39" si="51">IF(AL12&lt;&gt;"",AL12,"")</f>
        <v/>
      </c>
      <c r="AM39" t="str">
        <f t="shared" ref="AM39" si="52">IF(AM12&lt;&gt;"",AM12,"")</f>
        <v/>
      </c>
      <c r="AO39">
        <v>2016</v>
      </c>
    </row>
    <row r="40" spans="1:41">
      <c r="A40" t="str">
        <f t="shared" ref="A40" si="53">IF(A13&lt;&gt;"",A13,"")</f>
        <v/>
      </c>
      <c r="B40" t="str">
        <f t="shared" ref="B40:C40" si="54">IF(B13&lt;&gt;"",B13,"")</f>
        <v/>
      </c>
      <c r="C40" t="str">
        <f t="shared" si="54"/>
        <v/>
      </c>
      <c r="D40" t="str">
        <f t="shared" si="11"/>
        <v/>
      </c>
      <c r="E40" t="str">
        <f t="shared" ref="E40:T40" si="55">IF(E13&lt;&gt;"",E13,"")</f>
        <v/>
      </c>
      <c r="F40" t="str">
        <f t="shared" si="55"/>
        <v/>
      </c>
      <c r="G40" t="str">
        <f t="shared" si="55"/>
        <v/>
      </c>
      <c r="H40" t="str">
        <f t="shared" si="55"/>
        <v/>
      </c>
      <c r="I40" t="str">
        <f t="shared" si="55"/>
        <v/>
      </c>
      <c r="J40" t="str">
        <f t="shared" si="55"/>
        <v/>
      </c>
      <c r="K40" t="str">
        <f t="shared" si="55"/>
        <v/>
      </c>
      <c r="L40" t="str">
        <f t="shared" si="55"/>
        <v/>
      </c>
      <c r="M40" t="str">
        <f t="shared" si="55"/>
        <v/>
      </c>
      <c r="N40" t="str">
        <f t="shared" si="55"/>
        <v/>
      </c>
      <c r="O40" t="str">
        <f t="shared" si="55"/>
        <v/>
      </c>
      <c r="P40" t="str">
        <f t="shared" si="55"/>
        <v/>
      </c>
      <c r="Q40" t="str">
        <f t="shared" si="55"/>
        <v/>
      </c>
      <c r="R40" t="str">
        <f t="shared" si="55"/>
        <v/>
      </c>
      <c r="S40" t="str">
        <f t="shared" si="55"/>
        <v/>
      </c>
      <c r="T40" t="str">
        <f t="shared" si="55"/>
        <v/>
      </c>
      <c r="U40" s="247" t="str">
        <f ca="1">IF('output Corrected U5MR'!F11&lt;&gt;0,'output Corrected U5MR'!F11,"")</f>
        <v/>
      </c>
      <c r="V40" t="e">
        <f ca="1">'output Corrected U5MR'!G11</f>
        <v>#DIV/0!</v>
      </c>
      <c r="W40" s="247" t="str">
        <f t="shared" ca="1" si="3"/>
        <v/>
      </c>
      <c r="X40" t="str">
        <f t="shared" si="4"/>
        <v/>
      </c>
      <c r="Y40">
        <v>1</v>
      </c>
      <c r="Z40" t="str">
        <f t="shared" si="5"/>
        <v/>
      </c>
      <c r="AA40" t="str">
        <f t="shared" si="5"/>
        <v/>
      </c>
      <c r="AB40" t="str">
        <f t="shared" si="5"/>
        <v/>
      </c>
      <c r="AC40" t="str">
        <f t="shared" si="5"/>
        <v/>
      </c>
      <c r="AD40" s="286" t="s">
        <v>262</v>
      </c>
      <c r="AE40">
        <v>1</v>
      </c>
      <c r="AF40" t="str">
        <f t="shared" ref="AF40:AJ40" si="56">IF(AF13&lt;&gt;"",AF13,"")</f>
        <v/>
      </c>
      <c r="AG40" t="str">
        <f t="shared" si="56"/>
        <v/>
      </c>
      <c r="AH40" t="str">
        <f t="shared" si="56"/>
        <v/>
      </c>
      <c r="AI40" t="str">
        <f t="shared" si="56"/>
        <v/>
      </c>
      <c r="AJ40" t="str">
        <f t="shared" si="56"/>
        <v/>
      </c>
      <c r="AK40" t="s">
        <v>263</v>
      </c>
      <c r="AL40" t="str">
        <f t="shared" ref="AL40" si="57">IF(AL13&lt;&gt;"",AL13,"")</f>
        <v/>
      </c>
      <c r="AM40" t="str">
        <f t="shared" ref="AM40" si="58">IF(AM13&lt;&gt;"",AM13,"")</f>
        <v/>
      </c>
      <c r="AO40">
        <v>2016</v>
      </c>
    </row>
    <row r="41" spans="1:41">
      <c r="A41" t="str">
        <f t="shared" ref="A41" si="59">IF(A14&lt;&gt;"",A14,"")</f>
        <v/>
      </c>
      <c r="B41" t="str">
        <f t="shared" ref="B41:C41" si="60">IF(B14&lt;&gt;"",B14,"")</f>
        <v/>
      </c>
      <c r="C41" t="str">
        <f t="shared" si="60"/>
        <v/>
      </c>
      <c r="D41" t="str">
        <f t="shared" si="11"/>
        <v/>
      </c>
      <c r="E41" t="str">
        <f t="shared" ref="E41:T41" si="61">IF(E14&lt;&gt;"",E14,"")</f>
        <v/>
      </c>
      <c r="F41" t="str">
        <f t="shared" si="61"/>
        <v/>
      </c>
      <c r="G41" t="str">
        <f t="shared" si="61"/>
        <v/>
      </c>
      <c r="H41" t="str">
        <f t="shared" si="61"/>
        <v/>
      </c>
      <c r="I41" t="str">
        <f t="shared" si="61"/>
        <v/>
      </c>
      <c r="J41" t="str">
        <f t="shared" si="61"/>
        <v/>
      </c>
      <c r="K41" t="str">
        <f t="shared" si="61"/>
        <v/>
      </c>
      <c r="L41" t="str">
        <f t="shared" si="61"/>
        <v/>
      </c>
      <c r="M41" t="str">
        <f t="shared" si="61"/>
        <v/>
      </c>
      <c r="N41" t="str">
        <f t="shared" si="61"/>
        <v/>
      </c>
      <c r="O41" t="str">
        <f t="shared" si="61"/>
        <v/>
      </c>
      <c r="P41" t="str">
        <f t="shared" si="61"/>
        <v/>
      </c>
      <c r="Q41" t="str">
        <f t="shared" si="61"/>
        <v/>
      </c>
      <c r="R41" t="str">
        <f t="shared" si="61"/>
        <v/>
      </c>
      <c r="S41" t="str">
        <f t="shared" si="61"/>
        <v/>
      </c>
      <c r="T41" t="str">
        <f t="shared" si="61"/>
        <v/>
      </c>
      <c r="U41" s="247" t="str">
        <f ca="1">IF('output Corrected U5MR'!F12&lt;&gt;0,'output Corrected U5MR'!F12,"")</f>
        <v/>
      </c>
      <c r="V41" t="e">
        <f ca="1">'output Corrected U5MR'!G12</f>
        <v>#DIV/0!</v>
      </c>
      <c r="W41" s="247" t="str">
        <f t="shared" ca="1" si="3"/>
        <v/>
      </c>
      <c r="X41" t="str">
        <f t="shared" si="4"/>
        <v/>
      </c>
      <c r="Y41">
        <v>1</v>
      </c>
      <c r="Z41" t="str">
        <f t="shared" si="5"/>
        <v/>
      </c>
      <c r="AA41" t="str">
        <f t="shared" si="5"/>
        <v/>
      </c>
      <c r="AB41" t="str">
        <f t="shared" si="5"/>
        <v/>
      </c>
      <c r="AC41" t="str">
        <f t="shared" si="5"/>
        <v/>
      </c>
      <c r="AD41" s="286" t="s">
        <v>262</v>
      </c>
      <c r="AE41">
        <v>1</v>
      </c>
      <c r="AF41" t="str">
        <f t="shared" ref="AF41:AJ41" si="62">IF(AF14&lt;&gt;"",AF14,"")</f>
        <v/>
      </c>
      <c r="AG41" t="str">
        <f t="shared" si="62"/>
        <v/>
      </c>
      <c r="AH41" t="str">
        <f t="shared" si="62"/>
        <v/>
      </c>
      <c r="AI41" t="str">
        <f t="shared" si="62"/>
        <v/>
      </c>
      <c r="AJ41" t="str">
        <f t="shared" si="62"/>
        <v/>
      </c>
      <c r="AK41" t="s">
        <v>263</v>
      </c>
      <c r="AL41" t="str">
        <f t="shared" ref="AL41" si="63">IF(AL14&lt;&gt;"",AL14,"")</f>
        <v/>
      </c>
      <c r="AM41" t="str">
        <f t="shared" ref="AM41" si="64">IF(AM14&lt;&gt;"",AM14,"")</f>
        <v/>
      </c>
      <c r="AO41">
        <v>2016</v>
      </c>
    </row>
    <row r="42" spans="1:41">
      <c r="A42" t="str">
        <f t="shared" ref="A42" si="65">IF(A15&lt;&gt;"",A15,"")</f>
        <v/>
      </c>
      <c r="B42" t="str">
        <f t="shared" ref="B42:C42" si="66">IF(B15&lt;&gt;"",B15,"")</f>
        <v/>
      </c>
      <c r="C42" t="str">
        <f t="shared" si="66"/>
        <v/>
      </c>
      <c r="D42" t="str">
        <f t="shared" si="11"/>
        <v/>
      </c>
      <c r="E42" t="str">
        <f t="shared" ref="E42:T42" si="67">IF(E15&lt;&gt;"",E15,"")</f>
        <v/>
      </c>
      <c r="F42" t="str">
        <f t="shared" si="67"/>
        <v/>
      </c>
      <c r="G42" t="str">
        <f t="shared" si="67"/>
        <v/>
      </c>
      <c r="H42" t="str">
        <f t="shared" si="67"/>
        <v/>
      </c>
      <c r="I42" t="str">
        <f t="shared" si="67"/>
        <v/>
      </c>
      <c r="J42" t="str">
        <f t="shared" si="67"/>
        <v/>
      </c>
      <c r="K42" t="str">
        <f t="shared" si="67"/>
        <v/>
      </c>
      <c r="L42" t="str">
        <f t="shared" si="67"/>
        <v/>
      </c>
      <c r="M42" t="str">
        <f t="shared" si="67"/>
        <v/>
      </c>
      <c r="N42" t="str">
        <f t="shared" si="67"/>
        <v/>
      </c>
      <c r="O42" t="str">
        <f t="shared" si="67"/>
        <v/>
      </c>
      <c r="P42" t="str">
        <f t="shared" si="67"/>
        <v/>
      </c>
      <c r="Q42" t="str">
        <f t="shared" si="67"/>
        <v/>
      </c>
      <c r="R42" t="str">
        <f t="shared" si="67"/>
        <v/>
      </c>
      <c r="S42" t="str">
        <f t="shared" si="67"/>
        <v/>
      </c>
      <c r="T42" t="str">
        <f t="shared" si="67"/>
        <v/>
      </c>
      <c r="U42" s="247" t="str">
        <f ca="1">IF('output Corrected U5MR'!F13&lt;&gt;0,'output Corrected U5MR'!F13,"")</f>
        <v/>
      </c>
      <c r="V42" t="e">
        <f ca="1">'output Corrected U5MR'!G13</f>
        <v>#DIV/0!</v>
      </c>
      <c r="W42" s="247" t="str">
        <f t="shared" ca="1" si="3"/>
        <v/>
      </c>
      <c r="X42" t="str">
        <f t="shared" si="4"/>
        <v/>
      </c>
      <c r="Y42">
        <v>1</v>
      </c>
      <c r="Z42" t="str">
        <f t="shared" si="5"/>
        <v/>
      </c>
      <c r="AA42" t="str">
        <f t="shared" si="5"/>
        <v/>
      </c>
      <c r="AB42" t="str">
        <f t="shared" si="5"/>
        <v/>
      </c>
      <c r="AC42" t="str">
        <f t="shared" si="5"/>
        <v/>
      </c>
      <c r="AD42" s="286" t="s">
        <v>262</v>
      </c>
      <c r="AE42">
        <v>1</v>
      </c>
      <c r="AF42" t="str">
        <f t="shared" ref="AF42:AJ42" si="68">IF(AF15&lt;&gt;"",AF15,"")</f>
        <v/>
      </c>
      <c r="AG42" t="str">
        <f t="shared" si="68"/>
        <v/>
      </c>
      <c r="AH42" t="str">
        <f t="shared" si="68"/>
        <v/>
      </c>
      <c r="AI42" t="str">
        <f t="shared" si="68"/>
        <v/>
      </c>
      <c r="AJ42" t="str">
        <f t="shared" si="68"/>
        <v/>
      </c>
      <c r="AK42" t="s">
        <v>263</v>
      </c>
      <c r="AL42" t="str">
        <f t="shared" ref="AL42" si="69">IF(AL15&lt;&gt;"",AL15,"")</f>
        <v/>
      </c>
      <c r="AM42" t="str">
        <f t="shared" ref="AM42" si="70">IF(AM15&lt;&gt;"",AM15,"")</f>
        <v/>
      </c>
      <c r="AO42">
        <v>2016</v>
      </c>
    </row>
    <row r="43" spans="1:41">
      <c r="A43" t="str">
        <f t="shared" ref="A43" si="71">IF(A16&lt;&gt;"",A16,"")</f>
        <v/>
      </c>
      <c r="B43" t="str">
        <f t="shared" ref="B43:C43" si="72">IF(B16&lt;&gt;"",B16,"")</f>
        <v/>
      </c>
      <c r="C43" t="str">
        <f t="shared" si="72"/>
        <v/>
      </c>
      <c r="D43" t="str">
        <f t="shared" si="11"/>
        <v/>
      </c>
      <c r="E43" t="str">
        <f t="shared" ref="E43:T43" si="73">IF(E16&lt;&gt;"",E16,"")</f>
        <v/>
      </c>
      <c r="F43" t="str">
        <f t="shared" si="73"/>
        <v/>
      </c>
      <c r="G43" t="str">
        <f t="shared" si="73"/>
        <v/>
      </c>
      <c r="H43" t="str">
        <f t="shared" si="73"/>
        <v/>
      </c>
      <c r="I43" t="str">
        <f t="shared" si="73"/>
        <v/>
      </c>
      <c r="J43" t="str">
        <f t="shared" si="73"/>
        <v/>
      </c>
      <c r="K43" t="str">
        <f t="shared" si="73"/>
        <v/>
      </c>
      <c r="L43" t="str">
        <f t="shared" si="73"/>
        <v/>
      </c>
      <c r="M43" t="str">
        <f t="shared" si="73"/>
        <v/>
      </c>
      <c r="N43" t="str">
        <f t="shared" si="73"/>
        <v/>
      </c>
      <c r="O43" t="str">
        <f t="shared" si="73"/>
        <v/>
      </c>
      <c r="P43" t="str">
        <f t="shared" si="73"/>
        <v/>
      </c>
      <c r="Q43" t="str">
        <f t="shared" si="73"/>
        <v/>
      </c>
      <c r="R43" t="str">
        <f t="shared" si="73"/>
        <v/>
      </c>
      <c r="S43" t="str">
        <f t="shared" si="73"/>
        <v/>
      </c>
      <c r="T43" t="str">
        <f t="shared" si="73"/>
        <v/>
      </c>
      <c r="U43" s="247" t="str">
        <f ca="1">IF('output Corrected U5MR'!F14&lt;&gt;0,'output Corrected U5MR'!F14,"")</f>
        <v/>
      </c>
      <c r="V43" t="e">
        <f ca="1">'output Corrected U5MR'!G14</f>
        <v>#DIV/0!</v>
      </c>
      <c r="W43" s="247" t="str">
        <f t="shared" ref="W43:W55" ca="1" si="74">IF(U16&lt;&gt;U43,"MM adjustment","")</f>
        <v/>
      </c>
      <c r="X43" t="str">
        <f t="shared" si="4"/>
        <v/>
      </c>
      <c r="Y43">
        <v>1</v>
      </c>
      <c r="Z43" t="str">
        <f t="shared" ref="Z43:AC43" si="75">IF(Z16&lt;&gt;"",Z16,"")</f>
        <v/>
      </c>
      <c r="AA43" t="str">
        <f t="shared" si="75"/>
        <v/>
      </c>
      <c r="AB43" t="str">
        <f t="shared" si="75"/>
        <v/>
      </c>
      <c r="AC43" t="str">
        <f t="shared" si="75"/>
        <v/>
      </c>
      <c r="AD43" s="286" t="s">
        <v>262</v>
      </c>
      <c r="AE43">
        <v>1</v>
      </c>
      <c r="AF43" t="str">
        <f t="shared" ref="AF43:AJ43" si="76">IF(AF16&lt;&gt;"",AF16,"")</f>
        <v/>
      </c>
      <c r="AG43" t="str">
        <f t="shared" si="76"/>
        <v/>
      </c>
      <c r="AH43" t="str">
        <f t="shared" si="76"/>
        <v/>
      </c>
      <c r="AI43" t="str">
        <f t="shared" si="76"/>
        <v/>
      </c>
      <c r="AJ43" t="str">
        <f t="shared" si="76"/>
        <v/>
      </c>
      <c r="AK43" t="s">
        <v>263</v>
      </c>
      <c r="AL43" t="str">
        <f t="shared" ref="AL43" si="77">IF(AL16&lt;&gt;"",AL16,"")</f>
        <v/>
      </c>
      <c r="AM43" t="str">
        <f t="shared" ref="AM43" si="78">IF(AM16&lt;&gt;"",AM16,"")</f>
        <v/>
      </c>
      <c r="AO43">
        <v>2016</v>
      </c>
    </row>
    <row r="44" spans="1:41">
      <c r="A44" t="str">
        <f t="shared" ref="A44" si="79">IF(A17&lt;&gt;"",A17,"")</f>
        <v/>
      </c>
      <c r="B44" t="str">
        <f t="shared" ref="B44:C44" si="80">IF(B17&lt;&gt;"",B17,"")</f>
        <v/>
      </c>
      <c r="C44" t="str">
        <f t="shared" si="80"/>
        <v/>
      </c>
      <c r="D44" t="str">
        <f t="shared" si="11"/>
        <v/>
      </c>
      <c r="E44" t="str">
        <f t="shared" ref="E44:T44" si="81">IF(E17&lt;&gt;"",E17,"")</f>
        <v/>
      </c>
      <c r="F44" t="str">
        <f t="shared" si="81"/>
        <v/>
      </c>
      <c r="G44" t="str">
        <f t="shared" si="81"/>
        <v/>
      </c>
      <c r="H44" t="str">
        <f t="shared" si="81"/>
        <v/>
      </c>
      <c r="I44" t="str">
        <f t="shared" si="81"/>
        <v/>
      </c>
      <c r="J44" t="str">
        <f t="shared" si="81"/>
        <v/>
      </c>
      <c r="K44" t="str">
        <f t="shared" si="81"/>
        <v/>
      </c>
      <c r="L44" t="str">
        <f t="shared" si="81"/>
        <v/>
      </c>
      <c r="M44" t="str">
        <f t="shared" si="81"/>
        <v/>
      </c>
      <c r="N44" t="str">
        <f t="shared" si="81"/>
        <v/>
      </c>
      <c r="O44" t="str">
        <f t="shared" si="81"/>
        <v/>
      </c>
      <c r="P44" t="str">
        <f t="shared" si="81"/>
        <v/>
      </c>
      <c r="Q44" t="str">
        <f t="shared" si="81"/>
        <v/>
      </c>
      <c r="R44" t="str">
        <f t="shared" si="81"/>
        <v/>
      </c>
      <c r="S44" t="str">
        <f t="shared" si="81"/>
        <v/>
      </c>
      <c r="T44" t="str">
        <f t="shared" si="81"/>
        <v/>
      </c>
      <c r="U44" s="247" t="str">
        <f ca="1">IF('output Corrected U5MR'!F15&lt;&gt;0,'output Corrected U5MR'!F15,"")</f>
        <v/>
      </c>
      <c r="V44" t="e">
        <f ca="1">'output Corrected U5MR'!G15</f>
        <v>#DIV/0!</v>
      </c>
      <c r="W44" s="247" t="str">
        <f t="shared" ca="1" si="74"/>
        <v/>
      </c>
      <c r="X44" t="str">
        <f t="shared" si="4"/>
        <v/>
      </c>
      <c r="Y44">
        <v>1</v>
      </c>
      <c r="Z44" t="str">
        <f t="shared" ref="Z44:AC44" si="82">IF(Z17&lt;&gt;"",Z17,"")</f>
        <v/>
      </c>
      <c r="AA44" t="str">
        <f t="shared" si="82"/>
        <v/>
      </c>
      <c r="AB44" t="str">
        <f t="shared" si="82"/>
        <v/>
      </c>
      <c r="AC44" t="str">
        <f t="shared" si="82"/>
        <v/>
      </c>
      <c r="AD44" s="286" t="s">
        <v>262</v>
      </c>
      <c r="AE44">
        <v>1</v>
      </c>
      <c r="AF44" t="str">
        <f t="shared" ref="AF44:AJ44" si="83">IF(AF17&lt;&gt;"",AF17,"")</f>
        <v/>
      </c>
      <c r="AG44" t="str">
        <f t="shared" si="83"/>
        <v/>
      </c>
      <c r="AH44" t="str">
        <f t="shared" si="83"/>
        <v/>
      </c>
      <c r="AI44" t="str">
        <f t="shared" si="83"/>
        <v/>
      </c>
      <c r="AJ44" t="str">
        <f t="shared" si="83"/>
        <v/>
      </c>
      <c r="AK44" t="s">
        <v>263</v>
      </c>
      <c r="AL44" t="str">
        <f t="shared" ref="AL44" si="84">IF(AL17&lt;&gt;"",AL17,"")</f>
        <v/>
      </c>
      <c r="AM44" t="str">
        <f t="shared" ref="AM44" si="85">IF(AM17&lt;&gt;"",AM17,"")</f>
        <v/>
      </c>
      <c r="AO44">
        <v>2016</v>
      </c>
    </row>
    <row r="45" spans="1:41">
      <c r="A45" t="str">
        <f t="shared" ref="A45" si="86">IF(A18&lt;&gt;"",A18,"")</f>
        <v/>
      </c>
      <c r="B45" t="str">
        <f t="shared" ref="B45:C45" si="87">IF(B18&lt;&gt;"",B18,"")</f>
        <v/>
      </c>
      <c r="C45" t="str">
        <f t="shared" si="87"/>
        <v/>
      </c>
      <c r="D45" t="str">
        <f t="shared" si="11"/>
        <v/>
      </c>
      <c r="E45" t="str">
        <f t="shared" ref="E45:T45" si="88">IF(E18&lt;&gt;"",E18,"")</f>
        <v/>
      </c>
      <c r="F45" t="str">
        <f t="shared" si="88"/>
        <v/>
      </c>
      <c r="G45" t="str">
        <f t="shared" si="88"/>
        <v/>
      </c>
      <c r="H45" t="str">
        <f t="shared" si="88"/>
        <v/>
      </c>
      <c r="I45" t="str">
        <f t="shared" si="88"/>
        <v/>
      </c>
      <c r="J45" t="str">
        <f t="shared" si="88"/>
        <v/>
      </c>
      <c r="K45" t="str">
        <f t="shared" si="88"/>
        <v/>
      </c>
      <c r="L45" t="str">
        <f t="shared" si="88"/>
        <v/>
      </c>
      <c r="M45" t="str">
        <f t="shared" si="88"/>
        <v/>
      </c>
      <c r="N45" t="str">
        <f t="shared" si="88"/>
        <v/>
      </c>
      <c r="O45" t="str">
        <f t="shared" si="88"/>
        <v/>
      </c>
      <c r="P45" t="str">
        <f t="shared" si="88"/>
        <v/>
      </c>
      <c r="Q45" t="str">
        <f t="shared" si="88"/>
        <v/>
      </c>
      <c r="R45" t="str">
        <f t="shared" si="88"/>
        <v/>
      </c>
      <c r="S45" t="str">
        <f t="shared" si="88"/>
        <v/>
      </c>
      <c r="T45" t="str">
        <f t="shared" si="88"/>
        <v/>
      </c>
      <c r="U45" s="247" t="str">
        <f ca="1">IF('output Corrected U5MR'!F16&lt;&gt;0,'output Corrected U5MR'!F16,"")</f>
        <v/>
      </c>
      <c r="V45" t="e">
        <f ca="1">'output Corrected U5MR'!G16</f>
        <v>#DIV/0!</v>
      </c>
      <c r="W45" s="247" t="str">
        <f t="shared" ca="1" si="74"/>
        <v/>
      </c>
      <c r="X45" t="str">
        <f t="shared" si="4"/>
        <v/>
      </c>
      <c r="Y45">
        <v>1</v>
      </c>
      <c r="Z45" t="str">
        <f t="shared" ref="Z45:AC45" si="89">IF(Z18&lt;&gt;"",Z18,"")</f>
        <v/>
      </c>
      <c r="AA45" t="str">
        <f t="shared" si="89"/>
        <v/>
      </c>
      <c r="AB45" t="str">
        <f t="shared" si="89"/>
        <v/>
      </c>
      <c r="AC45" t="str">
        <f t="shared" si="89"/>
        <v/>
      </c>
      <c r="AD45" s="286" t="s">
        <v>262</v>
      </c>
      <c r="AE45">
        <v>1</v>
      </c>
      <c r="AF45" t="str">
        <f t="shared" ref="AF45:AJ45" si="90">IF(AF18&lt;&gt;"",AF18,"")</f>
        <v/>
      </c>
      <c r="AG45" t="str">
        <f t="shared" si="90"/>
        <v/>
      </c>
      <c r="AH45" t="str">
        <f t="shared" si="90"/>
        <v/>
      </c>
      <c r="AI45" t="str">
        <f t="shared" si="90"/>
        <v/>
      </c>
      <c r="AJ45" t="str">
        <f t="shared" si="90"/>
        <v/>
      </c>
      <c r="AK45" t="s">
        <v>263</v>
      </c>
      <c r="AL45" t="str">
        <f t="shared" ref="AL45" si="91">IF(AL18&lt;&gt;"",AL18,"")</f>
        <v/>
      </c>
      <c r="AM45" t="str">
        <f t="shared" ref="AM45" si="92">IF(AM18&lt;&gt;"",AM18,"")</f>
        <v/>
      </c>
      <c r="AO45">
        <v>2016</v>
      </c>
    </row>
    <row r="46" spans="1:41">
      <c r="A46" t="str">
        <f t="shared" ref="A46" si="93">IF(A19&lt;&gt;"",A19,"")</f>
        <v/>
      </c>
      <c r="B46" t="str">
        <f t="shared" ref="B46:C46" si="94">IF(B19&lt;&gt;"",B19,"")</f>
        <v/>
      </c>
      <c r="C46" t="str">
        <f t="shared" si="94"/>
        <v/>
      </c>
      <c r="D46" t="str">
        <f t="shared" si="11"/>
        <v/>
      </c>
      <c r="E46" t="str">
        <f t="shared" ref="E46:T46" si="95">IF(E19&lt;&gt;"",E19,"")</f>
        <v/>
      </c>
      <c r="F46" t="str">
        <f t="shared" si="95"/>
        <v/>
      </c>
      <c r="G46" t="str">
        <f t="shared" si="95"/>
        <v/>
      </c>
      <c r="H46" t="str">
        <f t="shared" si="95"/>
        <v/>
      </c>
      <c r="I46" t="str">
        <f t="shared" si="95"/>
        <v/>
      </c>
      <c r="J46" t="str">
        <f t="shared" si="95"/>
        <v/>
      </c>
      <c r="K46" t="str">
        <f t="shared" si="95"/>
        <v/>
      </c>
      <c r="L46" t="str">
        <f t="shared" si="95"/>
        <v/>
      </c>
      <c r="M46" t="str">
        <f t="shared" si="95"/>
        <v/>
      </c>
      <c r="N46" t="str">
        <f t="shared" si="95"/>
        <v/>
      </c>
      <c r="O46" t="str">
        <f t="shared" si="95"/>
        <v/>
      </c>
      <c r="P46" t="str">
        <f t="shared" si="95"/>
        <v/>
      </c>
      <c r="Q46" t="str">
        <f t="shared" si="95"/>
        <v/>
      </c>
      <c r="R46" t="str">
        <f t="shared" si="95"/>
        <v/>
      </c>
      <c r="S46" t="str">
        <f t="shared" si="95"/>
        <v/>
      </c>
      <c r="T46" t="str">
        <f t="shared" si="95"/>
        <v/>
      </c>
      <c r="U46" s="247" t="str">
        <f ca="1">IF('output Corrected U5MR'!F17&lt;&gt;0,'output Corrected U5MR'!F17,"")</f>
        <v/>
      </c>
      <c r="V46" t="e">
        <f ca="1">'output Corrected U5MR'!G17</f>
        <v>#DIV/0!</v>
      </c>
      <c r="W46" s="247" t="str">
        <f t="shared" ca="1" si="74"/>
        <v/>
      </c>
      <c r="X46" t="str">
        <f t="shared" si="4"/>
        <v/>
      </c>
      <c r="Y46">
        <v>1</v>
      </c>
      <c r="Z46" t="str">
        <f t="shared" ref="Z46:AC46" si="96">IF(Z19&lt;&gt;"",Z19,"")</f>
        <v/>
      </c>
      <c r="AA46" t="str">
        <f t="shared" si="96"/>
        <v/>
      </c>
      <c r="AB46" t="str">
        <f t="shared" si="96"/>
        <v/>
      </c>
      <c r="AC46" t="str">
        <f t="shared" si="96"/>
        <v/>
      </c>
      <c r="AD46" s="286" t="s">
        <v>262</v>
      </c>
      <c r="AE46">
        <v>1</v>
      </c>
      <c r="AF46" t="str">
        <f t="shared" ref="AF46:AJ46" si="97">IF(AF19&lt;&gt;"",AF19,"")</f>
        <v/>
      </c>
      <c r="AG46" t="str">
        <f t="shared" si="97"/>
        <v/>
      </c>
      <c r="AH46" t="str">
        <f t="shared" si="97"/>
        <v/>
      </c>
      <c r="AI46" t="str">
        <f t="shared" si="97"/>
        <v/>
      </c>
      <c r="AJ46" t="str">
        <f t="shared" si="97"/>
        <v/>
      </c>
      <c r="AK46" t="s">
        <v>263</v>
      </c>
      <c r="AL46" t="str">
        <f t="shared" ref="AL46" si="98">IF(AL19&lt;&gt;"",AL19,"")</f>
        <v/>
      </c>
      <c r="AM46" t="str">
        <f t="shared" ref="AM46" si="99">IF(AM19&lt;&gt;"",AM19,"")</f>
        <v/>
      </c>
      <c r="AO46">
        <v>2016</v>
      </c>
    </row>
    <row r="47" spans="1:41">
      <c r="A47" t="str">
        <f t="shared" ref="A47" si="100">IF(A20&lt;&gt;"",A20,"")</f>
        <v/>
      </c>
      <c r="B47" t="str">
        <f t="shared" ref="B47:C47" si="101">IF(B20&lt;&gt;"",B20,"")</f>
        <v/>
      </c>
      <c r="C47" t="str">
        <f t="shared" si="101"/>
        <v/>
      </c>
      <c r="D47" t="str">
        <f t="shared" si="11"/>
        <v/>
      </c>
      <c r="E47" t="str">
        <f t="shared" ref="E47:T47" si="102">IF(E20&lt;&gt;"",E20,"")</f>
        <v/>
      </c>
      <c r="F47" t="str">
        <f t="shared" si="102"/>
        <v/>
      </c>
      <c r="G47" t="str">
        <f t="shared" si="102"/>
        <v/>
      </c>
      <c r="H47" t="str">
        <f t="shared" si="102"/>
        <v/>
      </c>
      <c r="I47" t="str">
        <f t="shared" si="102"/>
        <v/>
      </c>
      <c r="J47" t="str">
        <f t="shared" si="102"/>
        <v/>
      </c>
      <c r="K47" t="str">
        <f t="shared" si="102"/>
        <v/>
      </c>
      <c r="L47" t="str">
        <f t="shared" si="102"/>
        <v/>
      </c>
      <c r="M47" t="str">
        <f t="shared" si="102"/>
        <v/>
      </c>
      <c r="N47" t="str">
        <f t="shared" si="102"/>
        <v/>
      </c>
      <c r="O47" t="str">
        <f t="shared" si="102"/>
        <v/>
      </c>
      <c r="P47" t="str">
        <f t="shared" si="102"/>
        <v/>
      </c>
      <c r="Q47" t="str">
        <f t="shared" si="102"/>
        <v/>
      </c>
      <c r="R47" t="str">
        <f t="shared" si="102"/>
        <v/>
      </c>
      <c r="S47" t="str">
        <f t="shared" si="102"/>
        <v/>
      </c>
      <c r="T47" t="str">
        <f t="shared" si="102"/>
        <v/>
      </c>
      <c r="U47" s="247" t="str">
        <f ca="1">IF('output Corrected U5MR'!F18&lt;&gt;0,'output Corrected U5MR'!F18,"")</f>
        <v/>
      </c>
      <c r="V47" t="e">
        <f ca="1">'output Corrected U5MR'!G18</f>
        <v>#DIV/0!</v>
      </c>
      <c r="W47" s="247" t="str">
        <f t="shared" ca="1" si="74"/>
        <v/>
      </c>
      <c r="X47" t="str">
        <f t="shared" si="4"/>
        <v/>
      </c>
      <c r="Y47">
        <v>1</v>
      </c>
      <c r="Z47" t="str">
        <f t="shared" ref="Z47:AC47" si="103">IF(Z20&lt;&gt;"",Z20,"")</f>
        <v/>
      </c>
      <c r="AA47" t="str">
        <f t="shared" si="103"/>
        <v/>
      </c>
      <c r="AB47" t="str">
        <f t="shared" si="103"/>
        <v/>
      </c>
      <c r="AC47" t="str">
        <f t="shared" si="103"/>
        <v/>
      </c>
      <c r="AD47" s="286" t="s">
        <v>262</v>
      </c>
      <c r="AE47">
        <v>1</v>
      </c>
      <c r="AF47" t="str">
        <f t="shared" ref="AF47:AJ47" si="104">IF(AF20&lt;&gt;"",AF20,"")</f>
        <v/>
      </c>
      <c r="AG47" t="str">
        <f t="shared" si="104"/>
        <v/>
      </c>
      <c r="AH47" t="str">
        <f t="shared" si="104"/>
        <v/>
      </c>
      <c r="AI47" t="str">
        <f t="shared" si="104"/>
        <v/>
      </c>
      <c r="AJ47" t="str">
        <f t="shared" si="104"/>
        <v/>
      </c>
      <c r="AK47" t="s">
        <v>263</v>
      </c>
      <c r="AL47" t="str">
        <f t="shared" ref="AL47" si="105">IF(AL20&lt;&gt;"",AL20,"")</f>
        <v/>
      </c>
      <c r="AM47" t="str">
        <f t="shared" ref="AM47" si="106">IF(AM20&lt;&gt;"",AM20,"")</f>
        <v/>
      </c>
      <c r="AO47">
        <v>2016</v>
      </c>
    </row>
    <row r="48" spans="1:41">
      <c r="A48" t="str">
        <f t="shared" ref="A48" si="107">IF(A21&lt;&gt;"",A21,"")</f>
        <v/>
      </c>
      <c r="B48" t="str">
        <f t="shared" ref="B48:C48" si="108">IF(B21&lt;&gt;"",B21,"")</f>
        <v/>
      </c>
      <c r="C48" t="str">
        <f t="shared" si="108"/>
        <v/>
      </c>
      <c r="D48" t="str">
        <f t="shared" si="11"/>
        <v/>
      </c>
      <c r="E48" t="str">
        <f t="shared" ref="E48:T48" si="109">IF(E21&lt;&gt;"",E21,"")</f>
        <v/>
      </c>
      <c r="F48" t="str">
        <f t="shared" si="109"/>
        <v/>
      </c>
      <c r="G48" t="str">
        <f t="shared" si="109"/>
        <v/>
      </c>
      <c r="H48" t="str">
        <f t="shared" si="109"/>
        <v/>
      </c>
      <c r="I48" t="str">
        <f t="shared" si="109"/>
        <v/>
      </c>
      <c r="J48" t="str">
        <f t="shared" si="109"/>
        <v/>
      </c>
      <c r="K48" t="str">
        <f t="shared" si="109"/>
        <v/>
      </c>
      <c r="L48" t="str">
        <f t="shared" si="109"/>
        <v/>
      </c>
      <c r="M48" t="str">
        <f t="shared" si="109"/>
        <v/>
      </c>
      <c r="N48" t="str">
        <f t="shared" si="109"/>
        <v/>
      </c>
      <c r="O48" t="str">
        <f t="shared" si="109"/>
        <v/>
      </c>
      <c r="P48" t="str">
        <f t="shared" si="109"/>
        <v/>
      </c>
      <c r="Q48" t="str">
        <f t="shared" si="109"/>
        <v/>
      </c>
      <c r="R48" t="str">
        <f t="shared" si="109"/>
        <v/>
      </c>
      <c r="S48" t="str">
        <f t="shared" si="109"/>
        <v/>
      </c>
      <c r="T48" t="str">
        <f t="shared" si="109"/>
        <v/>
      </c>
      <c r="U48" s="247" t="str">
        <f ca="1">IF('output Corrected U5MR'!F19&lt;&gt;0,'output Corrected U5MR'!F19,"")</f>
        <v/>
      </c>
      <c r="V48" t="e">
        <f ca="1">'output Corrected U5MR'!G19</f>
        <v>#DIV/0!</v>
      </c>
      <c r="W48" s="247" t="str">
        <f t="shared" ca="1" si="74"/>
        <v/>
      </c>
      <c r="X48" t="str">
        <f t="shared" si="4"/>
        <v/>
      </c>
      <c r="Y48">
        <v>1</v>
      </c>
      <c r="Z48" t="str">
        <f t="shared" ref="Z48:AC48" si="110">IF(Z21&lt;&gt;"",Z21,"")</f>
        <v/>
      </c>
      <c r="AA48" t="str">
        <f t="shared" si="110"/>
        <v/>
      </c>
      <c r="AB48" t="str">
        <f t="shared" si="110"/>
        <v/>
      </c>
      <c r="AC48" t="str">
        <f t="shared" si="110"/>
        <v/>
      </c>
      <c r="AD48" s="286" t="s">
        <v>262</v>
      </c>
      <c r="AE48">
        <v>1</v>
      </c>
      <c r="AF48" t="str">
        <f t="shared" ref="AF48:AJ48" si="111">IF(AF21&lt;&gt;"",AF21,"")</f>
        <v/>
      </c>
      <c r="AG48" t="str">
        <f t="shared" si="111"/>
        <v/>
      </c>
      <c r="AH48" t="str">
        <f t="shared" si="111"/>
        <v/>
      </c>
      <c r="AI48" t="str">
        <f t="shared" si="111"/>
        <v/>
      </c>
      <c r="AJ48" t="str">
        <f t="shared" si="111"/>
        <v/>
      </c>
      <c r="AK48" t="s">
        <v>263</v>
      </c>
      <c r="AL48" t="str">
        <f t="shared" ref="AL48" si="112">IF(AL21&lt;&gt;"",AL21,"")</f>
        <v/>
      </c>
      <c r="AM48" t="str">
        <f t="shared" ref="AM48" si="113">IF(AM21&lt;&gt;"",AM21,"")</f>
        <v/>
      </c>
      <c r="AO48">
        <v>2016</v>
      </c>
    </row>
    <row r="49" spans="1:41">
      <c r="A49" t="str">
        <f t="shared" ref="A49" si="114">IF(A22&lt;&gt;"",A22,"")</f>
        <v/>
      </c>
      <c r="B49" t="str">
        <f t="shared" ref="B49:C49" si="115">IF(B22&lt;&gt;"",B22,"")</f>
        <v/>
      </c>
      <c r="C49" t="str">
        <f t="shared" si="115"/>
        <v/>
      </c>
      <c r="D49" t="str">
        <f t="shared" si="11"/>
        <v/>
      </c>
      <c r="E49" t="str">
        <f t="shared" ref="E49:T49" si="116">IF(E22&lt;&gt;"",E22,"")</f>
        <v/>
      </c>
      <c r="F49" t="str">
        <f t="shared" si="116"/>
        <v/>
      </c>
      <c r="G49" t="str">
        <f t="shared" si="116"/>
        <v/>
      </c>
      <c r="H49" t="str">
        <f t="shared" si="116"/>
        <v/>
      </c>
      <c r="I49" t="str">
        <f t="shared" si="116"/>
        <v/>
      </c>
      <c r="J49" t="str">
        <f t="shared" si="116"/>
        <v/>
      </c>
      <c r="K49" t="str">
        <f t="shared" si="116"/>
        <v/>
      </c>
      <c r="L49" t="str">
        <f t="shared" si="116"/>
        <v/>
      </c>
      <c r="M49" t="str">
        <f t="shared" si="116"/>
        <v/>
      </c>
      <c r="N49" t="str">
        <f t="shared" si="116"/>
        <v/>
      </c>
      <c r="O49" t="str">
        <f t="shared" si="116"/>
        <v/>
      </c>
      <c r="P49" t="str">
        <f t="shared" si="116"/>
        <v/>
      </c>
      <c r="Q49" t="str">
        <f t="shared" si="116"/>
        <v/>
      </c>
      <c r="R49" t="str">
        <f t="shared" si="116"/>
        <v/>
      </c>
      <c r="S49" t="str">
        <f t="shared" si="116"/>
        <v/>
      </c>
      <c r="T49" t="str">
        <f t="shared" si="116"/>
        <v/>
      </c>
      <c r="U49" s="247" t="str">
        <f ca="1">IF('output Corrected U5MR'!F20&lt;&gt;0,'output Corrected U5MR'!F20,"")</f>
        <v/>
      </c>
      <c r="V49" t="e">
        <f ca="1">'output Corrected U5MR'!G20</f>
        <v>#DIV/0!</v>
      </c>
      <c r="W49" s="247" t="str">
        <f t="shared" ca="1" si="74"/>
        <v/>
      </c>
      <c r="X49" t="str">
        <f t="shared" si="4"/>
        <v/>
      </c>
      <c r="Y49">
        <v>1</v>
      </c>
      <c r="Z49" t="str">
        <f t="shared" ref="Z49:AC49" si="117">IF(Z22&lt;&gt;"",Z22,"")</f>
        <v/>
      </c>
      <c r="AA49" t="str">
        <f t="shared" si="117"/>
        <v/>
      </c>
      <c r="AB49" t="str">
        <f t="shared" si="117"/>
        <v/>
      </c>
      <c r="AC49" t="str">
        <f t="shared" si="117"/>
        <v/>
      </c>
      <c r="AD49" s="286" t="s">
        <v>262</v>
      </c>
      <c r="AE49">
        <v>1</v>
      </c>
      <c r="AF49" t="str">
        <f t="shared" ref="AF49:AJ49" si="118">IF(AF22&lt;&gt;"",AF22,"")</f>
        <v/>
      </c>
      <c r="AG49" t="str">
        <f t="shared" si="118"/>
        <v/>
      </c>
      <c r="AH49" t="str">
        <f t="shared" si="118"/>
        <v/>
      </c>
      <c r="AI49" t="str">
        <f t="shared" si="118"/>
        <v/>
      </c>
      <c r="AJ49" t="str">
        <f t="shared" si="118"/>
        <v/>
      </c>
      <c r="AK49" t="s">
        <v>263</v>
      </c>
      <c r="AL49" t="str">
        <f t="shared" ref="AL49" si="119">IF(AL22&lt;&gt;"",AL22,"")</f>
        <v/>
      </c>
      <c r="AM49" t="str">
        <f t="shared" ref="AM49" si="120">IF(AM22&lt;&gt;"",AM22,"")</f>
        <v/>
      </c>
      <c r="AO49">
        <v>2016</v>
      </c>
    </row>
    <row r="50" spans="1:41">
      <c r="A50" t="str">
        <f t="shared" ref="A50" si="121">IF(A23&lt;&gt;"",A23,"")</f>
        <v/>
      </c>
      <c r="B50" t="str">
        <f t="shared" ref="B50:C50" si="122">IF(B23&lt;&gt;"",B23,"")</f>
        <v/>
      </c>
      <c r="C50" t="str">
        <f t="shared" si="122"/>
        <v/>
      </c>
      <c r="D50" t="str">
        <f t="shared" si="11"/>
        <v/>
      </c>
      <c r="E50" t="str">
        <f t="shared" ref="E50:T50" si="123">IF(E23&lt;&gt;"",E23,"")</f>
        <v/>
      </c>
      <c r="F50" t="str">
        <f t="shared" si="123"/>
        <v/>
      </c>
      <c r="G50" t="str">
        <f t="shared" si="123"/>
        <v/>
      </c>
      <c r="H50" t="str">
        <f t="shared" si="123"/>
        <v/>
      </c>
      <c r="I50" t="str">
        <f t="shared" si="123"/>
        <v/>
      </c>
      <c r="J50" t="str">
        <f t="shared" si="123"/>
        <v/>
      </c>
      <c r="K50" t="str">
        <f t="shared" si="123"/>
        <v/>
      </c>
      <c r="L50" t="str">
        <f t="shared" si="123"/>
        <v/>
      </c>
      <c r="M50" t="str">
        <f t="shared" si="123"/>
        <v/>
      </c>
      <c r="N50" t="str">
        <f t="shared" si="123"/>
        <v/>
      </c>
      <c r="O50" t="str">
        <f t="shared" si="123"/>
        <v/>
      </c>
      <c r="P50" t="str">
        <f t="shared" si="123"/>
        <v/>
      </c>
      <c r="Q50" t="str">
        <f t="shared" si="123"/>
        <v/>
      </c>
      <c r="R50" t="str">
        <f t="shared" si="123"/>
        <v/>
      </c>
      <c r="S50" t="str">
        <f t="shared" si="123"/>
        <v/>
      </c>
      <c r="T50" t="str">
        <f t="shared" si="123"/>
        <v/>
      </c>
      <c r="U50" s="247" t="str">
        <f ca="1">IF('output Corrected U5MR'!F21&lt;&gt;0,'output Corrected U5MR'!F21,"")</f>
        <v/>
      </c>
      <c r="V50" t="e">
        <f ca="1">'output Corrected U5MR'!G21</f>
        <v>#DIV/0!</v>
      </c>
      <c r="W50" s="247" t="str">
        <f t="shared" ca="1" si="74"/>
        <v/>
      </c>
      <c r="X50" t="str">
        <f t="shared" si="4"/>
        <v/>
      </c>
      <c r="Y50">
        <v>1</v>
      </c>
      <c r="Z50" t="str">
        <f t="shared" ref="Z50:AC50" si="124">IF(Z23&lt;&gt;"",Z23,"")</f>
        <v/>
      </c>
      <c r="AA50" t="str">
        <f t="shared" si="124"/>
        <v/>
      </c>
      <c r="AB50" t="str">
        <f t="shared" si="124"/>
        <v/>
      </c>
      <c r="AC50" t="str">
        <f t="shared" si="124"/>
        <v/>
      </c>
      <c r="AD50" s="286" t="s">
        <v>262</v>
      </c>
      <c r="AE50">
        <v>1</v>
      </c>
      <c r="AF50" t="str">
        <f t="shared" ref="AF50:AJ50" si="125">IF(AF23&lt;&gt;"",AF23,"")</f>
        <v/>
      </c>
      <c r="AG50" t="str">
        <f t="shared" si="125"/>
        <v/>
      </c>
      <c r="AH50" t="str">
        <f t="shared" si="125"/>
        <v/>
      </c>
      <c r="AI50" t="str">
        <f t="shared" si="125"/>
        <v/>
      </c>
      <c r="AJ50" t="str">
        <f t="shared" si="125"/>
        <v/>
      </c>
      <c r="AK50" t="s">
        <v>263</v>
      </c>
      <c r="AL50" t="str">
        <f t="shared" ref="AL50" si="126">IF(AL23&lt;&gt;"",AL23,"")</f>
        <v/>
      </c>
      <c r="AM50" t="str">
        <f t="shared" ref="AM50" si="127">IF(AM23&lt;&gt;"",AM23,"")</f>
        <v/>
      </c>
      <c r="AO50">
        <v>2016</v>
      </c>
    </row>
    <row r="51" spans="1:41">
      <c r="A51" t="str">
        <f t="shared" ref="A51" si="128">IF(A24&lt;&gt;"",A24,"")</f>
        <v/>
      </c>
      <c r="B51" t="str">
        <f t="shared" ref="B51:C51" si="129">IF(B24&lt;&gt;"",B24,"")</f>
        <v/>
      </c>
      <c r="C51" t="str">
        <f t="shared" si="129"/>
        <v/>
      </c>
      <c r="D51" t="str">
        <f t="shared" si="11"/>
        <v/>
      </c>
      <c r="E51" t="str">
        <f t="shared" ref="E51:T51" si="130">IF(E24&lt;&gt;"",E24,"")</f>
        <v/>
      </c>
      <c r="F51" t="str">
        <f t="shared" si="130"/>
        <v/>
      </c>
      <c r="G51" t="str">
        <f t="shared" si="130"/>
        <v/>
      </c>
      <c r="H51" t="str">
        <f t="shared" si="130"/>
        <v/>
      </c>
      <c r="I51" t="str">
        <f t="shared" si="130"/>
        <v/>
      </c>
      <c r="J51" t="str">
        <f t="shared" si="130"/>
        <v/>
      </c>
      <c r="K51" t="str">
        <f t="shared" si="130"/>
        <v/>
      </c>
      <c r="L51" t="str">
        <f t="shared" si="130"/>
        <v/>
      </c>
      <c r="M51" t="str">
        <f t="shared" si="130"/>
        <v/>
      </c>
      <c r="N51" t="str">
        <f t="shared" si="130"/>
        <v/>
      </c>
      <c r="O51" t="str">
        <f t="shared" si="130"/>
        <v/>
      </c>
      <c r="P51" t="str">
        <f t="shared" si="130"/>
        <v/>
      </c>
      <c r="Q51" t="str">
        <f t="shared" si="130"/>
        <v/>
      </c>
      <c r="R51" t="str">
        <f t="shared" si="130"/>
        <v/>
      </c>
      <c r="S51" t="str">
        <f t="shared" si="130"/>
        <v/>
      </c>
      <c r="T51" t="str">
        <f t="shared" si="130"/>
        <v/>
      </c>
      <c r="U51" s="247" t="str">
        <f ca="1">IF('output Corrected U5MR'!F22&lt;&gt;0,'output Corrected U5MR'!F22,"")</f>
        <v/>
      </c>
      <c r="V51" t="e">
        <f ca="1">'output Corrected U5MR'!G22</f>
        <v>#DIV/0!</v>
      </c>
      <c r="W51" s="247" t="str">
        <f t="shared" ca="1" si="74"/>
        <v/>
      </c>
      <c r="X51" t="str">
        <f t="shared" si="4"/>
        <v/>
      </c>
      <c r="Y51">
        <v>1</v>
      </c>
      <c r="Z51" t="str">
        <f t="shared" ref="Z51:AC51" si="131">IF(Z24&lt;&gt;"",Z24,"")</f>
        <v/>
      </c>
      <c r="AA51" t="str">
        <f t="shared" si="131"/>
        <v/>
      </c>
      <c r="AB51" t="str">
        <f t="shared" si="131"/>
        <v/>
      </c>
      <c r="AC51" t="str">
        <f t="shared" si="131"/>
        <v/>
      </c>
      <c r="AD51" s="286" t="s">
        <v>262</v>
      </c>
      <c r="AE51">
        <v>1</v>
      </c>
      <c r="AF51" t="str">
        <f t="shared" ref="AF51:AJ51" si="132">IF(AF24&lt;&gt;"",AF24,"")</f>
        <v/>
      </c>
      <c r="AG51" t="str">
        <f t="shared" si="132"/>
        <v/>
      </c>
      <c r="AH51" t="str">
        <f t="shared" si="132"/>
        <v/>
      </c>
      <c r="AI51" t="str">
        <f t="shared" si="132"/>
        <v/>
      </c>
      <c r="AJ51" t="str">
        <f t="shared" si="132"/>
        <v/>
      </c>
      <c r="AK51" t="s">
        <v>263</v>
      </c>
      <c r="AL51" t="str">
        <f t="shared" ref="AL51" si="133">IF(AL24&lt;&gt;"",AL24,"")</f>
        <v/>
      </c>
      <c r="AM51" t="str">
        <f t="shared" ref="AM51" si="134">IF(AM24&lt;&gt;"",AM24,"")</f>
        <v/>
      </c>
      <c r="AO51">
        <v>2016</v>
      </c>
    </row>
    <row r="52" spans="1:41">
      <c r="A52" t="str">
        <f t="shared" ref="A52" si="135">IF(A25&lt;&gt;"",A25,"")</f>
        <v/>
      </c>
      <c r="B52" t="str">
        <f t="shared" ref="B52:C52" si="136">IF(B25&lt;&gt;"",B25,"")</f>
        <v/>
      </c>
      <c r="C52" t="str">
        <f t="shared" si="136"/>
        <v/>
      </c>
      <c r="D52" t="str">
        <f t="shared" si="11"/>
        <v/>
      </c>
      <c r="E52" t="str">
        <f t="shared" ref="E52:T52" si="137">IF(E25&lt;&gt;"",E25,"")</f>
        <v/>
      </c>
      <c r="F52" t="str">
        <f t="shared" si="137"/>
        <v/>
      </c>
      <c r="G52" t="str">
        <f t="shared" si="137"/>
        <v/>
      </c>
      <c r="H52" t="str">
        <f t="shared" si="137"/>
        <v/>
      </c>
      <c r="I52" t="str">
        <f t="shared" si="137"/>
        <v/>
      </c>
      <c r="J52" t="str">
        <f t="shared" si="137"/>
        <v/>
      </c>
      <c r="K52" t="str">
        <f t="shared" si="137"/>
        <v/>
      </c>
      <c r="L52" t="str">
        <f t="shared" si="137"/>
        <v/>
      </c>
      <c r="M52" t="str">
        <f t="shared" si="137"/>
        <v/>
      </c>
      <c r="N52" t="str">
        <f t="shared" si="137"/>
        <v/>
      </c>
      <c r="O52" t="str">
        <f t="shared" si="137"/>
        <v/>
      </c>
      <c r="P52" t="str">
        <f t="shared" si="137"/>
        <v/>
      </c>
      <c r="Q52" t="str">
        <f t="shared" si="137"/>
        <v/>
      </c>
      <c r="R52" t="str">
        <f t="shared" si="137"/>
        <v/>
      </c>
      <c r="S52" t="str">
        <f t="shared" si="137"/>
        <v/>
      </c>
      <c r="T52" t="str">
        <f t="shared" si="137"/>
        <v/>
      </c>
      <c r="U52" s="247" t="str">
        <f ca="1">IF('output Corrected U5MR'!F23&lt;&gt;0,'output Corrected U5MR'!F23,"")</f>
        <v/>
      </c>
      <c r="V52" t="e">
        <f ca="1">'output Corrected U5MR'!G23</f>
        <v>#DIV/0!</v>
      </c>
      <c r="W52" s="247" t="str">
        <f t="shared" ca="1" si="74"/>
        <v/>
      </c>
      <c r="X52" t="str">
        <f t="shared" si="4"/>
        <v/>
      </c>
      <c r="Y52">
        <v>1</v>
      </c>
      <c r="Z52" t="str">
        <f t="shared" ref="Z52:AC54" si="138">IF(Z25&lt;&gt;"",Z25,"")</f>
        <v/>
      </c>
      <c r="AA52" t="str">
        <f t="shared" si="138"/>
        <v/>
      </c>
      <c r="AB52" t="str">
        <f t="shared" si="138"/>
        <v/>
      </c>
      <c r="AC52" t="str">
        <f t="shared" si="138"/>
        <v/>
      </c>
      <c r="AD52" s="286" t="s">
        <v>262</v>
      </c>
      <c r="AE52">
        <v>1</v>
      </c>
      <c r="AF52" t="str">
        <f t="shared" ref="AF52:AJ54" si="139">IF(AF25&lt;&gt;"",AF25,"")</f>
        <v/>
      </c>
      <c r="AG52" t="str">
        <f t="shared" si="139"/>
        <v/>
      </c>
      <c r="AH52" t="str">
        <f t="shared" si="139"/>
        <v/>
      </c>
      <c r="AI52" t="str">
        <f t="shared" si="139"/>
        <v/>
      </c>
      <c r="AJ52" t="str">
        <f t="shared" si="139"/>
        <v/>
      </c>
      <c r="AK52" t="s">
        <v>263</v>
      </c>
      <c r="AL52" t="str">
        <f t="shared" ref="AL52" si="140">IF(AL25&lt;&gt;"",AL25,"")</f>
        <v/>
      </c>
      <c r="AM52" t="str">
        <f t="shared" ref="AM52" si="141">IF(AM25&lt;&gt;"",AM25,"")</f>
        <v/>
      </c>
      <c r="AO52">
        <v>2016</v>
      </c>
    </row>
    <row r="53" spans="1:41">
      <c r="A53" t="str">
        <f t="shared" ref="A53" si="142">IF(A26&lt;&gt;"",A26,"")</f>
        <v/>
      </c>
      <c r="B53" t="str">
        <f t="shared" ref="B53:C53" si="143">IF(B26&lt;&gt;"",B26,"")</f>
        <v/>
      </c>
      <c r="C53" t="str">
        <f t="shared" si="143"/>
        <v/>
      </c>
      <c r="D53" t="str">
        <f t="shared" si="11"/>
        <v/>
      </c>
      <c r="E53" t="str">
        <f t="shared" ref="E53:T53" si="144">IF(E26&lt;&gt;"",E26,"")</f>
        <v/>
      </c>
      <c r="F53" t="str">
        <f t="shared" si="144"/>
        <v/>
      </c>
      <c r="G53" t="str">
        <f t="shared" si="144"/>
        <v/>
      </c>
      <c r="H53" t="str">
        <f t="shared" si="144"/>
        <v/>
      </c>
      <c r="I53" t="str">
        <f t="shared" si="144"/>
        <v/>
      </c>
      <c r="J53" t="str">
        <f t="shared" si="144"/>
        <v/>
      </c>
      <c r="K53" t="str">
        <f t="shared" si="144"/>
        <v/>
      </c>
      <c r="L53" t="str">
        <f t="shared" si="144"/>
        <v/>
      </c>
      <c r="M53" t="str">
        <f t="shared" si="144"/>
        <v/>
      </c>
      <c r="N53" t="str">
        <f t="shared" si="144"/>
        <v/>
      </c>
      <c r="O53" t="str">
        <f t="shared" si="144"/>
        <v/>
      </c>
      <c r="P53" t="str">
        <f t="shared" si="144"/>
        <v/>
      </c>
      <c r="Q53" t="str">
        <f t="shared" si="144"/>
        <v/>
      </c>
      <c r="R53" t="str">
        <f t="shared" si="144"/>
        <v/>
      </c>
      <c r="S53" t="str">
        <f t="shared" si="144"/>
        <v/>
      </c>
      <c r="T53" t="str">
        <f t="shared" si="144"/>
        <v/>
      </c>
      <c r="U53" s="247" t="str">
        <f ca="1">IF('output Corrected U5MR'!F24&lt;&gt;0,'output Corrected U5MR'!F24,"")</f>
        <v/>
      </c>
      <c r="V53" t="e">
        <f ca="1">'output Corrected U5MR'!G24</f>
        <v>#DIV/0!</v>
      </c>
      <c r="W53" s="247" t="str">
        <f t="shared" ca="1" si="74"/>
        <v/>
      </c>
      <c r="X53" t="str">
        <f t="shared" si="4"/>
        <v/>
      </c>
      <c r="Y53">
        <v>1</v>
      </c>
      <c r="Z53" t="str">
        <f t="shared" ref="Z53:AC53" si="145">IF(Z26&lt;&gt;"",Z26,"")</f>
        <v/>
      </c>
      <c r="AA53" t="str">
        <f t="shared" si="145"/>
        <v/>
      </c>
      <c r="AB53" t="str">
        <f t="shared" si="145"/>
        <v/>
      </c>
      <c r="AC53" t="str">
        <f t="shared" si="145"/>
        <v/>
      </c>
      <c r="AD53" s="286" t="s">
        <v>262</v>
      </c>
      <c r="AE53">
        <v>1</v>
      </c>
      <c r="AF53" t="str">
        <f t="shared" ref="AF53:AJ53" si="146">IF(AF26&lt;&gt;"",AF26,"")</f>
        <v/>
      </c>
      <c r="AG53" t="str">
        <f t="shared" si="146"/>
        <v/>
      </c>
      <c r="AH53" t="str">
        <f t="shared" si="146"/>
        <v/>
      </c>
      <c r="AI53" t="str">
        <f t="shared" si="146"/>
        <v/>
      </c>
      <c r="AJ53" t="str">
        <f t="shared" si="146"/>
        <v/>
      </c>
      <c r="AK53" t="s">
        <v>263</v>
      </c>
      <c r="AL53" t="str">
        <f t="shared" ref="AL53" si="147">IF(AL26&lt;&gt;"",AL26,"")</f>
        <v/>
      </c>
      <c r="AM53" t="str">
        <f t="shared" ref="AM53" si="148">IF(AM26&lt;&gt;"",AM26,"")</f>
        <v/>
      </c>
      <c r="AO53">
        <v>2016</v>
      </c>
    </row>
    <row r="54" spans="1:41">
      <c r="A54" t="str">
        <f t="shared" ref="A54" si="149">IF(A27&lt;&gt;"",A27,"")</f>
        <v/>
      </c>
      <c r="B54" t="str">
        <f t="shared" ref="B54:C54" si="150">IF(B27&lt;&gt;"",B27,"")</f>
        <v/>
      </c>
      <c r="C54" t="str">
        <f t="shared" si="150"/>
        <v/>
      </c>
      <c r="D54" t="str">
        <f t="shared" si="11"/>
        <v/>
      </c>
      <c r="E54" t="str">
        <f t="shared" ref="E54:T54" si="151">IF(E27&lt;&gt;"",E27,"")</f>
        <v/>
      </c>
      <c r="F54" t="str">
        <f t="shared" si="151"/>
        <v/>
      </c>
      <c r="G54" t="str">
        <f t="shared" si="151"/>
        <v/>
      </c>
      <c r="H54" t="str">
        <f t="shared" si="151"/>
        <v/>
      </c>
      <c r="I54" t="str">
        <f t="shared" si="151"/>
        <v/>
      </c>
      <c r="J54" t="str">
        <f t="shared" si="151"/>
        <v/>
      </c>
      <c r="K54" t="str">
        <f t="shared" si="151"/>
        <v/>
      </c>
      <c r="L54" t="str">
        <f t="shared" si="151"/>
        <v/>
      </c>
      <c r="M54" t="str">
        <f t="shared" si="151"/>
        <v/>
      </c>
      <c r="N54" t="str">
        <f t="shared" si="151"/>
        <v/>
      </c>
      <c r="O54" t="str">
        <f t="shared" si="151"/>
        <v/>
      </c>
      <c r="P54" t="str">
        <f t="shared" si="151"/>
        <v/>
      </c>
      <c r="Q54" t="str">
        <f t="shared" si="151"/>
        <v/>
      </c>
      <c r="R54" t="str">
        <f t="shared" si="151"/>
        <v/>
      </c>
      <c r="S54" t="str">
        <f t="shared" si="151"/>
        <v/>
      </c>
      <c r="T54" t="str">
        <f t="shared" si="151"/>
        <v/>
      </c>
      <c r="U54" s="247" t="str">
        <f ca="1">IF('output Corrected U5MR'!F25&lt;&gt;0,'output Corrected U5MR'!F25,"")</f>
        <v/>
      </c>
      <c r="V54" t="e">
        <f ca="1">'output Corrected U5MR'!G25</f>
        <v>#DIV/0!</v>
      </c>
      <c r="W54" s="247" t="str">
        <f t="shared" ca="1" si="74"/>
        <v/>
      </c>
      <c r="X54" t="str">
        <f t="shared" si="4"/>
        <v/>
      </c>
      <c r="Y54">
        <v>1</v>
      </c>
      <c r="Z54" t="str">
        <f t="shared" si="138"/>
        <v/>
      </c>
      <c r="AA54" t="str">
        <f t="shared" si="138"/>
        <v/>
      </c>
      <c r="AB54" t="str">
        <f t="shared" si="138"/>
        <v/>
      </c>
      <c r="AC54" t="str">
        <f t="shared" si="138"/>
        <v/>
      </c>
      <c r="AD54" s="286" t="s">
        <v>262</v>
      </c>
      <c r="AE54">
        <v>1</v>
      </c>
      <c r="AF54" t="str">
        <f t="shared" si="139"/>
        <v/>
      </c>
      <c r="AG54" t="str">
        <f t="shared" si="139"/>
        <v/>
      </c>
      <c r="AH54" t="str">
        <f t="shared" si="139"/>
        <v/>
      </c>
      <c r="AI54" t="str">
        <f t="shared" si="139"/>
        <v/>
      </c>
      <c r="AJ54" t="str">
        <f t="shared" si="139"/>
        <v/>
      </c>
      <c r="AL54" t="str">
        <f t="shared" ref="AL54" si="152">IF(AL27&lt;&gt;"",AL27,"")</f>
        <v/>
      </c>
    </row>
    <row r="55" spans="1:41">
      <c r="A55" t="str">
        <f t="shared" ref="A55" si="153">IF(A28&lt;&gt;"",A28,"")</f>
        <v/>
      </c>
      <c r="B55" t="str">
        <f t="shared" ref="B55:C55" si="154">IF(B28&lt;&gt;"",B28,"")</f>
        <v/>
      </c>
      <c r="C55" t="str">
        <f t="shared" si="154"/>
        <v/>
      </c>
      <c r="D55" t="str">
        <f t="shared" si="11"/>
        <v/>
      </c>
      <c r="E55" t="str">
        <f t="shared" ref="E55:T55" si="155">IF(E28&lt;&gt;"",E28,"")</f>
        <v/>
      </c>
      <c r="F55" t="str">
        <f t="shared" si="155"/>
        <v/>
      </c>
      <c r="G55" t="str">
        <f t="shared" si="155"/>
        <v/>
      </c>
      <c r="H55" t="str">
        <f t="shared" si="155"/>
        <v/>
      </c>
      <c r="I55" t="str">
        <f t="shared" si="155"/>
        <v/>
      </c>
      <c r="J55" t="str">
        <f t="shared" si="155"/>
        <v/>
      </c>
      <c r="K55" t="str">
        <f t="shared" si="155"/>
        <v/>
      </c>
      <c r="L55" t="str">
        <f t="shared" si="155"/>
        <v/>
      </c>
      <c r="M55" t="str">
        <f t="shared" si="155"/>
        <v/>
      </c>
      <c r="N55" t="str">
        <f t="shared" si="155"/>
        <v/>
      </c>
      <c r="O55" t="str">
        <f t="shared" si="155"/>
        <v/>
      </c>
      <c r="P55" t="str">
        <f t="shared" si="155"/>
        <v/>
      </c>
      <c r="Q55" t="str">
        <f t="shared" si="155"/>
        <v/>
      </c>
      <c r="R55" t="str">
        <f t="shared" si="155"/>
        <v/>
      </c>
      <c r="S55" t="str">
        <f t="shared" si="155"/>
        <v/>
      </c>
      <c r="T55" t="str">
        <f t="shared" si="155"/>
        <v/>
      </c>
      <c r="U55" s="247" t="str">
        <f ca="1">IF('output Corrected U5MR'!F26&lt;&gt;0,'output Corrected U5MR'!F26,"")</f>
        <v/>
      </c>
      <c r="V55" t="e">
        <f ca="1">'output Corrected U5MR'!G26</f>
        <v>#DIV/0!</v>
      </c>
      <c r="W55" s="247" t="str">
        <f t="shared" ca="1" si="74"/>
        <v/>
      </c>
      <c r="X55" t="str">
        <f t="shared" si="4"/>
        <v/>
      </c>
      <c r="AD55" s="287"/>
      <c r="AI55" s="70"/>
      <c r="AL55" t="str">
        <f t="shared" ref="AL55" si="156">IF(AL28&lt;&gt;"",AL28,"")</f>
        <v/>
      </c>
    </row>
  </sheetData>
  <conditionalFormatting sqref="Y31:Y55">
    <cfRule type="containsText" dxfId="0" priority="7" operator="containsText" text="0">
      <formula>NOT(ISERROR(SEARCH("0",Y31)))</formula>
    </cfRule>
  </conditionalFormatting>
  <pageMargins left="0.7" right="0.7" top="0.75" bottom="0.75" header="0.3" footer="0.3"/>
  <ignoredErrors>
    <ignoredError sqref="D31:D55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38"/>
  <sheetViews>
    <sheetView workbookViewId="0"/>
  </sheetViews>
  <sheetFormatPr defaultRowHeight="12.75"/>
  <cols>
    <col min="1" max="1" width="13.140625" customWidth="1"/>
    <col min="10" max="10" width="12.5703125" customWidth="1"/>
    <col min="11" max="11" width="13" customWidth="1"/>
    <col min="12" max="12" width="13.140625" customWidth="1"/>
  </cols>
  <sheetData>
    <row r="1" spans="1:12" ht="15.75">
      <c r="A1" s="32" t="s">
        <v>32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40" t="s">
        <v>22</v>
      </c>
      <c r="K2" s="38" t="s">
        <v>12</v>
      </c>
      <c r="L2" s="38" t="s">
        <v>12</v>
      </c>
    </row>
    <row r="3" spans="1:12" ht="15.75" customHeight="1">
      <c r="A3" s="34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40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values'!S$40)</f>
        <v>6246.4359524178626</v>
      </c>
      <c r="D4" s="9">
        <f>B5*('Base values'!S$40-'Base values'!S$41)</f>
        <v>1492.8602807688551</v>
      </c>
      <c r="E4" s="9">
        <f>B6*('Base values'!S$41-'Base values'!S$42)</f>
        <v>1003.0368715283225</v>
      </c>
      <c r="F4" s="9">
        <f>B7*('Base values'!S$42-'Base values'!S$43)</f>
        <v>534.55564514474906</v>
      </c>
      <c r="G4" s="9">
        <f>B8*('Base values'!S$43-'Base values'!S$44)</f>
        <v>367.35085396113055</v>
      </c>
      <c r="H4" s="9">
        <f>B9*('Base values'!S$44-'Base values'!S$45)</f>
        <v>1223.2906366712557</v>
      </c>
      <c r="I4" s="9">
        <f>SUM(C4:H4)</f>
        <v>10867.530240492175</v>
      </c>
      <c r="J4" s="41">
        <f>'Base values'!C57</f>
        <v>0</v>
      </c>
      <c r="K4" s="36">
        <f>C4*(1-J4)+D4*(1-J5)+E4*(1-J6)+F4*(1-J7)+G4*(1-J8)+H4*(1-J9)</f>
        <v>9904.9936496211867</v>
      </c>
      <c r="L4" s="36">
        <f>I4-K4</f>
        <v>962.53659087098822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values'!S$40)</f>
        <v>6092.2707155387416</v>
      </c>
      <c r="D5" s="9">
        <f>B6*('Base values'!S$40-'Base values'!S$41)</f>
        <v>1488.2500392200782</v>
      </c>
      <c r="E5" s="9">
        <f>B7*('Base values'!S$41-'Base values'!S$42)</f>
        <v>1010.3970572658327</v>
      </c>
      <c r="F5" s="9">
        <f>B8*('Base values'!S$42-'Base values'!S$43)</f>
        <v>514.88510748730209</v>
      </c>
      <c r="G5" s="9">
        <f>B9*('Base values'!S$43-'Base values'!S$44)</f>
        <v>357.90471416148648</v>
      </c>
      <c r="H5" s="9">
        <f>B10*('Base values'!S$44-'Base values'!S$45)</f>
        <v>1203.8865524889316</v>
      </c>
      <c r="I5" s="9">
        <f t="shared" ref="I5:I33" si="0">SUM(C5:H5)</f>
        <v>10667.594186162372</v>
      </c>
      <c r="J5" s="41">
        <f>'Base values'!C58</f>
        <v>5.4347826086956513E-2</v>
      </c>
      <c r="K5" s="36">
        <f t="shared" ref="K5:K33" si="1">C5*(1-J5)+D5*(1-J6)+E5*(1-J7)+F5*(1-J8)+G5*(1-J9)+H5*(1-J10)</f>
        <v>8967.4997488249955</v>
      </c>
      <c r="L5" s="36">
        <f t="shared" ref="L5:L33" si="2">I5-K5</f>
        <v>1700.0944373373768</v>
      </c>
    </row>
    <row r="6" spans="1:12">
      <c r="A6" s="28">
        <f t="shared" ref="A6:A30" si="3">1+A5</f>
        <v>2</v>
      </c>
      <c r="B6" s="9">
        <f>'Base values'!F6-'Base values'!E6</f>
        <v>86144.488070055653</v>
      </c>
      <c r="C6" s="9">
        <f>B6*(1-'Base values'!S$40)</f>
        <v>6073.4566041707913</v>
      </c>
      <c r="D6" s="9">
        <f>B7*('Base values'!S$40-'Base values'!S$41)</f>
        <v>1499.1706713757301</v>
      </c>
      <c r="E6" s="9">
        <f>B8*('Base values'!S$41-'Base values'!S$42)</f>
        <v>973.21654379741858</v>
      </c>
      <c r="F6" s="9">
        <f>B9*('Base values'!S$42-'Base values'!S$43)</f>
        <v>501.64523978688715</v>
      </c>
      <c r="G6" s="9">
        <f>B10*('Base values'!S$43-'Base values'!S$44)</f>
        <v>352.22755699649906</v>
      </c>
      <c r="H6" s="9">
        <f>B11*('Base values'!S$44-'Base values'!S$45)</f>
        <v>1148.2102066689617</v>
      </c>
      <c r="I6" s="9">
        <f t="shared" si="0"/>
        <v>10547.926822796288</v>
      </c>
      <c r="J6" s="41">
        <f>'Base values'!C59</f>
        <v>0.13043478260869565</v>
      </c>
      <c r="K6" s="36">
        <f t="shared" si="1"/>
        <v>7998.9303110679602</v>
      </c>
      <c r="L6" s="36">
        <f t="shared" si="2"/>
        <v>2548.9965117283273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values'!S$40)</f>
        <v>6118.0230303354574</v>
      </c>
      <c r="D7" s="9">
        <f>B8*('Base values'!S$40-'Base values'!S$41)</f>
        <v>1444.004303918791</v>
      </c>
      <c r="E7" s="9">
        <f>B9*('Base values'!S$41-'Base values'!S$42)</f>
        <v>948.19104180414001</v>
      </c>
      <c r="F7" s="9">
        <f>B10*('Base values'!S$42-'Base values'!S$43)</f>
        <v>493.68804125148881</v>
      </c>
      <c r="G7" s="9">
        <f>B11*('Base values'!S$43-'Base values'!S$44)</f>
        <v>335.93802935777211</v>
      </c>
      <c r="H7" s="9">
        <f>B12*('Base values'!S$44-'Base values'!S$45)</f>
        <v>1139.229691682239</v>
      </c>
      <c r="I7" s="9">
        <f t="shared" si="0"/>
        <v>10479.07413834989</v>
      </c>
      <c r="J7" s="41">
        <f>'Base values'!C60</f>
        <v>0.21739130434782611</v>
      </c>
      <c r="K7" s="36">
        <f t="shared" si="1"/>
        <v>6999.9402750257887</v>
      </c>
      <c r="L7" s="36">
        <f t="shared" si="2"/>
        <v>3479.1338633241012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values'!S$40)</f>
        <v>5892.8924877990412</v>
      </c>
      <c r="D8" s="9">
        <f>B9*('Base values'!S$40-'Base values'!S$41)</f>
        <v>1406.872863011489</v>
      </c>
      <c r="E8" s="9">
        <f>B10*('Base values'!S$41-'Base values'!S$42)</f>
        <v>933.15064319031683</v>
      </c>
      <c r="F8" s="9">
        <f>B11*('Base values'!S$42-'Base values'!S$43)</f>
        <v>470.8563665765995</v>
      </c>
      <c r="G8" s="9">
        <f>B12*('Base values'!S$43-'Base values'!S$44)</f>
        <v>333.31055183690091</v>
      </c>
      <c r="H8" s="9">
        <f>B13*('Base values'!S$44-'Base values'!S$45)</f>
        <v>1150.1187105182382</v>
      </c>
      <c r="I8" s="9">
        <f t="shared" si="0"/>
        <v>10187.201622932585</v>
      </c>
      <c r="J8" s="41">
        <f>'Base values'!C61</f>
        <v>0.31521739130434784</v>
      </c>
      <c r="K8" s="36">
        <f t="shared" si="1"/>
        <v>5775.2097144437412</v>
      </c>
      <c r="L8" s="36">
        <f t="shared" si="2"/>
        <v>4411.9919084888443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values'!S$40)</f>
        <v>5741.3613679886812</v>
      </c>
      <c r="D9" s="9">
        <f>B10*('Base values'!S$40-'Base values'!S$41)</f>
        <v>1384.5567603214633</v>
      </c>
      <c r="E9" s="9">
        <f>B11*('Base values'!S$41-'Base values'!S$42)</f>
        <v>889.99506694022921</v>
      </c>
      <c r="F9" s="9">
        <f>B12*('Base values'!S$42-'Base values'!S$43)</f>
        <v>467.17365009134704</v>
      </c>
      <c r="G9" s="9">
        <f>B13*('Base values'!S$43-'Base values'!S$44)</f>
        <v>336.49641058311209</v>
      </c>
      <c r="H9" s="9">
        <f>B14*('Base values'!S$44-'Base values'!S$45)</f>
        <v>1176.7109945354055</v>
      </c>
      <c r="I9" s="9">
        <f t="shared" si="0"/>
        <v>9996.2942504602379</v>
      </c>
      <c r="J9" s="41">
        <f>'Base values'!C62</f>
        <v>0.42391304347826092</v>
      </c>
      <c r="K9" s="36">
        <f t="shared" si="1"/>
        <v>4647.7023771198055</v>
      </c>
      <c r="L9" s="36">
        <f t="shared" si="2"/>
        <v>5348.5918733404324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values'!S$40)</f>
        <v>5650.2907295272053</v>
      </c>
      <c r="D10" s="9">
        <f>B11*('Base values'!S$40-'Base values'!S$41)</f>
        <v>1320.5249287209992</v>
      </c>
      <c r="E10" s="9">
        <f>B12*('Base values'!S$41-'Base values'!S$42)</f>
        <v>883.03413418563093</v>
      </c>
      <c r="F10" s="9">
        <f>B13*('Base values'!S$42-'Base values'!S$43)</f>
        <v>471.63900305104329</v>
      </c>
      <c r="G10" s="9">
        <f>B14*('Base values'!S$43-'Base values'!S$44)</f>
        <v>344.27665799509566</v>
      </c>
      <c r="H10" s="9">
        <f>B15*('Base values'!S$44-'Base values'!S$45)</f>
        <v>1242.0193826955058</v>
      </c>
      <c r="I10" s="9">
        <f t="shared" si="0"/>
        <v>9911.7848361754786</v>
      </c>
      <c r="J10" s="41">
        <f>'Base values'!C63</f>
        <v>0.53260869565217406</v>
      </c>
      <c r="K10" s="36">
        <f t="shared" si="1"/>
        <v>3627.3966315807511</v>
      </c>
      <c r="L10" s="36">
        <f t="shared" si="2"/>
        <v>6284.3882045947275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values'!S$40)</f>
        <v>5388.9807747061777</v>
      </c>
      <c r="D11" s="9">
        <f>B12*('Base values'!S$40-'Base values'!S$41)</f>
        <v>1310.1966858227554</v>
      </c>
      <c r="E11" s="9">
        <f>B13*('Base values'!S$41-'Base values'!S$42)</f>
        <v>891.47437708851646</v>
      </c>
      <c r="F11" s="9">
        <f>B14*('Base values'!S$42-'Base values'!S$43)</f>
        <v>482.54392808878617</v>
      </c>
      <c r="G11" s="9">
        <f>B15*('Base values'!S$43-'Base values'!S$44)</f>
        <v>363.38428401305697</v>
      </c>
      <c r="H11" s="9">
        <f>B16*('Base values'!S$44-'Base values'!S$45)</f>
        <v>1314.1740695522451</v>
      </c>
      <c r="I11" s="9">
        <f t="shared" si="0"/>
        <v>9750.754119271538</v>
      </c>
      <c r="J11" s="41">
        <f>'Base values'!C64</f>
        <v>0.63043478260869579</v>
      </c>
      <c r="K11" s="36">
        <f t="shared" si="1"/>
        <v>2707.4784200436393</v>
      </c>
      <c r="L11" s="36">
        <f t="shared" si="2"/>
        <v>7043.2756992278992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values'!S$40)</f>
        <v>5346.8318525581944</v>
      </c>
      <c r="D12" s="9">
        <f>B13*('Base values'!S$40-'Base values'!S$41)</f>
        <v>1322.7198464241269</v>
      </c>
      <c r="E12" s="9">
        <f>B14*('Base values'!S$41-'Base values'!S$42)</f>
        <v>912.08645792222705</v>
      </c>
      <c r="F12" s="9">
        <f>B15*('Base values'!S$42-'Base values'!S$43)</f>
        <v>509.32549663558518</v>
      </c>
      <c r="G12" s="9">
        <f>B16*('Base values'!S$43-'Base values'!S$44)</f>
        <v>384.49496842501719</v>
      </c>
      <c r="H12" s="9">
        <f>B17*('Base values'!S$44-'Base values'!S$45)</f>
        <v>1390.9236921082208</v>
      </c>
      <c r="I12" s="9">
        <f t="shared" si="0"/>
        <v>9866.3823140733712</v>
      </c>
      <c r="J12" s="41">
        <f>'Base values'!C65</f>
        <v>0.71739130434782605</v>
      </c>
      <c r="K12" s="36">
        <f t="shared" si="1"/>
        <v>2009.2778178985948</v>
      </c>
      <c r="L12" s="36">
        <f t="shared" si="2"/>
        <v>7857.1044961747766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values'!S$40)</f>
        <v>5397.9380984544496</v>
      </c>
      <c r="D13" s="9">
        <f>B14*('Base values'!S$40-'Base values'!S$41)</f>
        <v>1353.3028997294718</v>
      </c>
      <c r="E13" s="9">
        <f>B15*('Base values'!S$41-'Base values'!S$42)</f>
        <v>962.70797561534118</v>
      </c>
      <c r="F13" s="9">
        <f>B16*('Base values'!S$42-'Base values'!S$43)</f>
        <v>538.91458536472908</v>
      </c>
      <c r="G13" s="9">
        <f>B17*('Base values'!S$43-'Base values'!S$44)</f>
        <v>406.95001786252914</v>
      </c>
      <c r="H13" s="9">
        <f>B18*('Base values'!S$44-'Base values'!S$45)</f>
        <v>1464.9055227357455</v>
      </c>
      <c r="I13" s="9">
        <f t="shared" si="0"/>
        <v>10124.719099762267</v>
      </c>
      <c r="J13" s="41">
        <f>'Base values'!C66</f>
        <v>0.80434782608695654</v>
      </c>
      <c r="K13" s="36">
        <f t="shared" si="1"/>
        <v>1389.5414758340532</v>
      </c>
      <c r="L13" s="36">
        <f t="shared" si="2"/>
        <v>8735.1776239282135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values'!S$40)</f>
        <v>5522.7456524125164</v>
      </c>
      <c r="D14" s="9">
        <f>B15*('Base values'!S$40-'Base values'!S$41)</f>
        <v>1428.4122778895844</v>
      </c>
      <c r="E14" s="9">
        <f>B16*('Base values'!S$41-'Base values'!S$42)</f>
        <v>1018.6361627940755</v>
      </c>
      <c r="F14" s="9">
        <f>B17*('Base values'!S$42-'Base values'!S$43)</f>
        <v>570.38795862246309</v>
      </c>
      <c r="G14" s="9">
        <f>B18*('Base values'!S$43-'Base values'!S$44)</f>
        <v>428.5952795445275</v>
      </c>
      <c r="H14" s="9">
        <f>B19*('Base values'!S$44-'Base values'!S$45)</f>
        <v>1530.1415471509913</v>
      </c>
      <c r="I14" s="9">
        <f t="shared" si="0"/>
        <v>10498.918878414159</v>
      </c>
      <c r="J14" s="41">
        <f>'Base values'!C67</f>
        <v>0.85869565217391319</v>
      </c>
      <c r="K14" s="36">
        <f t="shared" si="1"/>
        <v>983.21664862893033</v>
      </c>
      <c r="L14" s="36">
        <f t="shared" si="2"/>
        <v>9515.7022297852291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values'!S$40)</f>
        <v>5829.2623914013193</v>
      </c>
      <c r="D15" s="9">
        <f>B16*('Base values'!S$40-'Base values'!S$41)</f>
        <v>1511.3953955843849</v>
      </c>
      <c r="E15" s="9">
        <f>B17*('Base values'!S$41-'Base values'!S$42)</f>
        <v>1078.1259540079209</v>
      </c>
      <c r="F15" s="9">
        <f>B18*('Base values'!S$42-'Base values'!S$43)</f>
        <v>600.72631980374888</v>
      </c>
      <c r="G15" s="9">
        <f>B19*('Base values'!S$43-'Base values'!S$44)</f>
        <v>447.68173371285519</v>
      </c>
      <c r="H15" s="9">
        <f>B20*('Base values'!S$44-'Base values'!S$45)</f>
        <v>1577.8830552305451</v>
      </c>
      <c r="I15" s="9">
        <f t="shared" si="0"/>
        <v>11045.074849740775</v>
      </c>
      <c r="J15" s="41">
        <f>'Base values'!C68</f>
        <v>0.91304347826086973</v>
      </c>
      <c r="K15" s="36">
        <f t="shared" si="1"/>
        <v>630.7193509886946</v>
      </c>
      <c r="L15" s="36">
        <f t="shared" si="2"/>
        <v>10414.35549875208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values'!S$40)</f>
        <v>6167.9113757227224</v>
      </c>
      <c r="D16" s="9">
        <f>B17*('Base values'!S$40-'Base values'!S$41)</f>
        <v>1599.6630222492934</v>
      </c>
      <c r="E16" s="9">
        <f>B18*('Base values'!S$41-'Base values'!S$42)</f>
        <v>1135.4703879097246</v>
      </c>
      <c r="F16" s="9">
        <f>B19*('Base values'!S$42-'Base values'!S$43)</f>
        <v>627.47821353161999</v>
      </c>
      <c r="G16" s="9">
        <f>B20*('Base values'!S$43-'Base values'!S$44)</f>
        <v>461.64972324095856</v>
      </c>
      <c r="H16" s="9">
        <f>B21*('Base values'!S$44-'Base values'!S$45)</f>
        <v>1595.4903512663625</v>
      </c>
      <c r="I16" s="9">
        <f t="shared" si="0"/>
        <v>11587.663073920681</v>
      </c>
      <c r="J16" s="41">
        <f>'Base values'!C69</f>
        <v>0.94565217391304346</v>
      </c>
      <c r="K16" s="36">
        <f t="shared" si="1"/>
        <v>399.71756883990474</v>
      </c>
      <c r="L16" s="36">
        <f t="shared" si="2"/>
        <v>11187.945505080777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values'!S$40)</f>
        <v>6528.1261151648996</v>
      </c>
      <c r="D17" s="9">
        <f>B18*('Base values'!S$40-'Base values'!S$41)</f>
        <v>1684.7474876621909</v>
      </c>
      <c r="E17" s="9">
        <f>B19*('Base values'!S$41-'Base values'!S$42)</f>
        <v>1186.0358153716495</v>
      </c>
      <c r="F17" s="9">
        <f>B20*('Base values'!S$42-'Base values'!S$43)</f>
        <v>647.05598152102004</v>
      </c>
      <c r="G17" s="9">
        <f>B21*('Base values'!S$43-'Base values'!S$44)</f>
        <v>466.80118444400006</v>
      </c>
      <c r="H17" s="9">
        <f>B22*('Base values'!S$44-'Base values'!S$45)</f>
        <v>1572.0059286407175</v>
      </c>
      <c r="I17" s="9">
        <f t="shared" si="0"/>
        <v>12084.772512804479</v>
      </c>
      <c r="J17" s="41">
        <f>'Base values'!C70</f>
        <v>0.96739130434782605</v>
      </c>
      <c r="K17" s="36">
        <f t="shared" si="1"/>
        <v>231.18615036040129</v>
      </c>
      <c r="L17" s="36">
        <f t="shared" si="2"/>
        <v>11853.586362444077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values'!S$40)</f>
        <v>6875.3505698977297</v>
      </c>
      <c r="D18" s="9">
        <f>B19*('Base values'!S$40-'Base values'!S$41)</f>
        <v>1759.7736422727642</v>
      </c>
      <c r="E18" s="9">
        <f>B20*('Base values'!S$41-'Base values'!S$42)</f>
        <v>1223.0409790884532</v>
      </c>
      <c r="F18" s="9">
        <f>B21*('Base values'!S$42-'Base values'!S$43)</f>
        <v>654.27635579439891</v>
      </c>
      <c r="G18" s="9">
        <f>B22*('Base values'!S$43-'Base values'!S$44)</f>
        <v>459.93022073749222</v>
      </c>
      <c r="H18" s="9">
        <f>B23*('Base values'!S$44-'Base values'!S$45)</f>
        <v>1502.1747187916208</v>
      </c>
      <c r="I18" s="9">
        <f t="shared" si="0"/>
        <v>12474.54648658246</v>
      </c>
      <c r="J18" s="41">
        <f>'Base values'!C71</f>
        <v>0.98913043478260865</v>
      </c>
      <c r="K18" s="36">
        <f t="shared" si="1"/>
        <v>74.732071411932182</v>
      </c>
      <c r="L18" s="36">
        <f t="shared" si="2"/>
        <v>12399.814415170527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values'!S$40)</f>
        <v>7181.527678714685</v>
      </c>
      <c r="D19" s="9">
        <f>B20*('Base values'!S$40-'Base values'!S$41)</f>
        <v>1814.6798355704884</v>
      </c>
      <c r="E19" s="9">
        <f>B21*('Base values'!S$41-'Base values'!S$42)</f>
        <v>1236.6886600818966</v>
      </c>
      <c r="F19" s="9">
        <f>B22*('Base values'!S$42-'Base values'!S$43)</f>
        <v>644.64589802243745</v>
      </c>
      <c r="G19" s="9">
        <f>B23*('Base values'!S$43-'Base values'!S$44)</f>
        <v>439.49932847741496</v>
      </c>
      <c r="H19" s="9">
        <f>B24*('Base values'!S$44-'Base values'!S$45)</f>
        <v>1385.6396106893799</v>
      </c>
      <c r="I19" s="9">
        <f t="shared" si="0"/>
        <v>12702.681011556302</v>
      </c>
      <c r="J19" s="41">
        <f>'Base values'!C72</f>
        <v>1</v>
      </c>
      <c r="K19" s="36">
        <f t="shared" si="1"/>
        <v>0</v>
      </c>
      <c r="L19" s="36">
        <f t="shared" si="2"/>
        <v>12702.681011556302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values'!S$40)</f>
        <v>7405.5964665567453</v>
      </c>
      <c r="D20" s="9">
        <f>B21*('Base values'!S$40-'Base values'!S$41)</f>
        <v>1834.9295017096874</v>
      </c>
      <c r="E20" s="9">
        <f>B22*('Base values'!S$41-'Base values'!S$42)</f>
        <v>1218.4855295354448</v>
      </c>
      <c r="F20" s="9">
        <f>B23*('Base values'!S$42-'Base values'!S$43)</f>
        <v>616.00961735516978</v>
      </c>
      <c r="G20" s="9">
        <f>B24*('Base values'!S$43-'Base values'!S$44)</f>
        <v>405.40402577109739</v>
      </c>
      <c r="H20" s="9">
        <f>B25*('Base values'!S$44-'Base values'!S$45)</f>
        <v>1230.0898912421894</v>
      </c>
      <c r="I20" s="9">
        <f t="shared" si="0"/>
        <v>12710.515032170333</v>
      </c>
      <c r="J20" s="41">
        <f>'Base values'!C73</f>
        <v>1</v>
      </c>
      <c r="K20" s="36">
        <f t="shared" si="1"/>
        <v>0</v>
      </c>
      <c r="L20" s="36">
        <f t="shared" si="2"/>
        <v>12710.515032170333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values'!S$40)</f>
        <v>7488.2341049268562</v>
      </c>
      <c r="D21" s="9">
        <f>B22*('Base values'!S$40-'Base values'!S$41)</f>
        <v>1807.920714177872</v>
      </c>
      <c r="E21" s="9">
        <f>B23*('Base values'!S$41-'Base values'!S$42)</f>
        <v>1164.3583044653385</v>
      </c>
      <c r="F21" s="9">
        <f>B24*('Base values'!S$42-'Base values'!S$43)</f>
        <v>568.22107022248247</v>
      </c>
      <c r="G21" s="9">
        <f>B25*('Base values'!S$43-'Base values'!S$44)</f>
        <v>359.89400860286554</v>
      </c>
      <c r="H21" s="9">
        <f>B26*('Base values'!S$44-'Base values'!S$45)</f>
        <v>1050.6202561955779</v>
      </c>
      <c r="I21" s="9">
        <f t="shared" si="0"/>
        <v>12439.248458590992</v>
      </c>
      <c r="J21" s="41">
        <f>'Base values'!C74</f>
        <v>1</v>
      </c>
      <c r="K21" s="36">
        <f t="shared" si="1"/>
        <v>0</v>
      </c>
      <c r="L21" s="36">
        <f t="shared" si="2"/>
        <v>12439.248458590992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values'!S$40)</f>
        <v>7378.0129091043354</v>
      </c>
      <c r="D22" s="9">
        <f>B23*('Base values'!S$40-'Base values'!S$41)</f>
        <v>1727.6097633842901</v>
      </c>
      <c r="E22" s="9">
        <f>B24*('Base values'!S$41-'Base values'!S$42)</f>
        <v>1074.0301827207784</v>
      </c>
      <c r="F22" s="9">
        <f>B25*('Base values'!S$42-'Base values'!S$43)</f>
        <v>504.4334681827894</v>
      </c>
      <c r="G22" s="9">
        <f>B26*('Base values'!S$43-'Base values'!S$44)</f>
        <v>307.38561320893791</v>
      </c>
      <c r="H22" s="9">
        <f>B27*('Base values'!S$44-'Base values'!S$45)</f>
        <v>863.98228275815086</v>
      </c>
      <c r="I22" s="9">
        <f t="shared" si="0"/>
        <v>11855.454219359282</v>
      </c>
      <c r="J22" s="41">
        <f>'Base values'!C75</f>
        <v>1</v>
      </c>
      <c r="K22" s="36">
        <f t="shared" si="1"/>
        <v>0</v>
      </c>
      <c r="L22" s="36">
        <f t="shared" si="2"/>
        <v>11855.454219359282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values'!S$40)</f>
        <v>7050.2688730684749</v>
      </c>
      <c r="D23" s="9">
        <f>B24*('Base values'!S$40-'Base values'!S$41)</f>
        <v>1593.585945771099</v>
      </c>
      <c r="E23" s="9">
        <f>B25*('Base values'!S$41-'Base values'!S$42)</f>
        <v>953.46124667765093</v>
      </c>
      <c r="F23" s="9">
        <f>B26*('Base values'!S$42-'Base values'!S$43)</f>
        <v>430.83682204773271</v>
      </c>
      <c r="G23" s="9">
        <f>B27*('Base values'!S$43-'Base values'!S$44)</f>
        <v>252.7799385374062</v>
      </c>
      <c r="H23" s="9">
        <f>B28*('Base values'!S$44-'Base values'!S$45)</f>
        <v>683.85668069045539</v>
      </c>
      <c r="I23" s="9">
        <f t="shared" si="0"/>
        <v>10964.789506792818</v>
      </c>
      <c r="J23" s="41">
        <f>'Base values'!C76</f>
        <v>1</v>
      </c>
      <c r="K23" s="36">
        <f t="shared" si="1"/>
        <v>0</v>
      </c>
      <c r="L23" s="36">
        <f t="shared" si="2"/>
        <v>10964.789506792818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values'!S$40)</f>
        <v>6503.3259409348466</v>
      </c>
      <c r="D24" s="9">
        <f>B25*('Base values'!S$40-'Base values'!S$41)</f>
        <v>1414.6924983931372</v>
      </c>
      <c r="E24" s="9">
        <f>B26*('Base values'!S$41-'Base values'!S$42)</f>
        <v>814.35162290899711</v>
      </c>
      <c r="F24" s="9">
        <f>B27*('Base values'!S$42-'Base values'!S$43)</f>
        <v>354.30059416232496</v>
      </c>
      <c r="G24" s="9">
        <f>B28*('Base values'!S$43-'Base values'!S$44)</f>
        <v>200.07962334768968</v>
      </c>
      <c r="H24" s="9">
        <f>B29*('Base values'!S$44-'Base values'!S$45)</f>
        <v>518.60834684933673</v>
      </c>
      <c r="I24" s="9">
        <f t="shared" si="0"/>
        <v>9805.3586265963313</v>
      </c>
      <c r="J24" s="41">
        <f>'Base values'!C77</f>
        <v>1</v>
      </c>
      <c r="K24" s="36">
        <f t="shared" si="1"/>
        <v>0</v>
      </c>
      <c r="L24" s="36">
        <f t="shared" si="2"/>
        <v>9805.3586265963313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values'!S$40)</f>
        <v>5773.2728176102564</v>
      </c>
      <c r="D25" s="9">
        <f>B26*('Base values'!S$40-'Base values'!S$41)</f>
        <v>1208.2894150108295</v>
      </c>
      <c r="E25" s="9">
        <f>B27*('Base values'!S$41-'Base values'!S$42)</f>
        <v>669.68571182559083</v>
      </c>
      <c r="F25" s="9">
        <f>B28*('Base values'!S$42-'Base values'!S$43)</f>
        <v>280.43495002816701</v>
      </c>
      <c r="G25" s="9">
        <f>B29*('Base values'!S$43-'Base values'!S$44)</f>
        <v>151.73203045676047</v>
      </c>
      <c r="H25" s="9">
        <f>B30*('Base values'!S$44-'Base values'!S$45)</f>
        <v>378.32638614787743</v>
      </c>
      <c r="I25" s="9">
        <f t="shared" si="0"/>
        <v>8461.7413110794823</v>
      </c>
      <c r="J25" s="41">
        <f>'Base values'!C78</f>
        <v>1</v>
      </c>
      <c r="K25" s="36">
        <f t="shared" si="1"/>
        <v>0</v>
      </c>
      <c r="L25" s="36">
        <f t="shared" si="2"/>
        <v>8461.7413110794823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values'!S$40)</f>
        <v>4930.9545667426582</v>
      </c>
      <c r="D26" s="9">
        <f>B27*('Base values'!S$40-'Base values'!S$41)</f>
        <v>993.64222311285096</v>
      </c>
      <c r="E26" s="9">
        <f>B28*('Base values'!S$41-'Base values'!S$42)</f>
        <v>530.06763811506278</v>
      </c>
      <c r="F26" s="9">
        <f>B29*('Base values'!S$42-'Base values'!S$43)</f>
        <v>212.67015434585619</v>
      </c>
      <c r="G26" s="9">
        <f>B30*('Base values'!S$43-'Base values'!S$44)</f>
        <v>110.68898349656263</v>
      </c>
      <c r="H26" s="9">
        <f>B31*('Base values'!S$44-'Base values'!S$45)</f>
        <v>264.7258606452242</v>
      </c>
      <c r="I26" s="9">
        <f t="shared" si="0"/>
        <v>7042.7494264582137</v>
      </c>
      <c r="J26" s="41">
        <f>'Base values'!C79</f>
        <v>1</v>
      </c>
      <c r="K26" s="36">
        <f t="shared" si="1"/>
        <v>0</v>
      </c>
      <c r="L26" s="36">
        <f t="shared" si="2"/>
        <v>7042.7494264582137</v>
      </c>
    </row>
    <row r="27" spans="1:12" s="116" customFormat="1">
      <c r="A27" s="121">
        <f t="shared" si="3"/>
        <v>23</v>
      </c>
      <c r="B27" s="122">
        <f>'Base values'!F27-'Base values'!E27</f>
        <v>57515.066943795158</v>
      </c>
      <c r="C27" s="122">
        <f>B27*(1-'Base values'!S$40)</f>
        <v>4054.9926175780711</v>
      </c>
      <c r="D27" s="122">
        <f>B28*('Base values'!S$40-'Base values'!S$41)</f>
        <v>786.4847301296453</v>
      </c>
      <c r="E27" s="122">
        <f>B29*('Base values'!S$41-'Base values'!S$42)</f>
        <v>401.98115962490141</v>
      </c>
      <c r="F27" s="122">
        <f>B30*('Base values'!S$42-'Base values'!S$43)</f>
        <v>155.14353254046935</v>
      </c>
      <c r="G27" s="122">
        <f>B31*('Base values'!S$43-'Base values'!S$44)</f>
        <v>77.452267388558823</v>
      </c>
      <c r="H27" s="122">
        <f>B32*('Base values'!S$44-'Base values'!S$45)</f>
        <v>178.09559756202231</v>
      </c>
      <c r="I27" s="122">
        <f t="shared" si="0"/>
        <v>5654.1499048236674</v>
      </c>
      <c r="J27" s="132">
        <f>'Base values'!C80</f>
        <v>1</v>
      </c>
      <c r="K27" s="126">
        <f t="shared" si="1"/>
        <v>0</v>
      </c>
      <c r="L27" s="126">
        <f t="shared" si="2"/>
        <v>5654.1499048236674</v>
      </c>
    </row>
    <row r="28" spans="1:12" s="116" customFormat="1">
      <c r="A28" s="121">
        <f t="shared" si="3"/>
        <v>24</v>
      </c>
      <c r="B28" s="122">
        <f>'Base values'!F28-'Base values'!E28</f>
        <v>45524.15431982078</v>
      </c>
      <c r="C28" s="122">
        <f>B28*(1-'Base values'!S$40)</f>
        <v>3209.5956676665774</v>
      </c>
      <c r="D28" s="122">
        <f>B29*('Base values'!S$40-'Base values'!S$41)</f>
        <v>596.43717350683596</v>
      </c>
      <c r="E28" s="122">
        <f>B30*('Base values'!S$41-'Base values'!S$42)</f>
        <v>293.24649389918807</v>
      </c>
      <c r="F28" s="122">
        <f>B31*('Base values'!S$42-'Base values'!S$43)</f>
        <v>108.55839475934084</v>
      </c>
      <c r="G28" s="122">
        <f>B32*('Base values'!S$43-'Base values'!S$44)</f>
        <v>52.10638586452648</v>
      </c>
      <c r="H28" s="122">
        <f>B33*('Base values'!S$44-'Base values'!S$45)</f>
        <v>114.57722096285303</v>
      </c>
      <c r="I28" s="122">
        <f t="shared" si="0"/>
        <v>4374.5213366593216</v>
      </c>
      <c r="J28" s="132">
        <f>'Base values'!C81</f>
        <v>1</v>
      </c>
      <c r="K28" s="126">
        <f t="shared" si="1"/>
        <v>0</v>
      </c>
      <c r="L28" s="126">
        <f t="shared" si="2"/>
        <v>4374.5213366593216</v>
      </c>
    </row>
    <row r="29" spans="1:12" s="116" customFormat="1">
      <c r="A29" s="121">
        <f t="shared" si="3"/>
        <v>25</v>
      </c>
      <c r="B29" s="122">
        <f>'Base values'!F29-'Base values'!E29</f>
        <v>34523.6174189003</v>
      </c>
      <c r="C29" s="122">
        <f>B29*(1-'Base values'!S$40)</f>
        <v>2434.0233125788468</v>
      </c>
      <c r="D29" s="122">
        <f>B30*('Base values'!S$40-'Base values'!S$41)</f>
        <v>435.10275487843205</v>
      </c>
      <c r="E29" s="122">
        <f>B31*('Base values'!S$41-'Base values'!S$42)</f>
        <v>205.19301143408387</v>
      </c>
      <c r="F29" s="122">
        <f>B32*('Base values'!S$42-'Base values'!S$43)</f>
        <v>73.033182847780495</v>
      </c>
      <c r="G29" s="122">
        <f>B33*('Base values'!S$43-'Base values'!S$44)</f>
        <v>33.522473146459397</v>
      </c>
      <c r="H29" s="122">
        <f>B34*('Base values'!S$44-'Base values'!S$45)</f>
        <v>0</v>
      </c>
      <c r="I29" s="122">
        <f t="shared" si="0"/>
        <v>3180.8747348856027</v>
      </c>
      <c r="J29" s="132">
        <f>'Base values'!C82</f>
        <v>1</v>
      </c>
      <c r="K29" s="126">
        <f t="shared" si="1"/>
        <v>0</v>
      </c>
      <c r="L29" s="126">
        <f t="shared" si="2"/>
        <v>3180.8747348856027</v>
      </c>
    </row>
    <row r="30" spans="1:12" s="116" customFormat="1">
      <c r="A30" s="121">
        <f t="shared" si="3"/>
        <v>26</v>
      </c>
      <c r="B30" s="122">
        <f>'Base values'!F30-'Base values'!E30</f>
        <v>25185.085227019939</v>
      </c>
      <c r="C30" s="122">
        <f>B30*(1-'Base values'!S$40)</f>
        <v>1775.6275024149629</v>
      </c>
      <c r="D30" s="122">
        <f>B31*('Base values'!S$40-'Base values'!S$41)</f>
        <v>304.45391987351121</v>
      </c>
      <c r="E30" s="122">
        <f>B32*('Base values'!S$41-'Base values'!S$42)</f>
        <v>138.04458656904291</v>
      </c>
      <c r="F30" s="122">
        <f>B33*('Base values'!S$42-'Base values'!S$43)</f>
        <v>46.985659630673545</v>
      </c>
      <c r="G30" s="122">
        <f>B34*('Base values'!S$43-'Base values'!S$44)</f>
        <v>0</v>
      </c>
      <c r="H30" s="122">
        <f>B35*('Base values'!S$44-'Base values'!S$45)</f>
        <v>0</v>
      </c>
      <c r="I30" s="122">
        <f t="shared" si="0"/>
        <v>2265.1116684881908</v>
      </c>
      <c r="J30" s="132">
        <f>'Base values'!C83</f>
        <v>1</v>
      </c>
      <c r="K30" s="126">
        <f t="shared" si="1"/>
        <v>0</v>
      </c>
      <c r="L30" s="126">
        <f t="shared" si="2"/>
        <v>2265.1116684881908</v>
      </c>
    </row>
    <row r="31" spans="1:12" s="116" customFormat="1">
      <c r="A31" s="121">
        <f>1+A30</f>
        <v>27</v>
      </c>
      <c r="B31" s="122">
        <f>'Base values'!F31-'Base values'!E31</f>
        <v>17622.728961707078</v>
      </c>
      <c r="C31" s="122">
        <f>B31*(1-'Base values'!S$40)</f>
        <v>1242.4576661126657</v>
      </c>
      <c r="D31" s="122">
        <f>B32*('Base values'!S$40-'Base values'!S$41)</f>
        <v>204.82284072215833</v>
      </c>
      <c r="E31" s="122">
        <f>B33*('Base values'!S$41-'Base values'!S$42)</f>
        <v>88.810533862515555</v>
      </c>
      <c r="F31" s="122">
        <f>B34*('Base values'!S$42-'Base values'!S$43)</f>
        <v>0</v>
      </c>
      <c r="G31" s="122">
        <f>B35*('Base values'!S$43-'Base values'!S$44)</f>
        <v>0</v>
      </c>
      <c r="H31" s="122">
        <f>B36*('Base values'!S$44-'Base values'!S$45)</f>
        <v>0</v>
      </c>
      <c r="I31" s="122">
        <f t="shared" si="0"/>
        <v>1536.0910406973396</v>
      </c>
      <c r="J31" s="132">
        <f>'Base values'!C84</f>
        <v>1</v>
      </c>
      <c r="K31" s="126">
        <f t="shared" si="1"/>
        <v>0</v>
      </c>
      <c r="L31" s="126">
        <f t="shared" si="2"/>
        <v>1536.0910406973396</v>
      </c>
    </row>
    <row r="32" spans="1:12" s="116" customFormat="1">
      <c r="A32" s="121">
        <f>1+A31</f>
        <v>28</v>
      </c>
      <c r="B32" s="122">
        <f>'Base values'!F32-'Base values'!E32</f>
        <v>11855.775772941659</v>
      </c>
      <c r="C32" s="122">
        <f>B32*(1-'Base values'!S$40)</f>
        <v>835.8693780521769</v>
      </c>
      <c r="D32" s="122">
        <f>B33*('Base values'!S$40-'Base values'!S$41)</f>
        <v>131.77210554847758</v>
      </c>
      <c r="E32" s="122">
        <f>B34*('Base values'!S$41-'Base values'!S$42)</f>
        <v>0</v>
      </c>
      <c r="F32" s="122">
        <f>B35*('Base values'!S$42-'Base values'!S$43)</f>
        <v>0</v>
      </c>
      <c r="G32" s="122">
        <f>B36*('Base values'!S$43-'Base values'!S$44)</f>
        <v>0</v>
      </c>
      <c r="H32" s="122">
        <f>B37*('Base values'!S$44-'Base values'!S$45)</f>
        <v>0</v>
      </c>
      <c r="I32" s="122">
        <f t="shared" si="0"/>
        <v>967.64148360065451</v>
      </c>
      <c r="J32" s="132">
        <f>'Base values'!C85</f>
        <v>1</v>
      </c>
      <c r="K32" s="126">
        <f t="shared" si="1"/>
        <v>0</v>
      </c>
      <c r="L32" s="126">
        <f t="shared" si="2"/>
        <v>967.64148360065451</v>
      </c>
    </row>
    <row r="33" spans="1:12" s="116" customFormat="1">
      <c r="A33" s="121">
        <f>1+A32</f>
        <v>29</v>
      </c>
      <c r="B33" s="122">
        <f>'Base values'!F33-'Base values'!E33</f>
        <v>7627.3746180014859</v>
      </c>
      <c r="C33" s="122">
        <f>B33*(1-'Base values'!S$40)</f>
        <v>537.75383409920664</v>
      </c>
      <c r="D33" s="122">
        <f>B34*('Base values'!S$40-'Base values'!S$41)</f>
        <v>0</v>
      </c>
      <c r="E33" s="122">
        <f>B35*('Base values'!S$41-'Base values'!S$42)</f>
        <v>0</v>
      </c>
      <c r="F33" s="122">
        <f>B36*('Base values'!S$42-'Base values'!S$43)</f>
        <v>0</v>
      </c>
      <c r="G33" s="122">
        <f>B37*('Base values'!S$43-'Base values'!S$44)</f>
        <v>0</v>
      </c>
      <c r="H33" s="122">
        <f>B38*('Base values'!S$44-'Base values'!S$45)</f>
        <v>0</v>
      </c>
      <c r="I33" s="122">
        <f t="shared" si="0"/>
        <v>537.75383409920664</v>
      </c>
      <c r="J33" s="132">
        <f>'Base values'!C86</f>
        <v>1</v>
      </c>
      <c r="K33" s="126">
        <f t="shared" si="1"/>
        <v>0</v>
      </c>
      <c r="L33" s="126">
        <f t="shared" si="2"/>
        <v>537.75383409920664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38"/>
  <sheetViews>
    <sheetView workbookViewId="0"/>
  </sheetViews>
  <sheetFormatPr defaultRowHeight="12.75"/>
  <cols>
    <col min="1" max="1" width="14.140625" customWidth="1"/>
    <col min="9" max="9" width="9.42578125" customWidth="1"/>
    <col min="10" max="10" width="13.140625" customWidth="1"/>
    <col min="11" max="11" width="13" customWidth="1"/>
    <col min="12" max="12" width="14.28515625" customWidth="1"/>
  </cols>
  <sheetData>
    <row r="1" spans="1:12" ht="15.75">
      <c r="A1" s="32" t="s">
        <v>31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38" t="s">
        <v>12</v>
      </c>
      <c r="L2" s="38" t="s">
        <v>12</v>
      </c>
    </row>
    <row r="3" spans="1:12" ht="15.75" customHeight="1">
      <c r="A3" s="34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36">
        <f>C4*(1-J4)+D4*(1-J5)+E4*(1-J6)+F4*(1-J7)+G4*(1-J8)+H4*(1-J9)</f>
        <v>4852.8092500000002</v>
      </c>
      <c r="L4" s="36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36">
        <f t="shared" ref="K5:K33" si="1">C5*(1-J5)+D5*(1-J6)+E5*(1-J7)+F5*(1-J8)+G5*(1-J9)+H5*(1-J10)</f>
        <v>4480.6484076086954</v>
      </c>
      <c r="L5" s="36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36">
        <f t="shared" si="1"/>
        <v>3743.7264945652164</v>
      </c>
      <c r="L6" s="36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36">
        <f t="shared" si="1"/>
        <v>3560.2627554347823</v>
      </c>
      <c r="L7" s="36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36">
        <f t="shared" si="1"/>
        <v>3665.2645489130427</v>
      </c>
      <c r="L8" s="36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36">
        <f t="shared" si="1"/>
        <v>3435.8725434782596</v>
      </c>
      <c r="L9" s="36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36">
        <f t="shared" si="1"/>
        <v>3238.908385869564</v>
      </c>
      <c r="L10" s="36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36">
        <f t="shared" si="1"/>
        <v>2961.0896086956518</v>
      </c>
      <c r="L11" s="36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36">
        <f t="shared" si="1"/>
        <v>2433.675951086956</v>
      </c>
      <c r="L12" s="36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36">
        <f t="shared" si="1"/>
        <v>1937.5311086956508</v>
      </c>
      <c r="L13" s="36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36">
        <f t="shared" si="1"/>
        <v>1428.374820652172</v>
      </c>
      <c r="L14" s="36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36">
        <f t="shared" si="1"/>
        <v>941.1757934782604</v>
      </c>
      <c r="L15" s="36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36">
        <f t="shared" si="1"/>
        <v>581.92063586956579</v>
      </c>
      <c r="L16" s="36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36">
        <f t="shared" si="1"/>
        <v>279.47320652173971</v>
      </c>
      <c r="L17" s="36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36">
        <f t="shared" si="1"/>
        <v>67.019956521739417</v>
      </c>
      <c r="L18" s="36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36">
        <f t="shared" si="1"/>
        <v>0</v>
      </c>
      <c r="L19" s="36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36">
        <f t="shared" si="1"/>
        <v>0</v>
      </c>
      <c r="L20" s="36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36">
        <f t="shared" si="1"/>
        <v>0</v>
      </c>
      <c r="L21" s="36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36">
        <f t="shared" si="1"/>
        <v>0</v>
      </c>
      <c r="L22" s="36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36">
        <f t="shared" si="1"/>
        <v>0</v>
      </c>
      <c r="L23" s="36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36">
        <f t="shared" si="1"/>
        <v>0</v>
      </c>
      <c r="L24" s="36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36">
        <f t="shared" si="1"/>
        <v>0</v>
      </c>
      <c r="L25" s="36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36">
        <f t="shared" si="1"/>
        <v>0</v>
      </c>
      <c r="L26" s="36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6">
        <f t="shared" si="1"/>
        <v>0</v>
      </c>
      <c r="L27" s="126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6">
        <f t="shared" si="1"/>
        <v>0</v>
      </c>
      <c r="L28" s="126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6">
        <f t="shared" si="1"/>
        <v>0</v>
      </c>
      <c r="L29" s="126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6">
        <f t="shared" si="1"/>
        <v>0</v>
      </c>
      <c r="L30" s="126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6">
        <f t="shared" si="1"/>
        <v>0</v>
      </c>
      <c r="L31" s="126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6">
        <f t="shared" si="1"/>
        <v>0</v>
      </c>
      <c r="L32" s="126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6">
        <f t="shared" si="1"/>
        <v>0</v>
      </c>
      <c r="L33" s="126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33"/>
  <sheetViews>
    <sheetView topLeftCell="H1" workbookViewId="0"/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/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 t="str">
        <f>'HIV Neg U5MR 50'!A2</f>
        <v>Year before survey</v>
      </c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'HIV Neg U5MR 125'!B4</f>
        <v>1269013.013309208</v>
      </c>
      <c r="C4" s="9">
        <f>'HIV Neg U5MR 125'!I4</f>
        <v>156973.35057503392</v>
      </c>
      <c r="D4" s="5">
        <v>0</v>
      </c>
      <c r="E4" s="9">
        <f>'HIV Pos Neg U5MR 125'!B4</f>
        <v>88597.986690792124</v>
      </c>
      <c r="F4" s="9">
        <f>'HIV Pos Neg U5MR 125'!I4</f>
        <v>10867.530240492175</v>
      </c>
      <c r="G4" s="10">
        <f>'Base values'!C57</f>
        <v>0</v>
      </c>
      <c r="H4" s="9">
        <f>'HIV Pos Pos U5MR 125'!B4</f>
        <v>7809</v>
      </c>
      <c r="I4" s="9">
        <f>'HIV Pos Pos U5MR 125'!I4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C4+'HIV Pos Neg U5MR 125'!K4+'HIV Pos Pos U5MR 125'!K4</f>
        <v>171731.15347465509</v>
      </c>
      <c r="N4" s="57">
        <f>'HIV Pos Neg U5MR 125'!L4+'HIV Pos Pos U5MR 125'!L4</f>
        <v>1424.463840870988</v>
      </c>
      <c r="O4" s="143" t="str">
        <f>$A4&amp;"-"&amp;$A4+4</f>
        <v>0-4</v>
      </c>
      <c r="P4" s="181">
        <f t="shared" ref="P4:P24" si="0">(SUM(M4:M8)/SUM(K4:K8))/(SUM(M4:N8)/SUM(K4:L8))</f>
        <v>0.98464851893661332</v>
      </c>
      <c r="Q4" s="143" t="str">
        <f>$A4&amp;"-"&amp;$A4+3</f>
        <v>0-3</v>
      </c>
      <c r="R4" s="162">
        <f t="shared" ref="R4:R25" si="1">(SUM(M4:M7)/SUM(K4:K7))/(SUM(M4:N7)/SUM(K4:L7))</f>
        <v>0.98695993554454664</v>
      </c>
      <c r="S4" s="143" t="str">
        <f>$A4&amp;"-"&amp;$A4+2</f>
        <v>0-2</v>
      </c>
      <c r="T4" s="162">
        <f t="shared" ref="T4:T26" si="2">(SUM(M4:M6)/SUM(K4:K6))/(SUM(M4:N6)/SUM(K4:L6))</f>
        <v>0.98881532161683161</v>
      </c>
      <c r="U4" s="143" t="str">
        <f>$A4&amp;"-"&amp;$A4+1</f>
        <v>0-1</v>
      </c>
      <c r="V4" s="162">
        <f t="shared" ref="V4:V27" si="3">(SUM(M4:M5)/SUM(K4:K5))/(SUM(M4:N5)/SUM(K4:L5))</f>
        <v>0.9902882794591672</v>
      </c>
      <c r="W4" s="143">
        <f>$A4</f>
        <v>0</v>
      </c>
      <c r="X4" s="144">
        <f>(SUM(M4:M4)/SUM(K4:K4))/(SUM(M4:N4)/SUM(K4:L4))</f>
        <v>0.99177350487986005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4">RIGHT(Z4,4)-LEFT(Z4,4)+1</f>
        <v>1</v>
      </c>
      <c r="AD4" s="166">
        <v>0</v>
      </c>
      <c r="AE4" s="167">
        <f t="shared" ref="AE4:AE26" ca="1" si="5">OFFSET($P$4,AD4,2*(5-AC4))</f>
        <v>0.99177350487986005</v>
      </c>
    </row>
    <row r="5" spans="1:32">
      <c r="A5" s="48">
        <f>'HIV Neg U5MR 50'!A5</f>
        <v>1</v>
      </c>
      <c r="B5" s="9">
        <f>'HIV Neg U5MR 125'!B5</f>
        <v>1259889.6569743706</v>
      </c>
      <c r="C5" s="9">
        <f>'HIV Neg U5MR 125'!I5</f>
        <v>155550.12314370016</v>
      </c>
      <c r="D5" s="5">
        <v>0</v>
      </c>
      <c r="E5" s="9">
        <f>'HIV Pos Neg U5MR 125'!B5</f>
        <v>86411.343025629394</v>
      </c>
      <c r="F5" s="9">
        <f>'HIV Pos Neg U5MR 125'!I5</f>
        <v>10667.594186162372</v>
      </c>
      <c r="G5" s="10">
        <f>'Base values'!C58</f>
        <v>5.4347826086956513E-2</v>
      </c>
      <c r="H5" s="9">
        <f>'HIV Pos Pos U5MR 125'!B5</f>
        <v>9229</v>
      </c>
      <c r="I5" s="9">
        <f>'HIV Pos Pos U5MR 125'!I5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C5+'HIV Pos Neg U5MR 125'!K5+'HIV Pos Pos U5MR 125'!K5</f>
        <v>168998.27130013387</v>
      </c>
      <c r="N5" s="57">
        <f>'HIV Pos Neg U5MR 125'!L5+'HIV Pos Pos U5MR 125'!L5</f>
        <v>2575.595529728681</v>
      </c>
      <c r="O5" s="151" t="str">
        <f t="shared" ref="O5:O24" si="8">A5&amp;"-"&amp;A5+4</f>
        <v>1-5</v>
      </c>
      <c r="P5" s="179">
        <f t="shared" si="0"/>
        <v>0.9799479485056668</v>
      </c>
      <c r="Q5" s="151" t="str">
        <f t="shared" ref="Q5:Q25" si="9">$A5&amp;"-"&amp;$A5+3</f>
        <v>1-4</v>
      </c>
      <c r="R5" s="161">
        <f t="shared" si="1"/>
        <v>0.98279888964082018</v>
      </c>
      <c r="S5" s="151" t="str">
        <f t="shared" ref="S5:S26" si="10">$A5&amp;"-"&amp;$A5+2</f>
        <v>1-3</v>
      </c>
      <c r="T5" s="161">
        <f t="shared" si="2"/>
        <v>0.98530217722805158</v>
      </c>
      <c r="U5" s="151" t="str">
        <f t="shared" ref="U5:U27" si="11">$A5&amp;"-"&amp;$A5+1</f>
        <v>1-2</v>
      </c>
      <c r="V5" s="161">
        <f t="shared" si="3"/>
        <v>0.98729736896918674</v>
      </c>
      <c r="W5" s="151">
        <f t="shared" ref="W5:W28" si="12">$A5</f>
        <v>1</v>
      </c>
      <c r="X5" s="152">
        <f t="shared" ref="X5:X28" si="13">(SUM(M5:M5)/SUM(K5:K5))/(SUM(M5:N5)/SUM(K5:L5))</f>
        <v>0.98877993996214941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t="shared" ca="1" si="5"/>
        <v>0.98877993996214941</v>
      </c>
    </row>
    <row r="6" spans="1:32">
      <c r="A6" s="48">
        <f>'HIV Neg U5MR 50'!A6</f>
        <v>2</v>
      </c>
      <c r="B6" s="9">
        <f>'HIV Neg U5MR 125'!B6</f>
        <v>1248874.5119299444</v>
      </c>
      <c r="C6" s="9">
        <f>'HIV Neg U5MR 125'!I6</f>
        <v>153921.97678479718</v>
      </c>
      <c r="D6" s="5">
        <v>0</v>
      </c>
      <c r="E6" s="9">
        <f>'HIV Pos Neg U5MR 125'!B6</f>
        <v>86144.488070055653</v>
      </c>
      <c r="F6" s="9">
        <f>'HIV Pos Neg U5MR 125'!I6</f>
        <v>10547.926822796288</v>
      </c>
      <c r="G6" s="10">
        <f>'Base values'!C59</f>
        <v>0.13043478260869565</v>
      </c>
      <c r="H6" s="9">
        <f>'HIV Pos Pos U5MR 125'!B6</f>
        <v>8311</v>
      </c>
      <c r="I6" s="9">
        <f>'HIV Pos Pos U5MR 125'!I6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C6+'HIV Pos Neg U5MR 125'!K6+'HIV Pos Pos U5MR 125'!K6</f>
        <v>165664.63359043037</v>
      </c>
      <c r="N6" s="57">
        <f>'HIV Pos Neg U5MR 125'!L6+'HIV Pos Pos U5MR 125'!L6</f>
        <v>3944.7975171631119</v>
      </c>
      <c r="O6" s="151" t="str">
        <f t="shared" si="8"/>
        <v>2-6</v>
      </c>
      <c r="P6" s="179">
        <f t="shared" si="0"/>
        <v>0.97384539962007799</v>
      </c>
      <c r="Q6" s="151" t="str">
        <f t="shared" si="9"/>
        <v>2-5</v>
      </c>
      <c r="R6" s="161">
        <f t="shared" si="1"/>
        <v>0.97766273034662021</v>
      </c>
      <c r="S6" s="151" t="str">
        <f t="shared" si="10"/>
        <v>2-4</v>
      </c>
      <c r="T6" s="161">
        <f t="shared" si="2"/>
        <v>0.98074559394624827</v>
      </c>
      <c r="U6" s="151" t="str">
        <f t="shared" si="11"/>
        <v>2-3</v>
      </c>
      <c r="V6" s="161">
        <f t="shared" si="3"/>
        <v>0.98351815105589113</v>
      </c>
      <c r="W6" s="151">
        <f t="shared" si="12"/>
        <v>2</v>
      </c>
      <c r="X6" s="152">
        <f t="shared" si="13"/>
        <v>0.98578293076363865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26" si="14">AD5+AC5</f>
        <v>2</v>
      </c>
      <c r="AE6" s="150">
        <f t="shared" ca="1" si="5"/>
        <v>0.98578293076363865</v>
      </c>
    </row>
    <row r="7" spans="1:32">
      <c r="A7" s="48">
        <f>'HIV Neg U5MR 50'!A7</f>
        <v>3</v>
      </c>
      <c r="B7" s="9">
        <f>'HIV Neg U5MR 125'!B7</f>
        <v>1237689.3921640057</v>
      </c>
      <c r="C7" s="9">
        <f>'HIV Neg U5MR 125'!I7</f>
        <v>152178.31533185314</v>
      </c>
      <c r="D7" s="5">
        <v>0</v>
      </c>
      <c r="E7" s="9">
        <f>'HIV Pos Neg U5MR 125'!B7</f>
        <v>86776.60783599432</v>
      </c>
      <c r="F7" s="9">
        <f>'HIV Pos Neg U5MR 125'!I7</f>
        <v>10479.07413834989</v>
      </c>
      <c r="G7" s="10">
        <f>'Base values'!C60</f>
        <v>0.21739130434782611</v>
      </c>
      <c r="H7" s="9">
        <f>'HIV Pos Pos U5MR 125'!B7</f>
        <v>6494</v>
      </c>
      <c r="I7" s="9">
        <f>'HIV Pos Pos U5MR 125'!I7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C7+'HIV Pos Neg U5MR 125'!K7+'HIV Pos Pos U5MR 125'!K7</f>
        <v>162738.51836231371</v>
      </c>
      <c r="N7" s="57">
        <f>'HIV Pos Neg U5MR 125'!L7+'HIV Pos Pos U5MR 125'!L7</f>
        <v>5678.7541078893191</v>
      </c>
      <c r="O7" s="151" t="str">
        <f t="shared" si="8"/>
        <v>3-7</v>
      </c>
      <c r="P7" s="179">
        <f t="shared" si="0"/>
        <v>0.96614182682244243</v>
      </c>
      <c r="Q7" s="151" t="str">
        <f t="shared" si="9"/>
        <v>3-6</v>
      </c>
      <c r="R7" s="161">
        <f t="shared" si="1"/>
        <v>0.97078765171037062</v>
      </c>
      <c r="S7" s="151" t="str">
        <f t="shared" si="10"/>
        <v>3-5</v>
      </c>
      <c r="T7" s="161">
        <f t="shared" si="2"/>
        <v>0.97490183496521243</v>
      </c>
      <c r="U7" s="151" t="str">
        <f t="shared" si="11"/>
        <v>3-4</v>
      </c>
      <c r="V7" s="161">
        <f t="shared" si="3"/>
        <v>0.97819037084201133</v>
      </c>
      <c r="W7" s="151">
        <f t="shared" si="12"/>
        <v>3</v>
      </c>
      <c r="X7" s="152">
        <f t="shared" si="13"/>
        <v>0.98122997417330904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0.98122997417330904</v>
      </c>
    </row>
    <row r="8" spans="1:32">
      <c r="A8" s="48">
        <f>'HIV Neg U5MR 50'!A8</f>
        <v>4</v>
      </c>
      <c r="B8" s="9">
        <f>'HIV Neg U5MR 125'!B8</f>
        <v>1224748.5911279062</v>
      </c>
      <c r="C8" s="9">
        <f>'HIV Neg U5MR 125'!I8</f>
        <v>150168.53772469389</v>
      </c>
      <c r="D8" s="5">
        <v>0</v>
      </c>
      <c r="E8" s="9">
        <f>'HIV Pos Neg U5MR 125'!B8</f>
        <v>83583.408872093714</v>
      </c>
      <c r="F8" s="9">
        <f>'HIV Pos Neg U5MR 125'!I8</f>
        <v>10187.201622932585</v>
      </c>
      <c r="G8" s="10">
        <f>'Base values'!C61</f>
        <v>0.31521739130434784</v>
      </c>
      <c r="H8" s="9">
        <f>'HIV Pos Pos U5MR 125'!B8</f>
        <v>8918</v>
      </c>
      <c r="I8" s="9">
        <f>'HIV Pos Pos U5MR 125'!I8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C8+'HIV Pos Neg U5MR 125'!K8+'HIV Pos Pos U5MR 125'!K8</f>
        <v>159609.01198805068</v>
      </c>
      <c r="N8" s="57">
        <f>'HIV Pos Neg U5MR 125'!L8+'HIV Pos Pos U5MR 125'!L8</f>
        <v>7776.7243595758027</v>
      </c>
      <c r="O8" s="151" t="str">
        <f t="shared" si="8"/>
        <v>4-8</v>
      </c>
      <c r="P8" s="179">
        <f t="shared" si="0"/>
        <v>0.95687655777546388</v>
      </c>
      <c r="Q8" s="151" t="str">
        <f t="shared" si="9"/>
        <v>4-7</v>
      </c>
      <c r="R8" s="161">
        <f t="shared" si="1"/>
        <v>0.96227923210620026</v>
      </c>
      <c r="S8" s="151" t="str">
        <f t="shared" si="10"/>
        <v>4-6</v>
      </c>
      <c r="T8" s="161">
        <f t="shared" si="2"/>
        <v>0.96724029001075795</v>
      </c>
      <c r="U8" s="151" t="str">
        <f t="shared" si="11"/>
        <v>4-5</v>
      </c>
      <c r="V8" s="161">
        <f t="shared" si="3"/>
        <v>0.97169173988701807</v>
      </c>
      <c r="W8" s="151">
        <f t="shared" si="12"/>
        <v>4</v>
      </c>
      <c r="X8" s="152">
        <f t="shared" si="13"/>
        <v>0.97512502979685045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0.97512502979685045</v>
      </c>
    </row>
    <row r="9" spans="1:32">
      <c r="A9" s="48">
        <f>'HIV Neg U5MR 50'!A9</f>
        <v>5</v>
      </c>
      <c r="B9" s="9">
        <f>'HIV Neg U5MR 125'!B9</f>
        <v>1210852.8730926085</v>
      </c>
      <c r="C9" s="9">
        <f>'HIV Neg U5MR 125'!I9</f>
        <v>147922.95327995933</v>
      </c>
      <c r="D9" s="5">
        <v>0</v>
      </c>
      <c r="E9" s="9">
        <f>'HIV Pos Neg U5MR 125'!B9</f>
        <v>81434.126907391517</v>
      </c>
      <c r="F9" s="9">
        <f>'HIV Pos Neg U5MR 125'!I9</f>
        <v>9996.2942504602379</v>
      </c>
      <c r="G9" s="10">
        <f>'Base values'!C62</f>
        <v>0.42391304347826092</v>
      </c>
      <c r="H9" s="9">
        <f>'HIV Pos Pos U5MR 125'!B9</f>
        <v>10663</v>
      </c>
      <c r="I9" s="9">
        <f>'HIV Pos Pos U5MR 125'!I9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C9+'HIV Pos Neg U5MR 125'!K9+'HIV Pos Pos U5MR 125'!K9</f>
        <v>156006.5282005574</v>
      </c>
      <c r="N9" s="57">
        <f>'HIV Pos Neg U5MR 125'!L9+'HIV Pos Pos U5MR 125'!L9</f>
        <v>10098.267329862172</v>
      </c>
      <c r="O9" s="151" t="str">
        <f t="shared" si="8"/>
        <v>5-9</v>
      </c>
      <c r="P9" s="179">
        <f t="shared" si="0"/>
        <v>0.94629415441285702</v>
      </c>
      <c r="Q9" s="151" t="str">
        <f t="shared" si="9"/>
        <v>5-8</v>
      </c>
      <c r="R9" s="161">
        <f t="shared" si="1"/>
        <v>0.95219560900902522</v>
      </c>
      <c r="S9" s="151" t="str">
        <f t="shared" si="10"/>
        <v>5-7</v>
      </c>
      <c r="T9" s="161">
        <f t="shared" si="2"/>
        <v>0.95790873269019661</v>
      </c>
      <c r="U9" s="151" t="str">
        <f t="shared" si="11"/>
        <v>5-6</v>
      </c>
      <c r="V9" s="161">
        <f t="shared" si="3"/>
        <v>0.96323511926684657</v>
      </c>
      <c r="W9" s="151">
        <f t="shared" si="12"/>
        <v>5</v>
      </c>
      <c r="X9" s="152">
        <f t="shared" si="13"/>
        <v>0.96821677892107516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0.96821677892107516</v>
      </c>
    </row>
    <row r="10" spans="1:32">
      <c r="A10" s="48">
        <f>'HIV Neg U5MR 50'!A10</f>
        <v>6</v>
      </c>
      <c r="B10" s="9">
        <f>'HIV Neg U5MR 125'!B10</f>
        <v>1189638.5977297928</v>
      </c>
      <c r="C10" s="9">
        <f>'HIV Neg U5MR 125'!I10</f>
        <v>145094.82076132181</v>
      </c>
      <c r="D10" s="5">
        <v>0</v>
      </c>
      <c r="E10" s="9">
        <f>'HIV Pos Neg U5MR 125'!B10</f>
        <v>80142.40227020724</v>
      </c>
      <c r="F10" s="9">
        <f>'HIV Pos Neg U5MR 125'!I10</f>
        <v>9911.7848361754786</v>
      </c>
      <c r="G10" s="10">
        <f>'Base values'!C63</f>
        <v>0.53260869565217406</v>
      </c>
      <c r="H10" s="9">
        <f>'HIV Pos Pos U5MR 125'!B10</f>
        <v>11419</v>
      </c>
      <c r="I10" s="9">
        <f>'HIV Pos Pos U5MR 125'!I10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C10+'HIV Pos Neg U5MR 125'!K10+'HIV Pos Pos U5MR 125'!K10</f>
        <v>151961.12577877211</v>
      </c>
      <c r="N10" s="57">
        <f>'HIV Pos Neg U5MR 125'!L10+'HIV Pos Pos U5MR 125'!L10</f>
        <v>12902.346818725164</v>
      </c>
      <c r="O10" s="151" t="str">
        <f t="shared" si="8"/>
        <v>6-10</v>
      </c>
      <c r="P10" s="179">
        <f t="shared" si="0"/>
        <v>0.93465503338743339</v>
      </c>
      <c r="Q10" s="151" t="str">
        <f t="shared" si="9"/>
        <v>6-9</v>
      </c>
      <c r="R10" s="161">
        <f t="shared" si="1"/>
        <v>0.94067711970447854</v>
      </c>
      <c r="S10" s="151" t="str">
        <f t="shared" si="10"/>
        <v>6-8</v>
      </c>
      <c r="T10" s="161">
        <f t="shared" si="2"/>
        <v>0.94675207951231832</v>
      </c>
      <c r="U10" s="151" t="str">
        <f t="shared" si="11"/>
        <v>6-7</v>
      </c>
      <c r="V10" s="161">
        <f t="shared" si="3"/>
        <v>0.95268451313706382</v>
      </c>
      <c r="W10" s="151">
        <f t="shared" si="12"/>
        <v>6</v>
      </c>
      <c r="X10" s="152">
        <f t="shared" si="13"/>
        <v>0.95821167608196245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48">
        <f>'HIV Neg U5MR 50'!A11</f>
        <v>7</v>
      </c>
      <c r="B11" s="9">
        <f>'HIV Neg U5MR 125'!B11</f>
        <v>1167750.9570162341</v>
      </c>
      <c r="C11" s="9">
        <f>'HIV Neg U5MR 125'!I11</f>
        <v>142071.53285415671</v>
      </c>
      <c r="D11" s="5">
        <v>0</v>
      </c>
      <c r="E11" s="9">
        <f>'HIV Pos Neg U5MR 125'!B11</f>
        <v>76436.042983765918</v>
      </c>
      <c r="F11" s="9">
        <f>'HIV Pos Neg U5MR 125'!I11</f>
        <v>9750.754119271538</v>
      </c>
      <c r="G11" s="10">
        <f>'Base values'!C64</f>
        <v>0.63043478260869579</v>
      </c>
      <c r="H11" s="9">
        <f>'HIV Pos Pos U5MR 125'!B11</f>
        <v>15633</v>
      </c>
      <c r="I11" s="9">
        <f>'HIV Pos Pos U5MR 125'!I11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C11+'HIV Pos Neg U5MR 125'!K11+'HIV Pos Pos U5MR 125'!K11</f>
        <v>147740.10088289599</v>
      </c>
      <c r="N11" s="57">
        <f>'HIV Pos Neg U5MR 125'!L11+'HIV Pos Pos U5MR 125'!L11</f>
        <v>15786.063090532247</v>
      </c>
      <c r="O11" s="151" t="str">
        <f t="shared" si="8"/>
        <v>7-11</v>
      </c>
      <c r="P11" s="179">
        <f t="shared" si="0"/>
        <v>0.92308177354797327</v>
      </c>
      <c r="Q11" s="151" t="str">
        <f t="shared" si="9"/>
        <v>7-10</v>
      </c>
      <c r="R11" s="161">
        <f t="shared" si="1"/>
        <v>0.9286010594713735</v>
      </c>
      <c r="S11" s="151" t="str">
        <f t="shared" si="10"/>
        <v>7-9</v>
      </c>
      <c r="T11" s="161">
        <f t="shared" si="2"/>
        <v>0.9347050199564465</v>
      </c>
      <c r="U11" s="151" t="str">
        <f t="shared" si="11"/>
        <v>7-8</v>
      </c>
      <c r="V11" s="161">
        <f t="shared" si="3"/>
        <v>0.94092963932938367</v>
      </c>
      <c r="W11" s="151">
        <f t="shared" si="12"/>
        <v>7</v>
      </c>
      <c r="X11" s="152">
        <f t="shared" si="13"/>
        <v>0.94710023231805407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48">
        <f>'HIV Neg U5MR 50'!A12</f>
        <v>8</v>
      </c>
      <c r="B12" s="9">
        <f>'HIV Neg U5MR 125'!B12</f>
        <v>1144928.7874705833</v>
      </c>
      <c r="C12" s="9">
        <f>'HIV Neg U5MR 125'!I12</f>
        <v>138896.75171811509</v>
      </c>
      <c r="D12" s="5">
        <v>0</v>
      </c>
      <c r="E12" s="9">
        <f>'HIV Pos Neg U5MR 125'!B12</f>
        <v>75838.212529416545</v>
      </c>
      <c r="F12" s="9">
        <f>'HIV Pos Neg U5MR 125'!I12</f>
        <v>9866.3823140733712</v>
      </c>
      <c r="G12" s="10">
        <f>'Base values'!C65</f>
        <v>0.71739130434782605</v>
      </c>
      <c r="H12" s="9">
        <f>'HIV Pos Pos U5MR 125'!B12</f>
        <v>17643</v>
      </c>
      <c r="I12" s="9">
        <f>'HIV Pos Pos U5MR 125'!I12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C12+'HIV Pos Neg U5MR 125'!K12+'HIV Pos Pos U5MR 125'!K12</f>
        <v>143339.70548710064</v>
      </c>
      <c r="N12" s="57">
        <f>'HIV Pos Neg U5MR 125'!L12+'HIV Pos Pos U5MR 125'!L12</f>
        <v>18796.022045087822</v>
      </c>
      <c r="O12" s="151" t="str">
        <f t="shared" si="8"/>
        <v>8-12</v>
      </c>
      <c r="P12" s="179">
        <f t="shared" si="0"/>
        <v>0.91197356893653425</v>
      </c>
      <c r="Q12" s="151" t="str">
        <f t="shared" si="9"/>
        <v>8-11</v>
      </c>
      <c r="R12" s="161">
        <f t="shared" si="1"/>
        <v>0.91689211817236504</v>
      </c>
      <c r="S12" s="151" t="str">
        <f t="shared" si="10"/>
        <v>8-10</v>
      </c>
      <c r="T12" s="161">
        <f t="shared" si="2"/>
        <v>0.92229009951937058</v>
      </c>
      <c r="U12" s="151" t="str">
        <f t="shared" si="11"/>
        <v>8-9</v>
      </c>
      <c r="V12" s="161">
        <f t="shared" si="3"/>
        <v>0.92840161737952809</v>
      </c>
      <c r="W12" s="151">
        <f t="shared" si="12"/>
        <v>8</v>
      </c>
      <c r="X12" s="152">
        <f t="shared" si="13"/>
        <v>0.93468768100063582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48">
        <f>'HIV Neg U5MR 50'!A13</f>
        <v>9</v>
      </c>
      <c r="B13" s="9">
        <f>'HIV Neg U5MR 125'!B13</f>
        <v>1119951.9084310441</v>
      </c>
      <c r="C13" s="9">
        <f>'HIV Neg U5MR 125'!I13</f>
        <v>135497.80989267159</v>
      </c>
      <c r="D13" s="5">
        <v>0</v>
      </c>
      <c r="E13" s="9">
        <f>'HIV Pos Neg U5MR 125'!B13</f>
        <v>76563.09156895589</v>
      </c>
      <c r="F13" s="9">
        <f>'HIV Pos Neg U5MR 125'!I13</f>
        <v>10124.719099762267</v>
      </c>
      <c r="G13" s="10">
        <f>'Base values'!C66</f>
        <v>0.80434782608695654</v>
      </c>
      <c r="H13" s="9">
        <f>'HIV Pos Pos U5MR 125'!B13</f>
        <v>20575</v>
      </c>
      <c r="I13" s="9">
        <f>'HIV Pos Pos U5MR 125'!I13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C13+'HIV Pos Neg U5MR 125'!K13+'HIV Pos Pos U5MR 125'!K13</f>
        <v>138824.88247720132</v>
      </c>
      <c r="N13" s="57">
        <f>'HIV Pos Neg U5MR 125'!L13+'HIV Pos Pos U5MR 125'!L13</f>
        <v>22065.27101523256</v>
      </c>
      <c r="O13" s="151" t="str">
        <f t="shared" si="8"/>
        <v>9-13</v>
      </c>
      <c r="P13" s="179">
        <f t="shared" si="0"/>
        <v>0.90187986484532812</v>
      </c>
      <c r="Q13" s="151" t="str">
        <f t="shared" si="9"/>
        <v>9-12</v>
      </c>
      <c r="R13" s="161">
        <f t="shared" si="1"/>
        <v>0.90610246001778649</v>
      </c>
      <c r="S13" s="151" t="str">
        <f t="shared" si="10"/>
        <v>9-11</v>
      </c>
      <c r="T13" s="161">
        <f t="shared" si="2"/>
        <v>0.91080870140836656</v>
      </c>
      <c r="U13" s="151" t="str">
        <f t="shared" si="11"/>
        <v>9-10</v>
      </c>
      <c r="V13" s="161">
        <f t="shared" si="3"/>
        <v>0.91598156714341195</v>
      </c>
      <c r="W13" s="151">
        <f t="shared" si="12"/>
        <v>9</v>
      </c>
      <c r="X13" s="152">
        <f t="shared" si="13"/>
        <v>0.92204717830171656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48">
        <f>'HIV Neg U5MR 50'!A14</f>
        <v>10</v>
      </c>
      <c r="B14" s="9">
        <f>'HIV Neg U5MR 125'!B14</f>
        <v>1093711.6672745319</v>
      </c>
      <c r="C14" s="9">
        <f>'HIV Neg U5MR 125'!I14</f>
        <v>131932.12835723438</v>
      </c>
      <c r="D14" s="5">
        <v>0</v>
      </c>
      <c r="E14" s="9">
        <f>'HIV Pos Neg U5MR 125'!B14</f>
        <v>78333.332725468019</v>
      </c>
      <c r="F14" s="9">
        <f>'HIV Pos Neg U5MR 125'!I14</f>
        <v>10498.918878414159</v>
      </c>
      <c r="G14" s="10">
        <f>'Base values'!C67</f>
        <v>0.85869565217391319</v>
      </c>
      <c r="H14" s="9">
        <f>'HIV Pos Pos U5MR 125'!B14</f>
        <v>24235</v>
      </c>
      <c r="I14" s="9">
        <f>'HIV Pos Pos U5MR 125'!I14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C14+'HIV Pos Neg U5MR 125'!K14+'HIV Pos Pos U5MR 125'!K14</f>
        <v>134343.7198265155</v>
      </c>
      <c r="N14" s="57">
        <f>'HIV Pos Neg U5MR 125'!L14+'HIV Pos Pos U5MR 125'!L14</f>
        <v>25048.865909133059</v>
      </c>
      <c r="O14" s="151" t="str">
        <f t="shared" si="8"/>
        <v>10-14</v>
      </c>
      <c r="P14" s="179">
        <f t="shared" si="0"/>
        <v>0.89341243464773945</v>
      </c>
      <c r="Q14" s="151" t="str">
        <f t="shared" si="9"/>
        <v>10-13</v>
      </c>
      <c r="R14" s="161">
        <f t="shared" si="1"/>
        <v>0.89663843375341268</v>
      </c>
      <c r="S14" s="151" t="str">
        <f t="shared" si="10"/>
        <v>10-12</v>
      </c>
      <c r="T14" s="161">
        <f t="shared" si="2"/>
        <v>0.90062406328026845</v>
      </c>
      <c r="U14" s="151" t="str">
        <f t="shared" si="11"/>
        <v>10-11</v>
      </c>
      <c r="V14" s="161">
        <f t="shared" si="3"/>
        <v>0.90506559733909664</v>
      </c>
      <c r="W14" s="151">
        <f t="shared" si="12"/>
        <v>10</v>
      </c>
      <c r="X14" s="152">
        <f t="shared" si="13"/>
        <v>0.90983362410712554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4"/>
        <v>#VALUE!</v>
      </c>
      <c r="AD14" s="153" t="e">
        <f t="shared" si="14"/>
        <v>#VALUE!</v>
      </c>
      <c r="AE14" s="150" t="e">
        <f t="shared" ca="1" si="5"/>
        <v>#VALUE!</v>
      </c>
    </row>
    <row r="15" spans="1:32">
      <c r="A15" s="48">
        <f>'HIV Neg U5MR 50'!A15</f>
        <v>11</v>
      </c>
      <c r="B15" s="9">
        <f>'HIV Neg U5MR 125'!B15</f>
        <v>1065792.1055339968</v>
      </c>
      <c r="C15" s="9">
        <f>'HIV Neg U5MR 125'!I15</f>
        <v>128206.14241020175</v>
      </c>
      <c r="D15" s="5">
        <v>0</v>
      </c>
      <c r="E15" s="9">
        <f>'HIV Pos Neg U5MR 125'!B15</f>
        <v>82680.894466003141</v>
      </c>
      <c r="F15" s="9">
        <f>'HIV Pos Neg U5MR 125'!I15</f>
        <v>11045.074849740775</v>
      </c>
      <c r="G15" s="10">
        <f>'Base values'!C68</f>
        <v>0.91304347826086973</v>
      </c>
      <c r="H15" s="9">
        <f>'HIV Pos Pos U5MR 125'!B15</f>
        <v>26757</v>
      </c>
      <c r="I15" s="9">
        <f>'HIV Pos Pos U5MR 125'!I15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C15+'HIV Pos Neg U5MR 125'!K15+'HIV Pos Pos U5MR 125'!K15</f>
        <v>129778.03755466871</v>
      </c>
      <c r="N15" s="57">
        <f>'HIV Pos Neg U5MR 125'!L15+'HIV Pos Pos U5MR 125'!L15</f>
        <v>27781.165705273819</v>
      </c>
      <c r="O15" s="151" t="str">
        <f t="shared" si="8"/>
        <v>11-15</v>
      </c>
      <c r="P15" s="179">
        <f t="shared" si="0"/>
        <v>0.88715129636787637</v>
      </c>
      <c r="Q15" s="151" t="str">
        <f t="shared" si="9"/>
        <v>11-14</v>
      </c>
      <c r="R15" s="161">
        <f t="shared" si="1"/>
        <v>0.88913368905203383</v>
      </c>
      <c r="S15" s="151" t="str">
        <f t="shared" si="10"/>
        <v>11-13</v>
      </c>
      <c r="T15" s="161">
        <f t="shared" si="2"/>
        <v>0.89209084630143043</v>
      </c>
      <c r="U15" s="151" t="str">
        <f t="shared" si="11"/>
        <v>11-12</v>
      </c>
      <c r="V15" s="161">
        <f t="shared" si="3"/>
        <v>0.89590252152760641</v>
      </c>
      <c r="W15" s="151">
        <f t="shared" si="12"/>
        <v>11</v>
      </c>
      <c r="X15" s="152">
        <f t="shared" si="13"/>
        <v>0.90021706111647537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4"/>
        <v>#VALUE!</v>
      </c>
      <c r="AD15" s="153" t="e">
        <f t="shared" si="14"/>
        <v>#VALUE!</v>
      </c>
      <c r="AE15" s="150" t="e">
        <f t="shared" ca="1" si="5"/>
        <v>#VALUE!</v>
      </c>
    </row>
    <row r="16" spans="1:32">
      <c r="A16" s="48">
        <f>'HIV Neg U5MR 50'!A16</f>
        <v>12</v>
      </c>
      <c r="B16" s="9">
        <f>'HIV Neg U5MR 125'!B16</f>
        <v>1031795.7875404547</v>
      </c>
      <c r="C16" s="9">
        <f>'HIV Neg U5MR 125'!I16</f>
        <v>124141.73342231425</v>
      </c>
      <c r="D16" s="5">
        <v>0</v>
      </c>
      <c r="E16" s="9">
        <f>'HIV Pos Neg U5MR 125'!B16</f>
        <v>87484.212459545393</v>
      </c>
      <c r="F16" s="9">
        <f>'HIV Pos Neg U5MR 125'!I16</f>
        <v>11587.663073920681</v>
      </c>
      <c r="G16" s="10">
        <f>'Base values'!C69</f>
        <v>0.94565217391304346</v>
      </c>
      <c r="H16" s="9">
        <f>'HIV Pos Pos U5MR 125'!B16</f>
        <v>28900</v>
      </c>
      <c r="I16" s="9">
        <f>'HIV Pos Pos U5MR 125'!I16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C16+'HIV Pos Neg U5MR 125'!K16+'HIV Pos Pos U5MR 125'!K16</f>
        <v>125123.37162702372</v>
      </c>
      <c r="N16" s="57">
        <f>'HIV Pos Neg U5MR 125'!L16+'HIV Pos Pos U5MR 125'!L16</f>
        <v>30105.058869211214</v>
      </c>
      <c r="O16" s="151" t="str">
        <f t="shared" si="8"/>
        <v>12-16</v>
      </c>
      <c r="P16" s="179">
        <f t="shared" si="0"/>
        <v>0.88317222778412241</v>
      </c>
      <c r="Q16" s="151" t="str">
        <f t="shared" si="9"/>
        <v>12-15</v>
      </c>
      <c r="R16" s="161">
        <f t="shared" si="1"/>
        <v>0.88375572169908312</v>
      </c>
      <c r="S16" s="151" t="str">
        <f t="shared" si="10"/>
        <v>12-14</v>
      </c>
      <c r="T16" s="161">
        <f t="shared" si="2"/>
        <v>0.88531836085245841</v>
      </c>
      <c r="U16" s="151" t="str">
        <f t="shared" si="11"/>
        <v>12-13</v>
      </c>
      <c r="V16" s="161">
        <f t="shared" si="3"/>
        <v>0.88792612553336281</v>
      </c>
      <c r="W16" s="151">
        <f t="shared" si="12"/>
        <v>12</v>
      </c>
      <c r="X16" s="152">
        <f t="shared" si="13"/>
        <v>0.89151605069339235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4"/>
        <v>#VALUE!</v>
      </c>
      <c r="AD16" s="153" t="e">
        <f t="shared" si="14"/>
        <v>#VALUE!</v>
      </c>
      <c r="AE16" s="150" t="e">
        <f t="shared" ca="1" si="5"/>
        <v>#VALUE!</v>
      </c>
    </row>
    <row r="17" spans="1:32">
      <c r="A17" s="48">
        <f>'HIV Neg U5MR 50'!A17</f>
        <v>13</v>
      </c>
      <c r="B17" s="9">
        <f>'HIV Neg U5MR 125'!B17</f>
        <v>998024.5859198774</v>
      </c>
      <c r="C17" s="9">
        <f>'HIV Neg U5MR 125'!I17</f>
        <v>120215.94774631475</v>
      </c>
      <c r="D17" s="5">
        <v>0</v>
      </c>
      <c r="E17" s="9">
        <f>'HIV Pos Neg U5MR 125'!B17</f>
        <v>92593.414080122617</v>
      </c>
      <c r="F17" s="9">
        <f>'HIV Pos Neg U5MR 125'!I17</f>
        <v>12084.772512804479</v>
      </c>
      <c r="G17" s="10">
        <f>'Base values'!C70</f>
        <v>0.96739130434782605</v>
      </c>
      <c r="H17" s="9">
        <f>'HIV Pos Pos U5MR 125'!B17</f>
        <v>30992</v>
      </c>
      <c r="I17" s="9">
        <f>'HIV Pos Pos U5MR 125'!I17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C17+'HIV Pos Neg U5MR 125'!K17+'HIV Pos Pos U5MR 125'!K17</f>
        <v>120726.60710319689</v>
      </c>
      <c r="N17" s="57">
        <f>'HIV Pos Neg U5MR 125'!L17+'HIV Pos Pos U5MR 125'!L17</f>
        <v>32088.057155922339</v>
      </c>
      <c r="O17" s="151" t="str">
        <f t="shared" si="8"/>
        <v>13-17</v>
      </c>
      <c r="P17" s="179">
        <f t="shared" si="0"/>
        <v>0.88197900838010446</v>
      </c>
      <c r="Q17" s="151" t="str">
        <f t="shared" si="9"/>
        <v>13-16</v>
      </c>
      <c r="R17" s="161">
        <f t="shared" si="1"/>
        <v>0.88102014778406457</v>
      </c>
      <c r="S17" s="151" t="str">
        <f t="shared" si="10"/>
        <v>13-15</v>
      </c>
      <c r="T17" s="161">
        <f t="shared" si="2"/>
        <v>0.88109560569620748</v>
      </c>
      <c r="U17" s="151" t="str">
        <f t="shared" si="11"/>
        <v>13-14</v>
      </c>
      <c r="V17" s="161">
        <f t="shared" si="3"/>
        <v>0.88214758459722398</v>
      </c>
      <c r="W17" s="151">
        <f t="shared" si="12"/>
        <v>13</v>
      </c>
      <c r="X17" s="152">
        <f t="shared" si="13"/>
        <v>0.88427729542090783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4"/>
        <v>#VALUE!</v>
      </c>
      <c r="AD17" s="153" t="e">
        <f t="shared" si="14"/>
        <v>#VALUE!</v>
      </c>
      <c r="AE17" s="150" t="e">
        <f t="shared" ca="1" si="5"/>
        <v>#VALUE!</v>
      </c>
    </row>
    <row r="18" spans="1:32">
      <c r="A18" s="48">
        <f>'HIV Neg U5MR 50'!A18</f>
        <v>14</v>
      </c>
      <c r="B18" s="9">
        <f>'HIV Neg U5MR 125'!B18</f>
        <v>964624.63545957068</v>
      </c>
      <c r="C18" s="9">
        <f>'HIV Neg U5MR 125'!I18</f>
        <v>116505.89391516146</v>
      </c>
      <c r="D18" s="5">
        <v>0</v>
      </c>
      <c r="E18" s="9">
        <f>'HIV Pos Neg U5MR 125'!B18</f>
        <v>97518.364540429335</v>
      </c>
      <c r="F18" s="9">
        <f>'HIV Pos Neg U5MR 125'!I18</f>
        <v>12474.54648658246</v>
      </c>
      <c r="G18" s="10">
        <f>'Base values'!C71</f>
        <v>0.98913043478260865</v>
      </c>
      <c r="H18" s="9">
        <f>'HIV Pos Pos U5MR 125'!B18</f>
        <v>32797</v>
      </c>
      <c r="I18" s="9">
        <f>'HIV Pos Pos U5MR 125'!I18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C18+'HIV Pos Neg U5MR 125'!K18+'HIV Pos Pos U5MR 125'!K18</f>
        <v>116647.64594309512</v>
      </c>
      <c r="N18" s="57">
        <f>'HIV Pos Neg U5MR 125'!L18+'HIV Pos Pos U5MR 125'!L18</f>
        <v>33594.251958648791</v>
      </c>
      <c r="O18" s="151" t="str">
        <f t="shared" si="8"/>
        <v>14-18</v>
      </c>
      <c r="P18" s="179">
        <f t="shared" si="0"/>
        <v>0.88393703690667447</v>
      </c>
      <c r="Q18" s="151" t="str">
        <f t="shared" si="9"/>
        <v>14-17</v>
      </c>
      <c r="R18" s="161">
        <f t="shared" si="1"/>
        <v>0.88142246569747151</v>
      </c>
      <c r="S18" s="151" t="str">
        <f t="shared" si="10"/>
        <v>14-16</v>
      </c>
      <c r="T18" s="161">
        <f t="shared" si="2"/>
        <v>0.87992967186364823</v>
      </c>
      <c r="U18" s="151" t="str">
        <f t="shared" si="11"/>
        <v>14-15</v>
      </c>
      <c r="V18" s="161">
        <f t="shared" si="3"/>
        <v>0.87948658613927344</v>
      </c>
      <c r="W18" s="151">
        <f t="shared" si="12"/>
        <v>14</v>
      </c>
      <c r="X18" s="152">
        <f t="shared" si="13"/>
        <v>0.87999384063610786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4"/>
        <v>#VALUE!</v>
      </c>
      <c r="AD18" s="153" t="e">
        <f t="shared" si="14"/>
        <v>#VALUE!</v>
      </c>
      <c r="AE18" s="150" t="e">
        <f t="shared" ca="1" si="5"/>
        <v>#VALUE!</v>
      </c>
    </row>
    <row r="19" spans="1:32">
      <c r="A19" s="48">
        <f>'HIV Neg U5MR 50'!A19</f>
        <v>15</v>
      </c>
      <c r="B19" s="9">
        <f>'HIV Neg U5MR 125'!B19</f>
        <v>932494.89095396351</v>
      </c>
      <c r="C19" s="9">
        <f>'HIV Neg U5MR 125'!I19</f>
        <v>113111.82061243107</v>
      </c>
      <c r="D19" s="5">
        <v>0</v>
      </c>
      <c r="E19" s="9">
        <f>'HIV Pos Neg U5MR 125'!B19</f>
        <v>101861.10904603652</v>
      </c>
      <c r="F19" s="9">
        <f>'HIV Pos Neg U5MR 125'!I19</f>
        <v>12702.681011556302</v>
      </c>
      <c r="G19" s="10">
        <f>'Base values'!C72</f>
        <v>1</v>
      </c>
      <c r="H19" s="9">
        <f>'HIV Pos Pos U5MR 125'!B19</f>
        <v>34264</v>
      </c>
      <c r="I19" s="9">
        <f>'HIV Pos Pos U5MR 125'!I19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C19+'HIV Pos Neg U5MR 125'!K19+'HIV Pos Pos U5MR 125'!K19</f>
        <v>113111.82061243107</v>
      </c>
      <c r="N19" s="57">
        <f>'HIV Pos Neg U5MR 125'!L19+'HIV Pos Pos U5MR 125'!L19</f>
        <v>34356.8840115563</v>
      </c>
      <c r="O19" s="151" t="str">
        <f t="shared" si="8"/>
        <v>15-19</v>
      </c>
      <c r="P19" s="179">
        <f t="shared" si="0"/>
        <v>0.88897544413902474</v>
      </c>
      <c r="Q19" s="151" t="str">
        <f t="shared" si="9"/>
        <v>15-18</v>
      </c>
      <c r="R19" s="161">
        <f t="shared" si="1"/>
        <v>0.88502146302565687</v>
      </c>
      <c r="S19" s="151" t="str">
        <f t="shared" si="10"/>
        <v>15-17</v>
      </c>
      <c r="T19" s="161">
        <f t="shared" si="2"/>
        <v>0.88195813592332772</v>
      </c>
      <c r="U19" s="151" t="str">
        <f t="shared" si="11"/>
        <v>15-16</v>
      </c>
      <c r="V19" s="161">
        <f t="shared" si="3"/>
        <v>0.87992835695795324</v>
      </c>
      <c r="W19" s="151">
        <f t="shared" si="12"/>
        <v>15</v>
      </c>
      <c r="X19" s="152">
        <f t="shared" si="13"/>
        <v>0.87899208483534175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4"/>
        <v>#VALUE!</v>
      </c>
      <c r="AD19" s="153" t="e">
        <f t="shared" si="14"/>
        <v>#VALUE!</v>
      </c>
      <c r="AE19" s="150" t="e">
        <f t="shared" ca="1" si="5"/>
        <v>#VALUE!</v>
      </c>
    </row>
    <row r="20" spans="1:32">
      <c r="A20" s="48">
        <f>'HIV Neg U5MR 50'!A20</f>
        <v>16</v>
      </c>
      <c r="B20" s="9">
        <f>'HIV Neg U5MR 125'!B20</f>
        <v>903865.75167033426</v>
      </c>
      <c r="C20" s="9">
        <f>'HIV Neg U5MR 125'!I20</f>
        <v>110199.56669446846</v>
      </c>
      <c r="D20" s="5">
        <v>0</v>
      </c>
      <c r="E20" s="9">
        <f>'HIV Pos Neg U5MR 125'!B20</f>
        <v>105039.24832966569</v>
      </c>
      <c r="F20" s="9">
        <f>'HIV Pos Neg U5MR 125'!I20</f>
        <v>12710.515032170333</v>
      </c>
      <c r="G20" s="10">
        <f>'Base values'!C73</f>
        <v>1</v>
      </c>
      <c r="H20" s="9">
        <f>'HIV Pos Pos U5MR 125'!B20</f>
        <v>35185</v>
      </c>
      <c r="I20" s="9">
        <f>'HIV Pos Pos U5MR 125'!I20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C20+'HIV Pos Neg U5MR 125'!K20+'HIV Pos Pos U5MR 125'!K20</f>
        <v>110199.56669446846</v>
      </c>
      <c r="N20" s="57">
        <f>'HIV Pos Neg U5MR 125'!L20+'HIV Pos Pos U5MR 125'!L20</f>
        <v>34306.594532170333</v>
      </c>
      <c r="O20" s="151" t="str">
        <f t="shared" si="8"/>
        <v>16-20</v>
      </c>
      <c r="P20" s="179">
        <f t="shared" si="0"/>
        <v>0.89676247832153777</v>
      </c>
      <c r="Q20" s="151" t="str">
        <f t="shared" si="9"/>
        <v>16-19</v>
      </c>
      <c r="R20" s="161">
        <f t="shared" si="1"/>
        <v>0.89164652234323372</v>
      </c>
      <c r="S20" s="151" t="str">
        <f t="shared" si="10"/>
        <v>16-18</v>
      </c>
      <c r="T20" s="161">
        <f t="shared" si="2"/>
        <v>0.8871509642202382</v>
      </c>
      <c r="U20" s="151" t="str">
        <f t="shared" si="11"/>
        <v>16-17</v>
      </c>
      <c r="V20" s="161">
        <f t="shared" si="3"/>
        <v>0.88351405307902475</v>
      </c>
      <c r="W20" s="151">
        <f t="shared" si="12"/>
        <v>16</v>
      </c>
      <c r="X20" s="152">
        <f t="shared" si="13"/>
        <v>0.88090186199901643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4"/>
        <v>#VALUE!</v>
      </c>
      <c r="AD20" s="153" t="e">
        <f t="shared" si="14"/>
        <v>#VALUE!</v>
      </c>
      <c r="AE20" s="150" t="e">
        <f t="shared" ca="1" si="5"/>
        <v>#VALUE!</v>
      </c>
    </row>
    <row r="21" spans="1:32">
      <c r="A21" s="48">
        <f>'HIV Neg U5MR 50'!A21</f>
        <v>17</v>
      </c>
      <c r="B21" s="9">
        <f>'HIV Neg U5MR 125'!B21</f>
        <v>879136.63873421436</v>
      </c>
      <c r="C21" s="9">
        <f>'HIV Neg U5MR 125'!I21</f>
        <v>107822.59091787851</v>
      </c>
      <c r="D21" s="5">
        <v>0</v>
      </c>
      <c r="E21" s="9">
        <f>'HIV Pos Neg U5MR 125'!B21</f>
        <v>106211.36126578561</v>
      </c>
      <c r="F21" s="9">
        <f>'HIV Pos Neg U5MR 125'!I21</f>
        <v>12439.248458590992</v>
      </c>
      <c r="G21" s="10">
        <f>'Base values'!C74</f>
        <v>1</v>
      </c>
      <c r="H21" s="9">
        <f>'HIV Pos Pos U5MR 125'!B21</f>
        <v>35412</v>
      </c>
      <c r="I21" s="9">
        <f>'HIV Pos Pos U5MR 125'!I21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C21+'HIV Pos Neg U5MR 125'!K21+'HIV Pos Pos U5MR 125'!K21</f>
        <v>107822.59091787851</v>
      </c>
      <c r="N21" s="57">
        <f>'HIV Pos Neg U5MR 125'!L21+'HIV Pos Pos U5MR 125'!L21</f>
        <v>33445.932458590993</v>
      </c>
      <c r="O21" s="151" t="str">
        <f t="shared" si="8"/>
        <v>17-21</v>
      </c>
      <c r="P21" s="179">
        <f t="shared" si="0"/>
        <v>0.906849498131716</v>
      </c>
      <c r="Q21" s="151" t="str">
        <f t="shared" si="9"/>
        <v>17-20</v>
      </c>
      <c r="R21" s="161">
        <f t="shared" si="1"/>
        <v>0.90098889597633147</v>
      </c>
      <c r="S21" s="151" t="str">
        <f t="shared" si="10"/>
        <v>17-19</v>
      </c>
      <c r="T21" s="161">
        <f t="shared" si="2"/>
        <v>0.89541943609319419</v>
      </c>
      <c r="U21" s="151" t="str">
        <f t="shared" si="11"/>
        <v>17-18</v>
      </c>
      <c r="V21" s="161">
        <f t="shared" si="3"/>
        <v>0.89040363961531632</v>
      </c>
      <c r="W21" s="151">
        <f t="shared" si="12"/>
        <v>17</v>
      </c>
      <c r="X21" s="152">
        <f t="shared" si="13"/>
        <v>0.88619974560396664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4"/>
        <v>#VALUE!</v>
      </c>
      <c r="AD21" s="153" t="e">
        <f t="shared" si="14"/>
        <v>#VALUE!</v>
      </c>
      <c r="AE21" s="150" t="e">
        <f t="shared" ca="1" si="5"/>
        <v>#VALUE!</v>
      </c>
    </row>
    <row r="22" spans="1:32">
      <c r="A22" s="48">
        <f>'HIV Neg U5MR 50'!A22</f>
        <v>18</v>
      </c>
      <c r="B22" s="9">
        <f>'HIV Neg U5MR 125'!B22</f>
        <v>858590.99039825355</v>
      </c>
      <c r="C22" s="9">
        <f>'HIV Neg U5MR 125'!I22</f>
        <v>106013.00464544629</v>
      </c>
      <c r="D22" s="5">
        <v>0</v>
      </c>
      <c r="E22" s="9">
        <f>'HIV Pos Neg U5MR 125'!B22</f>
        <v>104648.00960174639</v>
      </c>
      <c r="F22" s="9">
        <f>'HIV Pos Neg U5MR 125'!I22</f>
        <v>11855.454219359282</v>
      </c>
      <c r="G22" s="10">
        <f>'Base values'!C75</f>
        <v>1</v>
      </c>
      <c r="H22" s="9">
        <f>'HIV Pos Pos U5MR 125'!B22</f>
        <v>34706</v>
      </c>
      <c r="I22" s="9">
        <f>'HIV Pos Pos U5MR 125'!I22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C22+'HIV Pos Neg U5MR 125'!K22+'HIV Pos Pos U5MR 125'!K22</f>
        <v>106013.00464544629</v>
      </c>
      <c r="N22" s="103">
        <f>'HIV Pos Neg U5MR 125'!L22+'HIV Pos Pos U5MR 125'!L22</f>
        <v>31705.638719359278</v>
      </c>
      <c r="O22" s="151" t="str">
        <f t="shared" si="8"/>
        <v>18-22</v>
      </c>
      <c r="P22" s="179">
        <f t="shared" si="0"/>
        <v>0.9185070250515095</v>
      </c>
      <c r="Q22" s="151" t="str">
        <f t="shared" si="9"/>
        <v>18-21</v>
      </c>
      <c r="R22" s="161">
        <f t="shared" si="1"/>
        <v>0.91235101948984587</v>
      </c>
      <c r="S22" s="151" t="str">
        <f t="shared" si="10"/>
        <v>18-20</v>
      </c>
      <c r="T22" s="161">
        <f t="shared" si="2"/>
        <v>0.90617700313776661</v>
      </c>
      <c r="U22" s="151" t="str">
        <f t="shared" si="11"/>
        <v>18-19</v>
      </c>
      <c r="V22" s="161">
        <f t="shared" si="3"/>
        <v>0.90021074564180603</v>
      </c>
      <c r="W22" s="151">
        <f t="shared" si="12"/>
        <v>18</v>
      </c>
      <c r="X22" s="152">
        <f t="shared" si="13"/>
        <v>0.89471905624379489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4"/>
        <v>#VALUE!</v>
      </c>
      <c r="AD22" s="153" t="e">
        <f t="shared" si="14"/>
        <v>#VALUE!</v>
      </c>
      <c r="AE22" s="150" t="e">
        <f t="shared" ca="1" si="5"/>
        <v>#VALUE!</v>
      </c>
    </row>
    <row r="23" spans="1:32">
      <c r="A23" s="48">
        <f>'HIV Neg U5MR 50'!A23</f>
        <v>19</v>
      </c>
      <c r="B23" s="9">
        <f>'HIV Neg U5MR 125'!B23</f>
        <v>843666.6351556615</v>
      </c>
      <c r="C23" s="9">
        <f>'HIV Neg U5MR 125'!I23</f>
        <v>104820.42576886318</v>
      </c>
      <c r="D23" s="5">
        <v>0</v>
      </c>
      <c r="E23" s="9">
        <f>'HIV Pos Neg U5MR 125'!B23</f>
        <v>99999.364844338474</v>
      </c>
      <c r="F23" s="9">
        <f>'HIV Pos Neg U5MR 125'!I23</f>
        <v>10964.789506792818</v>
      </c>
      <c r="G23" s="10">
        <f>'Base values'!C76</f>
        <v>1</v>
      </c>
      <c r="H23" s="9">
        <f>'HIV Pos Pos U5MR 125'!B23</f>
        <v>32990</v>
      </c>
      <c r="I23" s="9">
        <f>'HIV Pos Pos U5MR 125'!I23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C23+'HIV Pos Neg U5MR 125'!K23+'HIV Pos Pos U5MR 125'!K23</f>
        <v>104820.42576886318</v>
      </c>
      <c r="N23" s="103">
        <f>'HIV Pos Neg U5MR 125'!L23+'HIV Pos Pos U5MR 125'!L23</f>
        <v>29135.725006792818</v>
      </c>
      <c r="O23" s="151" t="str">
        <f t="shared" si="8"/>
        <v>19-23</v>
      </c>
      <c r="P23" s="179">
        <f t="shared" si="0"/>
        <v>0.93090164514649576</v>
      </c>
      <c r="Q23" s="151" t="str">
        <f t="shared" si="9"/>
        <v>19-22</v>
      </c>
      <c r="R23" s="161">
        <f t="shared" si="1"/>
        <v>0.92485470895790012</v>
      </c>
      <c r="S23" s="151" t="str">
        <f t="shared" si="10"/>
        <v>19-21</v>
      </c>
      <c r="T23" s="161">
        <f t="shared" si="2"/>
        <v>0.91854153111655612</v>
      </c>
      <c r="U23" s="151" t="str">
        <f t="shared" si="11"/>
        <v>19-20</v>
      </c>
      <c r="V23" s="161">
        <f t="shared" si="3"/>
        <v>0.91213227347041592</v>
      </c>
      <c r="W23" s="151">
        <f t="shared" si="12"/>
        <v>19</v>
      </c>
      <c r="X23" s="152">
        <f t="shared" si="13"/>
        <v>0.90584524312637416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4"/>
        <v>#VALUE!</v>
      </c>
      <c r="AD23" s="153" t="e">
        <f t="shared" si="14"/>
        <v>#VALUE!</v>
      </c>
      <c r="AE23" s="150" t="e">
        <f t="shared" ca="1" si="5"/>
        <v>#VALUE!</v>
      </c>
    </row>
    <row r="24" spans="1:32" ht="13.5" thickBot="1">
      <c r="A24" s="48">
        <f>'HIV Neg U5MR 50'!A24</f>
        <v>20</v>
      </c>
      <c r="B24" s="9">
        <f>'HIV Neg U5MR 125'!B24</f>
        <v>833406.34579112253</v>
      </c>
      <c r="C24" s="9">
        <f>'HIV Neg U5MR 125'!I24</f>
        <v>104089.66487220256</v>
      </c>
      <c r="D24" s="5">
        <v>0</v>
      </c>
      <c r="E24" s="9">
        <f>'HIV Pos Neg U5MR 125'!B24</f>
        <v>92241.654208877473</v>
      </c>
      <c r="F24" s="9">
        <f>'HIV Pos Neg U5MR 125'!I24</f>
        <v>9805.3586265963313</v>
      </c>
      <c r="G24" s="10">
        <f>'Base values'!C77</f>
        <v>1</v>
      </c>
      <c r="H24" s="9">
        <f>'HIV Pos Pos U5MR 125'!B24</f>
        <v>30311</v>
      </c>
      <c r="I24" s="9">
        <f>'HIV Pos Pos U5MR 125'!I24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C24+'HIV Pos Neg U5MR 125'!K24+'HIV Pos Pos U5MR 125'!K24</f>
        <v>104089.66487220256</v>
      </c>
      <c r="N24" s="103">
        <f>'HIV Pos Neg U5MR 125'!L24+'HIV Pos Pos U5MR 125'!L24</f>
        <v>25887.965126596333</v>
      </c>
      <c r="O24" s="159" t="str">
        <f t="shared" si="8"/>
        <v>20-24</v>
      </c>
      <c r="P24" s="180">
        <f t="shared" si="0"/>
        <v>0.94324550205342139</v>
      </c>
      <c r="Q24" s="151" t="str">
        <f t="shared" si="9"/>
        <v>20-23</v>
      </c>
      <c r="R24" s="161">
        <f t="shared" si="1"/>
        <v>0.93761070609131514</v>
      </c>
      <c r="S24" s="151" t="str">
        <f t="shared" si="10"/>
        <v>20-22</v>
      </c>
      <c r="T24" s="161">
        <f t="shared" si="2"/>
        <v>0.93154466400893798</v>
      </c>
      <c r="U24" s="146" t="str">
        <f t="shared" si="11"/>
        <v>20-21</v>
      </c>
      <c r="V24" s="161">
        <f t="shared" si="3"/>
        <v>0.92515116023468769</v>
      </c>
      <c r="W24" s="146">
        <f t="shared" si="12"/>
        <v>20</v>
      </c>
      <c r="X24" s="152">
        <f t="shared" si="13"/>
        <v>0.91858946381276574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4"/>
        <v>#VALUE!</v>
      </c>
      <c r="AD24" s="153" t="e">
        <f t="shared" si="14"/>
        <v>#VALUE!</v>
      </c>
      <c r="AE24" s="150" t="e">
        <f t="shared" ca="1" si="5"/>
        <v>#VALUE!</v>
      </c>
    </row>
    <row r="25" spans="1:32" ht="13.5" thickBot="1">
      <c r="A25" s="48">
        <f>'HIV Neg U5MR 50'!A25</f>
        <v>21</v>
      </c>
      <c r="B25" s="9">
        <f>'HIV Neg U5MR 125'!B25</f>
        <v>827393.24855432892</v>
      </c>
      <c r="C25" s="9">
        <f>'HIV Neg U5MR 125'!I25</f>
        <v>103735.94344277785</v>
      </c>
      <c r="D25" s="5">
        <v>0</v>
      </c>
      <c r="E25" s="9">
        <f>'HIV Pos Neg U5MR 125'!B25</f>
        <v>81886.751445671107</v>
      </c>
      <c r="F25" s="9">
        <f>'HIV Pos Neg U5MR 125'!I25</f>
        <v>8461.7413110794823</v>
      </c>
      <c r="G25" s="10">
        <f>'Base values'!C78</f>
        <v>1</v>
      </c>
      <c r="H25" s="9">
        <f>'HIV Pos Pos U5MR 125'!B25</f>
        <v>26880</v>
      </c>
      <c r="I25" s="9">
        <f>'HIV Pos Pos U5MR 125'!I25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C25+'HIV Pos Neg U5MR 125'!K25+'HIV Pos Pos U5MR 125'!K25</f>
        <v>103735.94344277785</v>
      </c>
      <c r="N25" s="103">
        <f>'HIV Pos Neg U5MR 125'!L25+'HIV Pos Pos U5MR 125'!L25</f>
        <v>22214.294811079482</v>
      </c>
      <c r="O25" s="154"/>
      <c r="P25" s="149"/>
      <c r="Q25" s="159" t="str">
        <f t="shared" si="9"/>
        <v>21-24</v>
      </c>
      <c r="R25" s="182">
        <f t="shared" si="1"/>
        <v>0.94988041135653434</v>
      </c>
      <c r="S25" s="151" t="str">
        <f t="shared" si="10"/>
        <v>21-23</v>
      </c>
      <c r="T25" s="161">
        <f t="shared" si="2"/>
        <v>0.94432678191776531</v>
      </c>
      <c r="U25" s="146" t="str">
        <f t="shared" si="11"/>
        <v>21-22</v>
      </c>
      <c r="V25" s="161">
        <f t="shared" si="3"/>
        <v>0.93830258415075474</v>
      </c>
      <c r="W25" s="146">
        <f t="shared" si="12"/>
        <v>21</v>
      </c>
      <c r="X25" s="152">
        <f t="shared" si="13"/>
        <v>0.93189799144188601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4"/>
        <v>#VALUE!</v>
      </c>
      <c r="AD25" s="153" t="e">
        <f t="shared" si="14"/>
        <v>#VALUE!</v>
      </c>
      <c r="AE25" s="150" t="e">
        <f t="shared" ca="1" si="5"/>
        <v>#VALUE!</v>
      </c>
      <c r="AF25" s="46"/>
    </row>
    <row r="26" spans="1:32" ht="13.5" thickBot="1">
      <c r="A26" s="99">
        <f>'HIV Neg U5MR 50'!A26</f>
        <v>22</v>
      </c>
      <c r="B26" s="171">
        <f>'HIV Neg U5MR 125'!B26</f>
        <v>826385.49363108212</v>
      </c>
      <c r="C26" s="171">
        <f>'HIV Neg U5MR 125'!I26</f>
        <v>103712.80042772414</v>
      </c>
      <c r="D26" s="172">
        <v>0</v>
      </c>
      <c r="E26" s="171">
        <f>'HIV Pos Neg U5MR 125'!B26</f>
        <v>69939.506368917864</v>
      </c>
      <c r="F26" s="171">
        <f>'HIV Pos Neg U5MR 125'!I26</f>
        <v>7042.7494264582137</v>
      </c>
      <c r="G26" s="173">
        <f>'Base values'!C79</f>
        <v>1</v>
      </c>
      <c r="H26" s="171">
        <f>'HIV Pos Pos U5MR 125'!B26</f>
        <v>23012</v>
      </c>
      <c r="I26" s="171">
        <f>'HIV Pos Pos U5MR 125'!I26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C26+'HIV Pos Neg U5MR 125'!K26+'HIV Pos Pos U5MR 125'!K26</f>
        <v>103712.80042772414</v>
      </c>
      <c r="N26" s="174">
        <f>'HIV Pos Neg U5MR 125'!L26+'HIV Pos Pos U5MR 125'!L26</f>
        <v>18393.539426458214</v>
      </c>
      <c r="O26" s="154"/>
      <c r="P26" s="149"/>
      <c r="Q26" s="158"/>
      <c r="R26" s="161"/>
      <c r="S26" s="159" t="str">
        <f t="shared" si="10"/>
        <v>22-24</v>
      </c>
      <c r="T26" s="182">
        <f t="shared" si="2"/>
        <v>0.95626497060014259</v>
      </c>
      <c r="U26" s="146" t="str">
        <f t="shared" si="11"/>
        <v>22-23</v>
      </c>
      <c r="V26" s="161">
        <f t="shared" si="3"/>
        <v>0.95083318333934741</v>
      </c>
      <c r="W26" s="146">
        <f t="shared" si="12"/>
        <v>22</v>
      </c>
      <c r="X26" s="152">
        <f t="shared" si="13"/>
        <v>0.94490076801686051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4"/>
        <v>#VALUE!</v>
      </c>
      <c r="AD26" s="153" t="e">
        <f t="shared" si="14"/>
        <v>#VALUE!</v>
      </c>
      <c r="AE26" s="150" t="e">
        <f t="shared" ca="1" si="5"/>
        <v>#VALUE!</v>
      </c>
      <c r="AF26" s="46"/>
    </row>
    <row r="27" spans="1:32" s="116" customFormat="1" ht="13.5" thickBot="1">
      <c r="A27" s="208">
        <f>'HIV Neg U5MR 50'!A27</f>
        <v>23</v>
      </c>
      <c r="B27" s="189">
        <f>'HIV Neg U5MR 125'!B27</f>
        <v>830227.93305620481</v>
      </c>
      <c r="C27" s="189">
        <f>'HIV Neg U5MR 125'!I27</f>
        <v>103916.44532890625</v>
      </c>
      <c r="D27" s="190">
        <v>0</v>
      </c>
      <c r="E27" s="189">
        <f>'HIV Pos Neg U5MR 125'!B27</f>
        <v>57515.066943795158</v>
      </c>
      <c r="F27" s="189">
        <f>'HIV Pos Neg U5MR 125'!I27</f>
        <v>5654.1499048236674</v>
      </c>
      <c r="G27" s="191">
        <f>'Base values'!C80</f>
        <v>1</v>
      </c>
      <c r="H27" s="189">
        <f>'HIV Pos Pos U5MR 125'!B27</f>
        <v>18989</v>
      </c>
      <c r="I27" s="189">
        <f>'HIV Pos Pos U5MR 125'!I27</f>
        <v>9025.3445000000011</v>
      </c>
      <c r="J27" s="191">
        <f>'Base values'!C80</f>
        <v>1</v>
      </c>
      <c r="K27" s="189">
        <f t="shared" ref="K27:K33" si="15">B27*(1-D27) + E27*(1-G27) + H27*(1-J27)</f>
        <v>830227.93305620481</v>
      </c>
      <c r="L27" s="189">
        <f t="shared" ref="L27:L33" si="16">E27*G27+H27*J27</f>
        <v>76504.066943795158</v>
      </c>
      <c r="M27" s="189">
        <f>C27+'HIV Pos Neg U5MR 125'!K27+'HIV Pos Pos U5MR 125'!K27</f>
        <v>103916.44532890625</v>
      </c>
      <c r="N27" s="192">
        <f>'HIV Pos Neg U5MR 125'!L27+'HIV Pos Pos U5MR 125'!L27</f>
        <v>14679.494404823668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3"/>
        <v>0.96224641174997072</v>
      </c>
      <c r="W27" s="146">
        <f t="shared" si="12"/>
        <v>23</v>
      </c>
      <c r="X27" s="152">
        <f t="shared" si="13"/>
        <v>0.95696502043887588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208">
        <f>'HIV Neg U5MR 50'!A28</f>
        <v>24</v>
      </c>
      <c r="B28" s="189">
        <f>'HIV Neg U5MR 125'!B28</f>
        <v>836633.84568017919</v>
      </c>
      <c r="C28" s="189">
        <f>'HIV Neg U5MR 125'!I28</f>
        <v>104101.47185702986</v>
      </c>
      <c r="D28" s="190">
        <v>0</v>
      </c>
      <c r="E28" s="189">
        <f>'HIV Pos Neg U5MR 125'!B28</f>
        <v>45524.15431982078</v>
      </c>
      <c r="F28" s="189">
        <f>'HIV Pos Neg U5MR 125'!I28</f>
        <v>4374.5213366593216</v>
      </c>
      <c r="G28" s="191">
        <f>'Base values'!C81</f>
        <v>1</v>
      </c>
      <c r="H28" s="189">
        <f>'HIV Pos Pos U5MR 125'!B28</f>
        <v>15077</v>
      </c>
      <c r="I28" s="189">
        <f>'HIV Pos Pos U5MR 125'!I28</f>
        <v>6889.0535</v>
      </c>
      <c r="J28" s="191">
        <f>'Base values'!C81</f>
        <v>1</v>
      </c>
      <c r="K28" s="189">
        <f t="shared" si="15"/>
        <v>836633.84568017919</v>
      </c>
      <c r="L28" s="189">
        <f t="shared" si="16"/>
        <v>60601.15431982078</v>
      </c>
      <c r="M28" s="189">
        <f>C28+'HIV Pos Neg U5MR 125'!K28+'HIV Pos Pos U5MR 125'!K28</f>
        <v>104101.47185702986</v>
      </c>
      <c r="N28" s="192">
        <f>'HIV Pos Neg U5MR 125'!L28+'HIV Pos Pos U5MR 125'!L28</f>
        <v>11263.574836659322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0.96772820817887562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09">
        <f>'HIV Neg U5MR 50'!A29</f>
        <v>25</v>
      </c>
      <c r="B29" s="194">
        <f>'HIV Neg U5MR 125'!B29</f>
        <v>840389.38258109975</v>
      </c>
      <c r="C29" s="194">
        <f>'HIV Neg U5MR 125'!I29</f>
        <v>92030.335705135192</v>
      </c>
      <c r="D29" s="195">
        <v>0</v>
      </c>
      <c r="E29" s="194">
        <f>'HIV Pos Neg U5MR 125'!B29</f>
        <v>34523.6174189003</v>
      </c>
      <c r="F29" s="194">
        <f>'HIV Pos Neg U5MR 125'!I29</f>
        <v>3180.8747348856027</v>
      </c>
      <c r="G29" s="196">
        <f>'Base values'!C82</f>
        <v>1</v>
      </c>
      <c r="H29" s="194">
        <f>'HIV Pos Pos U5MR 125'!B29</f>
        <v>11406</v>
      </c>
      <c r="I29" s="194">
        <f>'HIV Pos Pos U5MR 125'!I29</f>
        <v>5014.1195000000007</v>
      </c>
      <c r="J29" s="196">
        <f>'Base values'!C82</f>
        <v>1</v>
      </c>
      <c r="K29" s="194">
        <f t="shared" si="15"/>
        <v>840389.38258109975</v>
      </c>
      <c r="L29" s="194">
        <f t="shared" si="16"/>
        <v>45929.6174189003</v>
      </c>
      <c r="M29" s="194">
        <f>C29+'HIV Pos Neg U5MR 125'!K29+'HIV Pos Pos U5MR 125'!K29</f>
        <v>92030.335705135192</v>
      </c>
      <c r="N29" s="197">
        <f>'HIV Pos Neg U5MR 125'!L29+'HIV Pos Pos U5MR 125'!L29</f>
        <v>8194.9942348856039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0">
        <f>'HIV Neg U5MR 50'!A30</f>
        <v>26</v>
      </c>
      <c r="B30" s="199">
        <f>'HIV Neg U5MR 125'!B30</f>
        <v>839518.91477298003</v>
      </c>
      <c r="C30" s="199">
        <f>'HIV Neg U5MR 125'!I30</f>
        <v>88068.35579893479</v>
      </c>
      <c r="D30" s="200">
        <v>0</v>
      </c>
      <c r="E30" s="199">
        <f>'HIV Pos Neg U5MR 125'!B30</f>
        <v>25185.085227019939</v>
      </c>
      <c r="F30" s="199">
        <f>'HIV Pos Neg U5MR 125'!I30</f>
        <v>2265.1116684881908</v>
      </c>
      <c r="G30" s="201">
        <f>'Base values'!C83</f>
        <v>1</v>
      </c>
      <c r="H30" s="199">
        <f>'HIV Pos Pos U5MR 125'!B30</f>
        <v>8309</v>
      </c>
      <c r="I30" s="199">
        <f>'HIV Pos Pos U5MR 125'!I30</f>
        <v>3497.8670000000002</v>
      </c>
      <c r="J30" s="201">
        <f>'Base values'!C83</f>
        <v>1</v>
      </c>
      <c r="K30" s="199">
        <f t="shared" si="15"/>
        <v>839518.91477298003</v>
      </c>
      <c r="L30" s="199">
        <f t="shared" si="16"/>
        <v>33494.085227019939</v>
      </c>
      <c r="M30" s="199">
        <f>C30+'HIV Pos Neg U5MR 125'!K30+'HIV Pos Pos U5MR 125'!K30</f>
        <v>88068.35579893479</v>
      </c>
      <c r="N30" s="202">
        <f>'HIV Pos Neg U5MR 125'!L30+'HIV Pos Pos U5MR 125'!L30</f>
        <v>5762.978668488191</v>
      </c>
      <c r="O30" s="125"/>
    </row>
    <row r="31" spans="1:32" s="116" customFormat="1">
      <c r="A31" s="209">
        <f>'HIV Neg U5MR 50'!A31</f>
        <v>27</v>
      </c>
      <c r="B31" s="194">
        <f>'HIV Neg U5MR 125'!B31</f>
        <v>832038.27103829291</v>
      </c>
      <c r="C31" s="194">
        <f>'HIV Neg U5MR 125'!I31</f>
        <v>82198.854671797308</v>
      </c>
      <c r="D31" s="195">
        <v>0</v>
      </c>
      <c r="E31" s="194">
        <f>'HIV Pos Neg U5MR 125'!B31</f>
        <v>17622.728961707078</v>
      </c>
      <c r="F31" s="194">
        <f>'HIV Pos Neg U5MR 125'!I31</f>
        <v>1536.0910406973396</v>
      </c>
      <c r="G31" s="196">
        <f>'Base values'!C84</f>
        <v>1</v>
      </c>
      <c r="H31" s="194">
        <f>'HIV Pos Pos U5MR 125'!B31</f>
        <v>5805</v>
      </c>
      <c r="I31" s="194">
        <f>'HIV Pos Pos U5MR 125'!I31</f>
        <v>2314.4380000000001</v>
      </c>
      <c r="J31" s="196">
        <f>'Base values'!C84</f>
        <v>1</v>
      </c>
      <c r="K31" s="194">
        <f t="shared" si="15"/>
        <v>832038.27103829291</v>
      </c>
      <c r="L31" s="194">
        <f t="shared" si="16"/>
        <v>23427.728961707078</v>
      </c>
      <c r="M31" s="194">
        <f>C31+'HIV Pos Neg U5MR 125'!K31+'HIV Pos Pos U5MR 125'!K31</f>
        <v>82198.854671797308</v>
      </c>
      <c r="N31" s="197">
        <f>'HIV Pos Neg U5MR 125'!L31+'HIV Pos Pos U5MR 125'!L31</f>
        <v>3850.52904069734</v>
      </c>
      <c r="O31" s="125"/>
    </row>
    <row r="32" spans="1:32" s="116" customFormat="1">
      <c r="A32" s="209">
        <f>'HIV Neg U5MR 50'!A32</f>
        <v>28</v>
      </c>
      <c r="B32" s="194">
        <f>'HIV Neg U5MR 125'!B32</f>
        <v>819828.22422705835</v>
      </c>
      <c r="C32" s="194">
        <f>'HIV Neg U5MR 125'!I32</f>
        <v>71709.114676538549</v>
      </c>
      <c r="D32" s="195">
        <v>0</v>
      </c>
      <c r="E32" s="194">
        <f>'HIV Pos Neg U5MR 125'!B32</f>
        <v>11855.775772941659</v>
      </c>
      <c r="F32" s="194">
        <f>'HIV Pos Neg U5MR 125'!I32</f>
        <v>967.64148360065451</v>
      </c>
      <c r="G32" s="196">
        <f>'Base values'!C85</f>
        <v>1</v>
      </c>
      <c r="H32" s="194">
        <f>'HIV Pos Pos U5MR 125'!B32</f>
        <v>3928</v>
      </c>
      <c r="I32" s="194">
        <f>'HIV Pos Pos U5MR 125'!I32</f>
        <v>1382.0280000000002</v>
      </c>
      <c r="J32" s="196">
        <f>'Base values'!C85</f>
        <v>1</v>
      </c>
      <c r="K32" s="194">
        <f t="shared" si="15"/>
        <v>819828.22422705835</v>
      </c>
      <c r="L32" s="194">
        <f t="shared" si="16"/>
        <v>15783.775772941659</v>
      </c>
      <c r="M32" s="194">
        <f>C32+'HIV Pos Neg U5MR 125'!K32+'HIV Pos Pos U5MR 125'!K32</f>
        <v>71709.114676538549</v>
      </c>
      <c r="N32" s="197">
        <f>'HIV Pos Neg U5MR 125'!L32+'HIV Pos Pos U5MR 125'!L32</f>
        <v>2349.6694836006545</v>
      </c>
      <c r="O32" s="125"/>
    </row>
    <row r="33" spans="1:15" s="116" customFormat="1" ht="13.5" thickBot="1">
      <c r="A33" s="211">
        <f>'HIV Neg U5MR 50'!A33</f>
        <v>29</v>
      </c>
      <c r="B33" s="204">
        <f>'HIV Neg U5MR 125'!B33</f>
        <v>805075.62538199848</v>
      </c>
      <c r="C33" s="204">
        <f>'HIV Neg U5MR 125'!I33</f>
        <v>56760.356737587725</v>
      </c>
      <c r="D33" s="205">
        <v>0</v>
      </c>
      <c r="E33" s="204">
        <f>'HIV Pos Neg U5MR 125'!B33</f>
        <v>7627.3746180014859</v>
      </c>
      <c r="F33" s="204">
        <f>'HIV Pos Neg U5MR 125'!I33</f>
        <v>537.75383409920664</v>
      </c>
      <c r="G33" s="206">
        <f>'Base values'!C86</f>
        <v>1</v>
      </c>
      <c r="H33" s="204">
        <f>'HIV Pos Pos U5MR 125'!B33</f>
        <v>2564</v>
      </c>
      <c r="I33" s="204">
        <f>'HIV Pos Pos U5MR 125'!I33</f>
        <v>482.03199999999987</v>
      </c>
      <c r="J33" s="206">
        <f>'Base values'!C86</f>
        <v>1</v>
      </c>
      <c r="K33" s="204">
        <f t="shared" si="15"/>
        <v>805075.62538199848</v>
      </c>
      <c r="L33" s="204">
        <f t="shared" si="16"/>
        <v>10191.374618001486</v>
      </c>
      <c r="M33" s="204">
        <f>C33+'HIV Pos Neg U5MR 125'!K33+'HIV Pos Pos U5MR 125'!K33</f>
        <v>56760.356737587725</v>
      </c>
      <c r="N33" s="207">
        <f>'HIV Pos Neg U5MR 125'!L33+'HIV Pos Pos U5MR 125'!L33</f>
        <v>1019.7858340992066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M2:N2"/>
    <mergeCell ref="O2:O3"/>
    <mergeCell ref="P2:P3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39"/>
  <sheetViews>
    <sheetView workbookViewId="0"/>
  </sheetViews>
  <sheetFormatPr defaultRowHeight="12.75"/>
  <cols>
    <col min="1" max="1" width="14.28515625" customWidth="1"/>
    <col min="9" max="9" width="11.7109375" customWidth="1"/>
  </cols>
  <sheetData>
    <row r="1" spans="1:9" ht="27.75" customHeight="1">
      <c r="A1" s="45" t="s">
        <v>30</v>
      </c>
    </row>
    <row r="2" spans="1:9">
      <c r="A2" s="34" t="s">
        <v>0</v>
      </c>
      <c r="B2" s="35" t="s">
        <v>9</v>
      </c>
      <c r="C2" s="301" t="s">
        <v>10</v>
      </c>
      <c r="D2" s="301"/>
      <c r="E2" s="301"/>
      <c r="F2" s="301"/>
      <c r="G2" s="301"/>
      <c r="H2" s="301"/>
      <c r="I2" s="35" t="s">
        <v>11</v>
      </c>
    </row>
    <row r="3" spans="1:9">
      <c r="A3" s="64" t="s">
        <v>41</v>
      </c>
      <c r="B3" s="35"/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values'!D$40)</f>
        <v>92253.920464655544</v>
      </c>
      <c r="D4" s="9">
        <f>B5*('Base values'!D$40-'Base values'!D$41)</f>
        <v>54113.930882248249</v>
      </c>
      <c r="E4" s="9">
        <f>B6*('Base values'!D$41-'Base values'!D$42)</f>
        <v>21288.41535785922</v>
      </c>
      <c r="F4" s="9">
        <f>B7*('Base values'!D$42-'Base values'!D$43)</f>
        <v>10742.918001401018</v>
      </c>
      <c r="G4" s="9">
        <f>B8*('Base values'!D$43-'Base values'!D$44)</f>
        <v>7381.8292396707557</v>
      </c>
      <c r="H4" s="9">
        <f>B9*('Base values'!D$44-'Base values'!D$45)</f>
        <v>3146.0102172703905</v>
      </c>
      <c r="I4" s="9">
        <f>SUM(C4:H4)</f>
        <v>188927.02416310518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values'!D$40)</f>
        <v>91590.67636797762</v>
      </c>
      <c r="D5" s="9">
        <f>B6*('Base values'!D$40-'Base values'!D$41)</f>
        <v>53640.815800866054</v>
      </c>
      <c r="E5" s="9">
        <f>B7*('Base values'!D$41-'Base values'!D$42)</f>
        <v>21097.75290688427</v>
      </c>
      <c r="F5" s="9">
        <f>B8*('Base values'!D$42-'Base values'!D$43)</f>
        <v>10630.594210566718</v>
      </c>
      <c r="G5" s="9">
        <f>B9*('Base values'!D$43-'Base values'!D$44)</f>
        <v>7298.0766896027326</v>
      </c>
      <c r="H5" s="9">
        <f>B10*('Base values'!D$44-'Base values'!D$45)</f>
        <v>3090.8917726380992</v>
      </c>
      <c r="I5" s="9">
        <f t="shared" ref="I5:I26" si="0">SUM(C5:H5)</f>
        <v>187348.8077485355</v>
      </c>
    </row>
    <row r="6" spans="1:9">
      <c r="A6" s="28">
        <f t="shared" ref="A6:A30" si="1">1+A5</f>
        <v>2</v>
      </c>
      <c r="B6" s="9">
        <f>'Base values'!G6</f>
        <v>1248874.5119299444</v>
      </c>
      <c r="C6" s="9">
        <f>B6*(1-'Base values'!D$40)</f>
        <v>90789.904189774956</v>
      </c>
      <c r="D6" s="9">
        <f>B7*('Base values'!D$40-'Base values'!D$41)</f>
        <v>53160.400079875661</v>
      </c>
      <c r="E6" s="9">
        <f>B8*('Base values'!D$41-'Base values'!D$42)</f>
        <v>20877.1629717961</v>
      </c>
      <c r="F6" s="9">
        <f>B9*('Base values'!D$42-'Base values'!D$43)</f>
        <v>10509.981914485885</v>
      </c>
      <c r="G6" s="9">
        <f>B10*('Base values'!D$43-'Base values'!D$44)</f>
        <v>7170.2135842225152</v>
      </c>
      <c r="H6" s="9">
        <f>B11*('Base values'!D$44-'Base values'!D$45)</f>
        <v>3034.0238055654945</v>
      </c>
      <c r="I6" s="9">
        <f t="shared" si="0"/>
        <v>185541.68654572059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values'!D$40)</f>
        <v>89976.775294757754</v>
      </c>
      <c r="D7" s="9">
        <f>B8*('Base values'!D$40-'Base values'!D$41)</f>
        <v>52604.575520993159</v>
      </c>
      <c r="E7" s="9">
        <f>B9*('Base values'!D$41-'Base values'!D$42)</f>
        <v>20640.295444750511</v>
      </c>
      <c r="F7" s="9">
        <f>B10*('Base values'!D$42-'Base values'!D$43)</f>
        <v>10325.845876700669</v>
      </c>
      <c r="G7" s="9">
        <f>B11*('Base values'!D$43-'Base values'!D$44)</f>
        <v>7038.2919577130606</v>
      </c>
      <c r="H7" s="9">
        <f>B12*('Base values'!D$44-'Base values'!D$45)</f>
        <v>2974.7277670736216</v>
      </c>
      <c r="I7" s="9">
        <f t="shared" si="0"/>
        <v>183560.51186198878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values'!D$40)</f>
        <v>89036.012972376149</v>
      </c>
      <c r="D8" s="9">
        <f>B9*('Base values'!D$40-'Base values'!D$41)</f>
        <v>52007.736011152963</v>
      </c>
      <c r="E8" s="9">
        <f>B10*('Base values'!D$41-'Base values'!D$42)</f>
        <v>20278.675200982612</v>
      </c>
      <c r="F8" s="9">
        <f>B11*('Base values'!D$42-'Base values'!D$43)</f>
        <v>10135.865150584266</v>
      </c>
      <c r="G8" s="9">
        <f>B12*('Base values'!D$43-'Base values'!D$44)</f>
        <v>6900.7377203085825</v>
      </c>
      <c r="H8" s="9">
        <f>B13*('Base values'!D$44-'Base values'!D$45)</f>
        <v>2909.8334116981214</v>
      </c>
      <c r="I8" s="9">
        <f t="shared" si="0"/>
        <v>181268.86046710267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values'!D$40)</f>
        <v>88025.830686628964</v>
      </c>
      <c r="D9" s="9">
        <f>B10*('Base values'!D$40-'Base values'!D$41)</f>
        <v>51096.554762584507</v>
      </c>
      <c r="E9" s="9">
        <f>B11*('Base values'!D$41-'Base values'!D$42)</f>
        <v>19905.576717297674</v>
      </c>
      <c r="F9" s="9">
        <f>B12*('Base values'!D$42-'Base values'!D$43)</f>
        <v>9937.7728847902399</v>
      </c>
      <c r="G9" s="9">
        <f>B13*('Base values'!D$43-'Base values'!D$44)</f>
        <v>6750.1965746845699</v>
      </c>
      <c r="H9" s="9">
        <f>B14*('Base values'!D$44-'Base values'!D$45)</f>
        <v>2841.6566177898885</v>
      </c>
      <c r="I9" s="9">
        <f t="shared" si="0"/>
        <v>178557.58824377583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values'!D$40)</f>
        <v>86483.608462340679</v>
      </c>
      <c r="D10" s="9">
        <f>B11*('Base values'!D$40-'Base values'!D$41)</f>
        <v>50156.451579585606</v>
      </c>
      <c r="E10" s="9">
        <f>B12*('Base values'!D$41-'Base values'!D$42)</f>
        <v>19516.548179991318</v>
      </c>
      <c r="F10" s="9">
        <f>B13*('Base values'!D$42-'Base values'!D$43)</f>
        <v>9720.9781339008132</v>
      </c>
      <c r="G10" s="9">
        <f>B14*('Base values'!D$43-'Base values'!D$44)</f>
        <v>6592.0408676044999</v>
      </c>
      <c r="H10" s="9">
        <f>B15*('Base values'!D$44-'Base values'!D$45)</f>
        <v>2769.1166515815271</v>
      </c>
      <c r="I10" s="9">
        <f t="shared" si="0"/>
        <v>175238.74387500441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values'!D$40)</f>
        <v>84892.434341689164</v>
      </c>
      <c r="D11" s="9">
        <f>B12*('Base values'!D$40-'Base values'!D$41)</f>
        <v>49176.209144432876</v>
      </c>
      <c r="E11" s="9">
        <f>B13*('Base values'!D$41-'Base values'!D$42)</f>
        <v>19090.790291382451</v>
      </c>
      <c r="F11" s="9">
        <f>B14*('Base values'!D$42-'Base values'!D$43)</f>
        <v>9493.2176304448349</v>
      </c>
      <c r="G11" s="9">
        <f>B15*('Base values'!D$43-'Base values'!D$44)</f>
        <v>6423.7635258642877</v>
      </c>
      <c r="H11" s="9">
        <f>B16*('Base values'!D$44-'Base values'!D$45)</f>
        <v>2680.7881963794584</v>
      </c>
      <c r="I11" s="9">
        <f t="shared" si="0"/>
        <v>171757.20313019305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values'!D$40)</f>
        <v>83233.32242399102</v>
      </c>
      <c r="D12" s="9">
        <f>B13*('Base values'!D$40-'Base values'!D$41)</f>
        <v>48103.419080225372</v>
      </c>
      <c r="E12" s="9">
        <f>B14*('Base values'!D$41-'Base values'!D$42)</f>
        <v>18643.497030535153</v>
      </c>
      <c r="F12" s="9">
        <f>B15*('Base values'!D$42-'Base values'!D$43)</f>
        <v>9250.8809308556083</v>
      </c>
      <c r="G12" s="9">
        <f>B16*('Base values'!D$43-'Base values'!D$44)</f>
        <v>6218.8602371209518</v>
      </c>
      <c r="H12" s="9">
        <f>B17*('Base values'!D$44-'Base values'!D$45)</f>
        <v>2593.0446333844943</v>
      </c>
      <c r="I12" s="9">
        <f t="shared" si="0"/>
        <v>168043.0243361126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values'!D$40)</f>
        <v>81417.568772765429</v>
      </c>
      <c r="D13" s="9">
        <f>B14*('Base values'!D$40-'Base values'!D$41)</f>
        <v>46976.36593837558</v>
      </c>
      <c r="E13" s="9">
        <f>B15*('Base values'!D$41-'Base values'!D$42)</f>
        <v>18167.577935971036</v>
      </c>
      <c r="F13" s="9">
        <f>B16*('Base values'!D$42-'Base values'!D$43)</f>
        <v>8955.7990962156437</v>
      </c>
      <c r="G13" s="9">
        <f>B17*('Base values'!D$43-'Base values'!D$44)</f>
        <v>6015.3137742897416</v>
      </c>
      <c r="H13" s="9">
        <f>B18*('Base values'!D$44-'Base values'!D$45)</f>
        <v>2506.2656466558456</v>
      </c>
      <c r="I13" s="9">
        <f t="shared" si="0"/>
        <v>164038.89116427326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values'!D$40)</f>
        <v>79509.972006429976</v>
      </c>
      <c r="D14" s="9">
        <f>B15*('Base values'!D$40-'Base values'!D$41)</f>
        <v>45777.183751327342</v>
      </c>
      <c r="E14" s="9">
        <f>B16*('Base values'!D$41-'Base values'!D$42)</f>
        <v>17588.073965659416</v>
      </c>
      <c r="F14" s="9">
        <f>B17*('Base values'!D$42-'Base values'!D$43)</f>
        <v>8662.6712306012232</v>
      </c>
      <c r="G14" s="9">
        <f>B18*('Base values'!D$43-'Base values'!D$44)</f>
        <v>5814.0049238877264</v>
      </c>
      <c r="H14" s="9">
        <f>B19*('Base values'!D$44-'Base values'!D$45)</f>
        <v>2422.7868799624484</v>
      </c>
      <c r="I14" s="9">
        <f t="shared" si="0"/>
        <v>159774.69275786815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values'!D$40)</f>
        <v>77480.29303449986</v>
      </c>
      <c r="D15" s="9">
        <f>B16*('Base values'!D$40-'Base values'!D$41)</f>
        <v>44316.996827837982</v>
      </c>
      <c r="E15" s="9">
        <f>B17*('Base values'!D$41-'Base values'!D$42)</f>
        <v>17012.407347143955</v>
      </c>
      <c r="F15" s="9">
        <f>B18*('Base values'!D$42-'Base values'!D$43)</f>
        <v>8372.7657572913376</v>
      </c>
      <c r="G15" s="9">
        <f>B19*('Base values'!D$43-'Base values'!D$44)</f>
        <v>5620.3518842575932</v>
      </c>
      <c r="H15" s="9">
        <f>B20*('Base values'!D$44-'Base values'!D$45)</f>
        <v>2348.4033056245394</v>
      </c>
      <c r="I15" s="9">
        <f t="shared" si="0"/>
        <v>155151.21815665529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values'!D$40)</f>
        <v>75008.849807854887</v>
      </c>
      <c r="D16" s="9">
        <f>B17*('Base values'!D$40-'Base values'!D$41)</f>
        <v>42866.478950982702</v>
      </c>
      <c r="E16" s="9">
        <f>B18*('Base values'!D$41-'Base values'!D$42)</f>
        <v>16443.069105760409</v>
      </c>
      <c r="F16" s="9">
        <f>B19*('Base values'!D$42-'Base values'!D$43)</f>
        <v>8093.8854398102258</v>
      </c>
      <c r="G16" s="9">
        <f>B20*('Base values'!D$43-'Base values'!D$44)</f>
        <v>5447.7977625370886</v>
      </c>
      <c r="H16" s="9">
        <f>B21*('Base values'!D$44-'Base values'!D$45)</f>
        <v>2284.1526904673369</v>
      </c>
      <c r="I16" s="9">
        <f t="shared" si="0"/>
        <v>150144.23375741264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values'!D$40)</f>
        <v>72553.77195157962</v>
      </c>
      <c r="D17" s="9">
        <f>B18*('Base values'!D$40-'Base values'!D$41)</f>
        <v>41431.906803593192</v>
      </c>
      <c r="E17" s="9">
        <f>B19*('Base values'!D$41-'Base values'!D$42)</f>
        <v>15895.382897223524</v>
      </c>
      <c r="F17" s="9">
        <f>B20*('Base values'!D$42-'Base values'!D$43)</f>
        <v>7845.3897366702222</v>
      </c>
      <c r="G17" s="9">
        <f>B21*('Base values'!D$43-'Base values'!D$44)</f>
        <v>5298.7499577342614</v>
      </c>
      <c r="H17" s="9">
        <f>B22*('Base values'!D$44-'Base values'!D$45)</f>
        <v>2230.7714572706973</v>
      </c>
      <c r="I17" s="9">
        <f t="shared" si="0"/>
        <v>145255.9728040715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values'!D$40)</f>
        <v>70125.683081747222</v>
      </c>
      <c r="D18" s="9">
        <f>B19*('Base values'!D$40-'Base values'!D$41)</f>
        <v>40051.89168574856</v>
      </c>
      <c r="E18" s="9">
        <f>B20*('Base values'!D$41-'Base values'!D$42)</f>
        <v>15407.368286799567</v>
      </c>
      <c r="F18" s="9">
        <f>B21*('Base values'!D$42-'Base values'!D$43)</f>
        <v>7630.7455503322999</v>
      </c>
      <c r="G18" s="9">
        <f>B22*('Base values'!D$43-'Base values'!D$44)</f>
        <v>5174.9168145626363</v>
      </c>
      <c r="H18" s="9">
        <f>B23*('Base values'!D$44-'Base values'!D$45)</f>
        <v>2191.9953391123881</v>
      </c>
      <c r="I18" s="9">
        <f t="shared" si="0"/>
        <v>140582.60075830267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values'!D$40)</f>
        <v>67789.934856092295</v>
      </c>
      <c r="D19" s="9">
        <f>B20*('Base values'!D$40-'Base values'!D$41)</f>
        <v>38822.232202605359</v>
      </c>
      <c r="E19" s="9">
        <f>B21*('Base values'!D$41-'Base values'!D$42)</f>
        <v>14985.833839113551</v>
      </c>
      <c r="F19" s="9">
        <f>B22*('Base values'!D$42-'Base values'!D$43)</f>
        <v>7452.4130730918378</v>
      </c>
      <c r="G19" s="9">
        <f>B23*('Base values'!D$43-'Base values'!D$44)</f>
        <v>5084.9644417156169</v>
      </c>
      <c r="H19" s="9">
        <f>B24*('Base values'!D$44-'Base values'!D$45)</f>
        <v>2165.3372901534362</v>
      </c>
      <c r="I19" s="9">
        <f t="shared" si="0"/>
        <v>136300.71570277208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values'!D$40)</f>
        <v>65708.671456313488</v>
      </c>
      <c r="D20" s="9">
        <f>B21*('Base values'!D$40-'Base values'!D$41)</f>
        <v>37760.084020979542</v>
      </c>
      <c r="E20" s="9">
        <f>B22*('Base values'!D$41-'Base values'!D$42)</f>
        <v>14635.611065412668</v>
      </c>
      <c r="F20" s="9">
        <f>B23*('Base values'!D$42-'Base values'!D$43)</f>
        <v>7322.8723938147714</v>
      </c>
      <c r="G20" s="9">
        <f>B24*('Base values'!D$43-'Base values'!D$44)</f>
        <v>5023.123420148173</v>
      </c>
      <c r="H20" s="9">
        <f>B25*('Base values'!D$44-'Base values'!D$45)</f>
        <v>2149.7141985584376</v>
      </c>
      <c r="I20" s="9">
        <f t="shared" si="0"/>
        <v>132600.07655522708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values'!D$40)</f>
        <v>63910.929751505282</v>
      </c>
      <c r="D21" s="9">
        <f>B22*('Base values'!D$40-'Base values'!D$41)</f>
        <v>36877.621189549391</v>
      </c>
      <c r="E21" s="9">
        <f>B23*('Base values'!D$41-'Base values'!D$42)</f>
        <v>14381.209305814289</v>
      </c>
      <c r="F21" s="9">
        <f>B24*('Base values'!D$42-'Base values'!D$43)</f>
        <v>7233.8149550003618</v>
      </c>
      <c r="G21" s="9">
        <f>B25*('Base values'!D$43-'Base values'!D$44)</f>
        <v>4986.881160042637</v>
      </c>
      <c r="H21" s="9">
        <f>B26*('Base values'!D$44-'Base values'!D$45)</f>
        <v>2147.0958727853472</v>
      </c>
      <c r="I21" s="9">
        <f t="shared" si="0"/>
        <v>129537.55223469732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values'!D$40)</f>
        <v>62417.314959850912</v>
      </c>
      <c r="D22" s="9">
        <f>B23*('Base values'!D$40-'Base values'!D$41)</f>
        <v>36236.60034808996</v>
      </c>
      <c r="E22" s="9">
        <f>B24*('Base values'!D$41-'Base values'!D$42)</f>
        <v>14206.311588231289</v>
      </c>
      <c r="F22" s="9">
        <f>B25*('Base values'!D$42-'Base values'!D$43)</f>
        <v>7181.6223685903096</v>
      </c>
      <c r="G22" s="9">
        <f>B26*('Base values'!D$43-'Base values'!D$44)</f>
        <v>4980.8071993843159</v>
      </c>
      <c r="H22" s="9">
        <f>B27*('Base values'!D$44-'Base values'!D$45)</f>
        <v>2157.0792109425288</v>
      </c>
      <c r="I22" s="9">
        <f t="shared" si="0"/>
        <v>127179.73567508931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values'!D$40)</f>
        <v>61332.353444802313</v>
      </c>
      <c r="D23" s="9">
        <f>B24*('Base values'!D$40-'Base values'!D$41)</f>
        <v>35795.907318798883</v>
      </c>
      <c r="E23" s="9">
        <f>B25*('Base values'!D$41-'Base values'!D$42)</f>
        <v>14103.811849193266</v>
      </c>
      <c r="F23" s="9">
        <f>B26*('Base values'!D$42-'Base values'!D$43)</f>
        <v>7172.875239807845</v>
      </c>
      <c r="G23" s="9">
        <f>B27*('Base values'!D$43-'Base values'!D$44)</f>
        <v>5003.9664272499404</v>
      </c>
      <c r="H23" s="9">
        <f>B28*('Base values'!D$44-'Base values'!D$45)</f>
        <v>2173.7229064845747</v>
      </c>
      <c r="I23" s="9">
        <f t="shared" si="0"/>
        <v>125582.63718633683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values'!D$40)</f>
        <v>60586.457296336346</v>
      </c>
      <c r="D24" s="9">
        <f>B25*('Base values'!D$40-'Base values'!D$41)</f>
        <v>35537.6368214908</v>
      </c>
      <c r="E24" s="9">
        <f>B26*('Base values'!D$41-'Base values'!D$42)</f>
        <v>14086.633577733588</v>
      </c>
      <c r="F24" s="9">
        <f>B27*('Base values'!D$42-'Base values'!D$43)</f>
        <v>7206.226912635283</v>
      </c>
      <c r="G24" s="9">
        <f>B28*('Base values'!D$43-'Base values'!D$44)</f>
        <v>5042.5762721250276</v>
      </c>
      <c r="H24" s="9">
        <f>B29*('Base values'!D$44-'Base values'!D$45)</f>
        <v>2183.4804564926576</v>
      </c>
      <c r="I24" s="9">
        <f t="shared" si="0"/>
        <v>124643.0113368137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values'!D$40)</f>
        <v>60149.320885273999</v>
      </c>
      <c r="D25" s="9">
        <f>B26*('Base values'!D$40-'Base values'!D$41)</f>
        <v>35494.352411653046</v>
      </c>
      <c r="E25" s="9">
        <f>B27*('Base values'!D$41-'Base values'!D$42)</f>
        <v>14152.132109161712</v>
      </c>
      <c r="F25" s="9">
        <f>B28*('Base values'!D$42-'Base values'!D$43)</f>
        <v>7261.829064903206</v>
      </c>
      <c r="G25" s="9">
        <f>B29*('Base values'!D$43-'Base values'!D$44)</f>
        <v>5065.2117193561589</v>
      </c>
      <c r="H25" s="9">
        <f>B30*('Base values'!D$44-'Base values'!D$45)</f>
        <v>2181.2188269594549</v>
      </c>
      <c r="I25" s="9">
        <f t="shared" si="0"/>
        <v>124304.06501730757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values'!D$40)</f>
        <v>60076.059743298283</v>
      </c>
      <c r="D26" s="9">
        <f>B27*('Base values'!D$40-'Base values'!D$41)</f>
        <v>35659.390278516446</v>
      </c>
      <c r="E26" s="9">
        <f>B28*('Base values'!D$41-'Base values'!D$42)</f>
        <v>14261.327810877634</v>
      </c>
      <c r="F26" s="9">
        <f>B29*('Base values'!D$42-'Base values'!D$43)</f>
        <v>7294.4264396833878</v>
      </c>
      <c r="G26" s="9">
        <f>B30*('Base values'!D$43-'Base values'!D$44)</f>
        <v>5059.9652183479375</v>
      </c>
      <c r="H26" s="9">
        <f>B31*('Base values'!D$44-'Base values'!D$45)</f>
        <v>2161.7827896471945</v>
      </c>
      <c r="I26" s="9">
        <f t="shared" si="0"/>
        <v>124512.95228037088</v>
      </c>
    </row>
    <row r="27" spans="1:9" s="116" customFormat="1">
      <c r="A27" s="121">
        <f t="shared" si="1"/>
        <v>23</v>
      </c>
      <c r="B27" s="122">
        <f>'Base values'!G27</f>
        <v>830227.93305620481</v>
      </c>
      <c r="C27" s="122">
        <f>B27*(1-'Base values'!D$40)</f>
        <v>60355.395019924923</v>
      </c>
      <c r="D27" s="122">
        <f>B28*('Base values'!D$40-'Base values'!D$41)</f>
        <v>35934.532717421731</v>
      </c>
      <c r="E27" s="122">
        <f>B29*('Base values'!D$41-'Base values'!D$42)</f>
        <v>14325.344994889992</v>
      </c>
      <c r="F27" s="122">
        <f>B30*('Base values'!D$42-'Base values'!D$43)</f>
        <v>7286.8709380004175</v>
      </c>
      <c r="G27" s="122">
        <f>B31*('Base values'!D$43-'Base values'!D$44)</f>
        <v>5014.8777325959281</v>
      </c>
      <c r="H27" s="122">
        <f>B32*('Base values'!D$44-'Base values'!D$45)</f>
        <v>2130.0589255220807</v>
      </c>
      <c r="I27" s="122">
        <f t="shared" ref="I27:I33" si="2">SUM(C27:H27)</f>
        <v>125047.08032835506</v>
      </c>
    </row>
    <row r="28" spans="1:9" s="116" customFormat="1">
      <c r="A28" s="121">
        <f t="shared" si="1"/>
        <v>24</v>
      </c>
      <c r="B28" s="122">
        <f>'Base values'!G28</f>
        <v>836633.84568017919</v>
      </c>
      <c r="C28" s="122">
        <f>B28*(1-'Base values'!D$40)</f>
        <v>60821.088080214817</v>
      </c>
      <c r="D28" s="122">
        <f>B29*('Base values'!D$40-'Base values'!D$41)</f>
        <v>36095.838005672296</v>
      </c>
      <c r="E28" s="122">
        <f>B30*('Base values'!D$41-'Base values'!D$42)</f>
        <v>14310.506930634632</v>
      </c>
      <c r="F28" s="122">
        <f>B31*('Base values'!D$42-'Base values'!D$43)</f>
        <v>7221.9403158683754</v>
      </c>
      <c r="G28" s="122">
        <f>B32*('Base values'!D$43-'Base values'!D$44)</f>
        <v>4941.2850938928987</v>
      </c>
      <c r="H28" s="122">
        <f>B33*('Base values'!D$44-'Base values'!D$45)</f>
        <v>2091.7290609041684</v>
      </c>
      <c r="I28" s="122">
        <f t="shared" si="2"/>
        <v>125482.38748718718</v>
      </c>
    </row>
    <row r="29" spans="1:9" s="116" customFormat="1">
      <c r="A29" s="121">
        <f t="shared" si="1"/>
        <v>25</v>
      </c>
      <c r="B29" s="122">
        <f>'Base values'!G29</f>
        <v>840389.38258109975</v>
      </c>
      <c r="C29" s="122">
        <f>B29*(1-'Base values'!D$40)</f>
        <v>61094.105771070586</v>
      </c>
      <c r="D29" s="122">
        <f>B30*('Base values'!D$40-'Base values'!D$41)</f>
        <v>36058.450259417645</v>
      </c>
      <c r="E29" s="122">
        <f>B31*('Base values'!D$41-'Base values'!D$42)</f>
        <v>14182.991275981638</v>
      </c>
      <c r="F29" s="122">
        <f>B32*('Base values'!D$42-'Base values'!D$43)</f>
        <v>7115.9593383171195</v>
      </c>
      <c r="G29" s="122">
        <f>B33*('Base values'!D$43-'Base values'!D$44)</f>
        <v>4852.3679346452973</v>
      </c>
      <c r="H29" s="122">
        <f>B34*('Base values'!D$44-'Base values'!D$45)</f>
        <v>0</v>
      </c>
      <c r="I29" s="122">
        <f t="shared" si="2"/>
        <v>123303.87457943227</v>
      </c>
    </row>
    <row r="30" spans="1:9" s="116" customFormat="1">
      <c r="A30" s="121">
        <f t="shared" si="1"/>
        <v>26</v>
      </c>
      <c r="B30" s="122">
        <f>'Base values'!G30</f>
        <v>839518.91477298003</v>
      </c>
      <c r="C30" s="122">
        <f>B30*(1-'Base values'!D$40)</f>
        <v>61030.825042587028</v>
      </c>
      <c r="D30" s="122">
        <f>B31*('Base values'!D$40-'Base values'!D$41)</f>
        <v>35737.146694639021</v>
      </c>
      <c r="E30" s="122">
        <f>B32*('Base values'!D$41-'Base values'!D$42)</f>
        <v>13974.857836173678</v>
      </c>
      <c r="F30" s="122">
        <f>B33*('Base values'!D$42-'Base values'!D$43)</f>
        <v>6987.909473218946</v>
      </c>
      <c r="G30" s="122">
        <f>B34*('Base values'!D$43-'Base values'!D$44)</f>
        <v>0</v>
      </c>
      <c r="H30" s="122">
        <f>B35*('Base values'!D$44-'Base values'!D$45)</f>
        <v>0</v>
      </c>
      <c r="I30" s="122">
        <f t="shared" si="2"/>
        <v>117730.73904661866</v>
      </c>
    </row>
    <row r="31" spans="1:9" s="116" customFormat="1">
      <c r="A31" s="121">
        <f>1+A30</f>
        <v>27</v>
      </c>
      <c r="B31" s="122">
        <f>'Base values'!G31</f>
        <v>832038.27103829291</v>
      </c>
      <c r="C31" s="122">
        <f>B31*(1-'Base values'!D$40)</f>
        <v>60487.001847011888</v>
      </c>
      <c r="D31" s="122">
        <f>B32*('Base values'!D$40-'Base values'!D$41)</f>
        <v>35212.708998405433</v>
      </c>
      <c r="E31" s="122">
        <f>B33*('Base values'!D$41-'Base values'!D$42)</f>
        <v>13723.383849939322</v>
      </c>
      <c r="F31" s="122">
        <f>B34*('Base values'!D$42-'Base values'!D$43)</f>
        <v>0</v>
      </c>
      <c r="G31" s="122">
        <f>B35*('Base values'!D$43-'Base values'!D$44)</f>
        <v>0</v>
      </c>
      <c r="H31" s="122">
        <f>B36*('Base values'!D$44-'Base values'!D$45)</f>
        <v>0</v>
      </c>
      <c r="I31" s="122">
        <f t="shared" si="2"/>
        <v>109423.09469535663</v>
      </c>
    </row>
    <row r="32" spans="1:9" s="116" customFormat="1">
      <c r="A32" s="121">
        <f>1+A31</f>
        <v>28</v>
      </c>
      <c r="B32" s="122">
        <f>'Base values'!G32</f>
        <v>819828.22422705835</v>
      </c>
      <c r="C32" s="122">
        <f>B32*(1-'Base values'!D$40)</f>
        <v>59599.36344174765</v>
      </c>
      <c r="D32" s="122">
        <f>B33*('Base values'!D$40-'Base values'!D$41)</f>
        <v>34579.065321901035</v>
      </c>
      <c r="E32" s="122">
        <f>B34*('Base values'!D$41-'Base values'!D$42)</f>
        <v>0</v>
      </c>
      <c r="F32" s="122">
        <f>B35*('Base values'!D$42-'Base values'!D$43)</f>
        <v>0</v>
      </c>
      <c r="G32" s="122">
        <f>B36*('Base values'!D$43-'Base values'!D$44)</f>
        <v>0</v>
      </c>
      <c r="H32" s="122">
        <f>B37*('Base values'!D$44-'Base values'!D$45)</f>
        <v>0</v>
      </c>
      <c r="I32" s="122">
        <f t="shared" si="2"/>
        <v>94178.428763648684</v>
      </c>
    </row>
    <row r="33" spans="1:9" s="116" customFormat="1">
      <c r="A33" s="121">
        <f>1+A32</f>
        <v>29</v>
      </c>
      <c r="B33" s="122">
        <f>'Base values'!G33</f>
        <v>805075.62538199848</v>
      </c>
      <c r="C33" s="122">
        <f>B33*(1-'Base values'!D$40)</f>
        <v>58526.888166691111</v>
      </c>
      <c r="D33" s="122">
        <f>B34*('Base values'!D$40-'Base values'!D$41)</f>
        <v>0</v>
      </c>
      <c r="E33" s="122">
        <f>B35*('Base values'!D$41-'Base values'!D$42)</f>
        <v>0</v>
      </c>
      <c r="F33" s="122">
        <f>B36*('Base values'!D$42-'Base values'!D$43)</f>
        <v>0</v>
      </c>
      <c r="G33" s="122">
        <f>B37*('Base values'!D$43-'Base values'!D$44)</f>
        <v>0</v>
      </c>
      <c r="H33" s="122">
        <f>B38*('Base values'!D$44-'Base values'!D$45)</f>
        <v>0</v>
      </c>
      <c r="I33" s="122">
        <f t="shared" si="2"/>
        <v>58526.888166691111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8"/>
  <sheetViews>
    <sheetView workbookViewId="0"/>
  </sheetViews>
  <sheetFormatPr defaultRowHeight="12.75"/>
  <cols>
    <col min="1" max="1" width="12.7109375" customWidth="1"/>
    <col min="10" max="10" width="12.85546875" customWidth="1"/>
    <col min="11" max="11" width="11.5703125" customWidth="1"/>
    <col min="12" max="12" width="12.28515625" customWidth="1"/>
  </cols>
  <sheetData>
    <row r="1" spans="1:12" ht="28.5" customHeight="1">
      <c r="A1" s="45" t="s">
        <v>31</v>
      </c>
    </row>
    <row r="2" spans="1:12">
      <c r="A2" s="34" t="s">
        <v>0</v>
      </c>
      <c r="B2" s="35" t="s">
        <v>9</v>
      </c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43" t="s">
        <v>12</v>
      </c>
      <c r="L2" s="43" t="s">
        <v>12</v>
      </c>
    </row>
    <row r="3" spans="1:12">
      <c r="A3" s="64" t="s">
        <v>41</v>
      </c>
      <c r="B3" s="35"/>
      <c r="C3" s="35"/>
      <c r="D3" s="35"/>
      <c r="E3" s="35"/>
      <c r="F3" s="35"/>
      <c r="G3" s="35"/>
      <c r="H3" s="35"/>
      <c r="I3" s="35" t="s">
        <v>12</v>
      </c>
      <c r="J3" s="37" t="s">
        <v>15</v>
      </c>
      <c r="K3" s="43" t="s">
        <v>19</v>
      </c>
      <c r="L3" s="43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values'!D$40)</f>
        <v>6440.8414506222152</v>
      </c>
      <c r="D4" s="9">
        <f>B5*('Base values'!D$40-'Base values'!D$41)</f>
        <v>3711.4817302022479</v>
      </c>
      <c r="E4" s="9">
        <f>B6*('Base values'!D$41-'Base values'!D$42)</f>
        <v>1468.4258708999616</v>
      </c>
      <c r="F4" s="9">
        <f>B7*('Base values'!D$42-'Base values'!D$43)</f>
        <v>753.20511618175863</v>
      </c>
      <c r="G4" s="9">
        <f>B8*('Base values'!D$43-'Base values'!D$44)</f>
        <v>503.77559609614724</v>
      </c>
      <c r="H4" s="9">
        <f>B9*('Base values'!D$44-'Base values'!D$45)</f>
        <v>211.58028442449191</v>
      </c>
      <c r="I4" s="9">
        <f>SUM(C4:H4)</f>
        <v>13089.310048426823</v>
      </c>
      <c r="J4" s="10">
        <f>'Base values'!C57</f>
        <v>0</v>
      </c>
      <c r="K4" s="9">
        <f>C4*(1-J4)+D4*(1-J5)+E4*(1-J6)+F4*(1-J7)+G4*(1-J8)+H4*(1-J9)</f>
        <v>12283.834561418242</v>
      </c>
      <c r="L4" s="9">
        <f>I4-K4</f>
        <v>805.47548700858169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values'!D$40)</f>
        <v>6281.8781865305227</v>
      </c>
      <c r="D5" s="9">
        <f>B6*('Base values'!D$40-'Base values'!D$41)</f>
        <v>3700.0199561162681</v>
      </c>
      <c r="E5" s="9">
        <f>B7*('Base values'!D$41-'Base values'!D$42)</f>
        <v>1479.2010352616874</v>
      </c>
      <c r="F5" s="9">
        <f>B8*('Base values'!D$42-'Base values'!D$43)</f>
        <v>725.48873204812344</v>
      </c>
      <c r="G5" s="9">
        <f>B9*('Base values'!D$43-'Base values'!D$44)</f>
        <v>490.82140078923561</v>
      </c>
      <c r="H5" s="9">
        <f>B10*('Base values'!D$44-'Base values'!D$45)</f>
        <v>208.2241550409918</v>
      </c>
      <c r="I5" s="9">
        <f t="shared" ref="I5:I33" si="0">SUM(C5:H5)</f>
        <v>12885.633465786828</v>
      </c>
      <c r="J5" s="10">
        <f>'Base values'!C58</f>
        <v>5.4347826086956513E-2</v>
      </c>
      <c r="K5" s="9">
        <f t="shared" ref="K5:K33" si="1">C5*(1-J5)+D5*(1-J6)+E5*(1-J7)+F5*(1-J8)+G5*(1-J9)+H5*(1-J10)</f>
        <v>11192.396046564372</v>
      </c>
      <c r="L5" s="9">
        <f t="shared" ref="L5:L33" si="2">I5-K5</f>
        <v>1693.2374192224561</v>
      </c>
    </row>
    <row r="6" spans="1:12">
      <c r="A6" s="28">
        <f t="shared" ref="A6:A30" si="3">1+A5</f>
        <v>2</v>
      </c>
      <c r="B6" s="9">
        <f>'Base values'!F6-'Base values'!E6</f>
        <v>86144.488070055653</v>
      </c>
      <c r="C6" s="9">
        <f>B6*(1-'Base values'!D$40)</f>
        <v>6262.4785305861751</v>
      </c>
      <c r="D6" s="9">
        <f>B7*('Base values'!D$40-'Base values'!D$41)</f>
        <v>3727.1703380040399</v>
      </c>
      <c r="E6" s="9">
        <f>B8*('Base values'!D$41-'Base values'!D$42)</f>
        <v>1424.7695089438414</v>
      </c>
      <c r="F6" s="9">
        <f>B9*('Base values'!D$42-'Base values'!D$43)</f>
        <v>706.83335691534046</v>
      </c>
      <c r="G6" s="9">
        <f>B10*('Base values'!D$43-'Base values'!D$44)</f>
        <v>483.03589218327051</v>
      </c>
      <c r="H6" s="9">
        <f>B11*('Base values'!D$44-'Base values'!D$45)</f>
        <v>198.59437718512544</v>
      </c>
      <c r="I6" s="9">
        <f t="shared" si="0"/>
        <v>12802.882003817793</v>
      </c>
      <c r="J6" s="10">
        <f>'Base values'!C59</f>
        <v>0.13043478260869565</v>
      </c>
      <c r="K6" s="9">
        <f t="shared" si="1"/>
        <v>10044.564629905812</v>
      </c>
      <c r="L6" s="9">
        <f t="shared" si="2"/>
        <v>2758.3173739119811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values'!D$40)</f>
        <v>6308.4319810231982</v>
      </c>
      <c r="D7" s="9">
        <f>B8*('Base values'!D$40-'Base values'!D$41)</f>
        <v>3590.0182095860991</v>
      </c>
      <c r="E7" s="9">
        <f>B9*('Base values'!D$41-'Base values'!D$42)</f>
        <v>1388.1326757402962</v>
      </c>
      <c r="F7" s="9">
        <f>B10*('Base values'!D$42-'Base values'!D$43)</f>
        <v>695.62142285052835</v>
      </c>
      <c r="G7" s="9">
        <f>B11*('Base values'!D$43-'Base values'!D$44)</f>
        <v>460.69684925513661</v>
      </c>
      <c r="H7" s="9">
        <f>B12*('Base values'!D$44-'Base values'!D$45)</f>
        <v>197.04110778355488</v>
      </c>
      <c r="I7" s="9">
        <f t="shared" si="0"/>
        <v>12639.942246238814</v>
      </c>
      <c r="J7" s="10">
        <f>'Base values'!C60</f>
        <v>0.21739130434782611</v>
      </c>
      <c r="K7" s="9">
        <f t="shared" si="1"/>
        <v>8746.1713533853253</v>
      </c>
      <c r="L7" s="9">
        <f t="shared" si="2"/>
        <v>3893.7708928534885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values'!D$40)</f>
        <v>6076.2947845138287</v>
      </c>
      <c r="D8" s="9">
        <f>B9*('Base values'!D$40-'Base values'!D$41)</f>
        <v>3497.7037001046365</v>
      </c>
      <c r="E8" s="9">
        <f>B10*('Base values'!D$41-'Base values'!D$42)</f>
        <v>1366.1138337015843</v>
      </c>
      <c r="F8" s="9">
        <f>B11*('Base values'!D$42-'Base values'!D$43)</f>
        <v>663.45090078735291</v>
      </c>
      <c r="G8" s="9">
        <f>B12*('Base values'!D$43-'Base values'!D$44)</f>
        <v>457.09359356637708</v>
      </c>
      <c r="H8" s="9">
        <f>B13*('Base values'!D$44-'Base values'!D$45)</f>
        <v>198.92447191090045</v>
      </c>
      <c r="I8" s="9">
        <f t="shared" si="0"/>
        <v>12259.581284584679</v>
      </c>
      <c r="J8" s="10">
        <f>'Base values'!C61</f>
        <v>0.31521739130434784</v>
      </c>
      <c r="K8" s="9">
        <f t="shared" si="1"/>
        <v>7227.719205793227</v>
      </c>
      <c r="L8" s="9">
        <f t="shared" si="2"/>
        <v>5031.8620787914524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values'!D$40)</f>
        <v>5920.0476181347376</v>
      </c>
      <c r="D9" s="9">
        <f>B10*('Base values'!D$40-'Base values'!D$41)</f>
        <v>3442.2224146217845</v>
      </c>
      <c r="E9" s="9">
        <f>B11*('Base values'!D$41-'Base values'!D$42)</f>
        <v>1302.9349352602271</v>
      </c>
      <c r="F9" s="9">
        <f>B12*('Base values'!D$42-'Base values'!D$43)</f>
        <v>658.26184156904094</v>
      </c>
      <c r="G9" s="9">
        <f>B13*('Base values'!D$43-'Base values'!D$44)</f>
        <v>461.46259903252599</v>
      </c>
      <c r="H9" s="9">
        <f>B14*('Base values'!D$44-'Base values'!D$45)</f>
        <v>203.52387196121009</v>
      </c>
      <c r="I9" s="9">
        <f t="shared" si="0"/>
        <v>11988.453280579526</v>
      </c>
      <c r="J9" s="10">
        <f>'Base values'!C62</f>
        <v>0.42391304347826092</v>
      </c>
      <c r="K9" s="9">
        <f t="shared" si="1"/>
        <v>5805.9219607348014</v>
      </c>
      <c r="L9" s="9">
        <f t="shared" si="2"/>
        <v>6182.5313198447247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values'!D$40)</f>
        <v>5826.1426221329366</v>
      </c>
      <c r="D10" s="9">
        <f>B11*('Base values'!D$40-'Base values'!D$41)</f>
        <v>3283.0293701031687</v>
      </c>
      <c r="E10" s="9">
        <f>B12*('Base values'!D$41-'Base values'!D$42)</f>
        <v>1292.7442692612071</v>
      </c>
      <c r="F10" s="9">
        <f>B13*('Base values'!D$42-'Base values'!D$43)</f>
        <v>664.55365931589097</v>
      </c>
      <c r="G10" s="9">
        <f>B14*('Base values'!D$43-'Base values'!D$44)</f>
        <v>472.13223198827853</v>
      </c>
      <c r="H10" s="9">
        <f>B15*('Base values'!D$44-'Base values'!D$45)</f>
        <v>214.81960735555577</v>
      </c>
      <c r="I10" s="9">
        <f t="shared" si="0"/>
        <v>11753.421760157036</v>
      </c>
      <c r="J10" s="10">
        <f>'Base values'!C63</f>
        <v>0.53260869565217406</v>
      </c>
      <c r="K10" s="9">
        <f t="shared" si="1"/>
        <v>4517.1383051999273</v>
      </c>
      <c r="L10" s="9">
        <f t="shared" si="2"/>
        <v>7236.2834549571089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values'!D$40)</f>
        <v>5556.7000149738869</v>
      </c>
      <c r="D11" s="9">
        <f>B12*('Base values'!D$40-'Base values'!D$41)</f>
        <v>3257.3517596022175</v>
      </c>
      <c r="E11" s="9">
        <f>B13*('Base values'!D$41-'Base values'!D$42)</f>
        <v>1305.1006156599119</v>
      </c>
      <c r="F11" s="9">
        <f>B14*('Base values'!D$42-'Base values'!D$43)</f>
        <v>679.9190294220889</v>
      </c>
      <c r="G11" s="9">
        <f>B15*('Base values'!D$43-'Base values'!D$44)</f>
        <v>498.33594319075536</v>
      </c>
      <c r="H11" s="9">
        <f>B16*('Base values'!D$44-'Base values'!D$45)</f>
        <v>227.29947821376109</v>
      </c>
      <c r="I11" s="9">
        <f t="shared" si="0"/>
        <v>11524.706841062623</v>
      </c>
      <c r="J11" s="10">
        <f>'Base values'!C64</f>
        <v>0.63043478260869579</v>
      </c>
      <c r="K11" s="9">
        <f t="shared" si="1"/>
        <v>3381.2270615188058</v>
      </c>
      <c r="L11" s="9">
        <f t="shared" si="2"/>
        <v>8143.4797795438171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values'!D$40)</f>
        <v>5513.2393076300941</v>
      </c>
      <c r="D12" s="9">
        <f>B13*('Base values'!D$40-'Base values'!D$41)</f>
        <v>3288.486275253234</v>
      </c>
      <c r="E12" s="9">
        <f>B14*('Base values'!D$41-'Base values'!D$42)</f>
        <v>1335.2762887667077</v>
      </c>
      <c r="F12" s="9">
        <f>B15*('Base values'!D$42-'Base values'!D$43)</f>
        <v>717.65507174441666</v>
      </c>
      <c r="G12" s="9">
        <f>B16*('Base values'!D$43-'Base values'!D$44)</f>
        <v>527.28659760997232</v>
      </c>
      <c r="H12" s="9">
        <f>B17*('Base values'!D$44-'Base values'!D$45)</f>
        <v>240.57408890975523</v>
      </c>
      <c r="I12" s="9">
        <f t="shared" si="0"/>
        <v>11622.51762991418</v>
      </c>
      <c r="J12" s="10">
        <f>'Base values'!C65</f>
        <v>0.71739130434782605</v>
      </c>
      <c r="K12" s="9">
        <f t="shared" si="1"/>
        <v>2489.0756797352428</v>
      </c>
      <c r="L12" s="9">
        <f t="shared" si="2"/>
        <v>9133.441950178938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values'!D$40)</f>
        <v>5565.9361141709305</v>
      </c>
      <c r="D13" s="9">
        <f>B14*('Base values'!D$40-'Base values'!D$41)</f>
        <v>3364.5204795647924</v>
      </c>
      <c r="E13" s="9">
        <f>B15*('Base values'!D$41-'Base values'!D$42)</f>
        <v>1409.3851758024621</v>
      </c>
      <c r="F13" s="9">
        <f>B16*('Base values'!D$42-'Base values'!D$43)</f>
        <v>759.3469951510292</v>
      </c>
      <c r="G13" s="9">
        <f>B17*('Base values'!D$43-'Base values'!D$44)</f>
        <v>558.08087995278117</v>
      </c>
      <c r="H13" s="9">
        <f>B18*('Base values'!D$44-'Base values'!D$45)</f>
        <v>253.36998245882265</v>
      </c>
      <c r="I13" s="9">
        <f t="shared" si="0"/>
        <v>11910.639627100814</v>
      </c>
      <c r="J13" s="10">
        <f>'Base values'!C66</f>
        <v>0.80434782608695654</v>
      </c>
      <c r="K13" s="9">
        <f t="shared" si="1"/>
        <v>1749.1852749338152</v>
      </c>
      <c r="L13" s="9">
        <f t="shared" si="2"/>
        <v>10161.454352166998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values'!D$40)</f>
        <v>5694.6280071171359</v>
      </c>
      <c r="D14" s="9">
        <f>B15*('Base values'!D$40-'Base values'!D$41)</f>
        <v>3551.2540194674939</v>
      </c>
      <c r="E14" s="9">
        <f>B16*('Base values'!D$41-'Base values'!D$42)</f>
        <v>1491.262920576344</v>
      </c>
      <c r="F14" s="9">
        <f>B17*('Base values'!D$42-'Base values'!D$43)</f>
        <v>803.69393260560275</v>
      </c>
      <c r="G14" s="9">
        <f>B18*('Base values'!D$43-'Base values'!D$44)</f>
        <v>587.76464001193062</v>
      </c>
      <c r="H14" s="9">
        <f>B19*('Base values'!D$44-'Base values'!D$45)</f>
        <v>264.65320182364974</v>
      </c>
      <c r="I14" s="9">
        <f t="shared" si="0"/>
        <v>12393.256721602158</v>
      </c>
      <c r="J14" s="10">
        <f>'Base values'!C67</f>
        <v>0.85869565217391319</v>
      </c>
      <c r="K14" s="9">
        <f t="shared" si="1"/>
        <v>1227.1234487931852</v>
      </c>
      <c r="L14" s="9">
        <f t="shared" si="2"/>
        <v>11166.133272808973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values'!D$40)</f>
        <v>6010.6843523397984</v>
      </c>
      <c r="D15" s="9">
        <f>B16*('Base values'!D$40-'Base values'!D$41)</f>
        <v>3757.5628945893195</v>
      </c>
      <c r="E15" s="9">
        <f>B17*('Base values'!D$41-'Base values'!D$42)</f>
        <v>1578.3547822541141</v>
      </c>
      <c r="F15" s="9">
        <f>B18*('Base values'!D$42-'Base values'!D$43)</f>
        <v>846.4416036214551</v>
      </c>
      <c r="G15" s="9">
        <f>B19*('Base values'!D$43-'Base values'!D$44)</f>
        <v>613.93931667956258</v>
      </c>
      <c r="H15" s="9">
        <f>B20*('Base values'!D$44-'Base values'!D$45)</f>
        <v>272.91057055967872</v>
      </c>
      <c r="I15" s="9">
        <f t="shared" si="0"/>
        <v>13079.893520043928</v>
      </c>
      <c r="J15" s="10">
        <f>'Base values'!C68</f>
        <v>0.91304347826086973</v>
      </c>
      <c r="K15" s="9">
        <f t="shared" si="1"/>
        <v>787.5521221961817</v>
      </c>
      <c r="L15" s="9">
        <f t="shared" si="2"/>
        <v>12292.341397847747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values'!D$40)</f>
        <v>6359.8729827913949</v>
      </c>
      <c r="D16" s="9">
        <f>B17*('Base values'!D$40-'Base values'!D$41)</f>
        <v>3977.0098769729607</v>
      </c>
      <c r="E16" s="9">
        <f>B18*('Base values'!D$41-'Base values'!D$42)</f>
        <v>1662.3058838374657</v>
      </c>
      <c r="F16" s="9">
        <f>B19*('Base values'!D$42-'Base values'!D$43)</f>
        <v>884.13583322392617</v>
      </c>
      <c r="G16" s="9">
        <f>B20*('Base values'!D$43-'Base values'!D$44)</f>
        <v>633.09466142671158</v>
      </c>
      <c r="H16" s="9">
        <f>B21*('Base values'!D$44-'Base values'!D$45)</f>
        <v>275.9559275595015</v>
      </c>
      <c r="I16" s="9">
        <f t="shared" si="0"/>
        <v>13792.375165811962</v>
      </c>
      <c r="J16" s="10">
        <f>'Base values'!C69</f>
        <v>0.94565217391304346</v>
      </c>
      <c r="K16" s="9">
        <f t="shared" si="1"/>
        <v>493.39891770340603</v>
      </c>
      <c r="L16" s="9">
        <f t="shared" si="2"/>
        <v>13298.976248108556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values'!D$40)</f>
        <v>6731.2985513231906</v>
      </c>
      <c r="D17" s="9">
        <f>B18*('Base values'!D$40-'Base values'!D$41)</f>
        <v>4188.5430277788455</v>
      </c>
      <c r="E17" s="9">
        <f>B19*('Base values'!D$41-'Base values'!D$42)</f>
        <v>1736.3326558992633</v>
      </c>
      <c r="F17" s="9">
        <f>B20*('Base values'!D$42-'Base values'!D$43)</f>
        <v>911.72150208173537</v>
      </c>
      <c r="G17" s="9">
        <f>B21*('Base values'!D$43-'Base values'!D$44)</f>
        <v>640.15924399224707</v>
      </c>
      <c r="H17" s="9">
        <f>B22*('Base values'!D$44-'Base values'!D$45)</f>
        <v>271.89406305263344</v>
      </c>
      <c r="I17" s="9">
        <f t="shared" si="0"/>
        <v>14479.949044127916</v>
      </c>
      <c r="J17" s="10">
        <f>'Base values'!C70</f>
        <v>0.96739130434782605</v>
      </c>
      <c r="K17" s="9">
        <f t="shared" si="1"/>
        <v>265.02650741030931</v>
      </c>
      <c r="L17" s="9">
        <f t="shared" si="2"/>
        <v>14214.922536717606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values'!D$40)</f>
        <v>7089.3295433558933</v>
      </c>
      <c r="D18" s="9">
        <f>B19*('Base values'!D$40-'Base values'!D$41)</f>
        <v>4375.0696610556452</v>
      </c>
      <c r="E18" s="9">
        <f>B20*('Base values'!D$41-'Base values'!D$42)</f>
        <v>1790.5074736961872</v>
      </c>
      <c r="F18" s="9">
        <f>B21*('Base values'!D$42-'Base values'!D$43)</f>
        <v>921.89522841472251</v>
      </c>
      <c r="G18" s="9">
        <f>B22*('Base values'!D$43-'Base values'!D$44)</f>
        <v>630.73657952944109</v>
      </c>
      <c r="H18" s="9">
        <f>B23*('Base values'!D$44-'Base values'!D$45)</f>
        <v>259.81606065593166</v>
      </c>
      <c r="I18" s="9">
        <f t="shared" si="0"/>
        <v>15067.35454670782</v>
      </c>
      <c r="J18" s="10">
        <f>'Base values'!C71</f>
        <v>0.98913043478260865</v>
      </c>
      <c r="K18" s="9">
        <f t="shared" si="1"/>
        <v>77.057929819086141</v>
      </c>
      <c r="L18" s="9">
        <f t="shared" si="2"/>
        <v>14990.296616888734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values'!D$40)</f>
        <v>7405.0356882234455</v>
      </c>
      <c r="D19" s="9">
        <f>B20*('Base values'!D$40-'Base values'!D$41)</f>
        <v>4511.57495624275</v>
      </c>
      <c r="E19" s="9">
        <f>B21*('Base values'!D$41-'Base values'!D$42)</f>
        <v>1810.4874050600522</v>
      </c>
      <c r="F19" s="9">
        <f>B22*('Base values'!D$42-'Base values'!D$43)</f>
        <v>908.32562133845727</v>
      </c>
      <c r="G19" s="9">
        <f>B23*('Base values'!D$43-'Base values'!D$44)</f>
        <v>602.71817473709598</v>
      </c>
      <c r="H19" s="9">
        <f>B24*('Base values'!D$44-'Base values'!D$45)</f>
        <v>239.66015446441136</v>
      </c>
      <c r="I19" s="9">
        <f t="shared" si="0"/>
        <v>15477.802000066213</v>
      </c>
      <c r="J19" s="10">
        <f>'Base values'!C72</f>
        <v>1</v>
      </c>
      <c r="K19" s="9">
        <f t="shared" si="1"/>
        <v>0</v>
      </c>
      <c r="L19" s="9">
        <f t="shared" si="2"/>
        <v>15477.802000066213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values'!D$40)</f>
        <v>7636.0780854428049</v>
      </c>
      <c r="D20" s="9">
        <f>B21*('Base values'!D$40-'Base values'!D$41)</f>
        <v>4561.9187606070973</v>
      </c>
      <c r="E20" s="9">
        <f>B22*('Base values'!D$41-'Base values'!D$42)</f>
        <v>1783.8383868788451</v>
      </c>
      <c r="F20" s="9">
        <f>B23*('Base values'!D$42-'Base values'!D$43)</f>
        <v>867.97623338809296</v>
      </c>
      <c r="G20" s="9">
        <f>B24*('Base values'!D$43-'Base values'!D$44)</f>
        <v>555.96074581120286</v>
      </c>
      <c r="H20" s="9">
        <f>B25*('Base values'!D$44-'Base values'!D$45)</f>
        <v>212.75628313883445</v>
      </c>
      <c r="I20" s="9">
        <f t="shared" si="0"/>
        <v>15618.528495266879</v>
      </c>
      <c r="J20" s="10">
        <f>'Base values'!C73</f>
        <v>1</v>
      </c>
      <c r="K20" s="9">
        <f t="shared" si="1"/>
        <v>0</v>
      </c>
      <c r="L20" s="9">
        <f t="shared" si="2"/>
        <v>15618.528495266879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values'!D$40)</f>
        <v>7721.2876242342354</v>
      </c>
      <c r="D21" s="9">
        <f>B22*('Base values'!D$40-'Base values'!D$41)</f>
        <v>4494.7707342508602</v>
      </c>
      <c r="E21" s="9">
        <f>B23*('Base values'!D$41-'Base values'!D$42)</f>
        <v>1704.5972145260653</v>
      </c>
      <c r="F21" s="9">
        <f>B24*('Base values'!D$42-'Base values'!D$43)</f>
        <v>800.64072113195277</v>
      </c>
      <c r="G21" s="9">
        <f>B25*('Base values'!D$43-'Base values'!D$44)</f>
        <v>493.54946847224295</v>
      </c>
      <c r="H21" s="9">
        <f>B26*('Base values'!D$44-'Base values'!D$45)</f>
        <v>181.71522446446286</v>
      </c>
      <c r="I21" s="9">
        <f t="shared" si="0"/>
        <v>15396.56098707982</v>
      </c>
      <c r="J21" s="10">
        <f>'Base values'!C74</f>
        <v>1</v>
      </c>
      <c r="K21" s="9">
        <f t="shared" si="1"/>
        <v>0</v>
      </c>
      <c r="L21" s="9">
        <f t="shared" si="2"/>
        <v>15396.56098707982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values'!D$40)</f>
        <v>7607.6360552117367</v>
      </c>
      <c r="D22" s="9">
        <f>B23*('Base values'!D$40-'Base values'!D$41)</f>
        <v>4295.1052796565173</v>
      </c>
      <c r="E22" s="9">
        <f>B24*('Base values'!D$41-'Base values'!D$42)</f>
        <v>1572.3586552023085</v>
      </c>
      <c r="F22" s="9">
        <f>B25*('Base values'!D$42-'Base values'!D$43)</f>
        <v>710.76205528744003</v>
      </c>
      <c r="G22" s="9">
        <f>B26*('Base values'!D$43-'Base values'!D$44)</f>
        <v>421.54079364709327</v>
      </c>
      <c r="H22" s="9">
        <f>B27*('Base values'!D$44-'Base values'!D$45)</f>
        <v>149.43433035760006</v>
      </c>
      <c r="I22" s="9">
        <f t="shared" si="0"/>
        <v>14756.837169362694</v>
      </c>
      <c r="J22" s="10">
        <f>'Base values'!C75</f>
        <v>1</v>
      </c>
      <c r="K22" s="9">
        <f t="shared" si="1"/>
        <v>0</v>
      </c>
      <c r="L22" s="9">
        <f t="shared" si="2"/>
        <v>14756.837169362694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values'!D$40)</f>
        <v>7269.6917636870812</v>
      </c>
      <c r="D23" s="9">
        <f>B24*('Base values'!D$40-'Base values'!D$41)</f>
        <v>3961.9013242085693</v>
      </c>
      <c r="E23" s="9">
        <f>B25*('Base values'!D$41-'Base values'!D$42)</f>
        <v>1395.8481500173434</v>
      </c>
      <c r="F23" s="9">
        <f>B26*('Base values'!D$42-'Base values'!D$43)</f>
        <v>607.06214882076586</v>
      </c>
      <c r="G23" s="9">
        <f>B27*('Base values'!D$43-'Base values'!D$44)</f>
        <v>346.65596348743918</v>
      </c>
      <c r="H23" s="9">
        <f>B28*('Base values'!D$44-'Base values'!D$45)</f>
        <v>118.27981566163112</v>
      </c>
      <c r="I23" s="9">
        <f t="shared" si="0"/>
        <v>13699.43916588283</v>
      </c>
      <c r="J23" s="10">
        <f>'Base values'!C76</f>
        <v>1</v>
      </c>
      <c r="K23" s="9">
        <f t="shared" si="1"/>
        <v>0</v>
      </c>
      <c r="L23" s="9">
        <f t="shared" si="2"/>
        <v>13699.43916588283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values'!D$40)</f>
        <v>6705.7265305131887</v>
      </c>
      <c r="D24" s="9">
        <f>B25*('Base values'!D$40-'Base values'!D$41)</f>
        <v>3517.1445240247976</v>
      </c>
      <c r="E24" s="9">
        <f>B26*('Base values'!D$41-'Base values'!D$42)</f>
        <v>1192.1944497083978</v>
      </c>
      <c r="F24" s="9">
        <f>B27*('Base values'!D$42-'Base values'!D$43)</f>
        <v>499.22028251528127</v>
      </c>
      <c r="G24" s="9">
        <f>B28*('Base values'!D$43-'Base values'!D$44)</f>
        <v>274.38409474703479</v>
      </c>
      <c r="H24" s="9">
        <f>B29*('Base values'!D$44-'Base values'!D$45)</f>
        <v>89.698472498638168</v>
      </c>
      <c r="I24" s="9">
        <f t="shared" si="0"/>
        <v>12278.368354007338</v>
      </c>
      <c r="J24" s="10">
        <f>'Base values'!C77</f>
        <v>1</v>
      </c>
      <c r="K24" s="9">
        <f t="shared" si="1"/>
        <v>0</v>
      </c>
      <c r="L24" s="9">
        <f t="shared" si="2"/>
        <v>12278.368354007338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values'!D$40)</f>
        <v>5952.9522359100183</v>
      </c>
      <c r="D25" s="9">
        <f>B26*('Base values'!D$40-'Base values'!D$41)</f>
        <v>3003.9945106583036</v>
      </c>
      <c r="E25" s="9">
        <f>B27*('Base values'!D$41-'Base values'!D$42)</f>
        <v>980.40645616384631</v>
      </c>
      <c r="F25" s="9">
        <f>B28*('Base values'!D$42-'Base values'!D$43)</f>
        <v>395.14134970961692</v>
      </c>
      <c r="G25" s="9">
        <f>B29*('Base values'!D$43-'Base values'!D$44)</f>
        <v>208.08143840145061</v>
      </c>
      <c r="H25" s="9">
        <f>B30*('Base values'!D$44-'Base values'!D$45)</f>
        <v>65.435311925770549</v>
      </c>
      <c r="I25" s="9">
        <f t="shared" si="0"/>
        <v>10606.011302769006</v>
      </c>
      <c r="J25" s="10">
        <f>'Base values'!C78</f>
        <v>1</v>
      </c>
      <c r="K25" s="9">
        <f t="shared" si="1"/>
        <v>0</v>
      </c>
      <c r="L25" s="9">
        <f t="shared" si="2"/>
        <v>10606.011302769006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values'!D$40)</f>
        <v>5084.4188280386652</v>
      </c>
      <c r="D26" s="9">
        <f>B27*('Base values'!D$40-'Base values'!D$41)</f>
        <v>2470.3483674584418</v>
      </c>
      <c r="E26" s="9">
        <f>B28*('Base values'!D$41-'Base values'!D$42)</f>
        <v>776.00839533346937</v>
      </c>
      <c r="F26" s="9">
        <f>B29*('Base values'!D$42-'Base values'!D$43)</f>
        <v>299.6586974010682</v>
      </c>
      <c r="G26" s="9">
        <f>B30*('Base values'!D$43-'Base values'!D$44)</f>
        <v>151.79605012748294</v>
      </c>
      <c r="H26" s="9">
        <f>B31*('Base values'!D$44-'Base values'!D$45)</f>
        <v>45.786970986917765</v>
      </c>
      <c r="I26" s="9">
        <f t="shared" si="0"/>
        <v>8828.0173093460435</v>
      </c>
      <c r="J26" s="10">
        <f>'Base values'!C79</f>
        <v>1</v>
      </c>
      <c r="K26" s="9">
        <f t="shared" si="1"/>
        <v>0</v>
      </c>
      <c r="L26" s="9">
        <f t="shared" si="2"/>
        <v>8828.0173093460435</v>
      </c>
    </row>
    <row r="27" spans="1:12" s="116" customFormat="1">
      <c r="A27" s="121">
        <f t="shared" si="3"/>
        <v>23</v>
      </c>
      <c r="B27" s="122">
        <f>'Base values'!F27-'Base values'!E27</f>
        <v>57515.066943795158</v>
      </c>
      <c r="C27" s="122">
        <f>B27*(1-'Base values'!D$40)</f>
        <v>4181.1946415866732</v>
      </c>
      <c r="D27" s="122">
        <f>B28*('Base values'!D$40-'Base values'!D$41)</f>
        <v>1955.3227750529097</v>
      </c>
      <c r="E27" s="122">
        <f>B29*('Base values'!D$41-'Base values'!D$42)</f>
        <v>588.49235871874407</v>
      </c>
      <c r="F27" s="122">
        <f>B30*('Base values'!D$42-'Base values'!D$43)</f>
        <v>218.6019425916833</v>
      </c>
      <c r="G27" s="122">
        <f>B31*('Base values'!D$43-'Base values'!D$44)</f>
        <v>106.21606497421664</v>
      </c>
      <c r="H27" s="122">
        <f>B32*('Base values'!D$44-'Base values'!D$45)</f>
        <v>30.803405223029571</v>
      </c>
      <c r="I27" s="122">
        <f t="shared" si="0"/>
        <v>7080.6311881472557</v>
      </c>
      <c r="J27" s="124">
        <f>'Base values'!C80</f>
        <v>1</v>
      </c>
      <c r="K27" s="122">
        <f t="shared" si="1"/>
        <v>0</v>
      </c>
      <c r="L27" s="122">
        <f t="shared" si="2"/>
        <v>7080.6311881472557</v>
      </c>
    </row>
    <row r="28" spans="1:12" s="116" customFormat="1">
      <c r="A28" s="121">
        <f t="shared" si="3"/>
        <v>24</v>
      </c>
      <c r="B28" s="122">
        <f>'Base values'!F28-'Base values'!E28</f>
        <v>45524.15431982078</v>
      </c>
      <c r="C28" s="122">
        <f>B28*(1-'Base values'!D$40)</f>
        <v>3309.4867174684614</v>
      </c>
      <c r="D28" s="122">
        <f>B29*('Base values'!D$40-'Base values'!D$41)</f>
        <v>1482.835132798901</v>
      </c>
      <c r="E28" s="122">
        <f>B30*('Base values'!D$41-'Base values'!D$42)</f>
        <v>429.30698802343721</v>
      </c>
      <c r="F28" s="122">
        <f>B31*('Base values'!D$42-'Base values'!D$43)</f>
        <v>152.96207060926915</v>
      </c>
      <c r="G28" s="122">
        <f>B32*('Base values'!D$43-'Base values'!D$44)</f>
        <v>71.457369205122887</v>
      </c>
      <c r="H28" s="122">
        <f>B33*('Base values'!D$44-'Base values'!D$45)</f>
        <v>19.817270134475098</v>
      </c>
      <c r="I28" s="122">
        <f t="shared" si="0"/>
        <v>5465.8655482396662</v>
      </c>
      <c r="J28" s="124">
        <f>'Base values'!C81</f>
        <v>1</v>
      </c>
      <c r="K28" s="122">
        <f t="shared" si="1"/>
        <v>0</v>
      </c>
      <c r="L28" s="122">
        <f t="shared" si="2"/>
        <v>5465.8655482396662</v>
      </c>
    </row>
    <row r="29" spans="1:12" s="116" customFormat="1">
      <c r="A29" s="121">
        <f t="shared" si="3"/>
        <v>25</v>
      </c>
      <c r="B29" s="122">
        <f>'Base values'!F29-'Base values'!E29</f>
        <v>34523.6174189003</v>
      </c>
      <c r="C29" s="122">
        <f>B29*(1-'Base values'!D$40)</f>
        <v>2509.7765130162475</v>
      </c>
      <c r="D29" s="122">
        <f>B30*('Base values'!D$40-'Base values'!D$41)</f>
        <v>1081.7327959588231</v>
      </c>
      <c r="E29" s="122">
        <f>B31*('Base values'!D$41-'Base values'!D$42)</f>
        <v>300.39845500253114</v>
      </c>
      <c r="F29" s="122">
        <f>B32*('Base values'!D$42-'Base values'!D$43)</f>
        <v>102.90596960600908</v>
      </c>
      <c r="G29" s="122">
        <f>B33*('Base values'!D$43-'Base values'!D$44)</f>
        <v>45.971865070882814</v>
      </c>
      <c r="H29" s="122">
        <f>B34*('Base values'!D$44-'Base values'!D$45)</f>
        <v>0</v>
      </c>
      <c r="I29" s="122">
        <f t="shared" si="0"/>
        <v>4040.7855986544937</v>
      </c>
      <c r="J29" s="124">
        <f>'Base values'!C82</f>
        <v>1</v>
      </c>
      <c r="K29" s="122">
        <f t="shared" si="1"/>
        <v>0</v>
      </c>
      <c r="L29" s="122">
        <f t="shared" si="2"/>
        <v>4040.7855986544937</v>
      </c>
    </row>
    <row r="30" spans="1:12" s="116" customFormat="1">
      <c r="A30" s="121">
        <f t="shared" si="3"/>
        <v>26</v>
      </c>
      <c r="B30" s="122">
        <f>'Base values'!F30-'Base values'!E30</f>
        <v>25185.085227019939</v>
      </c>
      <c r="C30" s="122">
        <f>B30*(1-'Base values'!D$40)</f>
        <v>1830.8896954257971</v>
      </c>
      <c r="D30" s="122">
        <f>B31*('Base values'!D$40-'Base values'!D$41)</f>
        <v>756.91956967133888</v>
      </c>
      <c r="E30" s="122">
        <f>B32*('Base values'!D$41-'Base values'!D$42)</f>
        <v>202.09450720072371</v>
      </c>
      <c r="F30" s="122">
        <f>B33*('Base values'!D$42-'Base values'!D$43)</f>
        <v>66.204219415576532</v>
      </c>
      <c r="G30" s="122">
        <f>B34*('Base values'!D$43-'Base values'!D$44)</f>
        <v>0</v>
      </c>
      <c r="H30" s="122">
        <f>B35*('Base values'!D$44-'Base values'!D$45)</f>
        <v>0</v>
      </c>
      <c r="I30" s="122">
        <f t="shared" si="0"/>
        <v>2856.1079917134361</v>
      </c>
      <c r="J30" s="124">
        <f>'Base values'!C83</f>
        <v>1</v>
      </c>
      <c r="K30" s="122">
        <f t="shared" si="1"/>
        <v>0</v>
      </c>
      <c r="L30" s="122">
        <f t="shared" si="2"/>
        <v>2856.1079917134361</v>
      </c>
    </row>
    <row r="31" spans="1:12" s="116" customFormat="1">
      <c r="A31" s="121">
        <f>1+A30</f>
        <v>27</v>
      </c>
      <c r="B31" s="122">
        <f>'Base values'!F31-'Base values'!E31</f>
        <v>17622.728961707078</v>
      </c>
      <c r="C31" s="122">
        <f>B31*(1-'Base values'!D$40)</f>
        <v>1281.1262130117905</v>
      </c>
      <c r="D31" s="122">
        <f>B32*('Base values'!D$40-'Base values'!D$41)</f>
        <v>509.22128551568011</v>
      </c>
      <c r="E31" s="122">
        <f>B33*('Base values'!D$41-'Base values'!D$42)</f>
        <v>130.01684108924857</v>
      </c>
      <c r="F31" s="122">
        <f>B34*('Base values'!D$42-'Base values'!D$43)</f>
        <v>0</v>
      </c>
      <c r="G31" s="122">
        <f>B35*('Base values'!D$43-'Base values'!D$44)</f>
        <v>0</v>
      </c>
      <c r="H31" s="122">
        <f>B36*('Base values'!D$44-'Base values'!D$45)</f>
        <v>0</v>
      </c>
      <c r="I31" s="122">
        <f t="shared" si="0"/>
        <v>1920.3643396167192</v>
      </c>
      <c r="J31" s="124">
        <f>'Base values'!C84</f>
        <v>1</v>
      </c>
      <c r="K31" s="122">
        <f t="shared" si="1"/>
        <v>0</v>
      </c>
      <c r="L31" s="122">
        <f t="shared" si="2"/>
        <v>1920.3643396167192</v>
      </c>
    </row>
    <row r="32" spans="1:12" s="116" customFormat="1">
      <c r="A32" s="121">
        <f>1+A31</f>
        <v>28</v>
      </c>
      <c r="B32" s="122">
        <f>'Base values'!F32-'Base values'!E32</f>
        <v>11855.775772941659</v>
      </c>
      <c r="C32" s="122">
        <f>B32*(1-'Base values'!D$40)</f>
        <v>861.88382919068499</v>
      </c>
      <c r="D32" s="122">
        <f>B33*('Base values'!D$40-'Base values'!D$41)</f>
        <v>327.60585072407133</v>
      </c>
      <c r="E32" s="122">
        <f>B34*('Base values'!D$41-'Base values'!D$42)</f>
        <v>0</v>
      </c>
      <c r="F32" s="122">
        <f>B35*('Base values'!D$42-'Base values'!D$43)</f>
        <v>0</v>
      </c>
      <c r="G32" s="122">
        <f>B36*('Base values'!D$43-'Base values'!D$44)</f>
        <v>0</v>
      </c>
      <c r="H32" s="122">
        <f>B37*('Base values'!D$44-'Base values'!D$45)</f>
        <v>0</v>
      </c>
      <c r="I32" s="122">
        <f t="shared" si="0"/>
        <v>1189.4896799147564</v>
      </c>
      <c r="J32" s="124">
        <f>'Base values'!C85</f>
        <v>1</v>
      </c>
      <c r="K32" s="122">
        <f t="shared" si="1"/>
        <v>0</v>
      </c>
      <c r="L32" s="122">
        <f t="shared" si="2"/>
        <v>1189.4896799147564</v>
      </c>
    </row>
    <row r="33" spans="1:12" s="116" customFormat="1">
      <c r="A33" s="121">
        <f>1+A32</f>
        <v>29</v>
      </c>
      <c r="B33" s="122">
        <f>'Base values'!F33-'Base values'!E33</f>
        <v>7627.3746180014859</v>
      </c>
      <c r="C33" s="122">
        <f>B33*(1-'Base values'!D$40)</f>
        <v>554.49014626596954</v>
      </c>
      <c r="D33" s="122">
        <f>B34*('Base values'!D$40-'Base values'!D$41)</f>
        <v>0</v>
      </c>
      <c r="E33" s="122">
        <f>B35*('Base values'!D$41-'Base values'!D$42)</f>
        <v>0</v>
      </c>
      <c r="F33" s="122">
        <f>B36*('Base values'!D$42-'Base values'!D$43)</f>
        <v>0</v>
      </c>
      <c r="G33" s="122">
        <f>B37*('Base values'!D$43-'Base values'!D$44)</f>
        <v>0</v>
      </c>
      <c r="H33" s="122">
        <f>B38*('Base values'!D$44-'Base values'!D$45)</f>
        <v>0</v>
      </c>
      <c r="I33" s="122">
        <f t="shared" si="0"/>
        <v>554.49014626596954</v>
      </c>
      <c r="J33" s="124">
        <f>'Base values'!C86</f>
        <v>1</v>
      </c>
      <c r="K33" s="122">
        <f t="shared" si="1"/>
        <v>0</v>
      </c>
      <c r="L33" s="122">
        <f t="shared" si="2"/>
        <v>554.49014626596954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8"/>
  <sheetViews>
    <sheetView workbookViewId="0"/>
  </sheetViews>
  <sheetFormatPr defaultRowHeight="12.75"/>
  <cols>
    <col min="1" max="1" width="16.140625" customWidth="1"/>
    <col min="9" max="9" width="11" customWidth="1"/>
    <col min="10" max="10" width="12.28515625" customWidth="1"/>
    <col min="11" max="11" width="12.7109375" customWidth="1"/>
    <col min="12" max="12" width="12.5703125" customWidth="1"/>
  </cols>
  <sheetData>
    <row r="1" spans="1:12" ht="27.75" customHeight="1">
      <c r="A1" s="45" t="s">
        <v>31</v>
      </c>
    </row>
    <row r="2" spans="1:12">
      <c r="A2" s="34" t="s">
        <v>0</v>
      </c>
      <c r="B2" s="35" t="s">
        <v>9</v>
      </c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43" t="s">
        <v>12</v>
      </c>
      <c r="L2" s="43" t="s">
        <v>12</v>
      </c>
    </row>
    <row r="3" spans="1:12">
      <c r="A3" s="64" t="s">
        <v>41</v>
      </c>
      <c r="B3" s="35"/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43" t="s">
        <v>19</v>
      </c>
      <c r="L3" s="43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9">
        <f>C4*(1-J4)+D4*(1-J5)+E4*(1-J6)+F4*(1-J7)+G4*(1-J8)+H4*(1-J9)</f>
        <v>4852.8092500000002</v>
      </c>
      <c r="L4" s="9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9">
        <f t="shared" ref="K5:K33" si="1">C5*(1-J5)+D5*(1-J6)+E5*(1-J7)+F5*(1-J8)+G5*(1-J9)+H5*(1-J10)</f>
        <v>4480.6484076086954</v>
      </c>
      <c r="L5" s="9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9">
        <f t="shared" si="1"/>
        <v>3743.7264945652164</v>
      </c>
      <c r="L6" s="9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9">
        <f t="shared" si="1"/>
        <v>3560.2627554347823</v>
      </c>
      <c r="L7" s="9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9">
        <f t="shared" si="1"/>
        <v>3665.2645489130427</v>
      </c>
      <c r="L8" s="9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9">
        <f t="shared" si="1"/>
        <v>3435.8725434782596</v>
      </c>
      <c r="L9" s="9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9">
        <f t="shared" si="1"/>
        <v>3238.908385869564</v>
      </c>
      <c r="L10" s="9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9">
        <f t="shared" si="1"/>
        <v>2961.0896086956518</v>
      </c>
      <c r="L11" s="9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9">
        <f t="shared" si="1"/>
        <v>2433.675951086956</v>
      </c>
      <c r="L12" s="9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9">
        <f t="shared" si="1"/>
        <v>1937.5311086956508</v>
      </c>
      <c r="L13" s="9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9">
        <f t="shared" si="1"/>
        <v>1428.374820652172</v>
      </c>
      <c r="L14" s="9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9">
        <f t="shared" si="1"/>
        <v>941.1757934782604</v>
      </c>
      <c r="L15" s="9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9">
        <f t="shared" si="1"/>
        <v>581.92063586956579</v>
      </c>
      <c r="L16" s="9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9">
        <f t="shared" si="1"/>
        <v>279.47320652173971</v>
      </c>
      <c r="L17" s="9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9">
        <f t="shared" si="1"/>
        <v>67.019956521739417</v>
      </c>
      <c r="L18" s="9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9">
        <f t="shared" si="1"/>
        <v>0</v>
      </c>
      <c r="L19" s="9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9">
        <f t="shared" si="1"/>
        <v>0</v>
      </c>
      <c r="L20" s="9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9">
        <f t="shared" si="1"/>
        <v>0</v>
      </c>
      <c r="L21" s="9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9">
        <f t="shared" si="1"/>
        <v>0</v>
      </c>
      <c r="L22" s="9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9">
        <f t="shared" si="1"/>
        <v>0</v>
      </c>
      <c r="L23" s="9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9">
        <f t="shared" si="1"/>
        <v>0</v>
      </c>
      <c r="L24" s="9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9">
        <f t="shared" si="1"/>
        <v>0</v>
      </c>
      <c r="L25" s="9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9">
        <f t="shared" si="1"/>
        <v>0</v>
      </c>
      <c r="L26" s="9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2">
        <f t="shared" si="1"/>
        <v>0</v>
      </c>
      <c r="L27" s="122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2">
        <f t="shared" si="1"/>
        <v>0</v>
      </c>
      <c r="L28" s="122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2">
        <f t="shared" si="1"/>
        <v>0</v>
      </c>
      <c r="L29" s="122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2">
        <f t="shared" si="1"/>
        <v>0</v>
      </c>
      <c r="L30" s="122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2">
        <f t="shared" si="1"/>
        <v>0</v>
      </c>
      <c r="L31" s="122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2">
        <f t="shared" si="1"/>
        <v>0</v>
      </c>
      <c r="L32" s="122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2">
        <f t="shared" si="1"/>
        <v>0</v>
      </c>
      <c r="L33" s="122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33"/>
  <sheetViews>
    <sheetView topLeftCell="B1" workbookViewId="0">
      <selection activeCell="A4" sqref="A4"/>
    </sheetView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'Neg U5MR 150'!B4</f>
        <v>1269013.013309208</v>
      </c>
      <c r="C4" s="9">
        <f>'Neg U5MR 150'!I4</f>
        <v>188927.02416310518</v>
      </c>
      <c r="D4" s="5">
        <v>0</v>
      </c>
      <c r="E4" s="9">
        <f>'HIV Pos Neg U5MR 50'!B4</f>
        <v>88597.986690792124</v>
      </c>
      <c r="F4" s="9">
        <f>'Pos-Neg U5MR 150'!I4</f>
        <v>13089.310048426823</v>
      </c>
      <c r="G4" s="10">
        <f>'Base values'!C57</f>
        <v>0</v>
      </c>
      <c r="H4" s="9">
        <f>'HIV Pos Pos U5MR 50'!B4</f>
        <v>7809</v>
      </c>
      <c r="I4" s="9">
        <f>'Pos-Pos U5MR 150'!I4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C4+'Pos-Neg U5MR 150'!K4+'Pos-Pos U5MR 150'!K4</f>
        <v>206063.66797452341</v>
      </c>
      <c r="N4" s="57">
        <f>'Pos-Neg U5MR 150'!L4+'Pos-Pos U5MR 150'!L4</f>
        <v>1267.4027370085814</v>
      </c>
      <c r="O4" s="143" t="str">
        <f>$A4&amp;"-"&amp;$A4+4</f>
        <v>0-4</v>
      </c>
      <c r="P4" s="181">
        <f t="shared" ref="P4:P24" si="0">(SUM(M4:M8)/SUM(K4:K8))/(SUM(M4:N8)/SUM(K4:L8))</f>
        <v>0.98778979438057479</v>
      </c>
      <c r="Q4" s="143" t="str">
        <f>$A4&amp;"-"&amp;$A4+3</f>
        <v>0-3</v>
      </c>
      <c r="R4" s="162">
        <f t="shared" ref="R4:R25" si="1">(SUM(M4:M7)/SUM(K4:K7))/(SUM(M4:N7)/SUM(K4:L7))</f>
        <v>0.98972366570987225</v>
      </c>
      <c r="S4" s="143" t="str">
        <f>$A4&amp;"-"&amp;$A4+2</f>
        <v>0-2</v>
      </c>
      <c r="T4" s="162">
        <f t="shared" ref="T4:T26" si="2">(SUM(M4:M6)/SUM(K4:K6))/(SUM(M4:N6)/SUM(K4:L6))</f>
        <v>0.99131014768341597</v>
      </c>
      <c r="U4" s="143" t="str">
        <f>$A4&amp;"-"&amp;$A4+1</f>
        <v>0-1</v>
      </c>
      <c r="V4" s="162">
        <f t="shared" ref="V4:V27" si="3">(SUM(M4:M5)/SUM(K4:K5))/(SUM(M4:N5)/SUM(K4:L5))</f>
        <v>0.99260594042625594</v>
      </c>
      <c r="W4" s="143">
        <f>$A4</f>
        <v>0</v>
      </c>
      <c r="X4" s="144">
        <f>(SUM(M4:M4)/SUM(K4:K4))/(SUM(M4:N4)/SUM(K4:L4))</f>
        <v>0.99388705835232971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4">RIGHT(Z4,4)-LEFT(Z4,4)+1</f>
        <v>1</v>
      </c>
      <c r="AD4" s="166">
        <v>0</v>
      </c>
      <c r="AE4" s="167">
        <f t="shared" ref="AE4:AE26" ca="1" si="5">OFFSET($P$4,AD4,2*(5-AC4))</f>
        <v>0.99388705835232971</v>
      </c>
    </row>
    <row r="5" spans="1:32">
      <c r="A5" s="48">
        <f>'HIV Neg U5MR 50'!A5</f>
        <v>1</v>
      </c>
      <c r="B5" s="9">
        <f>'Neg U5MR 150'!B5</f>
        <v>1259889.6569743706</v>
      </c>
      <c r="C5" s="9">
        <f>'Neg U5MR 150'!I5</f>
        <v>187348.8077485355</v>
      </c>
      <c r="D5" s="5">
        <v>0</v>
      </c>
      <c r="E5" s="9">
        <f>'HIV Pos Neg U5MR 50'!B5</f>
        <v>86411.343025629394</v>
      </c>
      <c r="F5" s="9">
        <f>'Pos-Neg U5MR 150'!I5</f>
        <v>12885.633465786828</v>
      </c>
      <c r="G5" s="10">
        <f>'Base values'!C58</f>
        <v>5.4347826086956513E-2</v>
      </c>
      <c r="H5" s="9">
        <f>'HIV Pos Pos U5MR 50'!B5</f>
        <v>9229</v>
      </c>
      <c r="I5" s="9">
        <f>'Pos-Pos U5MR 150'!I5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C5+'Pos-Neg U5MR 150'!K5+'Pos-Pos U5MR 150'!K5</f>
        <v>203021.85220270857</v>
      </c>
      <c r="N5" s="57">
        <f>'Pos-Neg U5MR 150'!L5+'Pos-Pos U5MR 150'!L5</f>
        <v>2568.7385116137602</v>
      </c>
      <c r="O5" s="151" t="str">
        <f t="shared" ref="O5:O24" si="8">A5&amp;"-"&amp;A5+4</f>
        <v>1-5</v>
      </c>
      <c r="P5" s="179">
        <f t="shared" si="0"/>
        <v>0.98386512188696751</v>
      </c>
      <c r="Q5" s="151" t="str">
        <f t="shared" ref="Q5:Q25" si="9">$A5&amp;"-"&amp;$A5+3</f>
        <v>1-4</v>
      </c>
      <c r="R5" s="161">
        <f t="shared" si="1"/>
        <v>0.98621139647275469</v>
      </c>
      <c r="S5" s="151" t="str">
        <f t="shared" ref="S5:S26" si="10">$A5&amp;"-"&amp;$A5+2</f>
        <v>1-3</v>
      </c>
      <c r="T5" s="161">
        <f t="shared" si="2"/>
        <v>0.9882942300074411</v>
      </c>
      <c r="U5" s="151" t="str">
        <f t="shared" ref="U5:U27" si="11">$A5&amp;"-"&amp;$A5+1</f>
        <v>1-2</v>
      </c>
      <c r="V5" s="161">
        <f t="shared" si="3"/>
        <v>0.98999167005548117</v>
      </c>
      <c r="W5" s="151">
        <f t="shared" ref="W5:W28" si="12">$A5</f>
        <v>1</v>
      </c>
      <c r="X5" s="152">
        <f t="shared" ref="X5:X28" si="13">(SUM(M5:M5)/SUM(K5:K5))/(SUM(M5:N5)/SUM(K5:L5))</f>
        <v>0.99130677716737092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t="shared" ca="1" si="5"/>
        <v>0.99130677716737092</v>
      </c>
    </row>
    <row r="6" spans="1:32">
      <c r="A6" s="48">
        <f>'HIV Neg U5MR 50'!A6</f>
        <v>2</v>
      </c>
      <c r="B6" s="9">
        <f>'Neg U5MR 150'!B6</f>
        <v>1248874.5119299444</v>
      </c>
      <c r="C6" s="9">
        <f>'Neg U5MR 150'!I6</f>
        <v>185541.68654572059</v>
      </c>
      <c r="D6" s="5">
        <v>0</v>
      </c>
      <c r="E6" s="9">
        <f>'HIV Pos Neg U5MR 50'!B6</f>
        <v>86144.488070055653</v>
      </c>
      <c r="F6" s="9">
        <f>'Pos-Neg U5MR 150'!I6</f>
        <v>12802.882003817793</v>
      </c>
      <c r="G6" s="10">
        <f>'Base values'!C59</f>
        <v>0.13043478260869565</v>
      </c>
      <c r="H6" s="9">
        <f>'HIV Pos Pos U5MR 50'!B6</f>
        <v>8311</v>
      </c>
      <c r="I6" s="9">
        <f>'Pos-Pos U5MR 150'!I6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C6+'Pos-Neg U5MR 150'!K6+'Pos-Pos U5MR 150'!K6</f>
        <v>199329.97767019161</v>
      </c>
      <c r="N6" s="57">
        <f>'Pos-Neg U5MR 150'!L6+'Pos-Pos U5MR 150'!L6</f>
        <v>4154.1183793467662</v>
      </c>
      <c r="O6" s="151" t="str">
        <f t="shared" si="8"/>
        <v>2-6</v>
      </c>
      <c r="P6" s="179">
        <f t="shared" si="0"/>
        <v>0.97890296908076824</v>
      </c>
      <c r="Q6" s="151" t="str">
        <f t="shared" si="9"/>
        <v>2-5</v>
      </c>
      <c r="R6" s="161">
        <f t="shared" si="1"/>
        <v>0.98194117024143102</v>
      </c>
      <c r="S6" s="151" t="str">
        <f t="shared" si="10"/>
        <v>2-4</v>
      </c>
      <c r="T6" s="161">
        <f t="shared" si="2"/>
        <v>0.98446531499675904</v>
      </c>
      <c r="U6" s="151" t="str">
        <f t="shared" si="11"/>
        <v>2-3</v>
      </c>
      <c r="V6" s="161">
        <f t="shared" si="3"/>
        <v>0.98675261543500803</v>
      </c>
      <c r="W6" s="151">
        <f t="shared" si="12"/>
        <v>2</v>
      </c>
      <c r="X6" s="152">
        <f t="shared" si="13"/>
        <v>0.98865242052488056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26" si="14">AD5+AC5</f>
        <v>2</v>
      </c>
      <c r="AE6" s="150">
        <f t="shared" ca="1" si="5"/>
        <v>0.98865242052488056</v>
      </c>
    </row>
    <row r="7" spans="1:32">
      <c r="A7" s="48">
        <f>'HIV Neg U5MR 50'!A7</f>
        <v>3</v>
      </c>
      <c r="B7" s="9">
        <f>'Neg U5MR 150'!B7</f>
        <v>1237689.3921640057</v>
      </c>
      <c r="C7" s="9">
        <f>'Neg U5MR 150'!I7</f>
        <v>183560.51186198878</v>
      </c>
      <c r="D7" s="5">
        <v>0</v>
      </c>
      <c r="E7" s="9">
        <f>'HIV Pos Neg U5MR 50'!B7</f>
        <v>86776.60783599432</v>
      </c>
      <c r="F7" s="9">
        <f>'Pos-Neg U5MR 150'!I7</f>
        <v>12639.942246238814</v>
      </c>
      <c r="G7" s="10">
        <f>'Base values'!C60</f>
        <v>0.21739130434782611</v>
      </c>
      <c r="H7" s="9">
        <f>'HIV Pos Pos U5MR 50'!B7</f>
        <v>6494</v>
      </c>
      <c r="I7" s="9">
        <f>'Pos-Pos U5MR 150'!I7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C7+'Pos-Neg U5MR 150'!K7+'Pos-Pos U5MR 150'!K7</f>
        <v>195866.94597080888</v>
      </c>
      <c r="N7" s="57">
        <f>'Pos-Neg U5MR 150'!L7+'Pos-Pos U5MR 150'!L7</f>
        <v>6093.3911374187064</v>
      </c>
      <c r="O7" s="151" t="str">
        <f t="shared" si="8"/>
        <v>3-7</v>
      </c>
      <c r="P7" s="179">
        <f t="shared" si="0"/>
        <v>0.97270530452995041</v>
      </c>
      <c r="Q7" s="151" t="str">
        <f t="shared" si="9"/>
        <v>3-6</v>
      </c>
      <c r="R7" s="161">
        <f t="shared" si="1"/>
        <v>0.97639790520917757</v>
      </c>
      <c r="S7" s="151" t="str">
        <f t="shared" si="10"/>
        <v>3-5</v>
      </c>
      <c r="T7" s="161">
        <f t="shared" si="2"/>
        <v>0.97965448152022261</v>
      </c>
      <c r="U7" s="151" t="str">
        <f t="shared" si="11"/>
        <v>3-4</v>
      </c>
      <c r="V7" s="161">
        <f t="shared" si="3"/>
        <v>0.9823390890176843</v>
      </c>
      <c r="W7" s="151">
        <f t="shared" si="12"/>
        <v>3</v>
      </c>
      <c r="X7" s="152">
        <f t="shared" si="13"/>
        <v>0.98483198065830801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0.98483198065830801</v>
      </c>
    </row>
    <row r="8" spans="1:32">
      <c r="A8" s="48">
        <f>'HIV Neg U5MR 50'!A8</f>
        <v>4</v>
      </c>
      <c r="B8" s="9">
        <f>'Neg U5MR 150'!B8</f>
        <v>1224748.5911279062</v>
      </c>
      <c r="C8" s="9">
        <f>'Neg U5MR 150'!I8</f>
        <v>181268.86046710267</v>
      </c>
      <c r="D8" s="5">
        <v>0</v>
      </c>
      <c r="E8" s="9">
        <f>'HIV Pos Neg U5MR 50'!B8</f>
        <v>83583.408872093714</v>
      </c>
      <c r="F8" s="9">
        <f>'Pos-Neg U5MR 150'!I8</f>
        <v>12259.581284584679</v>
      </c>
      <c r="G8" s="10">
        <f>'Base values'!C61</f>
        <v>0.31521739130434784</v>
      </c>
      <c r="H8" s="9">
        <f>'HIV Pos Pos U5MR 50'!B8</f>
        <v>8918</v>
      </c>
      <c r="I8" s="9">
        <f>'Pos-Pos U5MR 150'!I8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C8+'Pos-Neg U5MR 150'!K8+'Pos-Pos U5MR 150'!K8</f>
        <v>192161.84422180895</v>
      </c>
      <c r="N8" s="57">
        <f>'Pos-Neg U5MR 150'!L8+'Pos-Pos U5MR 150'!L8</f>
        <v>8396.59452987841</v>
      </c>
      <c r="O8" s="151" t="str">
        <f t="shared" si="8"/>
        <v>4-8</v>
      </c>
      <c r="P8" s="179">
        <f t="shared" si="0"/>
        <v>0.96524071816437274</v>
      </c>
      <c r="Q8" s="151" t="str">
        <f t="shared" si="9"/>
        <v>4-7</v>
      </c>
      <c r="R8" s="161">
        <f t="shared" si="1"/>
        <v>0.96958851807639035</v>
      </c>
      <c r="S8" s="151" t="str">
        <f t="shared" si="10"/>
        <v>4-6</v>
      </c>
      <c r="T8" s="161">
        <f t="shared" si="2"/>
        <v>0.97352338385500525</v>
      </c>
      <c r="U8" s="151" t="str">
        <f t="shared" si="11"/>
        <v>4-5</v>
      </c>
      <c r="V8" s="161">
        <f t="shared" si="3"/>
        <v>0.97702225772546125</v>
      </c>
      <c r="W8" s="151">
        <f t="shared" si="12"/>
        <v>4</v>
      </c>
      <c r="X8" s="152">
        <f t="shared" si="13"/>
        <v>0.9798228427411062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0.9798228427411062</v>
      </c>
    </row>
    <row r="9" spans="1:32">
      <c r="A9" s="48">
        <f>'HIV Neg U5MR 50'!A9</f>
        <v>5</v>
      </c>
      <c r="B9" s="9">
        <f>'Neg U5MR 150'!B9</f>
        <v>1210852.8730926085</v>
      </c>
      <c r="C9" s="9">
        <f>'Neg U5MR 150'!I9</f>
        <v>178557.58824377583</v>
      </c>
      <c r="D9" s="5">
        <v>0</v>
      </c>
      <c r="E9" s="9">
        <f>'HIV Pos Neg U5MR 50'!B9</f>
        <v>81434.126907391517</v>
      </c>
      <c r="F9" s="9">
        <f>'Pos-Neg U5MR 150'!I9</f>
        <v>11988.453280579526</v>
      </c>
      <c r="G9" s="10">
        <f>'Base values'!C62</f>
        <v>0.42391304347826092</v>
      </c>
      <c r="H9" s="9">
        <f>'HIV Pos Pos U5MR 50'!B9</f>
        <v>10663</v>
      </c>
      <c r="I9" s="9">
        <f>'Pos-Pos U5MR 150'!I9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C9+'Pos-Neg U5MR 150'!K9+'Pos-Pos U5MR 150'!K9</f>
        <v>187799.38274798889</v>
      </c>
      <c r="N9" s="57">
        <f>'Pos-Neg U5MR 150'!L9+'Pos-Pos U5MR 150'!L9</f>
        <v>10932.206776366464</v>
      </c>
      <c r="O9" s="151" t="str">
        <f t="shared" si="8"/>
        <v>5-9</v>
      </c>
      <c r="P9" s="179">
        <f t="shared" si="0"/>
        <v>0.95676609782179345</v>
      </c>
      <c r="Q9" s="151" t="str">
        <f t="shared" si="9"/>
        <v>5-8</v>
      </c>
      <c r="R9" s="161">
        <f t="shared" si="1"/>
        <v>0.96148271511301697</v>
      </c>
      <c r="S9" s="151" t="str">
        <f t="shared" si="10"/>
        <v>5-7</v>
      </c>
      <c r="T9" s="161">
        <f t="shared" si="2"/>
        <v>0.96609229601736901</v>
      </c>
      <c r="U9" s="151" t="str">
        <f t="shared" si="11"/>
        <v>5-6</v>
      </c>
      <c r="V9" s="161">
        <f t="shared" si="3"/>
        <v>0.97031211300314046</v>
      </c>
      <c r="W9" s="151">
        <f t="shared" si="12"/>
        <v>5</v>
      </c>
      <c r="X9" s="152">
        <f t="shared" si="13"/>
        <v>0.97418010882150985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0.97418010882150985</v>
      </c>
    </row>
    <row r="10" spans="1:32">
      <c r="A10" s="48">
        <f>'HIV Neg U5MR 50'!A10</f>
        <v>6</v>
      </c>
      <c r="B10" s="9">
        <f>'Neg U5MR 150'!B10</f>
        <v>1189638.5977297928</v>
      </c>
      <c r="C10" s="9">
        <f>'Neg U5MR 150'!I10</f>
        <v>175238.74387500441</v>
      </c>
      <c r="D10" s="5">
        <v>0</v>
      </c>
      <c r="E10" s="9">
        <f>'HIV Pos Neg U5MR 50'!B10</f>
        <v>80142.40227020724</v>
      </c>
      <c r="F10" s="9">
        <f>'Pos-Neg U5MR 150'!I10</f>
        <v>11753.421760157036</v>
      </c>
      <c r="G10" s="10">
        <f>'Base values'!C63</f>
        <v>0.53260869565217406</v>
      </c>
      <c r="H10" s="9">
        <f>'HIV Pos Pos U5MR 50'!B10</f>
        <v>11419</v>
      </c>
      <c r="I10" s="9">
        <f>'Pos-Pos U5MR 150'!I10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C10+'Pos-Neg U5MR 150'!K10+'Pos-Pos U5MR 150'!K10</f>
        <v>182994.79056607388</v>
      </c>
      <c r="N10" s="57">
        <f>'Pos-Neg U5MR 150'!L10+'Pos-Pos U5MR 150'!L10</f>
        <v>13854.242069087544</v>
      </c>
      <c r="O10" s="151" t="str">
        <f t="shared" si="8"/>
        <v>6-10</v>
      </c>
      <c r="P10" s="179">
        <f t="shared" si="0"/>
        <v>0.94738268840768447</v>
      </c>
      <c r="Q10" s="151" t="str">
        <f t="shared" si="9"/>
        <v>6-9</v>
      </c>
      <c r="R10" s="161">
        <f t="shared" si="1"/>
        <v>0.95228775373349073</v>
      </c>
      <c r="S10" s="151" t="str">
        <f t="shared" si="10"/>
        <v>6-8</v>
      </c>
      <c r="T10" s="161">
        <f t="shared" si="2"/>
        <v>0.95715542731364445</v>
      </c>
      <c r="U10" s="151" t="str">
        <f t="shared" si="11"/>
        <v>6-7</v>
      </c>
      <c r="V10" s="161">
        <f t="shared" si="3"/>
        <v>0.96198355374562938</v>
      </c>
      <c r="W10" s="151">
        <f t="shared" si="12"/>
        <v>6</v>
      </c>
      <c r="X10" s="152">
        <f t="shared" si="13"/>
        <v>0.96640427242253268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48">
        <f>'HIV Neg U5MR 50'!A11</f>
        <v>7</v>
      </c>
      <c r="B11" s="9">
        <f>'Neg U5MR 150'!B11</f>
        <v>1167750.9570162341</v>
      </c>
      <c r="C11" s="9">
        <f>'Neg U5MR 150'!I11</f>
        <v>171757.20313019305</v>
      </c>
      <c r="D11" s="5">
        <v>0</v>
      </c>
      <c r="E11" s="9">
        <f>'HIV Pos Neg U5MR 50'!B11</f>
        <v>76436.042983765918</v>
      </c>
      <c r="F11" s="9">
        <f>'Pos-Neg U5MR 150'!I11</f>
        <v>11524.706841062623</v>
      </c>
      <c r="G11" s="10">
        <f>'Base values'!C64</f>
        <v>0.63043478260869579</v>
      </c>
      <c r="H11" s="9">
        <f>'HIV Pos Pos U5MR 50'!B11</f>
        <v>15633</v>
      </c>
      <c r="I11" s="9">
        <f>'Pos-Pos U5MR 150'!I11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C11+'Pos-Neg U5MR 150'!K11+'Pos-Pos U5MR 150'!K11</f>
        <v>178099.51980040752</v>
      </c>
      <c r="N11" s="57">
        <f>'Pos-Neg U5MR 150'!L11+'Pos-Pos U5MR 150'!L11</f>
        <v>16886.267170848165</v>
      </c>
      <c r="O11" s="151" t="str">
        <f t="shared" si="8"/>
        <v>7-11</v>
      </c>
      <c r="P11" s="179">
        <f t="shared" si="0"/>
        <v>0.93796406667638532</v>
      </c>
      <c r="Q11" s="151" t="str">
        <f t="shared" si="9"/>
        <v>7-10</v>
      </c>
      <c r="R11" s="161">
        <f t="shared" si="1"/>
        <v>0.94247858802683981</v>
      </c>
      <c r="S11" s="151" t="str">
        <f t="shared" si="10"/>
        <v>7-9</v>
      </c>
      <c r="T11" s="161">
        <f t="shared" si="2"/>
        <v>0.94746831430287615</v>
      </c>
      <c r="U11" s="151" t="str">
        <f t="shared" si="11"/>
        <v>7-8</v>
      </c>
      <c r="V11" s="161">
        <f t="shared" si="3"/>
        <v>0.95244830002204017</v>
      </c>
      <c r="W11" s="151">
        <f t="shared" si="12"/>
        <v>7</v>
      </c>
      <c r="X11" s="152">
        <f t="shared" si="13"/>
        <v>0.95751281224295026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48">
        <f>'HIV Neg U5MR 50'!A12</f>
        <v>8</v>
      </c>
      <c r="B12" s="9">
        <f>'Neg U5MR 150'!B12</f>
        <v>1144928.7874705833</v>
      </c>
      <c r="C12" s="9">
        <f>'Neg U5MR 150'!I12</f>
        <v>168043.0243361126</v>
      </c>
      <c r="D12" s="5">
        <v>0</v>
      </c>
      <c r="E12" s="9">
        <f>'HIV Pos Neg U5MR 50'!B12</f>
        <v>75838.212529416545</v>
      </c>
      <c r="F12" s="9">
        <f>'Pos-Neg U5MR 150'!I12</f>
        <v>11622.51762991418</v>
      </c>
      <c r="G12" s="10">
        <f>'Base values'!C65</f>
        <v>0.71739130434782605</v>
      </c>
      <c r="H12" s="9">
        <f>'HIV Pos Pos U5MR 50'!B12</f>
        <v>17643</v>
      </c>
      <c r="I12" s="9">
        <f>'Pos-Pos U5MR 150'!I12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C12+'Pos-Neg U5MR 150'!K12+'Pos-Pos U5MR 150'!K12</f>
        <v>172965.7759669348</v>
      </c>
      <c r="N12" s="57">
        <f>'Pos-Neg U5MR 150'!L12+'Pos-Pos U5MR 150'!L12</f>
        <v>20072.359499091981</v>
      </c>
      <c r="O12" s="151" t="str">
        <f t="shared" si="8"/>
        <v>8-12</v>
      </c>
      <c r="P12" s="179">
        <f t="shared" si="0"/>
        <v>0.92883018490453306</v>
      </c>
      <c r="Q12" s="151" t="str">
        <f t="shared" si="9"/>
        <v>8-11</v>
      </c>
      <c r="R12" s="161">
        <f t="shared" si="1"/>
        <v>0.93290530174683062</v>
      </c>
      <c r="S12" s="151" t="str">
        <f t="shared" si="10"/>
        <v>8-10</v>
      </c>
      <c r="T12" s="161">
        <f t="shared" si="2"/>
        <v>0.93733445934430937</v>
      </c>
      <c r="U12" s="151" t="str">
        <f t="shared" si="11"/>
        <v>8-9</v>
      </c>
      <c r="V12" s="161">
        <f t="shared" si="3"/>
        <v>0.94234947658758073</v>
      </c>
      <c r="W12" s="151">
        <f t="shared" si="12"/>
        <v>8</v>
      </c>
      <c r="X12" s="152">
        <f t="shared" si="13"/>
        <v>0.94731802546398913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48">
        <f>'HIV Neg U5MR 50'!A13</f>
        <v>9</v>
      </c>
      <c r="B13" s="9">
        <f>'Neg U5MR 150'!B13</f>
        <v>1119951.9084310441</v>
      </c>
      <c r="C13" s="9">
        <f>'Neg U5MR 150'!I13</f>
        <v>164038.89116427326</v>
      </c>
      <c r="D13" s="5">
        <v>0</v>
      </c>
      <c r="E13" s="9">
        <f>'HIV Pos Neg U5MR 50'!B13</f>
        <v>76563.09156895589</v>
      </c>
      <c r="F13" s="9">
        <f>'Pos-Neg U5MR 150'!I13</f>
        <v>11910.639627100814</v>
      </c>
      <c r="G13" s="10">
        <f>'Base values'!C66</f>
        <v>0.80434782608695654</v>
      </c>
      <c r="H13" s="9">
        <f>'HIV Pos Pos U5MR 50'!B13</f>
        <v>20575</v>
      </c>
      <c r="I13" s="9">
        <f>'Pos-Pos U5MR 150'!I13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C13+'Pos-Neg U5MR 150'!K13+'Pos-Pos U5MR 150'!K13</f>
        <v>167725.60754790273</v>
      </c>
      <c r="N13" s="57">
        <f>'Pos-Neg U5MR 150'!L13+'Pos-Pos U5MR 150'!L13</f>
        <v>23491.547743471347</v>
      </c>
      <c r="O13" s="151" t="str">
        <f t="shared" si="8"/>
        <v>9-13</v>
      </c>
      <c r="P13" s="179">
        <f t="shared" si="0"/>
        <v>0.92044206529758954</v>
      </c>
      <c r="Q13" s="151" t="str">
        <f t="shared" si="9"/>
        <v>9-12</v>
      </c>
      <c r="R13" s="161">
        <f t="shared" si="1"/>
        <v>0.924027504281555</v>
      </c>
      <c r="S13" s="151" t="str">
        <f t="shared" si="10"/>
        <v>9-11</v>
      </c>
      <c r="T13" s="161">
        <f t="shared" si="2"/>
        <v>0.92795988557065423</v>
      </c>
      <c r="U13" s="151" t="str">
        <f t="shared" si="11"/>
        <v>9-10</v>
      </c>
      <c r="V13" s="161">
        <f t="shared" si="3"/>
        <v>0.93224235229649521</v>
      </c>
      <c r="W13" s="151">
        <f t="shared" si="12"/>
        <v>9</v>
      </c>
      <c r="X13" s="152">
        <f t="shared" si="13"/>
        <v>0.93731985216620994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48">
        <f>'HIV Neg U5MR 50'!A14</f>
        <v>10</v>
      </c>
      <c r="B14" s="9">
        <f>'Neg U5MR 150'!B14</f>
        <v>1093711.6672745319</v>
      </c>
      <c r="C14" s="9">
        <f>'Neg U5MR 150'!I14</f>
        <v>159774.69275786815</v>
      </c>
      <c r="D14" s="5">
        <v>0</v>
      </c>
      <c r="E14" s="9">
        <f>'HIV Pos Neg U5MR 50'!B14</f>
        <v>78333.332725468019</v>
      </c>
      <c r="F14" s="9">
        <f>'Pos-Neg U5MR 150'!I14</f>
        <v>12393.256721602158</v>
      </c>
      <c r="G14" s="10">
        <f>'Base values'!C67</f>
        <v>0.85869565217391319</v>
      </c>
      <c r="H14" s="9">
        <f>'HIV Pos Pos U5MR 50'!B14</f>
        <v>24235</v>
      </c>
      <c r="I14" s="9">
        <f>'Pos-Pos U5MR 150'!I14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C14+'Pos-Neg U5MR 150'!K14+'Pos-Pos U5MR 150'!K14</f>
        <v>162430.19102731353</v>
      </c>
      <c r="N14" s="57">
        <f>'Pos-Neg U5MR 150'!L14+'Pos-Pos U5MR 150'!L14</f>
        <v>26699.296952156801</v>
      </c>
      <c r="O14" s="151" t="str">
        <f t="shared" si="8"/>
        <v>10-14</v>
      </c>
      <c r="P14" s="179">
        <f t="shared" si="0"/>
        <v>0.91325001788311155</v>
      </c>
      <c r="Q14" s="151" t="str">
        <f t="shared" si="9"/>
        <v>10-13</v>
      </c>
      <c r="R14" s="161">
        <f t="shared" si="1"/>
        <v>0.91602778288306008</v>
      </c>
      <c r="S14" s="151" t="str">
        <f t="shared" si="10"/>
        <v>10-12</v>
      </c>
      <c r="T14" s="161">
        <f t="shared" si="2"/>
        <v>0.91943790756846</v>
      </c>
      <c r="U14" s="151" t="str">
        <f t="shared" si="11"/>
        <v>10-11</v>
      </c>
      <c r="V14" s="161">
        <f t="shared" si="3"/>
        <v>0.92315986030553099</v>
      </c>
      <c r="W14" s="151">
        <f t="shared" si="12"/>
        <v>10</v>
      </c>
      <c r="X14" s="152">
        <f t="shared" si="13"/>
        <v>0.92708645875029339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4"/>
        <v>#VALUE!</v>
      </c>
      <c r="AD14" s="153" t="e">
        <f t="shared" si="14"/>
        <v>#VALUE!</v>
      </c>
      <c r="AE14" s="150" t="e">
        <f t="shared" ca="1" si="5"/>
        <v>#VALUE!</v>
      </c>
    </row>
    <row r="15" spans="1:32">
      <c r="A15" s="48">
        <f>'HIV Neg U5MR 50'!A15</f>
        <v>11</v>
      </c>
      <c r="B15" s="9">
        <f>'Neg U5MR 150'!B15</f>
        <v>1065792.1055339968</v>
      </c>
      <c r="C15" s="9">
        <f>'Neg U5MR 150'!I15</f>
        <v>155151.21815665529</v>
      </c>
      <c r="D15" s="5">
        <v>0</v>
      </c>
      <c r="E15" s="9">
        <f>'HIV Pos Neg U5MR 50'!B15</f>
        <v>82680.894466003141</v>
      </c>
      <c r="F15" s="9">
        <f>'Pos-Neg U5MR 150'!I15</f>
        <v>13079.893520043928</v>
      </c>
      <c r="G15" s="10">
        <f>'Base values'!C68</f>
        <v>0.91304347826086973</v>
      </c>
      <c r="H15" s="9">
        <f>'HIV Pos Pos U5MR 50'!B15</f>
        <v>26757</v>
      </c>
      <c r="I15" s="9">
        <f>'Pos-Pos U5MR 150'!I15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C15+'Pos-Neg U5MR 150'!K15+'Pos-Pos U5MR 150'!K15</f>
        <v>156879.94607232974</v>
      </c>
      <c r="N15" s="57">
        <f>'Pos-Neg U5MR 150'!L15+'Pos-Pos U5MR 150'!L15</f>
        <v>29659.151604369486</v>
      </c>
      <c r="O15" s="151" t="str">
        <f t="shared" si="8"/>
        <v>11-15</v>
      </c>
      <c r="P15" s="179">
        <f t="shared" si="0"/>
        <v>0.9078711410634932</v>
      </c>
      <c r="Q15" s="151" t="str">
        <f t="shared" si="9"/>
        <v>11-14</v>
      </c>
      <c r="R15" s="161">
        <f t="shared" si="1"/>
        <v>0.90961636492457099</v>
      </c>
      <c r="S15" s="151" t="str">
        <f t="shared" si="10"/>
        <v>11-13</v>
      </c>
      <c r="T15" s="161">
        <f t="shared" si="2"/>
        <v>0.91219223062848043</v>
      </c>
      <c r="U15" s="151" t="str">
        <f t="shared" si="11"/>
        <v>11-12</v>
      </c>
      <c r="V15" s="161">
        <f t="shared" si="3"/>
        <v>0.9154971896204056</v>
      </c>
      <c r="W15" s="151">
        <f t="shared" si="12"/>
        <v>11</v>
      </c>
      <c r="X15" s="152">
        <f t="shared" si="13"/>
        <v>0.91915207630307827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4"/>
        <v>#VALUE!</v>
      </c>
      <c r="AD15" s="153" t="e">
        <f t="shared" si="14"/>
        <v>#VALUE!</v>
      </c>
      <c r="AE15" s="150" t="e">
        <f t="shared" ca="1" si="5"/>
        <v>#VALUE!</v>
      </c>
    </row>
    <row r="16" spans="1:32">
      <c r="A16" s="48">
        <f>'HIV Neg U5MR 50'!A16</f>
        <v>12</v>
      </c>
      <c r="B16" s="9">
        <f>'Neg U5MR 150'!B16</f>
        <v>1031795.7875404547</v>
      </c>
      <c r="C16" s="9">
        <f>'Neg U5MR 150'!I16</f>
        <v>150144.23375741264</v>
      </c>
      <c r="D16" s="5">
        <v>0</v>
      </c>
      <c r="E16" s="9">
        <f>'HIV Pos Neg U5MR 50'!B16</f>
        <v>87484.212459545393</v>
      </c>
      <c r="F16" s="9">
        <f>'Pos-Neg U5MR 150'!I16</f>
        <v>13792.375165811962</v>
      </c>
      <c r="G16" s="10">
        <f>'Base values'!C69</f>
        <v>0.94565217391304346</v>
      </c>
      <c r="H16" s="9">
        <f>'HIV Pos Pos U5MR 50'!B16</f>
        <v>28900</v>
      </c>
      <c r="I16" s="9">
        <f>'Pos-Pos U5MR 150'!I16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C16+'Pos-Neg U5MR 150'!K16+'Pos-Pos U5MR 150'!K16</f>
        <v>151219.55331098559</v>
      </c>
      <c r="N16" s="57">
        <f>'Pos-Neg U5MR 150'!L16+'Pos-Pos U5MR 150'!L16</f>
        <v>32216.089612238993</v>
      </c>
      <c r="O16" s="151" t="str">
        <f t="shared" si="8"/>
        <v>12-16</v>
      </c>
      <c r="P16" s="179">
        <f t="shared" si="0"/>
        <v>0.90433244469137164</v>
      </c>
      <c r="Q16" s="151" t="str">
        <f t="shared" si="9"/>
        <v>12-15</v>
      </c>
      <c r="R16" s="161">
        <f t="shared" si="1"/>
        <v>0.9049182966550805</v>
      </c>
      <c r="S16" s="151" t="str">
        <f t="shared" si="10"/>
        <v>12-14</v>
      </c>
      <c r="T16" s="161">
        <f t="shared" si="2"/>
        <v>0.90631518983450132</v>
      </c>
      <c r="U16" s="151" t="str">
        <f t="shared" si="11"/>
        <v>12-13</v>
      </c>
      <c r="V16" s="161">
        <f t="shared" si="3"/>
        <v>0.90861075278985204</v>
      </c>
      <c r="W16" s="151">
        <f t="shared" si="12"/>
        <v>12</v>
      </c>
      <c r="X16" s="152">
        <f t="shared" si="13"/>
        <v>0.91177193257823619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4"/>
        <v>#VALUE!</v>
      </c>
      <c r="AD16" s="153" t="e">
        <f t="shared" si="14"/>
        <v>#VALUE!</v>
      </c>
      <c r="AE16" s="150" t="e">
        <f t="shared" ca="1" si="5"/>
        <v>#VALUE!</v>
      </c>
    </row>
    <row r="17" spans="1:32">
      <c r="A17" s="48">
        <f>'HIV Neg U5MR 50'!A17</f>
        <v>13</v>
      </c>
      <c r="B17" s="9">
        <f>'Neg U5MR 150'!B17</f>
        <v>998024.5859198774</v>
      </c>
      <c r="C17" s="9">
        <f>'Neg U5MR 150'!I17</f>
        <v>145255.9728040715</v>
      </c>
      <c r="D17" s="5">
        <v>0</v>
      </c>
      <c r="E17" s="9">
        <f>'HIV Pos Neg U5MR 50'!B17</f>
        <v>92593.414080122617</v>
      </c>
      <c r="F17" s="9">
        <f>'Pos-Neg U5MR 150'!I17</f>
        <v>14479.949044127916</v>
      </c>
      <c r="G17" s="10">
        <f>'Base values'!C70</f>
        <v>0.96739130434782605</v>
      </c>
      <c r="H17" s="9">
        <f>'HIV Pos Pos U5MR 50'!B17</f>
        <v>30992</v>
      </c>
      <c r="I17" s="9">
        <f>'Pos-Pos U5MR 150'!I17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C17+'Pos-Neg U5MR 150'!K17+'Pos-Pos U5MR 150'!K17</f>
        <v>145800.47251800355</v>
      </c>
      <c r="N17" s="57">
        <f>'Pos-Neg U5MR 150'!L17+'Pos-Pos U5MR 150'!L17</f>
        <v>34449.393330195868</v>
      </c>
      <c r="O17" s="151" t="str">
        <f t="shared" si="8"/>
        <v>13-17</v>
      </c>
      <c r="P17" s="179">
        <f t="shared" si="0"/>
        <v>0.90313326488320866</v>
      </c>
      <c r="Q17" s="151" t="str">
        <f t="shared" si="9"/>
        <v>13-16</v>
      </c>
      <c r="R17" s="161">
        <f t="shared" si="1"/>
        <v>0.90239623090623755</v>
      </c>
      <c r="S17" s="151" t="str">
        <f t="shared" si="10"/>
        <v>13-15</v>
      </c>
      <c r="T17" s="161">
        <f t="shared" si="2"/>
        <v>0.90255294911447181</v>
      </c>
      <c r="U17" s="151" t="str">
        <f t="shared" si="11"/>
        <v>13-14</v>
      </c>
      <c r="V17" s="161">
        <f t="shared" si="3"/>
        <v>0.90350954133178896</v>
      </c>
      <c r="W17" s="151">
        <f t="shared" si="12"/>
        <v>13</v>
      </c>
      <c r="X17" s="152">
        <f t="shared" si="13"/>
        <v>0.90538749489418191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4"/>
        <v>#VALUE!</v>
      </c>
      <c r="AD17" s="153" t="e">
        <f t="shared" si="14"/>
        <v>#VALUE!</v>
      </c>
      <c r="AE17" s="150" t="e">
        <f t="shared" ca="1" si="5"/>
        <v>#VALUE!</v>
      </c>
    </row>
    <row r="18" spans="1:32">
      <c r="A18" s="48">
        <f>'HIV Neg U5MR 50'!A18</f>
        <v>14</v>
      </c>
      <c r="B18" s="9">
        <f>'Neg U5MR 150'!B18</f>
        <v>964624.63545957068</v>
      </c>
      <c r="C18" s="9">
        <f>'Neg U5MR 150'!I18</f>
        <v>140582.60075830267</v>
      </c>
      <c r="D18" s="5">
        <v>0</v>
      </c>
      <c r="E18" s="9">
        <f>'HIV Pos Neg U5MR 50'!B18</f>
        <v>97518.364540429335</v>
      </c>
      <c r="F18" s="9">
        <f>'Pos-Neg U5MR 150'!I18</f>
        <v>15067.35454670782</v>
      </c>
      <c r="G18" s="10">
        <f>'Base values'!C71</f>
        <v>0.98913043478260865</v>
      </c>
      <c r="H18" s="9">
        <f>'HIV Pos Pos U5MR 50'!B18</f>
        <v>32797</v>
      </c>
      <c r="I18" s="9">
        <f>'Pos-Pos U5MR 150'!I18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C18+'Pos-Neg U5MR 150'!K18+'Pos-Pos U5MR 150'!K18</f>
        <v>140726.67864464351</v>
      </c>
      <c r="N18" s="57">
        <f>'Pos-Neg U5MR 150'!L18+'Pos-Pos U5MR 150'!L18</f>
        <v>36184.734160366992</v>
      </c>
      <c r="O18" s="151" t="str">
        <f t="shared" si="8"/>
        <v>14-18</v>
      </c>
      <c r="P18" s="179">
        <f t="shared" si="0"/>
        <v>0.9046737888730062</v>
      </c>
      <c r="Q18" s="151" t="str">
        <f t="shared" si="9"/>
        <v>14-17</v>
      </c>
      <c r="R18" s="161">
        <f t="shared" si="1"/>
        <v>0.90257290691096892</v>
      </c>
      <c r="S18" s="151" t="str">
        <f t="shared" si="10"/>
        <v>14-16</v>
      </c>
      <c r="T18" s="161">
        <f t="shared" si="2"/>
        <v>0.90138367416295628</v>
      </c>
      <c r="U18" s="151" t="str">
        <f t="shared" si="11"/>
        <v>14-15</v>
      </c>
      <c r="V18" s="161">
        <f t="shared" si="3"/>
        <v>0.90111034383197564</v>
      </c>
      <c r="W18" s="151">
        <f t="shared" si="12"/>
        <v>14</v>
      </c>
      <c r="X18" s="152">
        <f t="shared" si="13"/>
        <v>0.90160290379478891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4"/>
        <v>#VALUE!</v>
      </c>
      <c r="AD18" s="153" t="e">
        <f t="shared" si="14"/>
        <v>#VALUE!</v>
      </c>
      <c r="AE18" s="150" t="e">
        <f t="shared" ca="1" si="5"/>
        <v>#VALUE!</v>
      </c>
    </row>
    <row r="19" spans="1:32">
      <c r="A19" s="48">
        <f>'HIV Neg U5MR 50'!A19</f>
        <v>15</v>
      </c>
      <c r="B19" s="9">
        <f>'Neg U5MR 150'!B19</f>
        <v>932494.89095396351</v>
      </c>
      <c r="C19" s="9">
        <f>'Neg U5MR 150'!I19</f>
        <v>136300.71570277208</v>
      </c>
      <c r="D19" s="5">
        <v>0</v>
      </c>
      <c r="E19" s="9">
        <f>'HIV Pos Neg U5MR 50'!B19</f>
        <v>101861.10904603652</v>
      </c>
      <c r="F19" s="9">
        <f>'Pos-Neg U5MR 150'!I19</f>
        <v>15477.802000066213</v>
      </c>
      <c r="G19" s="10">
        <f>'Base values'!C72</f>
        <v>1</v>
      </c>
      <c r="H19" s="9">
        <f>'HIV Pos Pos U5MR 50'!B19</f>
        <v>34264</v>
      </c>
      <c r="I19" s="9">
        <f>'Pos-Pos U5MR 150'!I19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C19+'Pos-Neg U5MR 150'!K19+'Pos-Pos U5MR 150'!K19</f>
        <v>136300.71570277208</v>
      </c>
      <c r="N19" s="57">
        <f>'Pos-Neg U5MR 150'!L19+'Pos-Pos U5MR 150'!L19</f>
        <v>37132.005000066209</v>
      </c>
      <c r="O19" s="151" t="str">
        <f t="shared" si="8"/>
        <v>15-19</v>
      </c>
      <c r="P19" s="179">
        <f t="shared" si="0"/>
        <v>0.90889857638039173</v>
      </c>
      <c r="Q19" s="151" t="str">
        <f t="shared" si="9"/>
        <v>15-18</v>
      </c>
      <c r="R19" s="161">
        <f t="shared" si="1"/>
        <v>0.90551892273346857</v>
      </c>
      <c r="S19" s="151" t="str">
        <f t="shared" si="10"/>
        <v>15-17</v>
      </c>
      <c r="T19" s="161">
        <f t="shared" si="2"/>
        <v>0.90294014620739826</v>
      </c>
      <c r="U19" s="151" t="str">
        <f t="shared" si="11"/>
        <v>15-16</v>
      </c>
      <c r="V19" s="161">
        <f t="shared" si="3"/>
        <v>0.90129452006901567</v>
      </c>
      <c r="W19" s="151">
        <f t="shared" si="12"/>
        <v>15</v>
      </c>
      <c r="X19" s="152">
        <f t="shared" si="13"/>
        <v>0.90062487156529314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4"/>
        <v>#VALUE!</v>
      </c>
      <c r="AD19" s="153" t="e">
        <f t="shared" si="14"/>
        <v>#VALUE!</v>
      </c>
      <c r="AE19" s="150" t="e">
        <f t="shared" ca="1" si="5"/>
        <v>#VALUE!</v>
      </c>
    </row>
    <row r="20" spans="1:32">
      <c r="A20" s="48">
        <f>'HIV Neg U5MR 50'!A20</f>
        <v>16</v>
      </c>
      <c r="B20" s="9">
        <f>'Neg U5MR 150'!B20</f>
        <v>903865.75167033426</v>
      </c>
      <c r="C20" s="9">
        <f>'Neg U5MR 150'!I20</f>
        <v>132600.07655522708</v>
      </c>
      <c r="D20" s="5">
        <v>0</v>
      </c>
      <c r="E20" s="9">
        <f>'HIV Pos Neg U5MR 50'!B20</f>
        <v>105039.24832966569</v>
      </c>
      <c r="F20" s="9">
        <f>'Pos-Neg U5MR 150'!I20</f>
        <v>15618.528495266879</v>
      </c>
      <c r="G20" s="10">
        <f>'Base values'!C73</f>
        <v>1</v>
      </c>
      <c r="H20" s="9">
        <f>'HIV Pos Pos U5MR 50'!B20</f>
        <v>35185</v>
      </c>
      <c r="I20" s="9">
        <f>'Pos-Pos U5MR 150'!I20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C20+'Pos-Neg U5MR 150'!K20+'Pos-Pos U5MR 150'!K20</f>
        <v>132600.07655522708</v>
      </c>
      <c r="N20" s="57">
        <f>'Pos-Neg U5MR 150'!L20+'Pos-Pos U5MR 150'!L20</f>
        <v>37214.607995266881</v>
      </c>
      <c r="O20" s="151" t="str">
        <f t="shared" si="8"/>
        <v>16-20</v>
      </c>
      <c r="P20" s="179">
        <f t="shared" si="0"/>
        <v>0.91554625985649063</v>
      </c>
      <c r="Q20" s="151" t="str">
        <f t="shared" si="9"/>
        <v>16-19</v>
      </c>
      <c r="R20" s="161">
        <f t="shared" si="1"/>
        <v>0.91111228492807572</v>
      </c>
      <c r="S20" s="151" t="str">
        <f t="shared" si="10"/>
        <v>16-18</v>
      </c>
      <c r="T20" s="161">
        <f t="shared" si="2"/>
        <v>0.90724750001432308</v>
      </c>
      <c r="U20" s="151" t="str">
        <f t="shared" si="11"/>
        <v>16-17</v>
      </c>
      <c r="V20" s="161">
        <f t="shared" si="3"/>
        <v>0.90415489372828428</v>
      </c>
      <c r="W20" s="151">
        <f t="shared" si="12"/>
        <v>16</v>
      </c>
      <c r="X20" s="152">
        <f t="shared" si="13"/>
        <v>0.90199169214002406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4"/>
        <v>#VALUE!</v>
      </c>
      <c r="AD20" s="153" t="e">
        <f t="shared" si="14"/>
        <v>#VALUE!</v>
      </c>
      <c r="AE20" s="150" t="e">
        <f t="shared" ca="1" si="5"/>
        <v>#VALUE!</v>
      </c>
    </row>
    <row r="21" spans="1:32">
      <c r="A21" s="48">
        <f>'HIV Neg U5MR 50'!A21</f>
        <v>17</v>
      </c>
      <c r="B21" s="9">
        <f>'Neg U5MR 150'!B21</f>
        <v>879136.63873421436</v>
      </c>
      <c r="C21" s="9">
        <f>'Neg U5MR 150'!I21</f>
        <v>129537.55223469732</v>
      </c>
      <c r="D21" s="5">
        <v>0</v>
      </c>
      <c r="E21" s="9">
        <f>'HIV Pos Neg U5MR 50'!B21</f>
        <v>106211.36126578561</v>
      </c>
      <c r="F21" s="9">
        <f>'Pos-Neg U5MR 150'!I21</f>
        <v>15396.56098707982</v>
      </c>
      <c r="G21" s="10">
        <f>'Base values'!C74</f>
        <v>1</v>
      </c>
      <c r="H21" s="9">
        <f>'HIV Pos Pos U5MR 50'!B21</f>
        <v>35412</v>
      </c>
      <c r="I21" s="9">
        <f>'Pos-Pos U5MR 150'!I21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C21+'Pos-Neg U5MR 150'!K21+'Pos-Pos U5MR 150'!K21</f>
        <v>129537.55223469732</v>
      </c>
      <c r="N21" s="57">
        <f>'Pos-Neg U5MR 150'!L21+'Pos-Pos U5MR 150'!L21</f>
        <v>36403.244987079823</v>
      </c>
      <c r="O21" s="151" t="str">
        <f t="shared" si="8"/>
        <v>17-21</v>
      </c>
      <c r="P21" s="179">
        <f t="shared" si="0"/>
        <v>0.9242797037117525</v>
      </c>
      <c r="Q21" s="151" t="str">
        <f t="shared" si="9"/>
        <v>17-20</v>
      </c>
      <c r="R21" s="161">
        <f t="shared" si="1"/>
        <v>0.91915687660977963</v>
      </c>
      <c r="S21" s="151" t="str">
        <f t="shared" si="10"/>
        <v>17-19</v>
      </c>
      <c r="T21" s="161">
        <f t="shared" si="2"/>
        <v>0.91431458145486355</v>
      </c>
      <c r="U21" s="151" t="str">
        <f t="shared" si="11"/>
        <v>17-18</v>
      </c>
      <c r="V21" s="161">
        <f t="shared" si="3"/>
        <v>0.90998306705660326</v>
      </c>
      <c r="W21" s="151">
        <f t="shared" si="12"/>
        <v>17</v>
      </c>
      <c r="X21" s="152">
        <f t="shared" si="13"/>
        <v>0.90637888008169731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4"/>
        <v>#VALUE!</v>
      </c>
      <c r="AD21" s="153" t="e">
        <f t="shared" si="14"/>
        <v>#VALUE!</v>
      </c>
      <c r="AE21" s="150" t="e">
        <f t="shared" ca="1" si="5"/>
        <v>#VALUE!</v>
      </c>
    </row>
    <row r="22" spans="1:32">
      <c r="A22" s="48">
        <f>'HIV Neg U5MR 50'!A22</f>
        <v>18</v>
      </c>
      <c r="B22" s="9">
        <f>'Neg U5MR 150'!B22</f>
        <v>858590.99039825355</v>
      </c>
      <c r="C22" s="9">
        <f>'Neg U5MR 150'!I22</f>
        <v>127179.73567508931</v>
      </c>
      <c r="D22" s="5">
        <v>0</v>
      </c>
      <c r="E22" s="9">
        <f>'HIV Pos Neg U5MR 50'!B22</f>
        <v>104648.00960174639</v>
      </c>
      <c r="F22" s="9">
        <f>'Pos-Neg U5MR 150'!I22</f>
        <v>14756.837169362694</v>
      </c>
      <c r="G22" s="10">
        <f>'Base values'!C75</f>
        <v>1</v>
      </c>
      <c r="H22" s="9">
        <f>'HIV Pos Pos U5MR 50'!B22</f>
        <v>34706</v>
      </c>
      <c r="I22" s="9">
        <f>'Pos-Pos U5MR 150'!I22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C22+'Pos-Neg U5MR 150'!K22+'Pos-Pos U5MR 150'!K22</f>
        <v>127179.73567508931</v>
      </c>
      <c r="N22" s="103">
        <f>'Pos-Neg U5MR 150'!L22+'Pos-Pos U5MR 150'!L22</f>
        <v>34607.021669362686</v>
      </c>
      <c r="O22" s="151" t="str">
        <f t="shared" si="8"/>
        <v>18-22</v>
      </c>
      <c r="P22" s="179">
        <f t="shared" si="0"/>
        <v>0.93443551715193496</v>
      </c>
      <c r="Q22" s="151" t="str">
        <f t="shared" si="9"/>
        <v>18-21</v>
      </c>
      <c r="R22" s="161">
        <f t="shared" si="1"/>
        <v>0.92904044866939517</v>
      </c>
      <c r="S22" s="151" t="str">
        <f t="shared" si="10"/>
        <v>18-20</v>
      </c>
      <c r="T22" s="161">
        <f t="shared" si="2"/>
        <v>0.92363585888194877</v>
      </c>
      <c r="U22" s="151" t="str">
        <f t="shared" si="11"/>
        <v>18-19</v>
      </c>
      <c r="V22" s="161">
        <f t="shared" si="3"/>
        <v>0.91843727183193358</v>
      </c>
      <c r="W22" s="151">
        <f t="shared" si="12"/>
        <v>18</v>
      </c>
      <c r="X22" s="152">
        <f t="shared" si="13"/>
        <v>0.9136823321539268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4"/>
        <v>#VALUE!</v>
      </c>
      <c r="AD22" s="153" t="e">
        <f t="shared" si="14"/>
        <v>#VALUE!</v>
      </c>
      <c r="AE22" s="150" t="e">
        <f t="shared" ca="1" si="5"/>
        <v>#VALUE!</v>
      </c>
    </row>
    <row r="23" spans="1:32">
      <c r="A23" s="48">
        <f>'HIV Neg U5MR 50'!A23</f>
        <v>19</v>
      </c>
      <c r="B23" s="9">
        <f>'Neg U5MR 150'!B23</f>
        <v>843666.6351556615</v>
      </c>
      <c r="C23" s="9">
        <f>'Neg U5MR 150'!I23</f>
        <v>125582.63718633683</v>
      </c>
      <c r="D23" s="5">
        <v>0</v>
      </c>
      <c r="E23" s="9">
        <f>'HIV Pos Neg U5MR 50'!B23</f>
        <v>99999.364844338474</v>
      </c>
      <c r="F23" s="9">
        <f>'Pos-Neg U5MR 150'!I23</f>
        <v>13699.43916588283</v>
      </c>
      <c r="G23" s="10">
        <f>'Base values'!C76</f>
        <v>1</v>
      </c>
      <c r="H23" s="9">
        <f>'HIV Pos Pos U5MR 50'!B23</f>
        <v>32990</v>
      </c>
      <c r="I23" s="9">
        <f>'Pos-Pos U5MR 150'!I23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C23+'Pos-Neg U5MR 150'!K23+'Pos-Pos U5MR 150'!K23</f>
        <v>125582.63718633683</v>
      </c>
      <c r="N23" s="103">
        <f>'Pos-Neg U5MR 150'!L23+'Pos-Pos U5MR 150'!L23</f>
        <v>31870.374665882831</v>
      </c>
      <c r="O23" s="151" t="str">
        <f t="shared" si="8"/>
        <v>19-23</v>
      </c>
      <c r="P23" s="179">
        <f t="shared" si="0"/>
        <v>0.94520636805458802</v>
      </c>
      <c r="Q23" s="151" t="str">
        <f t="shared" si="9"/>
        <v>19-22</v>
      </c>
      <c r="R23" s="161">
        <f t="shared" si="1"/>
        <v>0.93994813191428239</v>
      </c>
      <c r="S23" s="151" t="str">
        <f t="shared" si="10"/>
        <v>19-21</v>
      </c>
      <c r="T23" s="161">
        <f t="shared" si="2"/>
        <v>0.93441914133215276</v>
      </c>
      <c r="U23" s="151" t="str">
        <f t="shared" si="11"/>
        <v>19-20</v>
      </c>
      <c r="V23" s="161">
        <f t="shared" si="3"/>
        <v>0.9288033081726399</v>
      </c>
      <c r="W23" s="151">
        <f t="shared" si="12"/>
        <v>19</v>
      </c>
      <c r="X23" s="152">
        <f t="shared" si="13"/>
        <v>0.92331390192455598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4"/>
        <v>#VALUE!</v>
      </c>
      <c r="AD23" s="153" t="e">
        <f t="shared" si="14"/>
        <v>#VALUE!</v>
      </c>
      <c r="AE23" s="150" t="e">
        <f t="shared" ca="1" si="5"/>
        <v>#VALUE!</v>
      </c>
    </row>
    <row r="24" spans="1:32" ht="13.5" thickBot="1">
      <c r="A24" s="48">
        <f>'HIV Neg U5MR 50'!A24</f>
        <v>20</v>
      </c>
      <c r="B24" s="9">
        <f>'Neg U5MR 150'!B24</f>
        <v>833406.34579112253</v>
      </c>
      <c r="C24" s="9">
        <f>'Neg U5MR 150'!I24</f>
        <v>124643.0113368137</v>
      </c>
      <c r="D24" s="5">
        <v>0</v>
      </c>
      <c r="E24" s="9">
        <f>'HIV Pos Neg U5MR 50'!B24</f>
        <v>92241.654208877473</v>
      </c>
      <c r="F24" s="9">
        <f>'Pos-Neg U5MR 150'!I24</f>
        <v>12278.368354007338</v>
      </c>
      <c r="G24" s="10">
        <f>'Base values'!C77</f>
        <v>1</v>
      </c>
      <c r="H24" s="9">
        <f>'HIV Pos Pos U5MR 50'!B24</f>
        <v>30311</v>
      </c>
      <c r="I24" s="9">
        <f>'Pos-Pos U5MR 150'!I24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C24+'Pos-Neg U5MR 150'!K24+'Pos-Pos U5MR 150'!K24</f>
        <v>124643.0113368137</v>
      </c>
      <c r="N24" s="103">
        <f>'Pos-Neg U5MR 150'!L24+'Pos-Pos U5MR 150'!L24</f>
        <v>28360.974854007338</v>
      </c>
      <c r="O24" s="159" t="str">
        <f t="shared" si="8"/>
        <v>20-24</v>
      </c>
      <c r="P24" s="180">
        <f t="shared" si="0"/>
        <v>0.95580772748574394</v>
      </c>
      <c r="Q24" s="151" t="str">
        <f t="shared" si="9"/>
        <v>20-23</v>
      </c>
      <c r="R24" s="161">
        <f t="shared" si="1"/>
        <v>0.95101383404180306</v>
      </c>
      <c r="S24" s="151" t="str">
        <f t="shared" si="10"/>
        <v>20-22</v>
      </c>
      <c r="T24" s="161">
        <f t="shared" si="2"/>
        <v>0.94576583975876327</v>
      </c>
      <c r="U24" s="146" t="str">
        <f t="shared" si="11"/>
        <v>20-21</v>
      </c>
      <c r="V24" s="161">
        <f t="shared" si="3"/>
        <v>0.9401799718022309</v>
      </c>
      <c r="W24" s="146">
        <f t="shared" si="12"/>
        <v>20</v>
      </c>
      <c r="X24" s="152">
        <f t="shared" si="13"/>
        <v>0.93443188809333522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4"/>
        <v>#VALUE!</v>
      </c>
      <c r="AD24" s="153" t="e">
        <f t="shared" si="14"/>
        <v>#VALUE!</v>
      </c>
      <c r="AE24" s="150" t="e">
        <f t="shared" ca="1" si="5"/>
        <v>#VALUE!</v>
      </c>
    </row>
    <row r="25" spans="1:32" ht="13.5" thickBot="1">
      <c r="A25" s="48">
        <f>'HIV Neg U5MR 50'!A25</f>
        <v>21</v>
      </c>
      <c r="B25" s="9">
        <f>'Neg U5MR 150'!B25</f>
        <v>827393.24855432892</v>
      </c>
      <c r="C25" s="9">
        <f>'Neg U5MR 150'!I25</f>
        <v>124304.06501730757</v>
      </c>
      <c r="D25" s="5">
        <v>0</v>
      </c>
      <c r="E25" s="9">
        <f>'HIV Pos Neg U5MR 50'!B25</f>
        <v>81886.751445671107</v>
      </c>
      <c r="F25" s="9">
        <f>'Pos-Neg U5MR 150'!I25</f>
        <v>10606.011302769006</v>
      </c>
      <c r="G25" s="10">
        <f>'Base values'!C78</f>
        <v>1</v>
      </c>
      <c r="H25" s="9">
        <f>'HIV Pos Pos U5MR 50'!B25</f>
        <v>26880</v>
      </c>
      <c r="I25" s="9">
        <f>'Pos-Pos U5MR 150'!I25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C25+'Pos-Neg U5MR 150'!K25+'Pos-Pos U5MR 150'!K25</f>
        <v>124304.06501730757</v>
      </c>
      <c r="N25" s="103">
        <f>'Pos-Neg U5MR 150'!L25+'Pos-Pos U5MR 150'!L25</f>
        <v>24358.564802769004</v>
      </c>
      <c r="O25" s="154"/>
      <c r="P25" s="149"/>
      <c r="Q25" s="159" t="str">
        <f t="shared" si="9"/>
        <v>21-24</v>
      </c>
      <c r="R25" s="182">
        <f t="shared" si="1"/>
        <v>0.96147923273306879</v>
      </c>
      <c r="S25" s="151" t="str">
        <f t="shared" si="10"/>
        <v>21-23</v>
      </c>
      <c r="T25" s="161">
        <f t="shared" si="2"/>
        <v>0.95680505457351128</v>
      </c>
      <c r="U25" s="146" t="str">
        <f t="shared" si="11"/>
        <v>21-22</v>
      </c>
      <c r="V25" s="161">
        <f t="shared" si="3"/>
        <v>0.95163485457873787</v>
      </c>
      <c r="W25" s="146">
        <f t="shared" si="12"/>
        <v>21</v>
      </c>
      <c r="X25" s="152">
        <f t="shared" si="13"/>
        <v>0.94606642076561354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4"/>
        <v>#VALUE!</v>
      </c>
      <c r="AD25" s="153" t="e">
        <f t="shared" si="14"/>
        <v>#VALUE!</v>
      </c>
      <c r="AE25" s="150" t="e">
        <f t="shared" ca="1" si="5"/>
        <v>#VALUE!</v>
      </c>
      <c r="AF25" s="46"/>
    </row>
    <row r="26" spans="1:32" ht="13.5" thickBot="1">
      <c r="A26" s="99">
        <f>'HIV Neg U5MR 50'!A26</f>
        <v>22</v>
      </c>
      <c r="B26" s="171">
        <f>'Neg U5MR 150'!B26</f>
        <v>826385.49363108212</v>
      </c>
      <c r="C26" s="171">
        <f>'Neg U5MR 150'!I26</f>
        <v>124512.95228037088</v>
      </c>
      <c r="D26" s="172">
        <v>0</v>
      </c>
      <c r="E26" s="171">
        <f>'HIV Pos Neg U5MR 50'!B26</f>
        <v>69939.506368917864</v>
      </c>
      <c r="F26" s="171">
        <f>'Pos-Neg U5MR 150'!I26</f>
        <v>8828.0173093460435</v>
      </c>
      <c r="G26" s="173">
        <f>'Base values'!C79</f>
        <v>1</v>
      </c>
      <c r="H26" s="171">
        <f>'HIV Pos Pos U5MR 50'!B26</f>
        <v>23012</v>
      </c>
      <c r="I26" s="171">
        <f>'Pos-Pos U5MR 150'!I26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C26+'Pos-Neg U5MR 150'!K26+'Pos-Pos U5MR 150'!K26</f>
        <v>124512.95228037088</v>
      </c>
      <c r="N26" s="174">
        <f>'Pos-Neg U5MR 150'!L26+'Pos-Pos U5MR 150'!L26</f>
        <v>20178.807309346044</v>
      </c>
      <c r="O26" s="154"/>
      <c r="P26" s="149"/>
      <c r="Q26" s="158"/>
      <c r="R26" s="161"/>
      <c r="S26" s="159" t="str">
        <f t="shared" si="10"/>
        <v>22-24</v>
      </c>
      <c r="T26" s="182">
        <f t="shared" si="2"/>
        <v>0.96687654515989607</v>
      </c>
      <c r="U26" s="146" t="str">
        <f t="shared" si="11"/>
        <v>22-23</v>
      </c>
      <c r="V26" s="161">
        <f t="shared" si="3"/>
        <v>0.9623669963127558</v>
      </c>
      <c r="W26" s="146">
        <f t="shared" si="12"/>
        <v>22</v>
      </c>
      <c r="X26" s="152">
        <f t="shared" si="13"/>
        <v>0.95733246473816302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4"/>
        <v>#VALUE!</v>
      </c>
      <c r="AD26" s="153" t="e">
        <f t="shared" si="14"/>
        <v>#VALUE!</v>
      </c>
      <c r="AE26" s="150" t="e">
        <f t="shared" ca="1" si="5"/>
        <v>#VALUE!</v>
      </c>
      <c r="AF26" s="46"/>
    </row>
    <row r="27" spans="1:32" s="116" customFormat="1" ht="13.5" thickBot="1">
      <c r="A27" s="208">
        <f>'HIV Neg U5MR 50'!A27</f>
        <v>23</v>
      </c>
      <c r="B27" s="189">
        <f>'Neg U5MR 150'!B27</f>
        <v>830227.93305620481</v>
      </c>
      <c r="C27" s="189">
        <f>'Neg U5MR 150'!I27</f>
        <v>125047.08032835506</v>
      </c>
      <c r="D27" s="190">
        <v>0</v>
      </c>
      <c r="E27" s="189">
        <f>'HIV Pos Neg U5MR 50'!B27</f>
        <v>57515.066943795158</v>
      </c>
      <c r="F27" s="189">
        <f>'Pos-Neg U5MR 150'!I27</f>
        <v>7080.6311881472557</v>
      </c>
      <c r="G27" s="191">
        <f>'Base values'!C80</f>
        <v>1</v>
      </c>
      <c r="H27" s="189">
        <f>'HIV Pos Pos U5MR 50'!B27</f>
        <v>18989</v>
      </c>
      <c r="I27" s="189">
        <f>'Pos-Pos U5MR 150'!I27</f>
        <v>9025.3445000000011</v>
      </c>
      <c r="J27" s="191">
        <f>'Base values'!C80</f>
        <v>1</v>
      </c>
      <c r="K27" s="189">
        <f t="shared" ref="K27:K33" si="15">B27*(1-D27) + E27*(1-G27) + H27*(1-J27)</f>
        <v>830227.93305620481</v>
      </c>
      <c r="L27" s="189">
        <f t="shared" ref="L27:L33" si="16">E27*G27+H27*J27</f>
        <v>76504.066943795158</v>
      </c>
      <c r="M27" s="189">
        <f>C27+'Pos-Neg U5MR 150'!K27+'Pos-Pos U5MR 150'!K27</f>
        <v>125047.08032835506</v>
      </c>
      <c r="N27" s="192">
        <f>'Pos-Neg U5MR 150'!L27+'Pos-Pos U5MR 150'!L27</f>
        <v>16105.975688147257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3"/>
        <v>0.97184860369423498</v>
      </c>
      <c r="W27" s="146">
        <f t="shared" si="12"/>
        <v>23</v>
      </c>
      <c r="X27" s="152">
        <f t="shared" si="13"/>
        <v>0.96753096379122061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208">
        <f>'HIV Neg U5MR 50'!A28</f>
        <v>24</v>
      </c>
      <c r="B28" s="189">
        <f>'Neg U5MR 150'!B28</f>
        <v>836633.84568017919</v>
      </c>
      <c r="C28" s="189">
        <f>'Neg U5MR 150'!I28</f>
        <v>125482.38748718718</v>
      </c>
      <c r="D28" s="190">
        <v>0</v>
      </c>
      <c r="E28" s="189">
        <f>'HIV Pos Neg U5MR 50'!B28</f>
        <v>45524.15431982078</v>
      </c>
      <c r="F28" s="189">
        <f>'Pos-Neg U5MR 150'!I28</f>
        <v>5465.8655482396662</v>
      </c>
      <c r="G28" s="191">
        <f>'Base values'!C81</f>
        <v>1</v>
      </c>
      <c r="H28" s="189">
        <f>'HIV Pos Pos U5MR 50'!B28</f>
        <v>15077</v>
      </c>
      <c r="I28" s="189">
        <f>'Pos-Pos U5MR 150'!I28</f>
        <v>6889.0535</v>
      </c>
      <c r="J28" s="191">
        <f>'Base values'!C81</f>
        <v>1</v>
      </c>
      <c r="K28" s="189">
        <f t="shared" si="15"/>
        <v>836633.84568017919</v>
      </c>
      <c r="L28" s="189">
        <f t="shared" si="16"/>
        <v>60601.15431982078</v>
      </c>
      <c r="M28" s="189">
        <f>C28+'Pos-Neg U5MR 150'!K28+'Pos-Pos U5MR 150'!K28</f>
        <v>125482.38748718718</v>
      </c>
      <c r="N28" s="192">
        <f>'Pos-Neg U5MR 150'!L28+'Pos-Pos U5MR 150'!L28</f>
        <v>12354.919048239666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0.97630782891694812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09">
        <f>'HIV Neg U5MR 50'!A29</f>
        <v>25</v>
      </c>
      <c r="B29" s="194">
        <f>'Neg U5MR 150'!B29</f>
        <v>840389.38258109975</v>
      </c>
      <c r="C29" s="194">
        <f>'Neg U5MR 150'!I29</f>
        <v>123303.87457943227</v>
      </c>
      <c r="D29" s="195">
        <v>0</v>
      </c>
      <c r="E29" s="194">
        <f>'HIV Pos Neg U5MR 50'!B29</f>
        <v>34523.6174189003</v>
      </c>
      <c r="F29" s="194">
        <f>'Pos-Neg U5MR 150'!I29</f>
        <v>4040.7855986544937</v>
      </c>
      <c r="G29" s="196">
        <f>'Base values'!C82</f>
        <v>1</v>
      </c>
      <c r="H29" s="194">
        <f>'HIV Pos Pos U5MR 50'!B29</f>
        <v>11406</v>
      </c>
      <c r="I29" s="194">
        <f>'Pos-Pos U5MR 150'!I29</f>
        <v>5014.1195000000007</v>
      </c>
      <c r="J29" s="196">
        <f>'Base values'!C82</f>
        <v>1</v>
      </c>
      <c r="K29" s="194">
        <f t="shared" si="15"/>
        <v>840389.38258109975</v>
      </c>
      <c r="L29" s="194">
        <f t="shared" si="16"/>
        <v>45929.6174189003</v>
      </c>
      <c r="M29" s="194">
        <f>C29+'Pos-Neg U5MR 150'!K29+'Pos-Pos U5MR 150'!K29</f>
        <v>123303.87457943227</v>
      </c>
      <c r="N29" s="197">
        <f>'Pos-Neg U5MR 150'!L29+'Pos-Pos U5MR 150'!L29</f>
        <v>9054.9050986544935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0">
        <f>'HIV Neg U5MR 50'!A30</f>
        <v>26</v>
      </c>
      <c r="B30" s="199">
        <f>'Neg U5MR 150'!B30</f>
        <v>839518.91477298003</v>
      </c>
      <c r="C30" s="199">
        <f>'Neg U5MR 150'!I30</f>
        <v>117730.73904661866</v>
      </c>
      <c r="D30" s="200">
        <v>0</v>
      </c>
      <c r="E30" s="199">
        <f>'HIV Pos Neg U5MR 50'!B30</f>
        <v>25185.085227019939</v>
      </c>
      <c r="F30" s="199">
        <f>'Pos-Neg U5MR 150'!I30</f>
        <v>2856.1079917134361</v>
      </c>
      <c r="G30" s="201">
        <f>'Base values'!C83</f>
        <v>1</v>
      </c>
      <c r="H30" s="199">
        <f>'HIV Pos Pos U5MR 50'!B30</f>
        <v>8309</v>
      </c>
      <c r="I30" s="199">
        <f>'Pos-Pos U5MR 150'!I30</f>
        <v>3497.8670000000002</v>
      </c>
      <c r="J30" s="201">
        <f>'Base values'!C83</f>
        <v>1</v>
      </c>
      <c r="K30" s="199">
        <f t="shared" si="15"/>
        <v>839518.91477298003</v>
      </c>
      <c r="L30" s="199">
        <f t="shared" si="16"/>
        <v>33494.085227019939</v>
      </c>
      <c r="M30" s="199">
        <f>C30+'Pos-Neg U5MR 150'!K30+'Pos-Pos U5MR 150'!K30</f>
        <v>117730.73904661866</v>
      </c>
      <c r="N30" s="202">
        <f>'Pos-Neg U5MR 150'!L30+'Pos-Pos U5MR 150'!L30</f>
        <v>6353.9749917134359</v>
      </c>
      <c r="O30" s="125"/>
    </row>
    <row r="31" spans="1:32" s="116" customFormat="1">
      <c r="A31" s="209">
        <f>'HIV Neg U5MR 50'!A31</f>
        <v>27</v>
      </c>
      <c r="B31" s="194">
        <f>'Neg U5MR 150'!B31</f>
        <v>832038.27103829291</v>
      </c>
      <c r="C31" s="194">
        <f>'Neg U5MR 150'!I31</f>
        <v>109423.09469535663</v>
      </c>
      <c r="D31" s="195">
        <v>0</v>
      </c>
      <c r="E31" s="194">
        <f>'HIV Pos Neg U5MR 50'!B31</f>
        <v>17622.728961707078</v>
      </c>
      <c r="F31" s="194">
        <f>'Pos-Neg U5MR 150'!I31</f>
        <v>1920.3643396167192</v>
      </c>
      <c r="G31" s="196">
        <f>'Base values'!C84</f>
        <v>1</v>
      </c>
      <c r="H31" s="194">
        <f>'HIV Pos Pos U5MR 50'!B31</f>
        <v>5805</v>
      </c>
      <c r="I31" s="194">
        <f>'Pos-Pos U5MR 150'!I31</f>
        <v>2314.4380000000001</v>
      </c>
      <c r="J31" s="196">
        <f>'Base values'!C84</f>
        <v>1</v>
      </c>
      <c r="K31" s="194">
        <f t="shared" si="15"/>
        <v>832038.27103829291</v>
      </c>
      <c r="L31" s="194">
        <f t="shared" si="16"/>
        <v>23427.728961707078</v>
      </c>
      <c r="M31" s="194">
        <f>C31+'Pos-Neg U5MR 150'!K31+'Pos-Pos U5MR 150'!K31</f>
        <v>109423.09469535663</v>
      </c>
      <c r="N31" s="197">
        <f>'Pos-Neg U5MR 150'!L31+'Pos-Pos U5MR 150'!L31</f>
        <v>4234.8023396167191</v>
      </c>
      <c r="O31" s="125"/>
    </row>
    <row r="32" spans="1:32" s="116" customFormat="1">
      <c r="A32" s="209">
        <f>'HIV Neg U5MR 50'!A32</f>
        <v>28</v>
      </c>
      <c r="B32" s="194">
        <f>'Neg U5MR 150'!B32</f>
        <v>819828.22422705835</v>
      </c>
      <c r="C32" s="194">
        <f>'Neg U5MR 150'!I32</f>
        <v>94178.428763648684</v>
      </c>
      <c r="D32" s="195">
        <v>0</v>
      </c>
      <c r="E32" s="194">
        <f>'HIV Pos Neg U5MR 50'!B32</f>
        <v>11855.775772941659</v>
      </c>
      <c r="F32" s="194">
        <f>'Pos-Neg U5MR 150'!I32</f>
        <v>1189.4896799147564</v>
      </c>
      <c r="G32" s="196">
        <f>'Base values'!C85</f>
        <v>1</v>
      </c>
      <c r="H32" s="194">
        <f>'HIV Pos Pos U5MR 50'!B32</f>
        <v>3928</v>
      </c>
      <c r="I32" s="194">
        <f>'Pos-Pos U5MR 150'!I32</f>
        <v>1382.0280000000002</v>
      </c>
      <c r="J32" s="196">
        <f>'Base values'!C85</f>
        <v>1</v>
      </c>
      <c r="K32" s="194">
        <f t="shared" si="15"/>
        <v>819828.22422705835</v>
      </c>
      <c r="L32" s="194">
        <f t="shared" si="16"/>
        <v>15783.775772941659</v>
      </c>
      <c r="M32" s="194">
        <f>C32+'Pos-Neg U5MR 150'!K32+'Pos-Pos U5MR 150'!K32</f>
        <v>94178.428763648684</v>
      </c>
      <c r="N32" s="197">
        <f>'Pos-Neg U5MR 150'!L32+'Pos-Pos U5MR 150'!L32</f>
        <v>2571.5176799147566</v>
      </c>
      <c r="O32" s="125"/>
    </row>
    <row r="33" spans="1:15" s="116" customFormat="1" ht="13.5" thickBot="1">
      <c r="A33" s="211">
        <f>'HIV Neg U5MR 50'!A33</f>
        <v>29</v>
      </c>
      <c r="B33" s="204">
        <f>'Neg U5MR 150'!B33</f>
        <v>805075.62538199848</v>
      </c>
      <c r="C33" s="204">
        <f>'Neg U5MR 150'!I33</f>
        <v>58526.888166691111</v>
      </c>
      <c r="D33" s="205">
        <v>0</v>
      </c>
      <c r="E33" s="204">
        <f>'HIV Pos Neg U5MR 50'!B33</f>
        <v>7627.3746180014859</v>
      </c>
      <c r="F33" s="204">
        <f>'Pos-Neg U5MR 150'!I33</f>
        <v>554.49014626596954</v>
      </c>
      <c r="G33" s="206">
        <f>'Base values'!C86</f>
        <v>1</v>
      </c>
      <c r="H33" s="204">
        <f>'HIV Pos Pos U5MR 50'!B33</f>
        <v>2564</v>
      </c>
      <c r="I33" s="204">
        <f>'Pos-Pos U5MR 150'!I33</f>
        <v>482.03199999999987</v>
      </c>
      <c r="J33" s="206">
        <f>'Base values'!C86</f>
        <v>1</v>
      </c>
      <c r="K33" s="204">
        <f t="shared" si="15"/>
        <v>805075.62538199848</v>
      </c>
      <c r="L33" s="204">
        <f t="shared" si="16"/>
        <v>10191.374618001486</v>
      </c>
      <c r="M33" s="204">
        <f>C33+'Pos-Neg U5MR 150'!K33+'Pos-Pos U5MR 150'!K33</f>
        <v>58526.888166691111</v>
      </c>
      <c r="N33" s="207">
        <f>'Pos-Neg U5MR 150'!L33+'Pos-Pos U5MR 150'!L33</f>
        <v>1036.5221462659695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O2:O3"/>
    <mergeCell ref="P2:P3"/>
    <mergeCell ref="M2:N2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I39"/>
  <sheetViews>
    <sheetView workbookViewId="0"/>
  </sheetViews>
  <sheetFormatPr defaultRowHeight="12.75"/>
  <sheetData>
    <row r="1" spans="1:9" ht="15.75">
      <c r="A1" s="32" t="s">
        <v>30</v>
      </c>
    </row>
    <row r="2" spans="1:9">
      <c r="A2" s="299" t="s">
        <v>40</v>
      </c>
      <c r="B2" s="11"/>
      <c r="C2" s="296" t="s">
        <v>10</v>
      </c>
      <c r="D2" s="296"/>
      <c r="E2" s="296"/>
      <c r="F2" s="296"/>
      <c r="G2" s="296"/>
      <c r="H2" s="296"/>
      <c r="I2" s="19" t="s">
        <v>11</v>
      </c>
    </row>
    <row r="3" spans="1:9">
      <c r="A3" s="300"/>
      <c r="B3" s="19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19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values'!V$40)</f>
        <v>136623.004038068</v>
      </c>
      <c r="D4" s="9">
        <f>B5*('Base values'!V$40-'Base values'!V$41)</f>
        <v>51080.604438867893</v>
      </c>
      <c r="E4" s="9">
        <f>B6*('Base values'!V$41-'Base values'!V$42)</f>
        <v>29487.28974875854</v>
      </c>
      <c r="F4" s="9">
        <f>B7*('Base values'!V$42-'Base values'!V$43)</f>
        <v>14808.00241294449</v>
      </c>
      <c r="G4" s="9">
        <f>B8*('Base values'!V$43-'Base values'!V$44)</f>
        <v>10111.072436121918</v>
      </c>
      <c r="H4" s="9">
        <f>B9*('Base values'!V$44-'Base values'!V$45)</f>
        <v>9643.8328643343721</v>
      </c>
      <c r="I4" s="9">
        <f>SUM(C4:H4)</f>
        <v>251753.80593909518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values'!V$40)</f>
        <v>135640.77585261792</v>
      </c>
      <c r="D5" s="9">
        <f>B6*('Base values'!V$40-'Base values'!V$41)</f>
        <v>50634.009561501945</v>
      </c>
      <c r="E5" s="9">
        <f>B7*('Base values'!V$41-'Base values'!V$42)</f>
        <v>29223.196868119059</v>
      </c>
      <c r="F5" s="9">
        <f>B8*('Base values'!V$42-'Base values'!V$43)</f>
        <v>14653.175673553156</v>
      </c>
      <c r="G5" s="9">
        <f>B9*('Base values'!V$43-'Base values'!V$44)</f>
        <v>9996.3545155424545</v>
      </c>
      <c r="H5" s="9">
        <f>B10*('Base values'!V$44-'Base values'!V$45)</f>
        <v>9474.8718530643309</v>
      </c>
      <c r="I5" s="9">
        <f t="shared" ref="I5:I26" si="0">SUM(C5:H5)</f>
        <v>249622.38432439888</v>
      </c>
    </row>
    <row r="6" spans="1:9">
      <c r="A6" s="28">
        <f t="shared" ref="A6:A30" si="1">1+A5</f>
        <v>2</v>
      </c>
      <c r="B6" s="9">
        <f>'Base values'!G6</f>
        <v>1248874.5119299444</v>
      </c>
      <c r="C6" s="9">
        <f>B6*(1-'Base values'!V$40)</f>
        <v>134454.8761099824</v>
      </c>
      <c r="D6" s="9">
        <f>B7*('Base values'!V$40-'Base values'!V$41)</f>
        <v>50180.523277840119</v>
      </c>
      <c r="E6" s="9">
        <f>B8*('Base values'!V$41-'Base values'!V$42)</f>
        <v>28917.650437242821</v>
      </c>
      <c r="F6" s="9">
        <f>B9*('Base values'!V$42-'Base values'!V$43)</f>
        <v>14486.924086120129</v>
      </c>
      <c r="G6" s="9">
        <f>B10*('Base values'!V$43-'Base values'!V$44)</f>
        <v>9821.2172862146563</v>
      </c>
      <c r="H6" s="9">
        <f>B11*('Base values'!V$44-'Base values'!V$45)</f>
        <v>9300.5478261517583</v>
      </c>
      <c r="I6" s="9">
        <f t="shared" si="0"/>
        <v>247161.7390235519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values'!V$40)</f>
        <v>133250.6767464446</v>
      </c>
      <c r="D7" s="9">
        <f>B8*('Base values'!V$40-'Base values'!V$41)</f>
        <v>49655.8551569552</v>
      </c>
      <c r="E7" s="9">
        <f>B9*('Base values'!V$41-'Base values'!V$42)</f>
        <v>28589.557374201067</v>
      </c>
      <c r="F7" s="9">
        <f>B10*('Base values'!V$42-'Base values'!V$43)</f>
        <v>14233.111584574655</v>
      </c>
      <c r="G7" s="9">
        <f>B11*('Base values'!V$43-'Base values'!V$44)</f>
        <v>9640.5210010229366</v>
      </c>
      <c r="H7" s="9">
        <f>B12*('Base values'!V$44-'Base values'!V$45)</f>
        <v>9118.7807480941065</v>
      </c>
      <c r="I7" s="9">
        <f t="shared" si="0"/>
        <v>244488.50261129258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values'!V$40)</f>
        <v>131857.45926666446</v>
      </c>
      <c r="D8" s="9">
        <f>B9*('Base values'!V$40-'Base values'!V$41)</f>
        <v>49092.47115548663</v>
      </c>
      <c r="E8" s="9">
        <f>B10*('Base values'!V$41-'Base values'!V$42)</f>
        <v>28088.665188110564</v>
      </c>
      <c r="F8" s="9">
        <f>B11*('Base values'!V$42-'Base values'!V$43)</f>
        <v>13971.242784088812</v>
      </c>
      <c r="G8" s="9">
        <f>B12*('Base values'!V$43-'Base values'!V$44)</f>
        <v>9452.1095906346072</v>
      </c>
      <c r="H8" s="9">
        <f>B13*('Base values'!V$44-'Base values'!V$45)</f>
        <v>8919.8524948912163</v>
      </c>
      <c r="I8" s="9">
        <f t="shared" si="0"/>
        <v>241381.80047987631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values'!V$40)</f>
        <v>130361.434622837</v>
      </c>
      <c r="D9" s="9">
        <f>B10*('Base values'!V$40-'Base values'!V$41)</f>
        <v>48232.365667465107</v>
      </c>
      <c r="E9" s="9">
        <f>B11*('Base values'!V$41-'Base values'!V$42)</f>
        <v>27571.874111447425</v>
      </c>
      <c r="F9" s="9">
        <f>B12*('Base values'!V$42-'Base values'!V$43)</f>
        <v>13698.193064312396</v>
      </c>
      <c r="G9" s="9">
        <f>B13*('Base values'!V$43-'Base values'!V$44)</f>
        <v>9245.9096937525355</v>
      </c>
      <c r="H9" s="9">
        <f>B14*('Base values'!V$44-'Base values'!V$45)</f>
        <v>8710.8621991611453</v>
      </c>
      <c r="I9" s="9">
        <f t="shared" si="0"/>
        <v>237820.6393589756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values'!V$40)</f>
        <v>128077.4879665292</v>
      </c>
      <c r="D10" s="9">
        <f>B11*('Base values'!V$40-'Base values'!V$41)</f>
        <v>47344.959448039262</v>
      </c>
      <c r="E10" s="9">
        <f>B12*('Base values'!V$41-'Base values'!V$42)</f>
        <v>27033.017789487636</v>
      </c>
      <c r="F10" s="9">
        <f>B13*('Base values'!V$42-'Base values'!V$43)</f>
        <v>13399.36390133585</v>
      </c>
      <c r="G10" s="9">
        <f>B14*('Base values'!V$43-'Base values'!V$44)</f>
        <v>9029.2799454133565</v>
      </c>
      <c r="H10" s="9">
        <f>B15*('Base values'!V$44-'Base values'!V$45)</f>
        <v>8488.4969613569046</v>
      </c>
      <c r="I10" s="9">
        <f t="shared" si="0"/>
        <v>233372.6060121622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values'!V$40)</f>
        <v>125721.04623249656</v>
      </c>
      <c r="D11" s="9">
        <f>B12*('Base values'!V$40-'Base values'!V$41)</f>
        <v>46419.66396002187</v>
      </c>
      <c r="E11" s="9">
        <f>B13*('Base values'!V$41-'Base values'!V$42)</f>
        <v>26443.286425589082</v>
      </c>
      <c r="F11" s="9">
        <f>B14*('Base values'!V$42-'Base values'!V$43)</f>
        <v>13085.419581523511</v>
      </c>
      <c r="G11" s="9">
        <f>B15*('Base values'!V$43-'Base values'!V$44)</f>
        <v>8798.7863460017797</v>
      </c>
      <c r="H11" s="9">
        <f>B16*('Base values'!V$44-'Base values'!V$45)</f>
        <v>8217.7334226826169</v>
      </c>
      <c r="I11" s="9">
        <f t="shared" si="0"/>
        <v>228685.93596831543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values'!V$40)</f>
        <v>123263.992341566</v>
      </c>
      <c r="D12" s="9">
        <f>B13*('Base values'!V$40-'Base values'!V$41)</f>
        <v>45407.008549070983</v>
      </c>
      <c r="E12" s="9">
        <f>B14*('Base values'!V$41-'Base values'!V$42)</f>
        <v>25823.725703780725</v>
      </c>
      <c r="F12" s="9">
        <f>B15*('Base values'!V$42-'Base values'!V$43)</f>
        <v>12751.383481481205</v>
      </c>
      <c r="G12" s="9">
        <f>B16*('Base values'!V$43-'Base values'!V$44)</f>
        <v>8518.1252892884331</v>
      </c>
      <c r="H12" s="9">
        <f>B17*('Base values'!V$44-'Base values'!V$45)</f>
        <v>7948.7628224603413</v>
      </c>
      <c r="I12" s="9">
        <f t="shared" si="0"/>
        <v>223712.9981876477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values'!V$40)</f>
        <v>120574.9606215691</v>
      </c>
      <c r="D13" s="9">
        <f>B14*('Base values'!V$40-'Base values'!V$41)</f>
        <v>44343.13174726026</v>
      </c>
      <c r="E13" s="9">
        <f>B15*('Base values'!V$41-'Base values'!V$42)</f>
        <v>25164.514390844834</v>
      </c>
      <c r="F13" s="9">
        <f>B16*('Base values'!V$42-'Base values'!V$43)</f>
        <v>12344.643662858849</v>
      </c>
      <c r="G13" s="9">
        <f>B17*('Base values'!V$43-'Base values'!V$44)</f>
        <v>8239.3227102823439</v>
      </c>
      <c r="H13" s="9">
        <f>B18*('Base values'!V$44-'Base values'!V$45)</f>
        <v>7682.7490506190361</v>
      </c>
      <c r="I13" s="9">
        <f t="shared" si="0"/>
        <v>218349.32218343439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values'!V$40)</f>
        <v>117749.91427776734</v>
      </c>
      <c r="D14" s="9">
        <f>B15*('Base values'!V$40-'Base values'!V$41)</f>
        <v>43211.169053956059</v>
      </c>
      <c r="E14" s="9">
        <f>B16*('Base values'!V$41-'Base values'!V$42)</f>
        <v>24361.824233034371</v>
      </c>
      <c r="F14" s="9">
        <f>B17*('Base values'!V$42-'Base values'!V$43)</f>
        <v>11940.597188637086</v>
      </c>
      <c r="G14" s="9">
        <f>B18*('Base values'!V$43-'Base values'!V$44)</f>
        <v>7963.5850438637708</v>
      </c>
      <c r="H14" s="9">
        <f>B19*('Base values'!V$44-'Base values'!V$45)</f>
        <v>7426.8518290231113</v>
      </c>
      <c r="I14" s="9">
        <f t="shared" si="0"/>
        <v>212653.94162628174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values'!V$40)</f>
        <v>114744.07087315855</v>
      </c>
      <c r="D15" s="9">
        <f>B16*('Base values'!V$40-'Base values'!V$41)</f>
        <v>41832.832100245018</v>
      </c>
      <c r="E15" s="9">
        <f>B17*('Base values'!V$41-'Base values'!V$42)</f>
        <v>23564.449318391573</v>
      </c>
      <c r="F15" s="9">
        <f>B18*('Base values'!V$42-'Base values'!V$43)</f>
        <v>11540.992449241445</v>
      </c>
      <c r="G15" s="9">
        <f>B19*('Base values'!V$43-'Base values'!V$44)</f>
        <v>7698.3337291011985</v>
      </c>
      <c r="H15" s="9">
        <f>B20*('Base values'!V$44-'Base values'!V$45)</f>
        <v>7198.8351637152091</v>
      </c>
      <c r="I15" s="9">
        <f t="shared" si="0"/>
        <v>206579.513633853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values'!V$40)</f>
        <v>111083.99879998159</v>
      </c>
      <c r="D16" s="9">
        <f>B17*('Base values'!V$40-'Base values'!V$41)</f>
        <v>40463.62220011084</v>
      </c>
      <c r="E16" s="9">
        <f>B18*('Base values'!V$41-'Base values'!V$42)</f>
        <v>22775.840048677779</v>
      </c>
      <c r="F16" s="9">
        <f>B19*('Base values'!V$42-'Base values'!V$43)</f>
        <v>11156.584747940506</v>
      </c>
      <c r="G16" s="9">
        <f>B20*('Base values'!V$43-'Base values'!V$44)</f>
        <v>7461.9821193279504</v>
      </c>
      <c r="H16" s="9">
        <f>B21*('Base values'!V$44-'Base values'!V$45)</f>
        <v>7001.8802426519378</v>
      </c>
      <c r="I16" s="9">
        <f t="shared" si="0"/>
        <v>199943.90815869061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values'!V$40)</f>
        <v>107448.16294409324</v>
      </c>
      <c r="D17" s="9">
        <f>B18*('Base values'!V$40-'Base values'!V$41)</f>
        <v>39109.464200403243</v>
      </c>
      <c r="E17" s="9">
        <f>B19*('Base values'!V$41-'Base values'!V$42)</f>
        <v>22017.221727349137</v>
      </c>
      <c r="F17" s="9">
        <f>B20*('Base values'!V$42-'Base values'!V$43)</f>
        <v>10814.059097905421</v>
      </c>
      <c r="G17" s="9">
        <f>B21*('Base values'!V$43-'Base values'!V$44)</f>
        <v>7257.827687970017</v>
      </c>
      <c r="H17" s="9">
        <f>B22*('Base values'!V$44-'Base values'!V$45)</f>
        <v>6838.2445086627749</v>
      </c>
      <c r="I17" s="9">
        <f t="shared" si="0"/>
        <v>193484.98016638382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values'!V$40)</f>
        <v>103852.29629910883</v>
      </c>
      <c r="D18" s="9">
        <f>B19*('Base values'!V$40-'Base values'!V$41)</f>
        <v>37806.805066146851</v>
      </c>
      <c r="E18" s="9">
        <f>B20*('Base values'!V$41-'Base values'!V$42)</f>
        <v>21341.25651447169</v>
      </c>
      <c r="F18" s="9">
        <f>B21*('Base values'!V$42-'Base values'!V$43)</f>
        <v>10518.194265948037</v>
      </c>
      <c r="G18" s="9">
        <f>B22*('Base values'!V$43-'Base values'!V$44)</f>
        <v>7088.2103966525592</v>
      </c>
      <c r="H18" s="9">
        <f>B23*('Base values'!V$44-'Base values'!V$45)</f>
        <v>6719.3795410305747</v>
      </c>
      <c r="I18" s="9">
        <f t="shared" si="0"/>
        <v>187326.14208335851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values'!V$40)</f>
        <v>100393.18109123185</v>
      </c>
      <c r="D19" s="9">
        <f>B20*('Base values'!V$40-'Base values'!V$41)</f>
        <v>36646.073464711008</v>
      </c>
      <c r="E19" s="9">
        <f>B21*('Base values'!V$41-'Base values'!V$42)</f>
        <v>20757.375178587685</v>
      </c>
      <c r="F19" s="9">
        <f>B22*('Base values'!V$42-'Base values'!V$43)</f>
        <v>10272.381372939011</v>
      </c>
      <c r="G19" s="9">
        <f>B23*('Base values'!V$43-'Base values'!V$44)</f>
        <v>6965.0004268568036</v>
      </c>
      <c r="H19" s="9">
        <f>B24*('Base values'!V$44-'Base values'!V$45)</f>
        <v>6637.6615074278634</v>
      </c>
      <c r="I19" s="9">
        <f t="shared" si="0"/>
        <v>181671.6730417542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values'!V$40)</f>
        <v>97310.943973935529</v>
      </c>
      <c r="D20" s="9">
        <f>B21*('Base values'!V$40-'Base values'!V$41)</f>
        <v>35643.463411504003</v>
      </c>
      <c r="E20" s="9">
        <f>B22*('Base values'!V$41-'Base values'!V$42)</f>
        <v>20272.270006073315</v>
      </c>
      <c r="F20" s="9">
        <f>B23*('Base values'!V$42-'Base values'!V$43)</f>
        <v>10093.822931828401</v>
      </c>
      <c r="G20" s="9">
        <f>B24*('Base values'!V$43-'Base values'!V$44)</f>
        <v>6880.2952639099449</v>
      </c>
      <c r="H20" s="9">
        <f>B25*('Base values'!V$44-'Base values'!V$45)</f>
        <v>6589.7702185378103</v>
      </c>
      <c r="I20" s="9">
        <f t="shared" si="0"/>
        <v>176790.565805789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values'!V$40)</f>
        <v>94648.586960181157</v>
      </c>
      <c r="D21" s="9">
        <f>B22*('Base values'!V$40-'Base values'!V$41)</f>
        <v>34810.466545643831</v>
      </c>
      <c r="E21" s="9">
        <f>B23*('Base values'!V$41-'Base values'!V$42)</f>
        <v>19919.889696324146</v>
      </c>
      <c r="F21" s="9">
        <f>B24*('Base values'!V$42-'Base values'!V$43)</f>
        <v>9971.0664546140688</v>
      </c>
      <c r="G21" s="9">
        <f>B25*('Base values'!V$43-'Base values'!V$44)</f>
        <v>6830.653351955857</v>
      </c>
      <c r="H21" s="9">
        <f>B26*('Base values'!V$44-'Base values'!V$45)</f>
        <v>6581.7439584826316</v>
      </c>
      <c r="I21" s="9">
        <f t="shared" si="0"/>
        <v>172762.40696720171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values'!V$40)</f>
        <v>92436.625249679186</v>
      </c>
      <c r="D22" s="9">
        <f>B23*('Base values'!V$40-'Base values'!V$41)</f>
        <v>34205.377772645435</v>
      </c>
      <c r="E22" s="9">
        <f>B24*('Base values'!V$41-'Base values'!V$42)</f>
        <v>19677.633070451684</v>
      </c>
      <c r="F22" s="9">
        <f>B25*('Base values'!V$42-'Base values'!V$43)</f>
        <v>9899.1243672410583</v>
      </c>
      <c r="G22" s="9">
        <f>B26*('Base values'!V$43-'Base values'!V$44)</f>
        <v>6822.3336991710976</v>
      </c>
      <c r="H22" s="9">
        <f>B27*('Base values'!V$44-'Base values'!V$45)</f>
        <v>6612.347051914262</v>
      </c>
      <c r="I22" s="9">
        <f t="shared" si="0"/>
        <v>169653.4412111027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values'!V$40)</f>
        <v>90829.856662446895</v>
      </c>
      <c r="D23" s="9">
        <f>B24*('Base values'!V$40-'Base values'!V$41)</f>
        <v>33789.38754718635</v>
      </c>
      <c r="E23" s="9">
        <f>B25*('Base values'!V$41-'Base values'!V$42)</f>
        <v>19535.657284401903</v>
      </c>
      <c r="F23" s="9">
        <f>B26*('Base values'!V$42-'Base values'!V$43)</f>
        <v>9887.0673540440694</v>
      </c>
      <c r="G23" s="9">
        <f>B27*('Base values'!V$43-'Base values'!V$44)</f>
        <v>6854.0554612047636</v>
      </c>
      <c r="H23" s="9">
        <f>B28*('Base values'!V$44-'Base values'!V$45)</f>
        <v>6663.3669173842545</v>
      </c>
      <c r="I23" s="9">
        <f t="shared" si="0"/>
        <v>167559.39122666823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values'!V$40)</f>
        <v>89725.225314634561</v>
      </c>
      <c r="D24" s="9">
        <f>B25*('Base values'!V$40-'Base values'!V$41)</f>
        <v>33545.594259651371</v>
      </c>
      <c r="E24" s="9">
        <f>B26*('Base values'!V$41-'Base values'!V$42)</f>
        <v>19511.863091203424</v>
      </c>
      <c r="F24" s="9">
        <f>B27*('Base values'!V$42-'Base values'!V$43)</f>
        <v>9933.0391888509639</v>
      </c>
      <c r="G24" s="9">
        <f>B28*('Base values'!V$43-'Base values'!V$44)</f>
        <v>6906.9403120465377</v>
      </c>
      <c r="H24" s="9">
        <f>B29*('Base values'!V$44-'Base values'!V$45)</f>
        <v>6693.277876009488</v>
      </c>
      <c r="I24" s="9">
        <f t="shared" si="0"/>
        <v>166315.94004239634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values'!V$40)</f>
        <v>89077.850229077754</v>
      </c>
      <c r="D25" s="9">
        <f>B26*('Base values'!V$40-'Base values'!V$41)</f>
        <v>33504.73613344902</v>
      </c>
      <c r="E25" s="9">
        <f>B27*('Base values'!V$41-'Base values'!V$42)</f>
        <v>19602.587278131985</v>
      </c>
      <c r="F25" s="9">
        <f>B28*('Base values'!V$42-'Base values'!V$43)</f>
        <v>10009.681010452967</v>
      </c>
      <c r="G25" s="9">
        <f>B29*('Base values'!V$43-'Base values'!V$44)</f>
        <v>6937.9446389074219</v>
      </c>
      <c r="H25" s="9">
        <f>B30*('Base values'!V$44-'Base values'!V$45)</f>
        <v>6686.3450386335899</v>
      </c>
      <c r="I25" s="9">
        <f t="shared" si="0"/>
        <v>165819.14432865274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values'!V$40)</f>
        <v>88969.354489866149</v>
      </c>
      <c r="D26" s="9">
        <f>B27*('Base values'!V$40-'Base values'!V$41)</f>
        <v>33660.522894034351</v>
      </c>
      <c r="E26" s="9">
        <f>B28*('Base values'!V$41-'Base values'!V$42)</f>
        <v>19753.837864034693</v>
      </c>
      <c r="F26" s="9">
        <f>B29*('Base values'!V$42-'Base values'!V$43)</f>
        <v>10054.613123342373</v>
      </c>
      <c r="G26" s="9">
        <f>B30*('Base values'!V$43-'Base values'!V$44)</f>
        <v>6930.7583778862063</v>
      </c>
      <c r="H26" s="9">
        <f>B31*('Base values'!V$44-'Base values'!V$45)</f>
        <v>6626.7654815312508</v>
      </c>
      <c r="I26" s="9">
        <f t="shared" si="0"/>
        <v>165995.85223069502</v>
      </c>
    </row>
    <row r="27" spans="1:9" s="116" customFormat="1">
      <c r="A27" s="121">
        <f t="shared" si="1"/>
        <v>23</v>
      </c>
      <c r="B27" s="122">
        <f>'Base values'!G27</f>
        <v>830227.93305620481</v>
      </c>
      <c r="C27" s="122">
        <f>B27*(1-'Base values'!V$40)</f>
        <v>89383.034737104594</v>
      </c>
      <c r="D27" s="122">
        <f>B28*('Base values'!V$40-'Base values'!V$41)</f>
        <v>33920.242375818969</v>
      </c>
      <c r="E27" s="122">
        <f>B29*('Base values'!V$41-'Base values'!V$42)</f>
        <v>19842.510187556185</v>
      </c>
      <c r="F27" s="122">
        <f>B30*('Base values'!V$42-'Base values'!V$43)</f>
        <v>10044.19864497273</v>
      </c>
      <c r="G27" s="122">
        <f>B31*('Base values'!V$43-'Base values'!V$44)</f>
        <v>6869.0009435701677</v>
      </c>
      <c r="H27" s="122">
        <f>B32*('Base values'!V$44-'Base values'!V$45)</f>
        <v>6529.5186125433629</v>
      </c>
      <c r="I27" s="122">
        <f t="shared" ref="I27:I33" si="2">SUM(C27:H27)</f>
        <v>166588.50550156599</v>
      </c>
    </row>
    <row r="28" spans="1:9" s="116" customFormat="1">
      <c r="A28" s="121">
        <f t="shared" si="1"/>
        <v>24</v>
      </c>
      <c r="B28" s="122">
        <f>'Base values'!G28</f>
        <v>836633.84568017919</v>
      </c>
      <c r="C28" s="122">
        <f>B28*(1-'Base values'!V$40)</f>
        <v>90072.700656298373</v>
      </c>
      <c r="D28" s="122">
        <f>B29*('Base values'!V$40-'Base values'!V$41)</f>
        <v>34072.505785419606</v>
      </c>
      <c r="E28" s="122">
        <f>B30*('Base values'!V$41-'Base values'!V$42)</f>
        <v>19821.9574929261</v>
      </c>
      <c r="F28" s="122">
        <f>B31*('Base values'!V$42-'Base values'!V$43)</f>
        <v>9954.6984915619087</v>
      </c>
      <c r="G28" s="122">
        <f>B32*('Base values'!V$43-'Base values'!V$44)</f>
        <v>6768.1993026038872</v>
      </c>
      <c r="H28" s="122">
        <f>B33*('Base values'!V$44-'Base values'!V$45)</f>
        <v>6412.0215980522817</v>
      </c>
      <c r="I28" s="122">
        <f t="shared" si="2"/>
        <v>167102.08332686216</v>
      </c>
    </row>
    <row r="29" spans="1:9" s="116" customFormat="1">
      <c r="A29" s="121">
        <f t="shared" si="1"/>
        <v>25</v>
      </c>
      <c r="B29" s="122">
        <f>'Base values'!G29</f>
        <v>840389.38258109975</v>
      </c>
      <c r="C29" s="122">
        <f>B29*(1-'Base values'!V$40)</f>
        <v>90477.024904984835</v>
      </c>
      <c r="D29" s="122">
        <f>B30*('Base values'!V$40-'Base values'!V$41)</f>
        <v>34037.213788587032</v>
      </c>
      <c r="E29" s="122">
        <f>B31*('Base values'!V$41-'Base values'!V$42)</f>
        <v>19645.33133296782</v>
      </c>
      <c r="F29" s="122">
        <f>B32*('Base values'!V$42-'Base values'!V$43)</f>
        <v>9808.6146648864615</v>
      </c>
      <c r="G29" s="122">
        <f>B33*('Base values'!V$43-'Base values'!V$44)</f>
        <v>6646.4072902480466</v>
      </c>
      <c r="H29" s="122">
        <f>B34*('Base values'!V$44-'Base values'!V$45)</f>
        <v>0</v>
      </c>
      <c r="I29" s="122">
        <f t="shared" si="2"/>
        <v>160614.5919816742</v>
      </c>
    </row>
    <row r="30" spans="1:9" s="116" customFormat="1">
      <c r="A30" s="121">
        <f t="shared" si="1"/>
        <v>26</v>
      </c>
      <c r="B30" s="122">
        <f>'Base values'!G30</f>
        <v>839518.91477298003</v>
      </c>
      <c r="C30" s="122">
        <f>B30*(1-'Base values'!V$40)</f>
        <v>90383.309611590303</v>
      </c>
      <c r="D30" s="122">
        <f>B31*('Base values'!V$40-'Base values'!V$41)</f>
        <v>33733.920717289584</v>
      </c>
      <c r="E30" s="122">
        <f>B32*('Base values'!V$41-'Base values'!V$42)</f>
        <v>19357.038806593504</v>
      </c>
      <c r="F30" s="122">
        <f>B33*('Base values'!V$42-'Base values'!V$43)</f>
        <v>9632.111157077532</v>
      </c>
      <c r="G30" s="122">
        <f>B34*('Base values'!V$43-'Base values'!V$44)</f>
        <v>0</v>
      </c>
      <c r="H30" s="122">
        <f>B35*('Base values'!V$44-'Base values'!V$45)</f>
        <v>0</v>
      </c>
      <c r="I30" s="122">
        <f t="shared" si="2"/>
        <v>153106.38029255092</v>
      </c>
    </row>
    <row r="31" spans="1:9" s="116" customFormat="1">
      <c r="A31" s="121">
        <f>1+A30</f>
        <v>27</v>
      </c>
      <c r="B31" s="122">
        <f>'Base values'!G31</f>
        <v>832038.27103829291</v>
      </c>
      <c r="C31" s="122">
        <f>B31*(1-'Base values'!V$40)</f>
        <v>89577.93724073781</v>
      </c>
      <c r="D31" s="122">
        <f>B32*('Base values'!V$40-'Base values'!V$41)</f>
        <v>33238.880085840523</v>
      </c>
      <c r="E31" s="122">
        <f>B33*('Base values'!V$41-'Base values'!V$42)</f>
        <v>19008.713852776298</v>
      </c>
      <c r="F31" s="122">
        <f>B34*('Base values'!V$42-'Base values'!V$43)</f>
        <v>0</v>
      </c>
      <c r="G31" s="122">
        <f>B35*('Base values'!V$43-'Base values'!V$44)</f>
        <v>0</v>
      </c>
      <c r="H31" s="122">
        <f>B36*('Base values'!V$44-'Base values'!V$45)</f>
        <v>0</v>
      </c>
      <c r="I31" s="122">
        <f t="shared" si="2"/>
        <v>141825.53117935464</v>
      </c>
    </row>
    <row r="32" spans="1:9" s="116" customFormat="1">
      <c r="A32" s="121">
        <f>1+A31</f>
        <v>28</v>
      </c>
      <c r="B32" s="122">
        <f>'Base values'!G32</f>
        <v>819828.22422705835</v>
      </c>
      <c r="C32" s="122">
        <f>B32*(1-'Base values'!V$40)</f>
        <v>88263.393372943901</v>
      </c>
      <c r="D32" s="122">
        <f>B33*('Base values'!V$40-'Base values'!V$41)</f>
        <v>32640.754954898894</v>
      </c>
      <c r="E32" s="122">
        <f>B34*('Base values'!V$41-'Base values'!V$42)</f>
        <v>0</v>
      </c>
      <c r="F32" s="122">
        <f>B35*('Base values'!V$42-'Base values'!V$43)</f>
        <v>0</v>
      </c>
      <c r="G32" s="122">
        <f>B36*('Base values'!V$43-'Base values'!V$44)</f>
        <v>0</v>
      </c>
      <c r="H32" s="122">
        <f>B37*('Base values'!V$44-'Base values'!V$45)</f>
        <v>0</v>
      </c>
      <c r="I32" s="122">
        <f t="shared" si="2"/>
        <v>120904.14832784279</v>
      </c>
    </row>
    <row r="33" spans="1:9" s="116" customFormat="1">
      <c r="A33" s="121">
        <f>1+A32</f>
        <v>29</v>
      </c>
      <c r="B33" s="122">
        <f>'Base values'!G33</f>
        <v>805075.62538199848</v>
      </c>
      <c r="C33" s="122">
        <f>B33*(1-'Base values'!V$40)</f>
        <v>86675.116223346602</v>
      </c>
      <c r="D33" s="122">
        <f>B34*('Base values'!V$40-'Base values'!V$41)</f>
        <v>0</v>
      </c>
      <c r="E33" s="122">
        <f>B35*('Base values'!V$41-'Base values'!V$42)</f>
        <v>0</v>
      </c>
      <c r="F33" s="122">
        <f>B36*('Base values'!V$42-'Base values'!V$43)</f>
        <v>0</v>
      </c>
      <c r="G33" s="122">
        <f>B37*('Base values'!V$43-'Base values'!V$44)</f>
        <v>0</v>
      </c>
      <c r="H33" s="122">
        <f>B38*('Base values'!V$44-'Base values'!V$45)</f>
        <v>0</v>
      </c>
      <c r="I33" s="122">
        <f t="shared" si="2"/>
        <v>86675.116223346602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2">
    <mergeCell ref="A2:A3"/>
    <mergeCell ref="C2:H2"/>
  </mergeCells>
  <phoneticPr fontId="4" type="noConversion"/>
  <pageMargins left="0.75" right="0.75" top="1" bottom="1" header="0.5" footer="0.5"/>
  <headerFooter alignWithMargins="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38"/>
  <sheetViews>
    <sheetView workbookViewId="0"/>
  </sheetViews>
  <sheetFormatPr defaultRowHeight="12.75"/>
  <cols>
    <col min="10" max="10" width="12.28515625" customWidth="1"/>
    <col min="11" max="11" width="11.42578125" customWidth="1"/>
    <col min="12" max="12" width="12.28515625" customWidth="1"/>
  </cols>
  <sheetData>
    <row r="1" spans="1:12" ht="15.75">
      <c r="A1" s="32" t="s">
        <v>32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40" t="s">
        <v>22</v>
      </c>
      <c r="K2" s="38" t="s">
        <v>12</v>
      </c>
      <c r="L2" s="38" t="s">
        <v>12</v>
      </c>
    </row>
    <row r="3" spans="1:12">
      <c r="A3" s="69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40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values'!V$40)</f>
        <v>9538.5334637789074</v>
      </c>
      <c r="D4" s="9">
        <f>B5*('Base values'!V$40-'Base values'!V$41)</f>
        <v>3503.4366761321003</v>
      </c>
      <c r="E4" s="9">
        <f>B6*('Base values'!V$41-'Base values'!V$42)</f>
        <v>2033.9653469705008</v>
      </c>
      <c r="F4" s="9">
        <f>B7*('Base values'!V$42-'Base values'!V$43)</f>
        <v>1038.2154249345529</v>
      </c>
      <c r="G4" s="9">
        <f>B8*('Base values'!V$43-'Base values'!V$44)</f>
        <v>690.03378137013533</v>
      </c>
      <c r="H4" s="9">
        <f>B9*('Base values'!V$44-'Base values'!V$45)</f>
        <v>648.58177801739748</v>
      </c>
      <c r="I4" s="9">
        <f>SUM(C4:H4)</f>
        <v>17452.766471203591</v>
      </c>
      <c r="J4" s="41">
        <f>'Base values'!C57</f>
        <v>0</v>
      </c>
      <c r="K4" s="36">
        <f>C4*(1-J4)+D4*(1-J5)+E4*(1-J6)+F4*(1-J7)+G4*(1-J8)+H4*(1-J9)</f>
        <v>16278.910546796962</v>
      </c>
      <c r="L4" s="36">
        <f>I4-K4</f>
        <v>1173.8559244066291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values'!V$40)</f>
        <v>9303.1175750826169</v>
      </c>
      <c r="D5" s="9">
        <f>B6*('Base values'!V$40-'Base values'!V$41)</f>
        <v>3492.6173854483832</v>
      </c>
      <c r="E5" s="9">
        <f>B7*('Base values'!V$41-'Base values'!V$42)</f>
        <v>2048.8903842869772</v>
      </c>
      <c r="F5" s="9">
        <f>B8*('Base values'!V$42-'Base values'!V$43)</f>
        <v>1000.0112533048858</v>
      </c>
      <c r="G5" s="9">
        <f>B9*('Base values'!V$43-'Base values'!V$44)</f>
        <v>672.29010255459889</v>
      </c>
      <c r="H5" s="9">
        <f>B10*('Base values'!V$44-'Base values'!V$45)</f>
        <v>638.29384231144218</v>
      </c>
      <c r="I5" s="9">
        <f t="shared" ref="I5:I33" si="0">SUM(C5:H5)</f>
        <v>17155.220542988904</v>
      </c>
      <c r="J5" s="41">
        <f>'Base values'!C58</f>
        <v>5.4347826086956513E-2</v>
      </c>
      <c r="K5" s="36">
        <f t="shared" ref="K5:K33" si="1">C5*(1-J5)+D5*(1-J6)+E5*(1-J7)+F5*(1-J8)+G5*(1-J9)+H5*(1-J10)</f>
        <v>14808.472251627327</v>
      </c>
      <c r="L5" s="36">
        <f t="shared" ref="L5:L33" si="2">I5-K5</f>
        <v>2346.7482913615768</v>
      </c>
    </row>
    <row r="6" spans="1:12">
      <c r="A6" s="28">
        <f t="shared" ref="A6:A26" si="3">1+A5</f>
        <v>2</v>
      </c>
      <c r="B6" s="9">
        <f>'Base values'!F6-'Base values'!E6</f>
        <v>86144.488070055653</v>
      </c>
      <c r="C6" s="9">
        <f>B6*(1-'Base values'!V$40)</f>
        <v>9274.3877470268308</v>
      </c>
      <c r="D6" s="9">
        <f>B7*('Base values'!V$40-'Base values'!V$41)</f>
        <v>3518.2458677072545</v>
      </c>
      <c r="E6" s="9">
        <f>B8*('Base values'!V$41-'Base values'!V$42)</f>
        <v>1973.4954729692145</v>
      </c>
      <c r="F6" s="9">
        <f>B9*('Base values'!V$42-'Base values'!V$43)</f>
        <v>974.29674632041383</v>
      </c>
      <c r="G6" s="9">
        <f>B10*('Base values'!V$43-'Base values'!V$44)</f>
        <v>661.62610059639655</v>
      </c>
      <c r="H6" s="9">
        <f>B11*('Base values'!V$44-'Base values'!V$45)</f>
        <v>608.77455860001805</v>
      </c>
      <c r="I6" s="9">
        <f t="shared" si="0"/>
        <v>17010.826493220124</v>
      </c>
      <c r="J6" s="41">
        <f>'Base values'!C59</f>
        <v>0.13043478260869565</v>
      </c>
      <c r="K6" s="36">
        <f t="shared" si="1"/>
        <v>13265.010020729966</v>
      </c>
      <c r="L6" s="36">
        <f t="shared" si="2"/>
        <v>3745.816472490158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values'!V$40)</f>
        <v>9342.4422905410647</v>
      </c>
      <c r="D7" s="9">
        <f>B8*('Base values'!V$40-'Base values'!V$41)</f>
        <v>3388.7817259336643</v>
      </c>
      <c r="E7" s="9">
        <f>B9*('Base values'!V$41-'Base values'!V$42)</f>
        <v>1922.7485809159721</v>
      </c>
      <c r="F7" s="9">
        <f>B10*('Base values'!V$42-'Base values'!V$43)</f>
        <v>958.84225372688763</v>
      </c>
      <c r="G7" s="9">
        <f>B11*('Base values'!V$43-'Base values'!V$44)</f>
        <v>631.02776597411355</v>
      </c>
      <c r="H7" s="9">
        <f>B12*('Base values'!V$44-'Base values'!V$45)</f>
        <v>604.01314033767437</v>
      </c>
      <c r="I7" s="9">
        <f t="shared" si="0"/>
        <v>16847.855757429374</v>
      </c>
      <c r="J7" s="41">
        <f>'Base values'!C60</f>
        <v>0.21739130434782611</v>
      </c>
      <c r="K7" s="36">
        <f t="shared" si="1"/>
        <v>11591.78555482043</v>
      </c>
      <c r="L7" s="36">
        <f t="shared" si="2"/>
        <v>5256.0702026089439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values'!V$40)</f>
        <v>8998.659815212699</v>
      </c>
      <c r="D8" s="9">
        <f>B9*('Base values'!V$40-'Base values'!V$41)</f>
        <v>3301.6418551848255</v>
      </c>
      <c r="E8" s="9">
        <f>B10*('Base values'!V$41-'Base values'!V$42)</f>
        <v>1892.2495529604721</v>
      </c>
      <c r="F8" s="9">
        <f>B11*('Base values'!V$42-'Base values'!V$43)</f>
        <v>914.49851320172877</v>
      </c>
      <c r="G8" s="9">
        <f>B12*('Base values'!V$43-'Base values'!V$44)</f>
        <v>626.09229834244275</v>
      </c>
      <c r="H8" s="9">
        <f>B13*('Base values'!V$44-'Base values'!V$45)</f>
        <v>609.78643654856921</v>
      </c>
      <c r="I8" s="9">
        <f t="shared" si="0"/>
        <v>16342.928471450738</v>
      </c>
      <c r="J8" s="41">
        <f>'Base values'!C61</f>
        <v>0.31521739130434784</v>
      </c>
      <c r="K8" s="36">
        <f t="shared" si="1"/>
        <v>9582.7915491753538</v>
      </c>
      <c r="L8" s="36">
        <f t="shared" si="2"/>
        <v>6760.1369222753838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values'!V$40)</f>
        <v>8767.2663184850917</v>
      </c>
      <c r="D9" s="9">
        <f>B10*('Base values'!V$40-'Base values'!V$41)</f>
        <v>3249.2705424506557</v>
      </c>
      <c r="E9" s="9">
        <f>B11*('Base values'!V$41-'Base values'!V$42)</f>
        <v>1804.7383665696109</v>
      </c>
      <c r="F9" s="9">
        <f>B12*('Base values'!V$42-'Base values'!V$43)</f>
        <v>907.34593124814262</v>
      </c>
      <c r="G9" s="9">
        <f>B13*('Base values'!V$43-'Base values'!V$44)</f>
        <v>632.07663221251403</v>
      </c>
      <c r="H9" s="9">
        <f>B14*('Base values'!V$44-'Base values'!V$45)</f>
        <v>623.88551515864515</v>
      </c>
      <c r="I9" s="9">
        <f t="shared" si="0"/>
        <v>15984.583306124659</v>
      </c>
      <c r="J9" s="41">
        <f>'Base values'!C62</f>
        <v>0.42391304347826092</v>
      </c>
      <c r="K9" s="36">
        <f t="shared" si="1"/>
        <v>7704.6058473673256</v>
      </c>
      <c r="L9" s="36">
        <f t="shared" si="2"/>
        <v>8279.9774587573338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values'!V$40)</f>
        <v>8628.1981619955895</v>
      </c>
      <c r="D10" s="9">
        <f>B11*('Base values'!V$40-'Base values'!V$41)</f>
        <v>3099.0009759287004</v>
      </c>
      <c r="E10" s="9">
        <f>B12*('Base values'!V$41-'Base values'!V$42)</f>
        <v>1790.6229373093963</v>
      </c>
      <c r="F10" s="9">
        <f>B13*('Base values'!V$42-'Base values'!V$43)</f>
        <v>916.01855188668901</v>
      </c>
      <c r="G10" s="9">
        <f>B14*('Base values'!V$43-'Base values'!V$44)</f>
        <v>646.69108998169145</v>
      </c>
      <c r="H10" s="9">
        <f>B15*('Base values'!V$44-'Base values'!V$45)</f>
        <v>658.51165325088937</v>
      </c>
      <c r="I10" s="9">
        <f t="shared" si="0"/>
        <v>15739.043370352956</v>
      </c>
      <c r="J10" s="41">
        <f>'Base values'!C63</f>
        <v>0.53260869565217406</v>
      </c>
      <c r="K10" s="36">
        <f t="shared" si="1"/>
        <v>6011.9365418169555</v>
      </c>
      <c r="L10" s="36">
        <f t="shared" si="2"/>
        <v>9727.1068285360016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values'!V$40)</f>
        <v>8229.1684164790095</v>
      </c>
      <c r="D11" s="9">
        <f>B12*('Base values'!V$40-'Base values'!V$41)</f>
        <v>3074.7627096717451</v>
      </c>
      <c r="E11" s="9">
        <f>B13*('Base values'!V$41-'Base values'!V$42)</f>
        <v>1807.7381222759525</v>
      </c>
      <c r="F11" s="9">
        <f>B14*('Base values'!V$42-'Base values'!V$43)</f>
        <v>937.19812689402795</v>
      </c>
      <c r="G11" s="9">
        <f>B15*('Base values'!V$43-'Base values'!V$44)</f>
        <v>682.58295546126737</v>
      </c>
      <c r="H11" s="9">
        <f>B16*('Base values'!V$44-'Base values'!V$45)</f>
        <v>696.76766019718377</v>
      </c>
      <c r="I11" s="9">
        <f t="shared" si="0"/>
        <v>15428.217990979185</v>
      </c>
      <c r="J11" s="41">
        <f>'Base values'!C64</f>
        <v>0.63043478260869579</v>
      </c>
      <c r="K11" s="36">
        <f t="shared" si="1"/>
        <v>4493.5100044240999</v>
      </c>
      <c r="L11" s="36">
        <f t="shared" si="2"/>
        <v>10934.707986555084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values'!V$40)</f>
        <v>8164.8054889739042</v>
      </c>
      <c r="D12" s="9">
        <f>B13*('Base values'!V$40-'Base values'!V$41)</f>
        <v>3104.1519972809924</v>
      </c>
      <c r="E12" s="9">
        <f>B14*('Base values'!V$41-'Base values'!V$42)</f>
        <v>1849.5354473143057</v>
      </c>
      <c r="F12" s="9">
        <f>B15*('Base values'!V$42-'Base values'!V$43)</f>
        <v>989.21336201833321</v>
      </c>
      <c r="G12" s="9">
        <f>B16*('Base values'!V$43-'Base values'!V$44)</f>
        <v>722.23737639161277</v>
      </c>
      <c r="H12" s="9">
        <f>B17*('Base values'!V$44-'Base values'!V$45)</f>
        <v>737.45987606746371</v>
      </c>
      <c r="I12" s="9">
        <f t="shared" si="0"/>
        <v>15567.403548046612</v>
      </c>
      <c r="J12" s="41">
        <f>'Base values'!C65</f>
        <v>0.71739130434782605</v>
      </c>
      <c r="K12" s="36">
        <f t="shared" si="1"/>
        <v>3325.4447052801356</v>
      </c>
      <c r="L12" s="36">
        <f t="shared" si="2"/>
        <v>12241.958842766477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values'!V$40)</f>
        <v>8242.8465735864575</v>
      </c>
      <c r="D13" s="9">
        <f>B14*('Base values'!V$40-'Base values'!V$41)</f>
        <v>3175.9241463550279</v>
      </c>
      <c r="E13" s="9">
        <f>B15*('Base values'!V$41-'Base values'!V$42)</f>
        <v>1952.1861231981989</v>
      </c>
      <c r="F13" s="9">
        <f>B16*('Base values'!V$42-'Base values'!V$43)</f>
        <v>1046.6813704611884</v>
      </c>
      <c r="G13" s="9">
        <f>B17*('Base values'!V$43-'Base values'!V$44)</f>
        <v>764.41705967570056</v>
      </c>
      <c r="H13" s="9">
        <f>B18*('Base values'!V$44-'Base values'!V$45)</f>
        <v>776.68462430877378</v>
      </c>
      <c r="I13" s="9">
        <f t="shared" si="0"/>
        <v>15958.739897585347</v>
      </c>
      <c r="J13" s="41">
        <f>'Base values'!C66</f>
        <v>0.80434782608695654</v>
      </c>
      <c r="K13" s="36">
        <f t="shared" si="1"/>
        <v>2321.5117811782493</v>
      </c>
      <c r="L13" s="36">
        <f t="shared" si="2"/>
        <v>13637.228116407097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values'!V$40)</f>
        <v>8433.4322193899025</v>
      </c>
      <c r="D14" s="9">
        <f>B15*('Base values'!V$40-'Base values'!V$41)</f>
        <v>3352.1904410360617</v>
      </c>
      <c r="E14" s="9">
        <f>B16*('Base values'!V$41-'Base values'!V$42)</f>
        <v>2065.5977014456626</v>
      </c>
      <c r="F14" s="9">
        <f>B17*('Base values'!V$42-'Base values'!V$43)</f>
        <v>1107.8090414299495</v>
      </c>
      <c r="G14" s="9">
        <f>B18*('Base values'!V$43-'Base values'!V$44)</f>
        <v>805.07563336927319</v>
      </c>
      <c r="H14" s="9">
        <f>B19*('Base values'!V$44-'Base values'!V$45)</f>
        <v>811.27239555270353</v>
      </c>
      <c r="I14" s="9">
        <f t="shared" si="0"/>
        <v>16575.377432223555</v>
      </c>
      <c r="J14" s="41">
        <f>'Base values'!C67</f>
        <v>0.85869565217391319</v>
      </c>
      <c r="K14" s="36">
        <f t="shared" si="1"/>
        <v>1640.3112352743965</v>
      </c>
      <c r="L14" s="36">
        <f t="shared" si="2"/>
        <v>14935.066196949159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values'!V$40)</f>
        <v>8901.4943582358737</v>
      </c>
      <c r="D15" s="9">
        <f>B16*('Base values'!V$40-'Base values'!V$41)</f>
        <v>3546.9347863555181</v>
      </c>
      <c r="E15" s="9">
        <f>B17*('Base values'!V$41-'Base values'!V$42)</f>
        <v>2186.2315258464591</v>
      </c>
      <c r="F15" s="9">
        <f>B18*('Base values'!V$42-'Base values'!V$43)</f>
        <v>1166.7322888630908</v>
      </c>
      <c r="G15" s="9">
        <f>B19*('Base values'!V$43-'Base values'!V$44)</f>
        <v>840.92772953484371</v>
      </c>
      <c r="H15" s="9">
        <f>B20*('Base values'!V$44-'Base values'!V$45)</f>
        <v>836.58467316461019</v>
      </c>
      <c r="I15" s="9">
        <f t="shared" si="0"/>
        <v>17478.905362000394</v>
      </c>
      <c r="J15" s="41">
        <f>'Base values'!C68</f>
        <v>0.91304347826086973</v>
      </c>
      <c r="K15" s="36">
        <f t="shared" si="1"/>
        <v>1050.7832137398577</v>
      </c>
      <c r="L15" s="36">
        <f t="shared" si="2"/>
        <v>16428.122148260536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values'!V$40)</f>
        <v>9418.6235970579091</v>
      </c>
      <c r="D16" s="9">
        <f>B17*('Base values'!V$40-'Base values'!V$41)</f>
        <v>3754.0807896062115</v>
      </c>
      <c r="E16" s="9">
        <f>B18*('Base values'!V$41-'Base values'!V$42)</f>
        <v>2302.514979335253</v>
      </c>
      <c r="F16" s="9">
        <f>B19*('Base values'!V$42-'Base values'!V$43)</f>
        <v>1218.6898894735284</v>
      </c>
      <c r="G16" s="9">
        <f>B20*('Base values'!V$43-'Base values'!V$44)</f>
        <v>867.1652747270906</v>
      </c>
      <c r="H16" s="9">
        <f>B21*('Base values'!V$44-'Base values'!V$45)</f>
        <v>845.91996195588547</v>
      </c>
      <c r="I16" s="9">
        <f t="shared" si="0"/>
        <v>18406.994492155878</v>
      </c>
      <c r="J16" s="41">
        <f>'Base values'!C69</f>
        <v>0.94565217391304346</v>
      </c>
      <c r="K16" s="36">
        <f t="shared" si="1"/>
        <v>659.32473188525512</v>
      </c>
      <c r="L16" s="36">
        <f t="shared" si="2"/>
        <v>17747.669760270623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values'!V$40)</f>
        <v>9968.6845233987351</v>
      </c>
      <c r="D17" s="9">
        <f>B18*('Base values'!V$40-'Base values'!V$41)</f>
        <v>3953.75656672791</v>
      </c>
      <c r="E17" s="9">
        <f>B19*('Base values'!V$41-'Base values'!V$42)</f>
        <v>2405.0519150468945</v>
      </c>
      <c r="F17" s="9">
        <f>B20*('Base values'!V$42-'Base values'!V$43)</f>
        <v>1256.713883602112</v>
      </c>
      <c r="G17" s="9">
        <f>B21*('Base values'!V$43-'Base values'!V$44)</f>
        <v>876.84180661802327</v>
      </c>
      <c r="H17" s="9">
        <f>B22*('Base values'!V$44-'Base values'!V$45)</f>
        <v>833.46865388105198</v>
      </c>
      <c r="I17" s="9">
        <f t="shared" si="0"/>
        <v>19294.517349274727</v>
      </c>
      <c r="J17" s="41">
        <f>'Base values'!C70</f>
        <v>0.96739130434782605</v>
      </c>
      <c r="K17" s="36">
        <f t="shared" si="1"/>
        <v>368.04141453178437</v>
      </c>
      <c r="L17" s="36">
        <f t="shared" si="2"/>
        <v>18926.475934742943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values'!V$40)</f>
        <v>10498.908815481562</v>
      </c>
      <c r="D18" s="9">
        <f>B19*('Base values'!V$40-'Base values'!V$41)</f>
        <v>4129.8275528194326</v>
      </c>
      <c r="E18" s="9">
        <f>B20*('Base values'!V$41-'Base values'!V$42)</f>
        <v>2480.0912508833376</v>
      </c>
      <c r="F18" s="9">
        <f>B21*('Base values'!V$42-'Base values'!V$43)</f>
        <v>1270.7373141139956</v>
      </c>
      <c r="G18" s="9">
        <f>B22*('Base values'!V$43-'Base values'!V$44)</f>
        <v>863.93535215647944</v>
      </c>
      <c r="H18" s="9">
        <f>B23*('Base values'!V$44-'Base values'!V$45)</f>
        <v>796.44454130525651</v>
      </c>
      <c r="I18" s="9">
        <f t="shared" si="0"/>
        <v>20039.944826760064</v>
      </c>
      <c r="J18" s="41">
        <f>'Base values'!C71</f>
        <v>0.98913043478260865</v>
      </c>
      <c r="K18" s="36">
        <f t="shared" si="1"/>
        <v>114.11857408132182</v>
      </c>
      <c r="L18" s="36">
        <f t="shared" si="2"/>
        <v>19925.82625267874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values'!V$40)</f>
        <v>10966.452326779898</v>
      </c>
      <c r="D19" s="9">
        <f>B20*('Base values'!V$40-'Base values'!V$41)</f>
        <v>4258.6811192409168</v>
      </c>
      <c r="E19" s="9">
        <f>B21*('Base values'!V$41-'Base values'!V$42)</f>
        <v>2507.7661160803423</v>
      </c>
      <c r="F19" s="9">
        <f>B22*('Base values'!V$42-'Base values'!V$43)</f>
        <v>1252.0330128895203</v>
      </c>
      <c r="G19" s="9">
        <f>B23*('Base values'!V$43-'Base values'!V$44)</f>
        <v>825.55785638923498</v>
      </c>
      <c r="H19" s="9">
        <f>B24*('Base values'!V$44-'Base values'!V$45)</f>
        <v>734.65828597997131</v>
      </c>
      <c r="I19" s="9">
        <f t="shared" si="0"/>
        <v>20545.148717359883</v>
      </c>
      <c r="J19" s="41">
        <f>'Base values'!C72</f>
        <v>1</v>
      </c>
      <c r="K19" s="36">
        <f t="shared" si="1"/>
        <v>0</v>
      </c>
      <c r="L19" s="36">
        <f t="shared" si="2"/>
        <v>20545.148717359883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values'!V$40)</f>
        <v>11308.613464315065</v>
      </c>
      <c r="D20" s="9">
        <f>B21*('Base values'!V$40-'Base values'!V$41)</f>
        <v>4306.2029295170687</v>
      </c>
      <c r="E20" s="9">
        <f>B22*('Base values'!V$41-'Base values'!V$42)</f>
        <v>2470.853677675711</v>
      </c>
      <c r="F20" s="9">
        <f>B23*('Base values'!V$42-'Base values'!V$43)</f>
        <v>1196.4155508506303</v>
      </c>
      <c r="G20" s="9">
        <f>B24*('Base values'!V$43-'Base values'!V$44)</f>
        <v>761.51305997809311</v>
      </c>
      <c r="H20" s="9">
        <f>B25*('Base values'!V$44-'Base values'!V$45)</f>
        <v>652.18670434202704</v>
      </c>
      <c r="I20" s="9">
        <f t="shared" si="0"/>
        <v>20695.785386678595</v>
      </c>
      <c r="J20" s="41">
        <f>'Base values'!C73</f>
        <v>1</v>
      </c>
      <c r="K20" s="36">
        <f t="shared" si="1"/>
        <v>0</v>
      </c>
      <c r="L20" s="36">
        <f t="shared" si="2"/>
        <v>20695.785386678595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values'!V$40)</f>
        <v>11434.804124871802</v>
      </c>
      <c r="D21" s="9">
        <f>B22*('Base values'!V$40-'Base values'!V$41)</f>
        <v>4242.8188486115951</v>
      </c>
      <c r="E21" s="9">
        <f>B23*('Base values'!V$41-'Base values'!V$42)</f>
        <v>2361.0941032818796</v>
      </c>
      <c r="F21" s="9">
        <f>B24*('Base values'!V$42-'Base values'!V$43)</f>
        <v>1103.6005048979625</v>
      </c>
      <c r="G21" s="9">
        <f>B25*('Base values'!V$43-'Base values'!V$44)</f>
        <v>676.02680372418058</v>
      </c>
      <c r="H21" s="9">
        <f>B26*('Base values'!V$44-'Base values'!V$45)</f>
        <v>557.0329187172083</v>
      </c>
      <c r="I21" s="9">
        <f t="shared" si="0"/>
        <v>20375.37730410463</v>
      </c>
      <c r="J21" s="41">
        <f>'Base values'!C74</f>
        <v>1</v>
      </c>
      <c r="K21" s="36">
        <f t="shared" si="1"/>
        <v>0</v>
      </c>
      <c r="L21" s="36">
        <f t="shared" si="2"/>
        <v>20375.37730410463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values'!V$40)</f>
        <v>11266.492375134916</v>
      </c>
      <c r="D22" s="9">
        <f>B23*('Base values'!V$40-'Base values'!V$41)</f>
        <v>4054.3455305591065</v>
      </c>
      <c r="E22" s="9">
        <f>B24*('Base values'!V$41-'Base values'!V$42)</f>
        <v>2177.9260915163418</v>
      </c>
      <c r="F22" s="9">
        <f>B25*('Base values'!V$42-'Base values'!V$43)</f>
        <v>979.71205107897151</v>
      </c>
      <c r="G22" s="9">
        <f>B26*('Base values'!V$43-'Base values'!V$44)</f>
        <v>577.39475690393863</v>
      </c>
      <c r="H22" s="9">
        <f>B27*('Base values'!V$44-'Base values'!V$45)</f>
        <v>458.07852061357846</v>
      </c>
      <c r="I22" s="9">
        <f t="shared" si="0"/>
        <v>19513.949325806851</v>
      </c>
      <c r="J22" s="41">
        <f>'Base values'!C75</f>
        <v>1</v>
      </c>
      <c r="K22" s="36">
        <f t="shared" si="1"/>
        <v>0</v>
      </c>
      <c r="L22" s="36">
        <f t="shared" si="2"/>
        <v>19513.949325806851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values'!V$40)</f>
        <v>10766.015386481582</v>
      </c>
      <c r="D23" s="9">
        <f>B24*('Base values'!V$40-'Base values'!V$41)</f>
        <v>3739.8191384043985</v>
      </c>
      <c r="E23" s="9">
        <f>B25*('Base values'!V$41-'Base values'!V$42)</f>
        <v>1933.4355400781244</v>
      </c>
      <c r="F23" s="9">
        <f>B26*('Base values'!V$42-'Base values'!V$43)</f>
        <v>836.77244519346004</v>
      </c>
      <c r="G23" s="9">
        <f>B27*('Base values'!V$43-'Base values'!V$44)</f>
        <v>474.82316962827292</v>
      </c>
      <c r="H23" s="9">
        <f>B28*('Base values'!V$44-'Base values'!V$45)</f>
        <v>362.57694498358717</v>
      </c>
      <c r="I23" s="9">
        <f t="shared" si="0"/>
        <v>18113.442624769425</v>
      </c>
      <c r="J23" s="41">
        <f>'Base values'!C76</f>
        <v>1</v>
      </c>
      <c r="K23" s="36">
        <f t="shared" si="1"/>
        <v>0</v>
      </c>
      <c r="L23" s="36">
        <f t="shared" si="2"/>
        <v>18113.442624769425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values'!V$40)</f>
        <v>9930.8137609987243</v>
      </c>
      <c r="D24" s="9">
        <f>B25*('Base values'!V$40-'Base values'!V$41)</f>
        <v>3319.9929344806969</v>
      </c>
      <c r="E24" s="9">
        <f>B26*('Base values'!V$41-'Base values'!V$42)</f>
        <v>1651.3480493716013</v>
      </c>
      <c r="F24" s="9">
        <f>B27*('Base values'!V$42-'Base values'!V$43)</f>
        <v>688.12357565356467</v>
      </c>
      <c r="G24" s="9">
        <f>B28*('Base values'!V$43-'Base values'!V$44)</f>
        <v>375.83061965149824</v>
      </c>
      <c r="H24" s="9">
        <f>B29*('Base values'!V$44-'Base values'!V$45)</f>
        <v>274.96321283835556</v>
      </c>
      <c r="I24" s="9">
        <f t="shared" si="0"/>
        <v>16241.072152994442</v>
      </c>
      <c r="J24" s="41">
        <f>'Base values'!C77</f>
        <v>1</v>
      </c>
      <c r="K24" s="36">
        <f t="shared" si="1"/>
        <v>0</v>
      </c>
      <c r="L24" s="36">
        <f t="shared" si="2"/>
        <v>16241.072152994442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values'!V$40)</f>
        <v>8815.9962554302183</v>
      </c>
      <c r="D25" s="9">
        <f>B26*('Base values'!V$40-'Base values'!V$41)</f>
        <v>2835.6072610833808</v>
      </c>
      <c r="E25" s="9">
        <f>B27*('Base values'!V$41-'Base values'!V$42)</f>
        <v>1357.993479481041</v>
      </c>
      <c r="F25" s="9">
        <f>B28*('Base values'!V$42-'Base values'!V$43)</f>
        <v>544.66152112406235</v>
      </c>
      <c r="G25" s="9">
        <f>B29*('Base values'!V$43-'Base values'!V$44)</f>
        <v>285.0142461956147</v>
      </c>
      <c r="H25" s="9">
        <f>B30*('Base values'!V$44-'Base values'!V$45)</f>
        <v>200.5865105502549</v>
      </c>
      <c r="I25" s="9">
        <f t="shared" si="0"/>
        <v>14039.859273864571</v>
      </c>
      <c r="J25" s="41">
        <f>'Base values'!C78</f>
        <v>1</v>
      </c>
      <c r="K25" s="36">
        <f t="shared" si="1"/>
        <v>0</v>
      </c>
      <c r="L25" s="36">
        <f t="shared" si="2"/>
        <v>14039.859273864571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values'!V$40)</f>
        <v>7529.7458425139812</v>
      </c>
      <c r="D26" s="9">
        <f>B27*('Base values'!V$40-'Base values'!V$41)</f>
        <v>2331.8743570658357</v>
      </c>
      <c r="E26" s="9">
        <f>B28*('Base values'!V$41-'Base values'!V$42)</f>
        <v>1074.8749503433328</v>
      </c>
      <c r="F26" s="9">
        <f>B29*('Base values'!V$42-'Base values'!V$43)</f>
        <v>413.0485510171568</v>
      </c>
      <c r="G26" s="9">
        <f>B30*('Base values'!V$43-'Base values'!V$44)</f>
        <v>207.91877033782887</v>
      </c>
      <c r="H26" s="9">
        <f>B31*('Base values'!V$44-'Base values'!V$45)</f>
        <v>140.35615432459701</v>
      </c>
      <c r="I26" s="9">
        <f t="shared" si="0"/>
        <v>11697.818625602733</v>
      </c>
      <c r="J26" s="41">
        <f>'Base values'!C79</f>
        <v>1</v>
      </c>
      <c r="K26" s="36">
        <f t="shared" si="1"/>
        <v>0</v>
      </c>
      <c r="L26" s="36">
        <f t="shared" si="2"/>
        <v>11697.818625602733</v>
      </c>
    </row>
    <row r="27" spans="1:12" s="116" customFormat="1">
      <c r="A27" s="121">
        <f t="shared" ref="A27:A33" si="4">1+A26</f>
        <v>23</v>
      </c>
      <c r="B27" s="122">
        <f>'Base values'!F27-'Base values'!E27</f>
        <v>57515.066943795158</v>
      </c>
      <c r="C27" s="122">
        <f>B27*(1-'Base values'!V$40)</f>
        <v>6192.1202863167364</v>
      </c>
      <c r="D27" s="122">
        <f>B28*('Base values'!V$40-'Base values'!V$41)</f>
        <v>1845.7182391743761</v>
      </c>
      <c r="E27" s="122">
        <f>B29*('Base values'!V$41-'Base values'!V$42)</f>
        <v>815.14027252684104</v>
      </c>
      <c r="F27" s="122">
        <f>B30*('Base values'!V$42-'Base values'!V$43)</f>
        <v>301.32019000329745</v>
      </c>
      <c r="G27" s="122">
        <f>B31*('Base values'!V$43-'Base values'!V$44)</f>
        <v>145.48674752086748</v>
      </c>
      <c r="H27" s="122">
        <f>B32*('Base values'!V$44-'Base values'!V$45)</f>
        <v>94.425278720488635</v>
      </c>
      <c r="I27" s="122">
        <f t="shared" si="0"/>
        <v>9394.2110142626061</v>
      </c>
      <c r="J27" s="132">
        <f>'Base values'!C80</f>
        <v>1</v>
      </c>
      <c r="K27" s="126">
        <f t="shared" si="1"/>
        <v>0</v>
      </c>
      <c r="L27" s="126">
        <f t="shared" si="2"/>
        <v>9394.2110142626061</v>
      </c>
    </row>
    <row r="28" spans="1:12" s="116" customFormat="1">
      <c r="A28" s="121">
        <f t="shared" si="4"/>
        <v>24</v>
      </c>
      <c r="B28" s="122">
        <f>'Base values'!F28-'Base values'!E28</f>
        <v>45524.15431982078</v>
      </c>
      <c r="C28" s="122">
        <f>B28*(1-'Base values'!V$40)</f>
        <v>4901.1685886872974</v>
      </c>
      <c r="D28" s="122">
        <f>B29*('Base values'!V$40-'Base values'!V$41)</f>
        <v>1399.7156301835798</v>
      </c>
      <c r="E28" s="122">
        <f>B30*('Base values'!V$41-'Base values'!V$42)</f>
        <v>594.64733913792418</v>
      </c>
      <c r="F28" s="122">
        <f>B31*('Base values'!V$42-'Base values'!V$43)</f>
        <v>210.84240895961869</v>
      </c>
      <c r="G28" s="122">
        <f>B32*('Base values'!V$43-'Base values'!V$44)</f>
        <v>97.876910000146609</v>
      </c>
      <c r="H28" s="122">
        <f>B33*('Base values'!V$44-'Base values'!V$45)</f>
        <v>60.748194635573</v>
      </c>
      <c r="I28" s="122">
        <f t="shared" si="0"/>
        <v>7264.9990716041384</v>
      </c>
      <c r="J28" s="132">
        <f>'Base values'!C81</f>
        <v>1</v>
      </c>
      <c r="K28" s="126">
        <f t="shared" si="1"/>
        <v>0</v>
      </c>
      <c r="L28" s="126">
        <f t="shared" si="2"/>
        <v>7264.9990716041384</v>
      </c>
    </row>
    <row r="29" spans="1:12" s="116" customFormat="1">
      <c r="A29" s="121">
        <f t="shared" si="4"/>
        <v>25</v>
      </c>
      <c r="B29" s="122">
        <f>'Base values'!F29-'Base values'!E29</f>
        <v>34523.6174189003</v>
      </c>
      <c r="C29" s="122">
        <f>B29*(1-'Base values'!V$40)</f>
        <v>3716.8415710185104</v>
      </c>
      <c r="D29" s="122">
        <f>B30*('Base values'!V$40-'Base values'!V$41)</f>
        <v>1021.0968628237187</v>
      </c>
      <c r="E29" s="122">
        <f>B31*('Base values'!V$41-'Base values'!V$42)</f>
        <v>416.09185718320185</v>
      </c>
      <c r="F29" s="122">
        <f>B32*('Base values'!V$42-'Base values'!V$43)</f>
        <v>141.84524595956583</v>
      </c>
      <c r="G29" s="122">
        <f>B33*('Base values'!V$43-'Base values'!V$44)</f>
        <v>62.968790344986537</v>
      </c>
      <c r="H29" s="122">
        <f>B34*('Base values'!V$44-'Base values'!V$45)</f>
        <v>0</v>
      </c>
      <c r="I29" s="122">
        <f t="shared" si="0"/>
        <v>5358.8443273299827</v>
      </c>
      <c r="J29" s="132">
        <f>'Base values'!C82</f>
        <v>1</v>
      </c>
      <c r="K29" s="126">
        <f t="shared" si="1"/>
        <v>0</v>
      </c>
      <c r="L29" s="126">
        <f t="shared" si="2"/>
        <v>5358.8443273299827</v>
      </c>
    </row>
    <row r="30" spans="1:12" s="116" customFormat="1">
      <c r="A30" s="121">
        <f t="shared" si="4"/>
        <v>26</v>
      </c>
      <c r="B30" s="122">
        <f>'Base values'!F30-'Base values'!E30</f>
        <v>25185.085227019939</v>
      </c>
      <c r="C30" s="122">
        <f>B30*(1-'Base values'!V$40)</f>
        <v>2711.4473725509629</v>
      </c>
      <c r="D30" s="122">
        <f>B31*('Base values'!V$40-'Base values'!V$41)</f>
        <v>714.49086215067825</v>
      </c>
      <c r="E30" s="122">
        <f>B32*('Base values'!V$41-'Base values'!V$42)</f>
        <v>279.92780065052119</v>
      </c>
      <c r="F30" s="122">
        <f>B33*('Base values'!V$42-'Base values'!V$43)</f>
        <v>91.255675666994094</v>
      </c>
      <c r="G30" s="122">
        <f>B34*('Base values'!V$43-'Base values'!V$44)</f>
        <v>0</v>
      </c>
      <c r="H30" s="122">
        <f>B35*('Base values'!V$44-'Base values'!V$45)</f>
        <v>0</v>
      </c>
      <c r="I30" s="122">
        <f t="shared" si="0"/>
        <v>3797.1217110191565</v>
      </c>
      <c r="J30" s="132">
        <f>'Base values'!C83</f>
        <v>1</v>
      </c>
      <c r="K30" s="126">
        <f t="shared" si="1"/>
        <v>0</v>
      </c>
      <c r="L30" s="126">
        <f t="shared" si="2"/>
        <v>3797.1217110191565</v>
      </c>
    </row>
    <row r="31" spans="1:12" s="116" customFormat="1">
      <c r="A31" s="121">
        <f t="shared" si="4"/>
        <v>27</v>
      </c>
      <c r="B31" s="122">
        <f>'Base values'!F31-'Base values'!E31</f>
        <v>17622.728961707078</v>
      </c>
      <c r="C31" s="122">
        <f>B31*(1-'Base values'!V$40)</f>
        <v>1897.2777622024516</v>
      </c>
      <c r="D31" s="122">
        <f>B32*('Base values'!V$40-'Base values'!V$41)</f>
        <v>480.67716821161707</v>
      </c>
      <c r="E31" s="122">
        <f>B33*('Base values'!V$41-'Base values'!V$42)</f>
        <v>180.09063619672355</v>
      </c>
      <c r="F31" s="122">
        <f>B34*('Base values'!V$42-'Base values'!V$43)</f>
        <v>0</v>
      </c>
      <c r="G31" s="122">
        <f>B35*('Base values'!V$43-'Base values'!V$44)</f>
        <v>0</v>
      </c>
      <c r="H31" s="122">
        <f>B36*('Base values'!V$44-'Base values'!V$45)</f>
        <v>0</v>
      </c>
      <c r="I31" s="122">
        <f t="shared" si="0"/>
        <v>2558.0455666107923</v>
      </c>
      <c r="J31" s="132">
        <f>'Base values'!C84</f>
        <v>1</v>
      </c>
      <c r="K31" s="126">
        <f t="shared" si="1"/>
        <v>0</v>
      </c>
      <c r="L31" s="126">
        <f t="shared" si="2"/>
        <v>2558.0455666107923</v>
      </c>
    </row>
    <row r="32" spans="1:12" s="116" customFormat="1">
      <c r="A32" s="121">
        <f t="shared" si="4"/>
        <v>28</v>
      </c>
      <c r="B32" s="122">
        <f>'Base values'!F32-'Base values'!E32</f>
        <v>11855.775772941659</v>
      </c>
      <c r="C32" s="122">
        <f>B32*(1-'Base values'!V$40)</f>
        <v>1276.4027510459919</v>
      </c>
      <c r="D32" s="122">
        <f>B33*('Base values'!V$40-'Base values'!V$41)</f>
        <v>309.24208609256061</v>
      </c>
      <c r="E32" s="122">
        <f>B34*('Base values'!V$41-'Base values'!V$42)</f>
        <v>0</v>
      </c>
      <c r="F32" s="122">
        <f>B35*('Base values'!V$42-'Base values'!V$43)</f>
        <v>0</v>
      </c>
      <c r="G32" s="122">
        <f>B36*('Base values'!V$43-'Base values'!V$44)</f>
        <v>0</v>
      </c>
      <c r="H32" s="122">
        <f>B37*('Base values'!V$44-'Base values'!V$45)</f>
        <v>0</v>
      </c>
      <c r="I32" s="122">
        <f t="shared" si="0"/>
        <v>1585.6448371385525</v>
      </c>
      <c r="J32" s="132">
        <f>'Base values'!C85</f>
        <v>1</v>
      </c>
      <c r="K32" s="126">
        <f t="shared" si="1"/>
        <v>0</v>
      </c>
      <c r="L32" s="126">
        <f t="shared" si="2"/>
        <v>1585.6448371385525</v>
      </c>
    </row>
    <row r="33" spans="1:12" s="116" customFormat="1">
      <c r="A33" s="121">
        <f t="shared" si="4"/>
        <v>29</v>
      </c>
      <c r="B33" s="122">
        <f>'Base values'!F33-'Base values'!E33</f>
        <v>7627.3746180014859</v>
      </c>
      <c r="C33" s="122">
        <f>B33*(1-'Base values'!V$40)</f>
        <v>821.16954066345909</v>
      </c>
      <c r="D33" s="122">
        <f>B34*('Base values'!V$40-'Base values'!V$41)</f>
        <v>0</v>
      </c>
      <c r="E33" s="122">
        <f>B35*('Base values'!V$41-'Base values'!V$42)</f>
        <v>0</v>
      </c>
      <c r="F33" s="122">
        <f>B36*('Base values'!V$42-'Base values'!V$43)</f>
        <v>0</v>
      </c>
      <c r="G33" s="122">
        <f>B37*('Base values'!V$43-'Base values'!V$44)</f>
        <v>0</v>
      </c>
      <c r="H33" s="122">
        <f>B38*('Base values'!V$44-'Base values'!V$45)</f>
        <v>0</v>
      </c>
      <c r="I33" s="122">
        <f t="shared" si="0"/>
        <v>821.16954066345909</v>
      </c>
      <c r="J33" s="132">
        <f>'Base values'!C86</f>
        <v>1</v>
      </c>
      <c r="K33" s="126">
        <f t="shared" si="1"/>
        <v>0</v>
      </c>
      <c r="L33" s="126">
        <f t="shared" si="2"/>
        <v>821.16954066345909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38"/>
  <sheetViews>
    <sheetView workbookViewId="0">
      <selection activeCell="K15" sqref="K15"/>
    </sheetView>
  </sheetViews>
  <sheetFormatPr defaultRowHeight="12.75"/>
  <cols>
    <col min="11" max="11" width="14" customWidth="1"/>
    <col min="12" max="12" width="14.5703125" customWidth="1"/>
  </cols>
  <sheetData>
    <row r="1" spans="1:12" ht="15.75">
      <c r="A1" s="32" t="s">
        <v>31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38" t="s">
        <v>12</v>
      </c>
      <c r="L2" s="38" t="s">
        <v>12</v>
      </c>
    </row>
    <row r="3" spans="1:12">
      <c r="A3" s="69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36">
        <f>C4*(1-J4)+D4*(1-J5)+E4*(1-J6)+F4*(1-J7)+G4*(1-J8)+H4*(1-J9)</f>
        <v>4852.8092500000002</v>
      </c>
      <c r="L4" s="36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36">
        <f t="shared" ref="K5:K33" si="1">C5*(1-J5)+D5*(1-J6)+E5*(1-J7)+F5*(1-J8)+G5*(1-J9)+H5*(1-J10)</f>
        <v>4480.6484076086954</v>
      </c>
      <c r="L5" s="36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36">
        <f t="shared" si="1"/>
        <v>3743.7264945652164</v>
      </c>
      <c r="L6" s="36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36">
        <f t="shared" si="1"/>
        <v>3560.2627554347823</v>
      </c>
      <c r="L7" s="36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36">
        <f t="shared" si="1"/>
        <v>3665.2645489130427</v>
      </c>
      <c r="L8" s="36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36">
        <f t="shared" si="1"/>
        <v>3435.8725434782596</v>
      </c>
      <c r="L9" s="36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36">
        <f t="shared" si="1"/>
        <v>3238.908385869564</v>
      </c>
      <c r="L10" s="36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36">
        <f t="shared" si="1"/>
        <v>2961.0896086956518</v>
      </c>
      <c r="L11" s="36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36">
        <f t="shared" si="1"/>
        <v>2433.675951086956</v>
      </c>
      <c r="L12" s="36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36">
        <f t="shared" si="1"/>
        <v>1937.5311086956508</v>
      </c>
      <c r="L13" s="36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36">
        <f t="shared" si="1"/>
        <v>1428.374820652172</v>
      </c>
      <c r="L14" s="36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36">
        <f t="shared" si="1"/>
        <v>941.1757934782604</v>
      </c>
      <c r="L15" s="36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36">
        <f t="shared" si="1"/>
        <v>581.92063586956579</v>
      </c>
      <c r="L16" s="36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36">
        <f t="shared" si="1"/>
        <v>279.47320652173971</v>
      </c>
      <c r="L17" s="36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36">
        <f t="shared" si="1"/>
        <v>67.019956521739417</v>
      </c>
      <c r="L18" s="36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36">
        <f t="shared" si="1"/>
        <v>0</v>
      </c>
      <c r="L19" s="36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36">
        <f t="shared" si="1"/>
        <v>0</v>
      </c>
      <c r="L20" s="36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36">
        <f t="shared" si="1"/>
        <v>0</v>
      </c>
      <c r="L21" s="36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36">
        <f t="shared" si="1"/>
        <v>0</v>
      </c>
      <c r="L22" s="36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36">
        <f t="shared" si="1"/>
        <v>0</v>
      </c>
      <c r="L23" s="36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36">
        <f t="shared" si="1"/>
        <v>0</v>
      </c>
      <c r="L24" s="36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36">
        <f t="shared" si="1"/>
        <v>0</v>
      </c>
      <c r="L25" s="36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36">
        <f t="shared" si="1"/>
        <v>0</v>
      </c>
      <c r="L26" s="36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6">
        <f t="shared" si="1"/>
        <v>0</v>
      </c>
      <c r="L27" s="126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6">
        <f t="shared" si="1"/>
        <v>0</v>
      </c>
      <c r="L28" s="126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6">
        <f t="shared" si="1"/>
        <v>0</v>
      </c>
      <c r="L29" s="126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6">
        <f t="shared" si="1"/>
        <v>0</v>
      </c>
      <c r="L30" s="126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6">
        <f t="shared" si="1"/>
        <v>0</v>
      </c>
      <c r="L31" s="126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6">
        <f t="shared" si="1"/>
        <v>0</v>
      </c>
      <c r="L32" s="126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6">
        <f t="shared" si="1"/>
        <v>0</v>
      </c>
      <c r="L33" s="126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V66"/>
  <sheetViews>
    <sheetView workbookViewId="0">
      <selection activeCell="L29" sqref="L29"/>
    </sheetView>
  </sheetViews>
  <sheetFormatPr defaultRowHeight="12.75"/>
  <cols>
    <col min="1" max="1" width="22.140625" customWidth="1"/>
    <col min="6" max="6" width="15.7109375" customWidth="1"/>
    <col min="13" max="13" width="31.5703125" customWidth="1"/>
    <col min="15" max="15" width="51.42578125" bestFit="1" customWidth="1"/>
  </cols>
  <sheetData>
    <row r="1" spans="1:22" s="230" customFormat="1">
      <c r="A1" s="251" t="str">
        <f>'New Format'!A4</f>
        <v>Kenya</v>
      </c>
      <c r="B1" s="104"/>
      <c r="C1" s="104"/>
      <c r="D1" s="104"/>
      <c r="E1" s="104"/>
      <c r="F1" s="231" t="s">
        <v>150</v>
      </c>
      <c r="J1" s="247" t="s">
        <v>195</v>
      </c>
      <c r="K1"/>
      <c r="L1"/>
      <c r="M1"/>
      <c r="N1"/>
      <c r="O1"/>
      <c r="P1"/>
      <c r="Q1"/>
      <c r="R1"/>
      <c r="S1"/>
      <c r="T1"/>
      <c r="U1"/>
      <c r="V1"/>
    </row>
    <row r="2" spans="1:22" s="230" customFormat="1">
      <c r="A2" s="104"/>
      <c r="B2" s="104"/>
      <c r="C2" s="104"/>
      <c r="D2" s="104"/>
      <c r="E2" s="104"/>
      <c r="J2" s="257" t="s">
        <v>74</v>
      </c>
      <c r="K2" s="257" t="s">
        <v>72</v>
      </c>
      <c r="L2" s="257" t="s">
        <v>160</v>
      </c>
      <c r="M2" s="257" t="s">
        <v>161</v>
      </c>
      <c r="N2" s="257" t="s">
        <v>162</v>
      </c>
      <c r="O2" s="258" t="s">
        <v>210</v>
      </c>
      <c r="P2"/>
      <c r="Q2"/>
      <c r="R2"/>
      <c r="S2"/>
      <c r="T2"/>
      <c r="U2"/>
      <c r="V2"/>
    </row>
    <row r="3" spans="1:22" s="230" customFormat="1" ht="15.75">
      <c r="A3" s="236" t="s">
        <v>114</v>
      </c>
      <c r="B3" s="104"/>
      <c r="C3" s="104"/>
      <c r="D3" s="104"/>
      <c r="E3" s="104"/>
      <c r="J3" s="269" t="s">
        <v>81</v>
      </c>
      <c r="K3" s="269">
        <v>72</v>
      </c>
      <c r="L3" s="269">
        <v>50</v>
      </c>
      <c r="M3" s="269" t="s">
        <v>172</v>
      </c>
      <c r="N3" s="270">
        <v>1988</v>
      </c>
      <c r="O3" s="256" t="str">
        <f t="shared" ref="O3:O36" si="0">K3&amp;M3&amp;N3</f>
        <v>72Family Health Survey1988</v>
      </c>
      <c r="P3"/>
      <c r="Q3"/>
      <c r="R3"/>
      <c r="S3"/>
      <c r="T3"/>
      <c r="U3"/>
      <c r="V3"/>
    </row>
    <row r="4" spans="1:22" s="230" customFormat="1">
      <c r="A4" s="104" t="s">
        <v>115</v>
      </c>
      <c r="B4" s="250" t="str">
        <f>'New Format'!D4</f>
        <v>Demographic and Health Survey</v>
      </c>
      <c r="C4" s="249"/>
      <c r="D4" s="249"/>
      <c r="E4" s="104"/>
      <c r="F4" s="233" t="s">
        <v>151</v>
      </c>
      <c r="J4" s="269" t="s">
        <v>81</v>
      </c>
      <c r="K4" s="269">
        <v>72</v>
      </c>
      <c r="L4" s="269">
        <v>50</v>
      </c>
      <c r="M4" s="269" t="s">
        <v>172</v>
      </c>
      <c r="N4" s="270">
        <v>1996</v>
      </c>
      <c r="O4" s="256" t="str">
        <f t="shared" si="0"/>
        <v>72Family Health Survey1996</v>
      </c>
      <c r="P4"/>
      <c r="Q4"/>
      <c r="R4"/>
      <c r="S4"/>
      <c r="T4"/>
      <c r="U4"/>
      <c r="V4"/>
    </row>
    <row r="5" spans="1:22" s="230" customFormat="1">
      <c r="A5" s="104" t="s">
        <v>116</v>
      </c>
      <c r="B5" s="250" t="str">
        <f>'New Format'!K4</f>
        <v>Direct (Various periods)</v>
      </c>
      <c r="C5" s="249"/>
      <c r="D5" s="249"/>
      <c r="E5" s="104"/>
      <c r="J5" s="269" t="s">
        <v>81</v>
      </c>
      <c r="K5" s="269">
        <v>72</v>
      </c>
      <c r="L5" s="269">
        <v>50</v>
      </c>
      <c r="M5" s="269" t="s">
        <v>172</v>
      </c>
      <c r="N5" s="270">
        <v>2007</v>
      </c>
      <c r="O5" s="256" t="str">
        <f t="shared" si="0"/>
        <v>72Family Health Survey2007</v>
      </c>
      <c r="P5"/>
      <c r="Q5"/>
      <c r="R5"/>
      <c r="S5"/>
      <c r="T5"/>
      <c r="U5"/>
      <c r="V5"/>
    </row>
    <row r="6" spans="1:22" s="230" customFormat="1">
      <c r="A6" s="104" t="s">
        <v>117</v>
      </c>
      <c r="B6" s="249"/>
      <c r="C6" s="249"/>
      <c r="D6" s="249"/>
      <c r="E6" s="104"/>
      <c r="J6" s="269" t="s">
        <v>83</v>
      </c>
      <c r="K6" s="269">
        <v>120</v>
      </c>
      <c r="L6" s="269">
        <v>150</v>
      </c>
      <c r="M6" s="269" t="s">
        <v>163</v>
      </c>
      <c r="N6" s="270">
        <v>1991</v>
      </c>
      <c r="O6" s="256" t="str">
        <f t="shared" si="0"/>
        <v>120Demographic and Health Survey1991</v>
      </c>
      <c r="P6"/>
      <c r="Q6"/>
      <c r="R6"/>
      <c r="S6"/>
      <c r="T6"/>
      <c r="U6"/>
      <c r="V6"/>
    </row>
    <row r="7" spans="1:22" s="230" customFormat="1">
      <c r="A7" s="104" t="s">
        <v>164</v>
      </c>
      <c r="B7" s="250" t="str">
        <f>LEFT('New Format'!E4,4)</f>
        <v>2014</v>
      </c>
      <c r="C7" s="249"/>
      <c r="D7" s="249"/>
      <c r="E7" s="104"/>
      <c r="F7" s="231" t="s">
        <v>152</v>
      </c>
      <c r="J7" s="269" t="s">
        <v>83</v>
      </c>
      <c r="K7" s="269">
        <v>120</v>
      </c>
      <c r="L7" s="269">
        <v>150</v>
      </c>
      <c r="M7" s="269" t="s">
        <v>163</v>
      </c>
      <c r="N7" s="270">
        <v>1998</v>
      </c>
      <c r="O7" s="256" t="str">
        <f t="shared" si="0"/>
        <v>120Demographic and Health Survey1998</v>
      </c>
      <c r="P7"/>
      <c r="Q7"/>
      <c r="R7"/>
      <c r="S7"/>
      <c r="T7"/>
      <c r="U7"/>
      <c r="V7"/>
    </row>
    <row r="8" spans="1:22" s="230" customFormat="1">
      <c r="A8" s="104" t="s">
        <v>118</v>
      </c>
      <c r="B8" s="249">
        <v>1</v>
      </c>
      <c r="C8" s="249"/>
      <c r="D8" s="249"/>
      <c r="E8" s="104"/>
      <c r="F8" s="231" t="s">
        <v>153</v>
      </c>
      <c r="J8" s="269" t="s">
        <v>83</v>
      </c>
      <c r="K8" s="269">
        <v>120</v>
      </c>
      <c r="L8" s="269">
        <v>150</v>
      </c>
      <c r="M8" s="269" t="s">
        <v>163</v>
      </c>
      <c r="N8" s="270">
        <v>2004</v>
      </c>
      <c r="O8" s="256" t="str">
        <f t="shared" si="0"/>
        <v>120Demographic and Health Survey2004</v>
      </c>
      <c r="P8"/>
      <c r="Q8"/>
      <c r="R8"/>
      <c r="S8"/>
      <c r="T8"/>
      <c r="U8"/>
      <c r="V8"/>
    </row>
    <row r="9" spans="1:22" s="230" customFormat="1">
      <c r="A9" s="104" t="s">
        <v>119</v>
      </c>
      <c r="B9" s="249" t="s">
        <v>165</v>
      </c>
      <c r="C9" s="249"/>
      <c r="D9" s="249"/>
      <c r="E9" s="104"/>
      <c r="J9" s="269" t="s">
        <v>83</v>
      </c>
      <c r="K9" s="269">
        <v>120</v>
      </c>
      <c r="L9" s="269">
        <v>150</v>
      </c>
      <c r="M9" s="271" t="s">
        <v>186</v>
      </c>
      <c r="N9" s="270">
        <v>2011</v>
      </c>
      <c r="O9" s="256" t="str">
        <f t="shared" si="0"/>
        <v>120Demographic and Health Survey (Preliminary)2011</v>
      </c>
      <c r="P9"/>
      <c r="Q9"/>
      <c r="R9"/>
      <c r="S9"/>
      <c r="T9"/>
      <c r="U9"/>
      <c r="V9"/>
    </row>
    <row r="10" spans="1:22" s="230" customFormat="1">
      <c r="A10" s="104" t="s">
        <v>120</v>
      </c>
      <c r="B10" s="249"/>
      <c r="C10" s="249"/>
      <c r="D10" s="249"/>
      <c r="E10" s="104"/>
      <c r="F10" s="231" t="s">
        <v>154</v>
      </c>
      <c r="J10" s="269" t="s">
        <v>85</v>
      </c>
      <c r="K10" s="269">
        <v>140</v>
      </c>
      <c r="L10" s="269">
        <v>150</v>
      </c>
      <c r="M10" s="269" t="s">
        <v>163</v>
      </c>
      <c r="N10" s="272" t="s">
        <v>178</v>
      </c>
      <c r="O10" s="256" t="str">
        <f t="shared" si="0"/>
        <v>140Demographic and Health Survey1994-1995</v>
      </c>
      <c r="P10"/>
      <c r="Q10"/>
      <c r="R10"/>
      <c r="S10"/>
      <c r="T10"/>
      <c r="U10"/>
      <c r="V10"/>
    </row>
    <row r="11" spans="1:22" s="230" customFormat="1">
      <c r="A11" s="104"/>
      <c r="B11" s="249"/>
      <c r="C11" s="249"/>
      <c r="D11" s="249"/>
      <c r="E11" s="104"/>
      <c r="J11" s="282" t="s">
        <v>197</v>
      </c>
      <c r="K11" s="269">
        <v>384</v>
      </c>
      <c r="L11" s="269">
        <v>150</v>
      </c>
      <c r="M11" s="269" t="s">
        <v>163</v>
      </c>
      <c r="N11" s="270">
        <v>1994</v>
      </c>
      <c r="O11" s="256" t="str">
        <f t="shared" si="0"/>
        <v>384Demographic and Health Survey1994</v>
      </c>
      <c r="P11"/>
      <c r="Q11"/>
      <c r="R11"/>
      <c r="S11"/>
      <c r="T11"/>
      <c r="U11"/>
      <c r="V11"/>
    </row>
    <row r="12" spans="1:22" s="230" customFormat="1">
      <c r="A12" s="104"/>
      <c r="B12" s="249"/>
      <c r="C12" s="249"/>
      <c r="D12" s="249"/>
      <c r="E12" s="104"/>
      <c r="J12" s="269" t="s">
        <v>149</v>
      </c>
      <c r="K12" s="269">
        <v>384</v>
      </c>
      <c r="L12" s="269">
        <v>125</v>
      </c>
      <c r="M12" s="273" t="s">
        <v>181</v>
      </c>
      <c r="N12" s="270">
        <v>2005</v>
      </c>
      <c r="O12" s="256" t="str">
        <f t="shared" si="0"/>
        <v>384AIDS Indicator Survey2005</v>
      </c>
      <c r="P12"/>
      <c r="Q12"/>
      <c r="R12"/>
      <c r="S12"/>
      <c r="T12"/>
      <c r="U12"/>
      <c r="V12"/>
    </row>
    <row r="13" spans="1:22" s="70" customFormat="1" ht="13.5" thickBot="1">
      <c r="A13" s="262" t="s">
        <v>121</v>
      </c>
      <c r="B13" s="259"/>
      <c r="C13" s="260"/>
      <c r="D13" s="260"/>
      <c r="E13" s="260"/>
      <c r="F13" s="261" t="s">
        <v>155</v>
      </c>
      <c r="J13" s="269" t="s">
        <v>149</v>
      </c>
      <c r="K13" s="269">
        <v>384</v>
      </c>
      <c r="L13" s="269">
        <v>150</v>
      </c>
      <c r="M13" s="269" t="s">
        <v>163</v>
      </c>
      <c r="N13" s="270" t="s">
        <v>167</v>
      </c>
      <c r="O13" s="256" t="str">
        <f t="shared" si="0"/>
        <v>384Demographic and Health Survey1998-1999</v>
      </c>
      <c r="P13"/>
      <c r="Q13"/>
      <c r="R13"/>
      <c r="S13"/>
      <c r="T13"/>
      <c r="U13"/>
      <c r="V13"/>
    </row>
    <row r="14" spans="1:22" s="230" customFormat="1" ht="13.5" thickTop="1">
      <c r="A14" s="104" t="s">
        <v>43</v>
      </c>
      <c r="B14" s="104" t="s">
        <v>50</v>
      </c>
      <c r="C14" s="104" t="s">
        <v>122</v>
      </c>
      <c r="D14" s="104" t="s">
        <v>166</v>
      </c>
      <c r="E14" s="104"/>
      <c r="J14" s="269" t="s">
        <v>149</v>
      </c>
      <c r="K14" s="269">
        <v>384</v>
      </c>
      <c r="L14" s="269">
        <v>150</v>
      </c>
      <c r="M14" s="271" t="s">
        <v>186</v>
      </c>
      <c r="N14" s="274" t="s">
        <v>196</v>
      </c>
      <c r="O14" s="256" t="str">
        <f t="shared" si="0"/>
        <v>384Demographic and Health Survey (Preliminary)2011-2012</v>
      </c>
      <c r="P14"/>
      <c r="Q14"/>
      <c r="R14"/>
      <c r="S14"/>
      <c r="T14"/>
      <c r="U14"/>
      <c r="V14"/>
    </row>
    <row r="15" spans="1:22" s="230" customFormat="1" ht="15.75">
      <c r="A15" s="277" t="str">
        <f>CONCATENATE('New Format'!Q4,"-",'New Format'!R4)</f>
        <v>2013-2013</v>
      </c>
      <c r="B15" s="277">
        <f>'New Format'!T4</f>
        <v>2013.5</v>
      </c>
      <c r="C15" s="277">
        <f>'New Format'!U4</f>
        <v>49.39</v>
      </c>
      <c r="D15" s="277">
        <f>'New Format'!V4</f>
        <v>4.3899999999999997</v>
      </c>
      <c r="E15" s="277"/>
      <c r="F15" s="277"/>
      <c r="I15" s="232"/>
      <c r="J15" s="269" t="s">
        <v>88</v>
      </c>
      <c r="K15" s="269">
        <v>266</v>
      </c>
      <c r="L15" s="269">
        <v>75</v>
      </c>
      <c r="M15" s="269" t="s">
        <v>163</v>
      </c>
      <c r="N15" s="272" t="s">
        <v>182</v>
      </c>
      <c r="O15" s="256" t="str">
        <f t="shared" si="0"/>
        <v>266Demographic and Health Survey2000-2001</v>
      </c>
      <c r="P15"/>
      <c r="Q15"/>
      <c r="R15"/>
      <c r="S15"/>
      <c r="T15"/>
      <c r="U15"/>
      <c r="V15"/>
    </row>
    <row r="16" spans="1:22" s="230" customFormat="1" ht="15.75">
      <c r="A16" s="277" t="str">
        <f>CONCATENATE('New Format'!Q5,"-",'New Format'!R5)</f>
        <v>2012-2012</v>
      </c>
      <c r="B16" s="277">
        <f>'New Format'!T5</f>
        <v>2012.5</v>
      </c>
      <c r="C16" s="277">
        <f>'New Format'!U5</f>
        <v>51.73</v>
      </c>
      <c r="D16" s="277">
        <f>'New Format'!V5</f>
        <v>4.9400000000000004</v>
      </c>
      <c r="E16" s="277"/>
      <c r="F16" s="277"/>
      <c r="I16" s="232"/>
      <c r="J16" s="269" t="s">
        <v>90</v>
      </c>
      <c r="K16" s="269">
        <v>404</v>
      </c>
      <c r="L16" s="269">
        <v>75</v>
      </c>
      <c r="M16" s="269" t="s">
        <v>163</v>
      </c>
      <c r="N16" s="270" t="s">
        <v>183</v>
      </c>
      <c r="O16" s="256" t="str">
        <f t="shared" si="0"/>
        <v>404Demographic and Health Survey1988-1989</v>
      </c>
      <c r="P16"/>
      <c r="Q16"/>
      <c r="R16"/>
      <c r="S16"/>
      <c r="T16"/>
      <c r="U16"/>
      <c r="V16"/>
    </row>
    <row r="17" spans="1:22" s="230" customFormat="1" ht="15.75">
      <c r="A17" s="277" t="str">
        <f>CONCATENATE('New Format'!Q6,"-",'New Format'!R6)</f>
        <v>2011-2011</v>
      </c>
      <c r="B17" s="277">
        <f>'New Format'!T6</f>
        <v>2011.5</v>
      </c>
      <c r="C17" s="277">
        <f>'New Format'!U6</f>
        <v>50.43</v>
      </c>
      <c r="D17" s="277">
        <f>'New Format'!V6</f>
        <v>4.6100000000000003</v>
      </c>
      <c r="E17" s="277"/>
      <c r="F17" s="277"/>
      <c r="I17" s="232"/>
      <c r="J17" s="269" t="s">
        <v>90</v>
      </c>
      <c r="K17" s="269">
        <v>404</v>
      </c>
      <c r="L17" s="269">
        <v>75</v>
      </c>
      <c r="M17" s="269" t="s">
        <v>163</v>
      </c>
      <c r="N17" s="270">
        <v>1993</v>
      </c>
      <c r="O17" s="256" t="str">
        <f t="shared" si="0"/>
        <v>404Demographic and Health Survey1993</v>
      </c>
      <c r="P17"/>
      <c r="Q17"/>
      <c r="R17"/>
      <c r="S17"/>
      <c r="T17"/>
      <c r="U17"/>
      <c r="V17"/>
    </row>
    <row r="18" spans="1:22" s="230" customFormat="1" ht="15.75">
      <c r="A18" s="277" t="str">
        <f>CONCATENATE('New Format'!Q7,"-",'New Format'!R7)</f>
        <v>2010-2010</v>
      </c>
      <c r="B18" s="277">
        <f>'New Format'!T7</f>
        <v>2010.5</v>
      </c>
      <c r="C18" s="277">
        <f>'New Format'!U7</f>
        <v>50.57</v>
      </c>
      <c r="D18" s="277">
        <f>'New Format'!V7</f>
        <v>4.28</v>
      </c>
      <c r="E18" s="277"/>
      <c r="F18" s="277"/>
      <c r="I18" s="232"/>
      <c r="J18" s="269" t="s">
        <v>90</v>
      </c>
      <c r="K18" s="269">
        <v>404</v>
      </c>
      <c r="L18" s="269">
        <v>75</v>
      </c>
      <c r="M18" s="269" t="s">
        <v>163</v>
      </c>
      <c r="N18" s="270">
        <v>1998</v>
      </c>
      <c r="O18" s="256" t="str">
        <f t="shared" si="0"/>
        <v>404Demographic and Health Survey1998</v>
      </c>
      <c r="P18"/>
      <c r="Q18"/>
      <c r="R18"/>
      <c r="S18"/>
      <c r="T18"/>
      <c r="U18"/>
      <c r="V18"/>
    </row>
    <row r="19" spans="1:22" s="230" customFormat="1" ht="15.75">
      <c r="A19" s="277" t="str">
        <f>CONCATENATE('New Format'!Q8,"-",'New Format'!R8)</f>
        <v>2009-2009</v>
      </c>
      <c r="B19" s="277">
        <f>'New Format'!T8</f>
        <v>2009.5</v>
      </c>
      <c r="C19" s="277">
        <f>'New Format'!U8</f>
        <v>53.22</v>
      </c>
      <c r="D19" s="277">
        <f>'New Format'!V8</f>
        <v>4.46</v>
      </c>
      <c r="E19" s="277"/>
      <c r="F19" s="277"/>
      <c r="I19" s="232"/>
      <c r="J19" s="269" t="s">
        <v>90</v>
      </c>
      <c r="K19" s="269">
        <v>404</v>
      </c>
      <c r="L19" s="269">
        <v>75</v>
      </c>
      <c r="M19" s="269" t="s">
        <v>163</v>
      </c>
      <c r="N19" s="270">
        <v>2003</v>
      </c>
      <c r="O19" s="256" t="str">
        <f t="shared" si="0"/>
        <v>404Demographic and Health Survey2003</v>
      </c>
      <c r="P19"/>
      <c r="Q19"/>
      <c r="R19"/>
      <c r="S19"/>
      <c r="T19"/>
      <c r="U19"/>
      <c r="V19"/>
    </row>
    <row r="20" spans="1:22" ht="15.75">
      <c r="A20" s="277" t="str">
        <f>CONCATENATE('New Format'!Q9,"-",'New Format'!R9)</f>
        <v>2008-2008</v>
      </c>
      <c r="B20" s="277">
        <f>'New Format'!T9</f>
        <v>2008.5</v>
      </c>
      <c r="C20" s="277">
        <f>'New Format'!U9</f>
        <v>65.709999999999994</v>
      </c>
      <c r="D20" s="277">
        <f>'New Format'!V9</f>
        <v>5.91</v>
      </c>
      <c r="E20" s="277"/>
      <c r="F20" s="277"/>
      <c r="J20" s="269" t="s">
        <v>90</v>
      </c>
      <c r="K20" s="269">
        <v>404</v>
      </c>
      <c r="L20" s="269">
        <v>75</v>
      </c>
      <c r="M20" s="269" t="s">
        <v>163</v>
      </c>
      <c r="N20" s="270" t="s">
        <v>168</v>
      </c>
      <c r="O20" s="256" t="str">
        <f t="shared" si="0"/>
        <v>404Demographic and Health Survey2008-2009</v>
      </c>
    </row>
    <row r="21" spans="1:22" ht="15.75">
      <c r="A21" s="277" t="str">
        <f>CONCATENATE('New Format'!Q10,"-",'New Format'!R10)</f>
        <v>-</v>
      </c>
      <c r="B21" s="277">
        <f>'New Format'!T10</f>
        <v>0</v>
      </c>
      <c r="C21" s="277">
        <f>'New Format'!U10</f>
        <v>0</v>
      </c>
      <c r="D21" s="277">
        <f>'New Format'!V10</f>
        <v>0</v>
      </c>
      <c r="E21" s="277"/>
      <c r="F21" s="277"/>
      <c r="J21" s="269" t="s">
        <v>92</v>
      </c>
      <c r="K21" s="269">
        <v>426</v>
      </c>
      <c r="L21" s="269">
        <v>75</v>
      </c>
      <c r="M21" s="269" t="s">
        <v>163</v>
      </c>
      <c r="N21" s="270" t="s">
        <v>184</v>
      </c>
      <c r="O21" s="256" t="str">
        <f t="shared" si="0"/>
        <v>426Demographic and Health Survey2004-2005</v>
      </c>
    </row>
    <row r="22" spans="1:22" ht="15.75">
      <c r="A22" s="277" t="str">
        <f>CONCATENATE('New Format'!Q11,"-",'New Format'!R11)</f>
        <v>-</v>
      </c>
      <c r="B22" s="277">
        <f>'New Format'!T11</f>
        <v>0</v>
      </c>
      <c r="C22" s="277">
        <f>'New Format'!U11</f>
        <v>0</v>
      </c>
      <c r="D22" s="277">
        <f>'New Format'!V11</f>
        <v>0</v>
      </c>
      <c r="E22" s="277"/>
      <c r="F22" s="277"/>
      <c r="J22" s="269" t="s">
        <v>92</v>
      </c>
      <c r="K22" s="269">
        <v>426</v>
      </c>
      <c r="L22" s="269">
        <v>75</v>
      </c>
      <c r="M22" s="269" t="s">
        <v>163</v>
      </c>
      <c r="N22" s="270" t="s">
        <v>169</v>
      </c>
      <c r="O22" s="256" t="str">
        <f t="shared" si="0"/>
        <v>426Demographic and Health Survey2009-2010</v>
      </c>
    </row>
    <row r="23" spans="1:22" ht="15.75">
      <c r="A23" s="277" t="str">
        <f>CONCATENATE('New Format'!Q12,"-",'New Format'!R12)</f>
        <v>-</v>
      </c>
      <c r="B23" s="277">
        <f>'New Format'!T12</f>
        <v>0</v>
      </c>
      <c r="C23" s="277">
        <f>'New Format'!U12</f>
        <v>0</v>
      </c>
      <c r="D23" s="277">
        <f>'New Format'!V12</f>
        <v>0</v>
      </c>
      <c r="E23" s="277"/>
      <c r="F23" s="277"/>
      <c r="J23" s="269" t="s">
        <v>94</v>
      </c>
      <c r="K23" s="269">
        <v>454</v>
      </c>
      <c r="L23" s="269">
        <v>250</v>
      </c>
      <c r="M23" s="269" t="s">
        <v>163</v>
      </c>
      <c r="N23" s="270">
        <v>1992</v>
      </c>
      <c r="O23" s="256" t="str">
        <f t="shared" si="0"/>
        <v>454Demographic and Health Survey1992</v>
      </c>
    </row>
    <row r="24" spans="1:22" ht="15.75">
      <c r="A24" s="277" t="str">
        <f>CONCATENATE('New Format'!Q13,"-",'New Format'!R13)</f>
        <v>-</v>
      </c>
      <c r="B24" s="277">
        <f>'New Format'!T13</f>
        <v>0</v>
      </c>
      <c r="C24" s="277">
        <f>'New Format'!U13</f>
        <v>0</v>
      </c>
      <c r="D24" s="277">
        <f>'New Format'!V13</f>
        <v>0</v>
      </c>
      <c r="E24" s="277"/>
      <c r="F24" s="277"/>
      <c r="J24" s="269" t="s">
        <v>94</v>
      </c>
      <c r="K24" s="269">
        <v>454</v>
      </c>
      <c r="L24" s="269">
        <v>200</v>
      </c>
      <c r="M24" s="269" t="s">
        <v>163</v>
      </c>
      <c r="N24" s="270">
        <v>2000</v>
      </c>
      <c r="O24" s="256" t="str">
        <f t="shared" si="0"/>
        <v>454Demographic and Health Survey2000</v>
      </c>
    </row>
    <row r="25" spans="1:22" ht="15.75">
      <c r="A25" s="277" t="str">
        <f>CONCATENATE('New Format'!Q14,"-",'New Format'!R14)</f>
        <v>-</v>
      </c>
      <c r="B25" s="277">
        <f>'New Format'!T14</f>
        <v>0</v>
      </c>
      <c r="C25" s="277">
        <f>'New Format'!U14</f>
        <v>0</v>
      </c>
      <c r="D25" s="277">
        <f>'New Format'!V14</f>
        <v>0</v>
      </c>
      <c r="E25" s="277"/>
      <c r="F25" s="277"/>
      <c r="J25" s="269" t="s">
        <v>94</v>
      </c>
      <c r="K25" s="269">
        <v>454</v>
      </c>
      <c r="L25" s="269">
        <v>150</v>
      </c>
      <c r="M25" s="269" t="s">
        <v>163</v>
      </c>
      <c r="N25" s="270" t="s">
        <v>184</v>
      </c>
      <c r="O25" s="256" t="str">
        <f t="shared" si="0"/>
        <v>454Demographic and Health Survey2004-2005</v>
      </c>
    </row>
    <row r="26" spans="1:22" ht="15.75">
      <c r="A26" s="277" t="str">
        <f>CONCATENATE('New Format'!Q15,"-",'New Format'!R15)</f>
        <v>-</v>
      </c>
      <c r="B26" s="277">
        <f>'New Format'!T15</f>
        <v>0</v>
      </c>
      <c r="C26" s="277">
        <f>'New Format'!U15</f>
        <v>0</v>
      </c>
      <c r="D26" s="277">
        <f>'New Format'!V15</f>
        <v>0</v>
      </c>
      <c r="E26" s="277"/>
      <c r="F26" s="277"/>
      <c r="J26" s="269" t="s">
        <v>94</v>
      </c>
      <c r="K26" s="269">
        <v>454</v>
      </c>
      <c r="L26" s="269">
        <v>125</v>
      </c>
      <c r="M26" s="269" t="s">
        <v>163</v>
      </c>
      <c r="N26" s="270">
        <v>2010</v>
      </c>
      <c r="O26" s="256" t="str">
        <f t="shared" si="0"/>
        <v>454Demographic and Health Survey2010</v>
      </c>
    </row>
    <row r="27" spans="1:22" ht="15.75">
      <c r="A27" s="277" t="str">
        <f>CONCATENATE('New Format'!Q16,"-",'New Format'!R16)</f>
        <v>-</v>
      </c>
      <c r="B27" s="277">
        <f>'New Format'!T16</f>
        <v>0</v>
      </c>
      <c r="C27" s="277">
        <f>'New Format'!U16</f>
        <v>0</v>
      </c>
      <c r="D27" s="277">
        <f>'New Format'!V16</f>
        <v>0</v>
      </c>
      <c r="E27" s="277"/>
      <c r="F27" s="277"/>
      <c r="J27" s="269" t="s">
        <v>94</v>
      </c>
      <c r="K27" s="269">
        <v>454</v>
      </c>
      <c r="L27" s="269">
        <v>150</v>
      </c>
      <c r="M27" s="269" t="s">
        <v>185</v>
      </c>
      <c r="N27" s="269">
        <v>2006</v>
      </c>
      <c r="O27" s="256" t="str">
        <f t="shared" si="0"/>
        <v>454Multiple Indicator Cluster Survey2006</v>
      </c>
    </row>
    <row r="28" spans="1:22" ht="15.75">
      <c r="A28" s="277" t="str">
        <f>CONCATENATE('New Format'!Q17,"-",'New Format'!R17)</f>
        <v>-</v>
      </c>
      <c r="B28" s="277">
        <f>'New Format'!T17</f>
        <v>0</v>
      </c>
      <c r="C28" s="277">
        <f>'New Format'!U17</f>
        <v>0</v>
      </c>
      <c r="D28" s="277">
        <f>'New Format'!V17</f>
        <v>0</v>
      </c>
      <c r="E28" s="277"/>
      <c r="F28" s="277"/>
      <c r="J28" s="269" t="s">
        <v>96</v>
      </c>
      <c r="K28" s="269">
        <v>508</v>
      </c>
      <c r="L28" s="269">
        <v>200</v>
      </c>
      <c r="M28" s="269" t="s">
        <v>163</v>
      </c>
      <c r="N28" s="270">
        <v>1997</v>
      </c>
      <c r="O28" s="256" t="str">
        <f t="shared" si="0"/>
        <v>508Demographic and Health Survey1997</v>
      </c>
    </row>
    <row r="29" spans="1:22" ht="15.75">
      <c r="A29" s="277" t="str">
        <f>CONCATENATE('New Format'!Q18,"-",'New Format'!R18)</f>
        <v>-</v>
      </c>
      <c r="B29" s="277">
        <f>'New Format'!T18</f>
        <v>0</v>
      </c>
      <c r="C29" s="277">
        <f>'New Format'!U18</f>
        <v>0</v>
      </c>
      <c r="D29" s="277">
        <f>'New Format'!V18</f>
        <v>0</v>
      </c>
      <c r="E29" s="277"/>
      <c r="F29" s="277"/>
      <c r="J29" s="269" t="s">
        <v>96</v>
      </c>
      <c r="K29" s="269">
        <v>508</v>
      </c>
      <c r="L29" s="269">
        <v>200</v>
      </c>
      <c r="M29" s="269" t="s">
        <v>163</v>
      </c>
      <c r="N29" s="270" t="s">
        <v>180</v>
      </c>
      <c r="O29" s="256" t="str">
        <f t="shared" si="0"/>
        <v>508Demographic and Health Survey2003-2004</v>
      </c>
    </row>
    <row r="30" spans="1:22" ht="15.75">
      <c r="A30" s="277" t="str">
        <f>CONCATENATE('New Format'!Q19,"-",'New Format'!R19)</f>
        <v>-</v>
      </c>
      <c r="B30" s="277">
        <f>'New Format'!T19</f>
        <v>0</v>
      </c>
      <c r="C30" s="277">
        <f>'New Format'!U19</f>
        <v>0</v>
      </c>
      <c r="D30" s="277">
        <f>'New Format'!V19</f>
        <v>0</v>
      </c>
      <c r="E30" s="277"/>
      <c r="F30" s="277"/>
      <c r="J30" s="269" t="s">
        <v>96</v>
      </c>
      <c r="K30" s="269">
        <v>508</v>
      </c>
      <c r="L30" s="269">
        <v>200</v>
      </c>
      <c r="M30" s="273" t="s">
        <v>185</v>
      </c>
      <c r="N30" s="270">
        <v>2008</v>
      </c>
      <c r="O30" s="256" t="str">
        <f t="shared" si="0"/>
        <v>508Multiple Indicator Cluster Survey2008</v>
      </c>
    </row>
    <row r="31" spans="1:22" ht="15.75">
      <c r="A31" s="277" t="str">
        <f>CONCATENATE('New Format'!Q20,"-",'New Format'!R20)</f>
        <v>-</v>
      </c>
      <c r="B31" s="277">
        <f>'New Format'!T20</f>
        <v>0</v>
      </c>
      <c r="C31" s="277">
        <f>'New Format'!U20</f>
        <v>0</v>
      </c>
      <c r="D31" s="277">
        <f>'New Format'!V20</f>
        <v>0</v>
      </c>
      <c r="E31" s="277"/>
      <c r="F31" s="277"/>
      <c r="J31" s="269" t="s">
        <v>96</v>
      </c>
      <c r="K31" s="269">
        <v>508</v>
      </c>
      <c r="L31" s="269">
        <v>200</v>
      </c>
      <c r="M31" s="271" t="s">
        <v>186</v>
      </c>
      <c r="N31" s="270">
        <v>2011</v>
      </c>
      <c r="O31" s="256" t="str">
        <f t="shared" si="0"/>
        <v>508Demographic and Health Survey (Preliminary)2011</v>
      </c>
    </row>
    <row r="32" spans="1:22" ht="15.75">
      <c r="A32" s="277" t="str">
        <f>CONCATENATE('New Format'!Q21,"-",'New Format'!R21)</f>
        <v>-</v>
      </c>
      <c r="B32" s="277">
        <f>'New Format'!T21</f>
        <v>0</v>
      </c>
      <c r="C32" s="277">
        <f>'New Format'!U21</f>
        <v>0</v>
      </c>
      <c r="D32" s="277">
        <f>'New Format'!V21</f>
        <v>0</v>
      </c>
      <c r="E32" s="277"/>
      <c r="F32" s="277"/>
      <c r="J32" s="269" t="s">
        <v>96</v>
      </c>
      <c r="K32" s="269">
        <v>454</v>
      </c>
      <c r="L32" s="269">
        <v>200</v>
      </c>
      <c r="M32" s="269" t="s">
        <v>185</v>
      </c>
      <c r="N32" s="269">
        <v>2008</v>
      </c>
      <c r="O32" s="256" t="str">
        <f t="shared" si="0"/>
        <v>454Multiple Indicator Cluster Survey2008</v>
      </c>
    </row>
    <row r="33" spans="1:15" ht="15.75">
      <c r="A33" s="277" t="str">
        <f>CONCATENATE('New Format'!Q22,"-",'New Format'!R22)</f>
        <v>-</v>
      </c>
      <c r="B33" s="277">
        <f>'New Format'!T22</f>
        <v>0</v>
      </c>
      <c r="C33" s="277">
        <f>'New Format'!U22</f>
        <v>0</v>
      </c>
      <c r="D33" s="277">
        <f>'New Format'!V22</f>
        <v>0</v>
      </c>
      <c r="E33" s="277"/>
      <c r="J33" s="269" t="s">
        <v>98</v>
      </c>
      <c r="K33" s="269">
        <v>516</v>
      </c>
      <c r="L33" s="269">
        <v>75</v>
      </c>
      <c r="M33" s="269" t="s">
        <v>163</v>
      </c>
      <c r="N33" s="270">
        <v>1992</v>
      </c>
      <c r="O33" s="256" t="str">
        <f t="shared" si="0"/>
        <v>516Demographic and Health Survey1992</v>
      </c>
    </row>
    <row r="34" spans="1:15" ht="15.75">
      <c r="A34" s="277" t="str">
        <f>CONCATENATE('New Format'!Q23,"-",'New Format'!R23)</f>
        <v>-</v>
      </c>
      <c r="B34" s="277">
        <f>'New Format'!T23</f>
        <v>0</v>
      </c>
      <c r="C34" s="277">
        <f>'New Format'!U23</f>
        <v>0</v>
      </c>
      <c r="D34" s="277">
        <f>'New Format'!V23</f>
        <v>0</v>
      </c>
      <c r="E34" s="277"/>
      <c r="J34" s="269" t="s">
        <v>98</v>
      </c>
      <c r="K34" s="269">
        <v>516</v>
      </c>
      <c r="L34" s="269">
        <v>50</v>
      </c>
      <c r="M34" s="269" t="s">
        <v>163</v>
      </c>
      <c r="N34" s="270">
        <v>2000</v>
      </c>
      <c r="O34" s="256" t="str">
        <f t="shared" si="0"/>
        <v>516Demographic and Health Survey2000</v>
      </c>
    </row>
    <row r="35" spans="1:15" ht="15.75">
      <c r="A35" s="277" t="str">
        <f>CONCATENATE('New Format'!Q24,"-",'New Format'!R24)</f>
        <v>-</v>
      </c>
      <c r="B35" s="277">
        <f>'New Format'!T24</f>
        <v>0</v>
      </c>
      <c r="C35" s="277">
        <f>'New Format'!U24</f>
        <v>0</v>
      </c>
      <c r="D35" s="277">
        <f>'New Format'!V24</f>
        <v>0</v>
      </c>
      <c r="E35" s="277"/>
      <c r="J35" s="269" t="s">
        <v>98</v>
      </c>
      <c r="K35" s="269">
        <v>516</v>
      </c>
      <c r="L35" s="269">
        <v>50</v>
      </c>
      <c r="M35" s="269" t="s">
        <v>163</v>
      </c>
      <c r="N35" s="270" t="s">
        <v>170</v>
      </c>
      <c r="O35" s="256" t="str">
        <f t="shared" si="0"/>
        <v>516Demographic and Health Survey2006-2007</v>
      </c>
    </row>
    <row r="36" spans="1:15" ht="15.75">
      <c r="A36" s="277" t="str">
        <f>CONCATENATE('New Format'!Q25,"-",'New Format'!R25)</f>
        <v>-</v>
      </c>
      <c r="B36" s="277">
        <f>'New Format'!T25</f>
        <v>0</v>
      </c>
      <c r="C36" s="277">
        <f>'New Format'!U25</f>
        <v>0</v>
      </c>
      <c r="D36" s="277">
        <f>'New Format'!V25</f>
        <v>0</v>
      </c>
      <c r="E36" s="277"/>
      <c r="F36" s="277"/>
      <c r="J36" s="269" t="s">
        <v>100</v>
      </c>
      <c r="K36" s="269">
        <v>646</v>
      </c>
      <c r="L36" s="269">
        <v>150</v>
      </c>
      <c r="M36" s="269" t="s">
        <v>163</v>
      </c>
      <c r="N36" s="270">
        <v>1992</v>
      </c>
      <c r="O36" s="256" t="str">
        <f t="shared" si="0"/>
        <v>646Demographic and Health Survey1992</v>
      </c>
    </row>
    <row r="37" spans="1:15" ht="15.75">
      <c r="A37" s="277" t="str">
        <f>CONCATENATE('New Format'!Q26,"-",'New Format'!R26)</f>
        <v>-</v>
      </c>
      <c r="B37" s="277">
        <f>'New Format'!T26</f>
        <v>0</v>
      </c>
      <c r="C37" s="277">
        <f>'New Format'!U26</f>
        <v>0</v>
      </c>
      <c r="D37" s="277">
        <f>'New Format'!V26</f>
        <v>0</v>
      </c>
      <c r="E37" s="277"/>
      <c r="J37" s="269" t="s">
        <v>100</v>
      </c>
      <c r="K37" s="269">
        <v>646</v>
      </c>
      <c r="L37" s="269">
        <v>150</v>
      </c>
      <c r="M37" s="269" t="s">
        <v>163</v>
      </c>
      <c r="N37" s="270">
        <v>2000</v>
      </c>
      <c r="O37" s="256" t="str">
        <f t="shared" ref="O37:O66" si="1">K37&amp;M37&amp;N37</f>
        <v>646Demographic and Health Survey2000</v>
      </c>
    </row>
    <row r="38" spans="1:15" ht="15.75">
      <c r="A38" s="277" t="str">
        <f>CONCATENATE('New Format'!Q27,"-",'New Format'!R27)</f>
        <v>-</v>
      </c>
      <c r="B38" s="277">
        <f>'New Format'!T27</f>
        <v>0</v>
      </c>
      <c r="C38" s="277">
        <f>'New Format'!U27</f>
        <v>0</v>
      </c>
      <c r="D38" s="277">
        <f>'New Format'!V27</f>
        <v>0</v>
      </c>
      <c r="E38" s="277"/>
      <c r="J38" s="269" t="s">
        <v>100</v>
      </c>
      <c r="K38" s="269">
        <v>646</v>
      </c>
      <c r="L38" s="269">
        <v>150</v>
      </c>
      <c r="M38" s="269" t="s">
        <v>163</v>
      </c>
      <c r="N38" s="270">
        <v>2005</v>
      </c>
      <c r="O38" s="256" t="str">
        <f t="shared" si="1"/>
        <v>646Demographic and Health Survey2005</v>
      </c>
    </row>
    <row r="39" spans="1:15" ht="15.75">
      <c r="A39" s="277" t="str">
        <f>CONCATENATE('New Format'!Q28,"-",'New Format'!R28)</f>
        <v>-</v>
      </c>
      <c r="B39" s="277">
        <f>'New Format'!T28</f>
        <v>0</v>
      </c>
      <c r="C39" s="277">
        <f>'New Format'!U28</f>
        <v>0</v>
      </c>
      <c r="D39" s="277">
        <f>'New Format'!V28</f>
        <v>0</v>
      </c>
      <c r="E39" s="277"/>
      <c r="J39" s="269" t="s">
        <v>100</v>
      </c>
      <c r="K39" s="269">
        <v>646</v>
      </c>
      <c r="L39" s="269">
        <v>150</v>
      </c>
      <c r="M39" s="275" t="s">
        <v>193</v>
      </c>
      <c r="N39" s="270" t="s">
        <v>171</v>
      </c>
      <c r="O39" s="256" t="str">
        <f t="shared" si="1"/>
        <v>646Interim Demographic and Health Survey2007-2008</v>
      </c>
    </row>
    <row r="40" spans="1:15" ht="15.75">
      <c r="A40" s="277"/>
      <c r="B40" s="277"/>
      <c r="C40" s="277"/>
      <c r="D40" s="277"/>
      <c r="E40" s="277"/>
      <c r="J40" s="269" t="s">
        <v>100</v>
      </c>
      <c r="K40" s="269">
        <v>646</v>
      </c>
      <c r="L40" s="269">
        <v>150</v>
      </c>
      <c r="M40" s="269" t="s">
        <v>163</v>
      </c>
      <c r="N40" s="270" t="s">
        <v>187</v>
      </c>
      <c r="O40" s="256" t="str">
        <f t="shared" si="1"/>
        <v>646Demographic and Health Survey2010-2011</v>
      </c>
    </row>
    <row r="41" spans="1:15" ht="15.75">
      <c r="A41" s="277"/>
      <c r="B41" s="277"/>
      <c r="C41" s="277"/>
      <c r="D41" s="277"/>
      <c r="E41" s="277"/>
      <c r="J41" s="269" t="s">
        <v>102</v>
      </c>
      <c r="K41" s="269">
        <v>710</v>
      </c>
      <c r="L41" s="269">
        <v>50</v>
      </c>
      <c r="M41" s="269" t="s">
        <v>163</v>
      </c>
      <c r="N41" s="270">
        <v>1998</v>
      </c>
      <c r="O41" s="256" t="str">
        <f t="shared" si="1"/>
        <v>710Demographic and Health Survey1998</v>
      </c>
    </row>
    <row r="42" spans="1:15" ht="15.75">
      <c r="A42" s="277"/>
      <c r="B42" s="277"/>
      <c r="C42" s="277"/>
      <c r="D42" s="277"/>
      <c r="E42" s="277"/>
      <c r="J42" s="269" t="s">
        <v>102</v>
      </c>
      <c r="K42" s="269">
        <v>710</v>
      </c>
      <c r="L42" s="269">
        <v>50</v>
      </c>
      <c r="M42" s="269" t="s">
        <v>163</v>
      </c>
      <c r="N42" s="270">
        <v>2004</v>
      </c>
      <c r="O42" s="256" t="str">
        <f t="shared" si="1"/>
        <v>710Demographic and Health Survey2004</v>
      </c>
    </row>
    <row r="43" spans="1:15" ht="15.75">
      <c r="A43" s="277"/>
      <c r="B43" s="277"/>
      <c r="C43" s="277"/>
      <c r="D43" s="277"/>
      <c r="E43" s="277"/>
      <c r="J43" s="269" t="s">
        <v>104</v>
      </c>
      <c r="K43" s="269">
        <v>748</v>
      </c>
      <c r="L43" s="269">
        <v>75</v>
      </c>
      <c r="M43" s="269" t="s">
        <v>163</v>
      </c>
      <c r="N43" s="270" t="s">
        <v>170</v>
      </c>
      <c r="O43" s="256" t="str">
        <f t="shared" si="1"/>
        <v>748Demographic and Health Survey2006-2007</v>
      </c>
    </row>
    <row r="44" spans="1:15" ht="15.75">
      <c r="A44" s="277"/>
      <c r="B44" s="277"/>
      <c r="C44" s="277"/>
      <c r="D44" s="277"/>
      <c r="E44" s="277"/>
      <c r="J44" s="269" t="s">
        <v>104</v>
      </c>
      <c r="K44" s="269">
        <v>748</v>
      </c>
      <c r="L44" s="269">
        <v>75</v>
      </c>
      <c r="M44" s="269" t="s">
        <v>185</v>
      </c>
      <c r="N44" s="270">
        <v>2010</v>
      </c>
      <c r="O44" s="256" t="str">
        <f t="shared" si="1"/>
        <v>748Multiple Indicator Cluster Survey2010</v>
      </c>
    </row>
    <row r="45" spans="1:15" ht="15.75">
      <c r="A45" s="277"/>
      <c r="B45" s="277"/>
      <c r="C45" s="277"/>
      <c r="D45" s="277"/>
      <c r="E45" s="277"/>
      <c r="J45" s="269" t="s">
        <v>113</v>
      </c>
      <c r="K45" s="269">
        <v>834</v>
      </c>
      <c r="L45" s="269">
        <v>150</v>
      </c>
      <c r="M45" s="269" t="s">
        <v>163</v>
      </c>
      <c r="N45" s="270" t="s">
        <v>189</v>
      </c>
      <c r="O45" s="256" t="str">
        <f t="shared" si="1"/>
        <v>834Demographic and Health Survey1991-1992</v>
      </c>
    </row>
    <row r="46" spans="1:15" ht="15.75">
      <c r="A46" s="277"/>
      <c r="B46" s="277"/>
      <c r="C46" s="277"/>
      <c r="D46" s="277"/>
      <c r="E46" s="277"/>
      <c r="J46" s="269" t="s">
        <v>113</v>
      </c>
      <c r="K46" s="269">
        <v>834</v>
      </c>
      <c r="L46" s="269">
        <v>150</v>
      </c>
      <c r="M46" s="269" t="s">
        <v>163</v>
      </c>
      <c r="N46" s="270">
        <v>1996</v>
      </c>
      <c r="O46" s="256" t="str">
        <f t="shared" si="1"/>
        <v>834Demographic and Health Survey1996</v>
      </c>
    </row>
    <row r="47" spans="1:15" ht="15.75">
      <c r="A47" s="277"/>
      <c r="B47" s="277"/>
      <c r="C47" s="277"/>
      <c r="D47" s="277"/>
      <c r="E47" s="277"/>
      <c r="J47" s="269" t="s">
        <v>113</v>
      </c>
      <c r="K47" s="269">
        <v>834</v>
      </c>
      <c r="L47" s="269">
        <v>150</v>
      </c>
      <c r="M47" s="269" t="s">
        <v>163</v>
      </c>
      <c r="N47" s="270">
        <v>1999</v>
      </c>
      <c r="O47" s="256" t="str">
        <f t="shared" si="1"/>
        <v>834Demographic and Health Survey1999</v>
      </c>
    </row>
    <row r="48" spans="1:15" ht="15.75">
      <c r="A48" s="277"/>
      <c r="B48" s="277"/>
      <c r="C48" s="277"/>
      <c r="D48" s="277"/>
      <c r="E48" s="277"/>
      <c r="J48" s="269" t="s">
        <v>113</v>
      </c>
      <c r="K48" s="269">
        <v>834</v>
      </c>
      <c r="L48" s="269">
        <v>150</v>
      </c>
      <c r="M48" s="269" t="s">
        <v>163</v>
      </c>
      <c r="N48" s="276" t="s">
        <v>184</v>
      </c>
      <c r="O48" s="256" t="str">
        <f t="shared" si="1"/>
        <v>834Demographic and Health Survey2004-2005</v>
      </c>
    </row>
    <row r="49" spans="1:15" ht="15.75">
      <c r="A49" s="277"/>
      <c r="B49" s="277"/>
      <c r="C49" s="277"/>
      <c r="D49" s="277"/>
      <c r="E49" s="277"/>
      <c r="J49" s="269" t="s">
        <v>113</v>
      </c>
      <c r="K49" s="269">
        <v>834</v>
      </c>
      <c r="L49" s="269">
        <v>150</v>
      </c>
      <c r="M49" s="269" t="s">
        <v>190</v>
      </c>
      <c r="N49" s="276" t="s">
        <v>171</v>
      </c>
      <c r="O49" s="256" t="str">
        <f t="shared" si="1"/>
        <v>834HIV AIDS and Malaria Indicator Survey2007-2008</v>
      </c>
    </row>
    <row r="50" spans="1:15" ht="15.75">
      <c r="A50" s="277"/>
      <c r="B50" s="277"/>
      <c r="C50" s="277"/>
      <c r="D50" s="277"/>
      <c r="E50" s="277"/>
      <c r="J50" s="269" t="s">
        <v>113</v>
      </c>
      <c r="K50" s="269">
        <v>834</v>
      </c>
      <c r="L50" s="269">
        <v>150</v>
      </c>
      <c r="M50" s="269" t="s">
        <v>163</v>
      </c>
      <c r="N50" s="270" t="s">
        <v>169</v>
      </c>
      <c r="O50" s="256" t="str">
        <f t="shared" si="1"/>
        <v>834Demographic and Health Survey2009-2010</v>
      </c>
    </row>
    <row r="51" spans="1:15" ht="15.75">
      <c r="A51" s="277"/>
      <c r="B51" s="277"/>
      <c r="C51" s="277"/>
      <c r="D51" s="277"/>
      <c r="E51" s="277"/>
      <c r="J51" s="269" t="s">
        <v>106</v>
      </c>
      <c r="K51" s="269">
        <v>800</v>
      </c>
      <c r="L51" s="269">
        <v>150</v>
      </c>
      <c r="M51" s="269" t="s">
        <v>163</v>
      </c>
      <c r="N51" s="270" t="s">
        <v>183</v>
      </c>
      <c r="O51" s="256" t="str">
        <f t="shared" si="1"/>
        <v>800Demographic and Health Survey1988-1989</v>
      </c>
    </row>
    <row r="52" spans="1:15" ht="15.75">
      <c r="A52" s="277"/>
      <c r="B52" s="277"/>
      <c r="C52" s="277"/>
      <c r="D52" s="277"/>
      <c r="E52" s="277"/>
      <c r="J52" s="269" t="s">
        <v>106</v>
      </c>
      <c r="K52" s="269">
        <v>800</v>
      </c>
      <c r="L52" s="269">
        <v>150</v>
      </c>
      <c r="M52" s="269" t="s">
        <v>163</v>
      </c>
      <c r="N52" s="270">
        <v>1995</v>
      </c>
      <c r="O52" s="256" t="str">
        <f t="shared" si="1"/>
        <v>800Demographic and Health Survey1995</v>
      </c>
    </row>
    <row r="53" spans="1:15" ht="15.75">
      <c r="A53" s="277"/>
      <c r="B53" s="277"/>
      <c r="C53" s="277"/>
      <c r="D53" s="277"/>
      <c r="E53" s="277"/>
      <c r="J53" s="269" t="s">
        <v>106</v>
      </c>
      <c r="K53" s="269">
        <v>800</v>
      </c>
      <c r="L53" s="269">
        <v>150</v>
      </c>
      <c r="M53" s="269" t="s">
        <v>163</v>
      </c>
      <c r="N53" s="270" t="s">
        <v>182</v>
      </c>
      <c r="O53" s="256" t="str">
        <f t="shared" si="1"/>
        <v>800Demographic and Health Survey2000-2001</v>
      </c>
    </row>
    <row r="54" spans="1:15" ht="15.75">
      <c r="A54" s="277"/>
      <c r="B54" s="277"/>
      <c r="C54" s="277"/>
      <c r="D54" s="277"/>
      <c r="E54" s="277"/>
      <c r="J54" s="269" t="s">
        <v>106</v>
      </c>
      <c r="K54" s="269">
        <v>800</v>
      </c>
      <c r="L54" s="269">
        <v>150</v>
      </c>
      <c r="M54" s="269" t="s">
        <v>163</v>
      </c>
      <c r="N54" s="270">
        <v>2006</v>
      </c>
      <c r="O54" s="256" t="str">
        <f t="shared" si="1"/>
        <v>800Demographic and Health Survey2006</v>
      </c>
    </row>
    <row r="55" spans="1:15" ht="15.75">
      <c r="A55" s="277"/>
      <c r="B55" s="277"/>
      <c r="C55" s="277"/>
      <c r="D55" s="277"/>
      <c r="E55" s="277"/>
      <c r="J55" s="269" t="s">
        <v>106</v>
      </c>
      <c r="K55" s="269">
        <v>800</v>
      </c>
      <c r="L55" s="269">
        <v>150</v>
      </c>
      <c r="M55" s="269" t="s">
        <v>188</v>
      </c>
      <c r="N55" s="270" t="s">
        <v>169</v>
      </c>
      <c r="O55" s="256" t="str">
        <f t="shared" si="1"/>
        <v>800Malaria Indicator Survey2009-2010</v>
      </c>
    </row>
    <row r="56" spans="1:15" ht="15.75">
      <c r="A56" s="277"/>
      <c r="B56" s="277"/>
      <c r="C56" s="277"/>
      <c r="D56" s="277"/>
      <c r="E56" s="277"/>
      <c r="J56" s="269" t="s">
        <v>106</v>
      </c>
      <c r="K56" s="269">
        <v>800</v>
      </c>
      <c r="L56" s="269">
        <v>150</v>
      </c>
      <c r="M56" s="271" t="s">
        <v>186</v>
      </c>
      <c r="N56" s="270">
        <v>2011</v>
      </c>
      <c r="O56" s="256" t="str">
        <f t="shared" si="1"/>
        <v>800Demographic and Health Survey (Preliminary)2011</v>
      </c>
    </row>
    <row r="57" spans="1:15" ht="15.75">
      <c r="A57" s="277"/>
      <c r="B57" s="277"/>
      <c r="C57" s="277"/>
      <c r="D57" s="277"/>
      <c r="E57" s="277"/>
      <c r="J57" s="269" t="s">
        <v>109</v>
      </c>
      <c r="K57" s="269">
        <v>894</v>
      </c>
      <c r="L57" s="269">
        <v>150</v>
      </c>
      <c r="M57" s="269" t="s">
        <v>163</v>
      </c>
      <c r="N57" s="270">
        <v>1992</v>
      </c>
      <c r="O57" s="256" t="str">
        <f t="shared" si="1"/>
        <v>894Demographic and Health Survey1992</v>
      </c>
    </row>
    <row r="58" spans="1:15" ht="15.75">
      <c r="A58" s="277"/>
      <c r="B58" s="277"/>
      <c r="C58" s="277"/>
      <c r="D58" s="277"/>
      <c r="E58" s="277"/>
      <c r="J58" s="269" t="s">
        <v>109</v>
      </c>
      <c r="K58" s="269">
        <v>894</v>
      </c>
      <c r="L58" s="269">
        <v>150</v>
      </c>
      <c r="M58" s="269" t="s">
        <v>163</v>
      </c>
      <c r="N58" s="276" t="s">
        <v>179</v>
      </c>
      <c r="O58" s="256" t="str">
        <f t="shared" si="1"/>
        <v>894Demographic and Health Survey1996-1997</v>
      </c>
    </row>
    <row r="59" spans="1:15" ht="15.75">
      <c r="A59" s="277"/>
      <c r="B59" s="277"/>
      <c r="C59" s="277"/>
      <c r="D59" s="277"/>
      <c r="E59" s="277"/>
      <c r="J59" s="269" t="s">
        <v>109</v>
      </c>
      <c r="K59" s="269">
        <v>894</v>
      </c>
      <c r="L59" s="269">
        <v>150</v>
      </c>
      <c r="M59" s="269" t="s">
        <v>163</v>
      </c>
      <c r="N59" s="270" t="s">
        <v>192</v>
      </c>
      <c r="O59" s="256" t="str">
        <f t="shared" si="1"/>
        <v>894Demographic and Health Survey2001-2002</v>
      </c>
    </row>
    <row r="60" spans="1:15" ht="15.75">
      <c r="A60" s="277"/>
      <c r="B60" s="277"/>
      <c r="C60" s="277"/>
      <c r="D60" s="277"/>
      <c r="E60" s="277"/>
      <c r="J60" s="269" t="s">
        <v>109</v>
      </c>
      <c r="K60" s="269">
        <v>894</v>
      </c>
      <c r="L60" s="269">
        <v>150</v>
      </c>
      <c r="M60" s="269" t="s">
        <v>163</v>
      </c>
      <c r="N60" s="270">
        <v>2007</v>
      </c>
      <c r="O60" s="256" t="str">
        <f t="shared" si="1"/>
        <v>894Demographic and Health Survey2007</v>
      </c>
    </row>
    <row r="61" spans="1:15" ht="15.75">
      <c r="A61" s="277"/>
      <c r="B61" s="277"/>
      <c r="C61" s="277"/>
      <c r="D61" s="277"/>
      <c r="E61" s="277"/>
      <c r="J61" s="269" t="s">
        <v>111</v>
      </c>
      <c r="K61" s="269">
        <v>716</v>
      </c>
      <c r="L61" s="269">
        <v>75</v>
      </c>
      <c r="M61" s="269" t="s">
        <v>163</v>
      </c>
      <c r="N61" s="270" t="s">
        <v>183</v>
      </c>
      <c r="O61" s="256" t="str">
        <f t="shared" si="1"/>
        <v>716Demographic and Health Survey1988-1989</v>
      </c>
    </row>
    <row r="62" spans="1:15" ht="15.75">
      <c r="A62" s="277"/>
      <c r="B62" s="277"/>
      <c r="C62" s="277"/>
      <c r="D62" s="277"/>
      <c r="E62" s="277"/>
      <c r="J62" s="269" t="s">
        <v>111</v>
      </c>
      <c r="K62" s="269">
        <v>716</v>
      </c>
      <c r="L62" s="269">
        <v>75</v>
      </c>
      <c r="M62" s="269" t="s">
        <v>163</v>
      </c>
      <c r="N62" s="270">
        <v>1994</v>
      </c>
      <c r="O62" s="256" t="str">
        <f t="shared" si="1"/>
        <v>716Demographic and Health Survey1994</v>
      </c>
    </row>
    <row r="63" spans="1:15" ht="15.75">
      <c r="A63" s="277"/>
      <c r="B63" s="277"/>
      <c r="C63" s="277"/>
      <c r="D63" s="277"/>
      <c r="E63" s="277"/>
      <c r="J63" s="269" t="s">
        <v>111</v>
      </c>
      <c r="K63" s="269">
        <v>716</v>
      </c>
      <c r="L63" s="269">
        <v>75</v>
      </c>
      <c r="M63" s="269" t="s">
        <v>163</v>
      </c>
      <c r="N63" s="270">
        <v>1999</v>
      </c>
      <c r="O63" s="256" t="str">
        <f t="shared" si="1"/>
        <v>716Demographic and Health Survey1999</v>
      </c>
    </row>
    <row r="64" spans="1:15" ht="15.75">
      <c r="A64" s="277"/>
      <c r="B64" s="277"/>
      <c r="C64" s="277"/>
      <c r="D64" s="277"/>
      <c r="E64" s="277"/>
      <c r="J64" s="269" t="s">
        <v>111</v>
      </c>
      <c r="K64" s="269">
        <v>716</v>
      </c>
      <c r="L64" s="269">
        <v>75</v>
      </c>
      <c r="M64" s="269" t="s">
        <v>163</v>
      </c>
      <c r="N64" s="270" t="s">
        <v>191</v>
      </c>
      <c r="O64" s="256" t="str">
        <f t="shared" si="1"/>
        <v>716Demographic and Health Survey2005-2006</v>
      </c>
    </row>
    <row r="65" spans="1:15" ht="15.75">
      <c r="A65" s="277"/>
      <c r="B65" s="277"/>
      <c r="C65" s="277"/>
      <c r="D65" s="277"/>
      <c r="E65" s="277"/>
      <c r="J65" s="269" t="s">
        <v>111</v>
      </c>
      <c r="K65" s="269">
        <v>716</v>
      </c>
      <c r="L65" s="269">
        <v>75</v>
      </c>
      <c r="M65" s="269" t="s">
        <v>194</v>
      </c>
      <c r="N65" s="270">
        <v>2009</v>
      </c>
      <c r="O65" s="256" t="str">
        <f t="shared" si="1"/>
        <v>716Multiple Indicator Monitoring Survey 20092009</v>
      </c>
    </row>
    <row r="66" spans="1:15" ht="15.75">
      <c r="A66" s="277"/>
      <c r="B66" s="277"/>
      <c r="C66" s="277"/>
      <c r="D66" s="277"/>
      <c r="E66" s="277"/>
      <c r="J66" s="269" t="s">
        <v>111</v>
      </c>
      <c r="K66" s="269">
        <v>716</v>
      </c>
      <c r="L66" s="269">
        <v>75</v>
      </c>
      <c r="M66" s="269" t="s">
        <v>163</v>
      </c>
      <c r="N66" s="270" t="s">
        <v>187</v>
      </c>
      <c r="O66" s="256" t="str">
        <f t="shared" si="1"/>
        <v>716Demographic and Health Survey2010-2011</v>
      </c>
    </row>
  </sheetData>
  <phoneticPr fontId="20" type="noConversion"/>
  <dataValidations count="5">
    <dataValidation type="list" allowBlank="1" showInputMessage="1" showErrorMessage="1" sqref="B8">
      <formula1>"1,2"</formula1>
    </dataValidation>
    <dataValidation type="list" allowBlank="1" showInputMessage="1" showErrorMessage="1" sqref="A1">
      <formula1>Countries</formula1>
    </dataValidation>
    <dataValidation type="list" allowBlank="1" showInputMessage="1" showErrorMessage="1" sqref="B5">
      <formula1>Series_Type</formula1>
    </dataValidation>
    <dataValidation type="list" allowBlank="1" showInputMessage="1" showErrorMessage="1" sqref="B9">
      <formula1>Unit</formula1>
    </dataValidation>
    <dataValidation type="decimal" operator="greaterThanOrEqual" allowBlank="1" showInputMessage="1" showErrorMessage="1" errorTitle="Series Year Validation" error="Please enter valid Series Year." sqref="N48:N49 N58">
      <formula1>0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33"/>
  <sheetViews>
    <sheetView topLeftCell="O1" workbookViewId="0"/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'HIV Neg U5MR 50'!B4</f>
        <v>1269013.013309208</v>
      </c>
      <c r="C4" s="9">
        <f>'HIV Neg U5MR 200'!I4</f>
        <v>251753.80593909518</v>
      </c>
      <c r="D4" s="5">
        <v>0</v>
      </c>
      <c r="E4" s="9">
        <f>'HIV Pos Neg U5MR 50'!B4</f>
        <v>88597.986690792124</v>
      </c>
      <c r="F4" s="9">
        <f>'HIV Pos Neg U5MR 200'!I4</f>
        <v>17452.766471203591</v>
      </c>
      <c r="G4" s="10">
        <f>'Base values'!C57</f>
        <v>0</v>
      </c>
      <c r="H4" s="9">
        <f>'HIV Pos Pos U5MR 50'!B4</f>
        <v>7809</v>
      </c>
      <c r="I4" s="9">
        <f>'HIV Pos Pos U5MR 200'!I4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C4+'HIV Pos Neg U5MR 200'!K4+'HIV Pos Pos U5MR 200'!K4</f>
        <v>272885.52573589212</v>
      </c>
      <c r="N4" s="57">
        <f>'HIV Pos Neg U5MR 200'!L4+'HIV Pos Pos U5MR 200'!L4</f>
        <v>1635.7831744066289</v>
      </c>
      <c r="O4" s="143" t="str">
        <f>$A4&amp;"-"&amp;$A4+4</f>
        <v>0-4</v>
      </c>
      <c r="P4" s="181">
        <f t="shared" ref="P4:P24" si="0">(SUM(M4:M8)/SUM(K4:K8))/(SUM(M4:N8)/SUM(K4:L8))</f>
        <v>0.98940577404384777</v>
      </c>
      <c r="Q4" s="143" t="str">
        <f>$A4&amp;"-"&amp;$A4+3</f>
        <v>0-3</v>
      </c>
      <c r="R4" s="162">
        <f t="shared" ref="R4:R25" si="1">(SUM(M4:M7)/SUM(K4:K7))/(SUM(M4:N7)/SUM(K4:L7))</f>
        <v>0.990824212291609</v>
      </c>
      <c r="S4" s="143" t="str">
        <f>$A4&amp;"-"&amp;$A4+2</f>
        <v>0-2</v>
      </c>
      <c r="T4" s="162">
        <f t="shared" ref="T4:T26" si="2">(SUM(M4:M6)/SUM(K4:K6))/(SUM(M4:N6)/SUM(K4:L6))</f>
        <v>0.99202090712934865</v>
      </c>
      <c r="U4" s="143" t="str">
        <f>$A4&amp;"-"&amp;$A4+1</f>
        <v>0-1</v>
      </c>
      <c r="V4" s="162">
        <f t="shared" ref="V4:V27" si="3">(SUM(M4:M5)/SUM(K4:K5))/(SUM(M4:N5)/SUM(K4:L5))</f>
        <v>0.9930101187661492</v>
      </c>
      <c r="W4" s="143">
        <f>$A4</f>
        <v>0</v>
      </c>
      <c r="X4" s="144">
        <f>(SUM(M4:M4)/SUM(K4:K4))/(SUM(M4:N4)/SUM(K4:L4))</f>
        <v>0.99404132531314304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4">RIGHT(Z4,4)-LEFT(Z4,4)+1</f>
        <v>1</v>
      </c>
      <c r="AD4" s="166">
        <v>0</v>
      </c>
      <c r="AE4" s="167">
        <f t="shared" ref="AE4:AE26" ca="1" si="5">OFFSET($P$4,AD4,2*(5-AC4))</f>
        <v>0.99404132531314304</v>
      </c>
    </row>
    <row r="5" spans="1:32">
      <c r="A5" s="48">
        <f>'HIV Neg U5MR 50'!A5</f>
        <v>1</v>
      </c>
      <c r="B5" s="9">
        <f>'HIV Neg U5MR 50'!B5</f>
        <v>1259889.6569743706</v>
      </c>
      <c r="C5" s="9">
        <f>'HIV Neg U5MR 200'!I5</f>
        <v>249622.38432439888</v>
      </c>
      <c r="D5" s="5">
        <v>0</v>
      </c>
      <c r="E5" s="9">
        <f>'HIV Pos Neg U5MR 50'!B5</f>
        <v>86411.343025629394</v>
      </c>
      <c r="F5" s="9">
        <f>'HIV Pos Neg U5MR 200'!I5</f>
        <v>17155.220542988904</v>
      </c>
      <c r="G5" s="10">
        <f>'Base values'!C58</f>
        <v>5.4347826086956513E-2</v>
      </c>
      <c r="H5" s="9">
        <f>'HIV Pos Pos U5MR 50'!B5</f>
        <v>9229</v>
      </c>
      <c r="I5" s="9">
        <f>'HIV Pos Pos U5MR 200'!I5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C5+'HIV Pos Neg U5MR 200'!K5+'HIV Pos Pos U5MR 200'!K5</f>
        <v>268911.50498363486</v>
      </c>
      <c r="N5" s="57">
        <f>'HIV Pos Neg U5MR 200'!L5+'HIV Pos Pos U5MR 200'!L5</f>
        <v>3222.2493837528809</v>
      </c>
      <c r="O5" s="151" t="str">
        <f t="shared" ref="O5:O24" si="8">A5&amp;"-"&amp;A5+4</f>
        <v>1-5</v>
      </c>
      <c r="P5" s="179">
        <f t="shared" si="0"/>
        <v>0.98653646233188608</v>
      </c>
      <c r="Q5" s="151" t="str">
        <f t="shared" ref="Q5:Q25" si="9">$A5&amp;"-"&amp;$A5+3</f>
        <v>1-4</v>
      </c>
      <c r="R5" s="161">
        <f t="shared" si="1"/>
        <v>0.98820093587802726</v>
      </c>
      <c r="S5" s="151" t="str">
        <f t="shared" ref="S5:S26" si="10">$A5&amp;"-"&amp;$A5+2</f>
        <v>1-3</v>
      </c>
      <c r="T5" s="161">
        <f t="shared" si="2"/>
        <v>0.98971669102239823</v>
      </c>
      <c r="U5" s="151" t="str">
        <f t="shared" ref="U5:U27" si="11">$A5&amp;"-"&amp;$A5+1</f>
        <v>1-2</v>
      </c>
      <c r="V5" s="161">
        <f t="shared" si="3"/>
        <v>0.99098513815299571</v>
      </c>
      <c r="W5" s="151">
        <f t="shared" ref="W5:W28" si="12">$A5</f>
        <v>1</v>
      </c>
      <c r="X5" s="152">
        <f t="shared" ref="X5:X28" si="13">(SUM(M5:M5)/SUM(K5:K5))/(SUM(M5:N5)/SUM(K5:L5))</f>
        <v>0.99196304732803875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t="shared" ca="1" si="5"/>
        <v>0.99196304732803875</v>
      </c>
    </row>
    <row r="6" spans="1:32">
      <c r="A6" s="48">
        <f>'HIV Neg U5MR 50'!A6</f>
        <v>2</v>
      </c>
      <c r="B6" s="9">
        <f>'HIV Neg U5MR 50'!B6</f>
        <v>1248874.5119299444</v>
      </c>
      <c r="C6" s="9">
        <f>'HIV Neg U5MR 200'!I6</f>
        <v>247161.7390235519</v>
      </c>
      <c r="D6" s="5">
        <v>0</v>
      </c>
      <c r="E6" s="9">
        <f>'HIV Pos Neg U5MR 50'!B6</f>
        <v>86144.488070055653</v>
      </c>
      <c r="F6" s="9">
        <f>'HIV Pos Neg U5MR 200'!I6</f>
        <v>17010.826493220124</v>
      </c>
      <c r="G6" s="10">
        <f>'Base values'!C59</f>
        <v>0.13043478260869565</v>
      </c>
      <c r="H6" s="9">
        <f>'HIV Pos Pos U5MR 50'!B6</f>
        <v>8311</v>
      </c>
      <c r="I6" s="9">
        <f>'HIV Pos Pos U5MR 200'!I6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C6+'HIV Pos Neg U5MR 200'!K6+'HIV Pos Pos U5MR 200'!K6</f>
        <v>264170.47553884709</v>
      </c>
      <c r="N6" s="57">
        <f>'HIV Pos Neg U5MR 200'!L6+'HIV Pos Pos U5MR 200'!L6</f>
        <v>5141.6174779249432</v>
      </c>
      <c r="O6" s="151" t="str">
        <f t="shared" si="8"/>
        <v>2-6</v>
      </c>
      <c r="P6" s="179">
        <f t="shared" si="0"/>
        <v>0.98295298517136354</v>
      </c>
      <c r="Q6" s="151" t="str">
        <f t="shared" si="9"/>
        <v>2-5</v>
      </c>
      <c r="R6" s="161">
        <f t="shared" si="1"/>
        <v>0.98512660865248536</v>
      </c>
      <c r="S6" s="151" t="str">
        <f t="shared" si="10"/>
        <v>2-4</v>
      </c>
      <c r="T6" s="161">
        <f t="shared" si="2"/>
        <v>0.98690730946251337</v>
      </c>
      <c r="U6" s="151" t="str">
        <f t="shared" si="11"/>
        <v>2-3</v>
      </c>
      <c r="V6" s="161">
        <f t="shared" si="3"/>
        <v>0.988564913015477</v>
      </c>
      <c r="W6" s="151">
        <f t="shared" si="12"/>
        <v>2</v>
      </c>
      <c r="X6" s="152">
        <f t="shared" si="13"/>
        <v>0.98998795337439982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26" si="14">AD5+AC5</f>
        <v>2</v>
      </c>
      <c r="AE6" s="150">
        <f t="shared" ca="1" si="5"/>
        <v>0.98998795337439982</v>
      </c>
    </row>
    <row r="7" spans="1:32">
      <c r="A7" s="48">
        <f>'HIV Neg U5MR 50'!A7</f>
        <v>3</v>
      </c>
      <c r="B7" s="9">
        <f>'HIV Neg U5MR 50'!B7</f>
        <v>1237689.3921640057</v>
      </c>
      <c r="C7" s="9">
        <f>'HIV Neg U5MR 200'!I7</f>
        <v>244488.50261129258</v>
      </c>
      <c r="D7" s="5">
        <v>0</v>
      </c>
      <c r="E7" s="9">
        <f>'HIV Pos Neg U5MR 50'!B7</f>
        <v>86776.60783599432</v>
      </c>
      <c r="F7" s="9">
        <f>'HIV Pos Neg U5MR 200'!I7</f>
        <v>16847.855757429374</v>
      </c>
      <c r="G7" s="10">
        <f>'Base values'!C60</f>
        <v>0.21739130434782611</v>
      </c>
      <c r="H7" s="9">
        <f>'HIV Pos Pos U5MR 50'!B7</f>
        <v>6494</v>
      </c>
      <c r="I7" s="9">
        <f>'HIV Pos Pos U5MR 200'!I7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C7+'HIV Pos Neg U5MR 200'!K7+'HIV Pos Pos U5MR 200'!K7</f>
        <v>259640.55092154781</v>
      </c>
      <c r="N7" s="57">
        <f>'HIV Pos Neg U5MR 200'!L7+'HIV Pos Pos U5MR 200'!L7</f>
        <v>7455.6904471741618</v>
      </c>
      <c r="O7" s="151" t="str">
        <f t="shared" si="8"/>
        <v>3-7</v>
      </c>
      <c r="P7" s="179">
        <f t="shared" si="0"/>
        <v>0.97851581629500883</v>
      </c>
      <c r="Q7" s="151" t="str">
        <f t="shared" si="9"/>
        <v>3-6</v>
      </c>
      <c r="R7" s="161">
        <f t="shared" si="1"/>
        <v>0.98113466366778201</v>
      </c>
      <c r="S7" s="151" t="str">
        <f t="shared" si="10"/>
        <v>3-5</v>
      </c>
      <c r="T7" s="161">
        <f t="shared" si="2"/>
        <v>0.98346236473164006</v>
      </c>
      <c r="U7" s="151" t="str">
        <f t="shared" si="11"/>
        <v>3-4</v>
      </c>
      <c r="V7" s="161">
        <f t="shared" si="3"/>
        <v>0.98533792853687641</v>
      </c>
      <c r="W7" s="151">
        <f t="shared" si="12"/>
        <v>3</v>
      </c>
      <c r="X7" s="152">
        <f t="shared" si="13"/>
        <v>0.98712425605990906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0.98712425605990906</v>
      </c>
    </row>
    <row r="8" spans="1:32">
      <c r="A8" s="48">
        <f>'HIV Neg U5MR 50'!A8</f>
        <v>4</v>
      </c>
      <c r="B8" s="9">
        <f>'HIV Neg U5MR 50'!B8</f>
        <v>1224748.5911279062</v>
      </c>
      <c r="C8" s="9">
        <f>'HIV Neg U5MR 200'!I8</f>
        <v>241381.80047987631</v>
      </c>
      <c r="D8" s="5">
        <v>0</v>
      </c>
      <c r="E8" s="9">
        <f>'HIV Pos Neg U5MR 50'!B8</f>
        <v>83583.408872093714</v>
      </c>
      <c r="F8" s="9">
        <f>'HIV Pos Neg U5MR 200'!I8</f>
        <v>16342.928471450738</v>
      </c>
      <c r="G8" s="10">
        <f>'Base values'!C61</f>
        <v>0.31521739130434784</v>
      </c>
      <c r="H8" s="9">
        <f>'HIV Pos Pos U5MR 50'!B8</f>
        <v>8918</v>
      </c>
      <c r="I8" s="9">
        <f>'HIV Pos Pos U5MR 200'!I8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C8+'HIV Pos Neg U5MR 200'!K8+'HIV Pos Pos U5MR 200'!K8</f>
        <v>254629.85657796473</v>
      </c>
      <c r="N8" s="57">
        <f>'HIV Pos Neg U5MR 200'!L8+'HIV Pos Pos U5MR 200'!L8</f>
        <v>10124.869373362342</v>
      </c>
      <c r="O8" s="151" t="str">
        <f t="shared" si="8"/>
        <v>4-8</v>
      </c>
      <c r="P8" s="179">
        <f t="shared" si="0"/>
        <v>0.9731742644401824</v>
      </c>
      <c r="Q8" s="151" t="str">
        <f t="shared" si="9"/>
        <v>4-7</v>
      </c>
      <c r="R8" s="161">
        <f t="shared" si="1"/>
        <v>0.9762870730942913</v>
      </c>
      <c r="S8" s="151" t="str">
        <f t="shared" si="10"/>
        <v>4-6</v>
      </c>
      <c r="T8" s="161">
        <f t="shared" si="2"/>
        <v>0.97908104457999168</v>
      </c>
      <c r="U8" s="151" t="str">
        <f t="shared" si="11"/>
        <v>4-5</v>
      </c>
      <c r="V8" s="161">
        <f t="shared" si="3"/>
        <v>0.98159140519210408</v>
      </c>
      <c r="W8" s="151">
        <f t="shared" si="12"/>
        <v>4</v>
      </c>
      <c r="X8" s="152">
        <f t="shared" si="13"/>
        <v>0.98352849380717333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0.98352849380717333</v>
      </c>
    </row>
    <row r="9" spans="1:32">
      <c r="A9" s="48">
        <f>'HIV Neg U5MR 50'!A9</f>
        <v>5</v>
      </c>
      <c r="B9" s="9">
        <f>'HIV Neg U5MR 50'!B9</f>
        <v>1210852.8730926085</v>
      </c>
      <c r="C9" s="9">
        <f>'HIV Neg U5MR 200'!I9</f>
        <v>237820.6393589756</v>
      </c>
      <c r="D9" s="5">
        <v>0</v>
      </c>
      <c r="E9" s="9">
        <f>'HIV Pos Neg U5MR 50'!B9</f>
        <v>81434.126907391517</v>
      </c>
      <c r="F9" s="9">
        <f>'HIV Pos Neg U5MR 200'!I9</f>
        <v>15984.583306124659</v>
      </c>
      <c r="G9" s="10">
        <f>'Base values'!C62</f>
        <v>0.42391304347826092</v>
      </c>
      <c r="H9" s="9">
        <f>'HIV Pos Pos U5MR 50'!B9</f>
        <v>10663</v>
      </c>
      <c r="I9" s="9">
        <f>'HIV Pos Pos U5MR 200'!I9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C9+'HIV Pos Neg U5MR 200'!K9+'HIV Pos Pos U5MR 200'!K9</f>
        <v>248961.11774982119</v>
      </c>
      <c r="N9" s="57">
        <f>'HIV Pos Neg U5MR 200'!L9+'HIV Pos Pos U5MR 200'!L9</f>
        <v>13029.652915279074</v>
      </c>
      <c r="O9" s="151" t="str">
        <f t="shared" si="8"/>
        <v>5-9</v>
      </c>
      <c r="P9" s="179">
        <f t="shared" si="0"/>
        <v>0.96712218249845783</v>
      </c>
      <c r="Q9" s="151" t="str">
        <f t="shared" si="9"/>
        <v>5-8</v>
      </c>
      <c r="R9" s="161">
        <f t="shared" si="1"/>
        <v>0.97048817246349395</v>
      </c>
      <c r="S9" s="151" t="str">
        <f t="shared" si="10"/>
        <v>5-7</v>
      </c>
      <c r="T9" s="161">
        <f t="shared" si="2"/>
        <v>0.97380038214271114</v>
      </c>
      <c r="U9" s="151" t="str">
        <f t="shared" si="11"/>
        <v>5-6</v>
      </c>
      <c r="V9" s="161">
        <f t="shared" si="3"/>
        <v>0.97680532426152478</v>
      </c>
      <c r="W9" s="151">
        <f t="shared" si="12"/>
        <v>5</v>
      </c>
      <c r="X9" s="152">
        <f t="shared" si="13"/>
        <v>0.97961975874289497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0.97961975874289497</v>
      </c>
    </row>
    <row r="10" spans="1:32">
      <c r="A10" s="48">
        <f>'HIV Neg U5MR 50'!A10</f>
        <v>6</v>
      </c>
      <c r="B10" s="9">
        <f>'HIV Neg U5MR 50'!B10</f>
        <v>1189638.5977297928</v>
      </c>
      <c r="C10" s="9">
        <f>'HIV Neg U5MR 200'!I10</f>
        <v>233372.6060121622</v>
      </c>
      <c r="D10" s="5">
        <v>0</v>
      </c>
      <c r="E10" s="9">
        <f>'HIV Pos Neg U5MR 50'!B10</f>
        <v>80142.40227020724</v>
      </c>
      <c r="F10" s="9">
        <f>'HIV Pos Neg U5MR 200'!I10</f>
        <v>15739.043370352956</v>
      </c>
      <c r="G10" s="10">
        <f>'Base values'!C63</f>
        <v>0.53260869565217406</v>
      </c>
      <c r="H10" s="9">
        <f>'HIV Pos Pos U5MR 50'!B10</f>
        <v>11419</v>
      </c>
      <c r="I10" s="9">
        <f>'HIV Pos Pos U5MR 200'!I10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C10+'HIV Pos Neg U5MR 200'!K10+'HIV Pos Pos U5MR 200'!K10</f>
        <v>242623.4509398487</v>
      </c>
      <c r="N10" s="57">
        <f>'HIV Pos Neg U5MR 200'!L10+'HIV Pos Pos U5MR 200'!L10</f>
        <v>16345.065442666437</v>
      </c>
      <c r="O10" s="151" t="str">
        <f t="shared" si="8"/>
        <v>6-10</v>
      </c>
      <c r="P10" s="179">
        <f t="shared" si="0"/>
        <v>0.96040540786200912</v>
      </c>
      <c r="Q10" s="151" t="str">
        <f t="shared" si="9"/>
        <v>6-9</v>
      </c>
      <c r="R10" s="161">
        <f t="shared" si="1"/>
        <v>0.96388562834798897</v>
      </c>
      <c r="S10" s="151" t="str">
        <f t="shared" si="10"/>
        <v>6-8</v>
      </c>
      <c r="T10" s="161">
        <f t="shared" si="2"/>
        <v>0.96735921877972375</v>
      </c>
      <c r="U10" s="151" t="str">
        <f t="shared" si="11"/>
        <v>6-7</v>
      </c>
      <c r="V10" s="161">
        <f t="shared" si="3"/>
        <v>0.97083251516153735</v>
      </c>
      <c r="W10" s="151">
        <f t="shared" si="12"/>
        <v>6</v>
      </c>
      <c r="X10" s="152">
        <f t="shared" si="13"/>
        <v>0.97395570641541518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48">
        <f>'HIV Neg U5MR 50'!A11</f>
        <v>7</v>
      </c>
      <c r="B11" s="9">
        <f>'HIV Neg U5MR 50'!B11</f>
        <v>1167750.9570162341</v>
      </c>
      <c r="C11" s="9">
        <f>'HIV Neg U5MR 200'!I11</f>
        <v>228685.93596831543</v>
      </c>
      <c r="D11" s="5">
        <v>0</v>
      </c>
      <c r="E11" s="9">
        <f>'HIV Pos Neg U5MR 50'!B11</f>
        <v>76436.042983765918</v>
      </c>
      <c r="F11" s="9">
        <f>'HIV Pos Neg U5MR 200'!I11</f>
        <v>15428.217990979185</v>
      </c>
      <c r="G11" s="10">
        <f>'Base values'!C64</f>
        <v>0.63043478260869579</v>
      </c>
      <c r="H11" s="9">
        <f>'HIV Pos Pos U5MR 50'!B11</f>
        <v>15633</v>
      </c>
      <c r="I11" s="9">
        <f>'HIV Pos Pos U5MR 200'!I11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C11+'HIV Pos Neg U5MR 200'!K11+'HIV Pos Pos U5MR 200'!K11</f>
        <v>236140.53558143519</v>
      </c>
      <c r="N11" s="57">
        <f>'HIV Pos Neg U5MR 200'!L11+'HIV Pos Pos U5MR 200'!L11</f>
        <v>19677.495377859432</v>
      </c>
      <c r="O11" s="151" t="str">
        <f t="shared" si="8"/>
        <v>7-11</v>
      </c>
      <c r="P11" s="179">
        <f t="shared" si="0"/>
        <v>0.95373896032073413</v>
      </c>
      <c r="Q11" s="151" t="str">
        <f t="shared" si="9"/>
        <v>7-10</v>
      </c>
      <c r="R11" s="161">
        <f t="shared" si="1"/>
        <v>0.95688339086868002</v>
      </c>
      <c r="S11" s="151" t="str">
        <f t="shared" si="10"/>
        <v>7-9</v>
      </c>
      <c r="T11" s="161">
        <f t="shared" si="2"/>
        <v>0.96042544906273686</v>
      </c>
      <c r="U11" s="151" t="str">
        <f t="shared" si="11"/>
        <v>7-8</v>
      </c>
      <c r="V11" s="161">
        <f t="shared" si="3"/>
        <v>0.96398566747114389</v>
      </c>
      <c r="W11" s="151">
        <f t="shared" si="12"/>
        <v>7</v>
      </c>
      <c r="X11" s="152">
        <f t="shared" si="13"/>
        <v>0.96766312834668933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48">
        <f>'HIV Neg U5MR 50'!A12</f>
        <v>8</v>
      </c>
      <c r="B12" s="9">
        <f>'HIV Neg U5MR 50'!B12</f>
        <v>1144928.7874705833</v>
      </c>
      <c r="C12" s="9">
        <f>'HIV Neg U5MR 200'!I12</f>
        <v>223712.9981876477</v>
      </c>
      <c r="D12" s="5">
        <v>0</v>
      </c>
      <c r="E12" s="9">
        <f>'HIV Pos Neg U5MR 50'!B12</f>
        <v>75838.212529416545</v>
      </c>
      <c r="F12" s="9">
        <f>'HIV Pos Neg U5MR 200'!I12</f>
        <v>15567.403548046612</v>
      </c>
      <c r="G12" s="10">
        <f>'Base values'!C65</f>
        <v>0.71739130434782605</v>
      </c>
      <c r="H12" s="9">
        <f>'HIV Pos Pos U5MR 50'!B12</f>
        <v>17643</v>
      </c>
      <c r="I12" s="9">
        <f>'HIV Pos Pos U5MR 200'!I12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C12+'HIV Pos Neg U5MR 200'!K12+'HIV Pos Pos U5MR 200'!K12</f>
        <v>229472.11884401477</v>
      </c>
      <c r="N12" s="57">
        <f>'HIV Pos Neg U5MR 200'!L12+'HIV Pos Pos U5MR 200'!L12</f>
        <v>23180.876391679521</v>
      </c>
      <c r="O12" s="151" t="str">
        <f t="shared" si="8"/>
        <v>8-12</v>
      </c>
      <c r="P12" s="179">
        <f t="shared" si="0"/>
        <v>0.94731081217015678</v>
      </c>
      <c r="Q12" s="151" t="str">
        <f t="shared" si="9"/>
        <v>8-11</v>
      </c>
      <c r="R12" s="161">
        <f t="shared" si="1"/>
        <v>0.9501072941702372</v>
      </c>
      <c r="S12" s="151" t="str">
        <f t="shared" si="10"/>
        <v>8-10</v>
      </c>
      <c r="T12" s="161">
        <f t="shared" si="2"/>
        <v>0.95317166438902901</v>
      </c>
      <c r="U12" s="151" t="str">
        <f t="shared" si="11"/>
        <v>8-9</v>
      </c>
      <c r="V12" s="161">
        <f t="shared" si="3"/>
        <v>0.95672020879788411</v>
      </c>
      <c r="W12" s="151">
        <f t="shared" si="12"/>
        <v>8</v>
      </c>
      <c r="X12" s="152">
        <f t="shared" si="13"/>
        <v>0.96024976638305204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48">
        <f>'HIV Neg U5MR 50'!A13</f>
        <v>9</v>
      </c>
      <c r="B13" s="9">
        <f>'HIV Neg U5MR 50'!B13</f>
        <v>1119951.9084310441</v>
      </c>
      <c r="C13" s="9">
        <f>'HIV Neg U5MR 200'!I13</f>
        <v>218349.32218343439</v>
      </c>
      <c r="D13" s="5">
        <v>0</v>
      </c>
      <c r="E13" s="9">
        <f>'HIV Pos Neg U5MR 50'!B13</f>
        <v>76563.09156895589</v>
      </c>
      <c r="F13" s="9">
        <f>'HIV Pos Neg U5MR 200'!I13</f>
        <v>15958.739897585347</v>
      </c>
      <c r="G13" s="10">
        <f>'Base values'!C66</f>
        <v>0.80434782608695654</v>
      </c>
      <c r="H13" s="9">
        <f>'HIV Pos Pos U5MR 50'!B13</f>
        <v>20575</v>
      </c>
      <c r="I13" s="9">
        <f>'HIV Pos Pos U5MR 200'!I13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C13+'HIV Pos Neg U5MR 200'!K13+'HIV Pos Pos U5MR 200'!K13</f>
        <v>222608.36507330829</v>
      </c>
      <c r="N13" s="57">
        <f>'HIV Pos Neg U5MR 200'!L13+'HIV Pos Pos U5MR 200'!L13</f>
        <v>26967.321507711444</v>
      </c>
      <c r="O13" s="151" t="str">
        <f t="shared" si="8"/>
        <v>9-13</v>
      </c>
      <c r="P13" s="179">
        <f t="shared" si="0"/>
        <v>0.94152755034868962</v>
      </c>
      <c r="Q13" s="151" t="str">
        <f t="shared" si="9"/>
        <v>9-12</v>
      </c>
      <c r="R13" s="161">
        <f t="shared" si="1"/>
        <v>0.94392244865020125</v>
      </c>
      <c r="S13" s="151" t="str">
        <f t="shared" si="10"/>
        <v>9-11</v>
      </c>
      <c r="T13" s="161">
        <f t="shared" si="2"/>
        <v>0.94660351740104076</v>
      </c>
      <c r="U13" s="151" t="str">
        <f t="shared" si="11"/>
        <v>9-10</v>
      </c>
      <c r="V13" s="161">
        <f t="shared" si="3"/>
        <v>0.94954259438579802</v>
      </c>
      <c r="W13" s="151">
        <f t="shared" si="12"/>
        <v>9</v>
      </c>
      <c r="X13" s="152">
        <f t="shared" si="13"/>
        <v>0.95313518128570274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48">
        <f>'HIV Neg U5MR 50'!A14</f>
        <v>10</v>
      </c>
      <c r="B14" s="9">
        <f>'HIV Neg U5MR 50'!B14</f>
        <v>1093711.6672745319</v>
      </c>
      <c r="C14" s="9">
        <f>'HIV Neg U5MR 200'!I14</f>
        <v>212653.94162628174</v>
      </c>
      <c r="D14" s="5">
        <v>0</v>
      </c>
      <c r="E14" s="9">
        <f>'HIV Pos Neg U5MR 50'!B14</f>
        <v>78333.332725468019</v>
      </c>
      <c r="F14" s="9">
        <f>'HIV Pos Neg U5MR 200'!I14</f>
        <v>16575.377432223555</v>
      </c>
      <c r="G14" s="10">
        <f>'Base values'!C67</f>
        <v>0.85869565217391319</v>
      </c>
      <c r="H14" s="9">
        <f>'HIV Pos Pos U5MR 50'!B14</f>
        <v>24235</v>
      </c>
      <c r="I14" s="9">
        <f>'HIV Pos Pos U5MR 200'!I14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C14+'HIV Pos Neg U5MR 200'!K14+'HIV Pos Pos U5MR 200'!K14</f>
        <v>215722.62768220832</v>
      </c>
      <c r="N14" s="57">
        <f>'HIV Pos Neg U5MR 200'!L14+'HIV Pos Pos U5MR 200'!L14</f>
        <v>30468.229876296988</v>
      </c>
      <c r="O14" s="151" t="str">
        <f t="shared" si="8"/>
        <v>10-14</v>
      </c>
      <c r="P14" s="179">
        <f t="shared" si="0"/>
        <v>0.93675699046843808</v>
      </c>
      <c r="Q14" s="151" t="str">
        <f t="shared" si="9"/>
        <v>10-13</v>
      </c>
      <c r="R14" s="161">
        <f t="shared" si="1"/>
        <v>0.93846935604226522</v>
      </c>
      <c r="S14" s="151" t="str">
        <f t="shared" si="10"/>
        <v>10-12</v>
      </c>
      <c r="T14" s="161">
        <f t="shared" si="2"/>
        <v>0.94072117401209232</v>
      </c>
      <c r="U14" s="151" t="str">
        <f t="shared" si="11"/>
        <v>10-11</v>
      </c>
      <c r="V14" s="161">
        <f t="shared" si="3"/>
        <v>0.94323651669791386</v>
      </c>
      <c r="W14" s="151">
        <f t="shared" si="12"/>
        <v>10</v>
      </c>
      <c r="X14" s="152">
        <f t="shared" si="13"/>
        <v>0.94588101791555379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4"/>
        <v>#VALUE!</v>
      </c>
      <c r="AD14" s="153" t="e">
        <f t="shared" si="14"/>
        <v>#VALUE!</v>
      </c>
      <c r="AE14" s="150" t="e">
        <f t="shared" ca="1" si="5"/>
        <v>#VALUE!</v>
      </c>
    </row>
    <row r="15" spans="1:32">
      <c r="A15" s="48">
        <f>'HIV Neg U5MR 50'!A15</f>
        <v>11</v>
      </c>
      <c r="B15" s="9">
        <f>'HIV Neg U5MR 50'!B15</f>
        <v>1065792.1055339968</v>
      </c>
      <c r="C15" s="9">
        <f>'HIV Neg U5MR 200'!I15</f>
        <v>206579.513633853</v>
      </c>
      <c r="D15" s="5">
        <v>0</v>
      </c>
      <c r="E15" s="9">
        <f>'HIV Pos Neg U5MR 50'!B15</f>
        <v>82680.894466003141</v>
      </c>
      <c r="F15" s="9">
        <f>'HIV Pos Neg U5MR 200'!I15</f>
        <v>17478.905362000394</v>
      </c>
      <c r="G15" s="10">
        <f>'Base values'!C68</f>
        <v>0.91304347826086973</v>
      </c>
      <c r="H15" s="9">
        <f>'HIV Pos Pos U5MR 50'!B15</f>
        <v>26757</v>
      </c>
      <c r="I15" s="9">
        <f>'HIV Pos Pos U5MR 200'!I15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C15+'HIV Pos Neg U5MR 200'!K15+'HIV Pos Pos U5MR 200'!K15</f>
        <v>208571.47264107113</v>
      </c>
      <c r="N15" s="57">
        <f>'HIV Pos Neg U5MR 200'!L15+'HIV Pos Pos U5MR 200'!L15</f>
        <v>33794.932354782271</v>
      </c>
      <c r="O15" s="151" t="str">
        <f t="shared" si="8"/>
        <v>11-15</v>
      </c>
      <c r="P15" s="179">
        <f t="shared" si="0"/>
        <v>0.93348731200552648</v>
      </c>
      <c r="Q15" s="151" t="str">
        <f t="shared" si="9"/>
        <v>11-14</v>
      </c>
      <c r="R15" s="161">
        <f t="shared" si="1"/>
        <v>0.93434962109940023</v>
      </c>
      <c r="S15" s="151" t="str">
        <f t="shared" si="10"/>
        <v>11-13</v>
      </c>
      <c r="T15" s="161">
        <f t="shared" si="2"/>
        <v>0.93588717333244409</v>
      </c>
      <c r="U15" s="151" t="str">
        <f t="shared" si="11"/>
        <v>11-12</v>
      </c>
      <c r="V15" s="161">
        <f t="shared" si="3"/>
        <v>0.93805250493982317</v>
      </c>
      <c r="W15" s="151">
        <f t="shared" si="12"/>
        <v>11</v>
      </c>
      <c r="X15" s="152">
        <f t="shared" si="13"/>
        <v>0.94052923469059657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4"/>
        <v>#VALUE!</v>
      </c>
      <c r="AD15" s="153" t="e">
        <f t="shared" si="14"/>
        <v>#VALUE!</v>
      </c>
      <c r="AE15" s="150" t="e">
        <f t="shared" ca="1" si="5"/>
        <v>#VALUE!</v>
      </c>
    </row>
    <row r="16" spans="1:32">
      <c r="A16" s="48">
        <f>'HIV Neg U5MR 50'!A16</f>
        <v>12</v>
      </c>
      <c r="B16" s="9">
        <f>'HIV Neg U5MR 50'!B16</f>
        <v>1031795.7875404547</v>
      </c>
      <c r="C16" s="9">
        <f>'HIV Neg U5MR 200'!I16</f>
        <v>199943.90815869061</v>
      </c>
      <c r="D16" s="5">
        <v>0</v>
      </c>
      <c r="E16" s="9">
        <f>'HIV Pos Neg U5MR 50'!B16</f>
        <v>87484.212459545393</v>
      </c>
      <c r="F16" s="9">
        <f>'HIV Pos Neg U5MR 200'!I16</f>
        <v>18406.994492155878</v>
      </c>
      <c r="G16" s="10">
        <f>'Base values'!C69</f>
        <v>0.94565217391304346</v>
      </c>
      <c r="H16" s="9">
        <f>'HIV Pos Pos U5MR 50'!B16</f>
        <v>28900</v>
      </c>
      <c r="I16" s="9">
        <f>'HIV Pos Pos U5MR 200'!I16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C16+'HIV Pos Neg U5MR 200'!K16+'HIV Pos Pos U5MR 200'!K16</f>
        <v>201185.15352644541</v>
      </c>
      <c r="N16" s="57">
        <f>'HIV Pos Neg U5MR 200'!L16+'HIV Pos Pos U5MR 200'!L16</f>
        <v>36664.783124401059</v>
      </c>
      <c r="O16" s="151" t="str">
        <f t="shared" si="8"/>
        <v>12-16</v>
      </c>
      <c r="P16" s="179">
        <f t="shared" si="0"/>
        <v>0.93171204896978199</v>
      </c>
      <c r="Q16" s="151" t="str">
        <f t="shared" si="9"/>
        <v>12-15</v>
      </c>
      <c r="R16" s="161">
        <f t="shared" si="1"/>
        <v>0.93164348756261905</v>
      </c>
      <c r="S16" s="151" t="str">
        <f t="shared" si="10"/>
        <v>12-14</v>
      </c>
      <c r="T16" s="161">
        <f t="shared" si="2"/>
        <v>0.93220659031518383</v>
      </c>
      <c r="U16" s="151" t="str">
        <f t="shared" si="11"/>
        <v>12-13</v>
      </c>
      <c r="V16" s="161">
        <f t="shared" si="3"/>
        <v>0.93349339383177588</v>
      </c>
      <c r="W16" s="151">
        <f t="shared" si="12"/>
        <v>12</v>
      </c>
      <c r="X16" s="152">
        <f t="shared" si="13"/>
        <v>0.93552389155703986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4"/>
        <v>#VALUE!</v>
      </c>
      <c r="AD16" s="153" t="e">
        <f t="shared" si="14"/>
        <v>#VALUE!</v>
      </c>
      <c r="AE16" s="150" t="e">
        <f t="shared" ca="1" si="5"/>
        <v>#VALUE!</v>
      </c>
    </row>
    <row r="17" spans="1:32">
      <c r="A17" s="48">
        <f>'HIV Neg U5MR 50'!A17</f>
        <v>13</v>
      </c>
      <c r="B17" s="9">
        <f>'HIV Neg U5MR 50'!B17</f>
        <v>998024.5859198774</v>
      </c>
      <c r="C17" s="9">
        <f>'HIV Neg U5MR 200'!I17</f>
        <v>193484.98016638382</v>
      </c>
      <c r="D17" s="5">
        <v>0</v>
      </c>
      <c r="E17" s="9">
        <f>'HIV Pos Neg U5MR 50'!B17</f>
        <v>92593.414080122617</v>
      </c>
      <c r="F17" s="9">
        <f>'HIV Pos Neg U5MR 200'!I17</f>
        <v>19294.517349274727</v>
      </c>
      <c r="G17" s="10">
        <f>'Base values'!C70</f>
        <v>0.96739130434782605</v>
      </c>
      <c r="H17" s="9">
        <f>'HIV Pos Pos U5MR 50'!B17</f>
        <v>30992</v>
      </c>
      <c r="I17" s="9">
        <f>'HIV Pos Pos U5MR 200'!I17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C17+'HIV Pos Neg U5MR 200'!K17+'HIV Pos Pos U5MR 200'!K17</f>
        <v>194132.49478743735</v>
      </c>
      <c r="N17" s="57">
        <f>'HIV Pos Neg U5MR 200'!L17+'HIV Pos Pos U5MR 200'!L17</f>
        <v>39160.946728221199</v>
      </c>
      <c r="O17" s="151" t="str">
        <f t="shared" si="8"/>
        <v>13-17</v>
      </c>
      <c r="P17" s="179">
        <f t="shared" si="0"/>
        <v>0.93184808885946935</v>
      </c>
      <c r="Q17" s="151" t="str">
        <f t="shared" si="9"/>
        <v>13-16</v>
      </c>
      <c r="R17" s="161">
        <f t="shared" si="1"/>
        <v>0.93073133189438861</v>
      </c>
      <c r="S17" s="151" t="str">
        <f t="shared" si="10"/>
        <v>13-15</v>
      </c>
      <c r="T17" s="161">
        <f t="shared" si="2"/>
        <v>0.93030976141532806</v>
      </c>
      <c r="U17" s="151" t="str">
        <f t="shared" si="11"/>
        <v>13-14</v>
      </c>
      <c r="V17" s="161">
        <f t="shared" si="3"/>
        <v>0.93050190933109789</v>
      </c>
      <c r="W17" s="151">
        <f t="shared" si="12"/>
        <v>13</v>
      </c>
      <c r="X17" s="152">
        <f t="shared" si="13"/>
        <v>0.93142140948977326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4"/>
        <v>#VALUE!</v>
      </c>
      <c r="AD17" s="153" t="e">
        <f t="shared" si="14"/>
        <v>#VALUE!</v>
      </c>
      <c r="AE17" s="150" t="e">
        <f t="shared" ca="1" si="5"/>
        <v>#VALUE!</v>
      </c>
    </row>
    <row r="18" spans="1:32">
      <c r="A18" s="48">
        <f>'HIV Neg U5MR 50'!A18</f>
        <v>14</v>
      </c>
      <c r="B18" s="9">
        <f>'HIV Neg U5MR 50'!B18</f>
        <v>964624.63545957068</v>
      </c>
      <c r="C18" s="9">
        <f>'HIV Neg U5MR 200'!I18</f>
        <v>187326.14208335851</v>
      </c>
      <c r="D18" s="5">
        <v>0</v>
      </c>
      <c r="E18" s="9">
        <f>'HIV Pos Neg U5MR 50'!B18</f>
        <v>97518.364540429335</v>
      </c>
      <c r="F18" s="9">
        <f>'HIV Pos Neg U5MR 200'!I18</f>
        <v>20039.944826760064</v>
      </c>
      <c r="G18" s="10">
        <f>'Base values'!C71</f>
        <v>0.98913043478260865</v>
      </c>
      <c r="H18" s="9">
        <f>'HIV Pos Pos U5MR 50'!B18</f>
        <v>32797</v>
      </c>
      <c r="I18" s="9">
        <f>'HIV Pos Pos U5MR 200'!I18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C18+'HIV Pos Neg U5MR 200'!K18+'HIV Pos Pos U5MR 200'!K18</f>
        <v>187507.28061396157</v>
      </c>
      <c r="N18" s="57">
        <f>'HIV Pos Neg U5MR 200'!L18+'HIV Pos Pos U5MR 200'!L18</f>
        <v>41120.263796157</v>
      </c>
      <c r="O18" s="151" t="str">
        <f t="shared" si="8"/>
        <v>14-18</v>
      </c>
      <c r="P18" s="179">
        <f t="shared" si="0"/>
        <v>0.93415701530651374</v>
      </c>
      <c r="Q18" s="151" t="str">
        <f t="shared" si="9"/>
        <v>14-17</v>
      </c>
      <c r="R18" s="161">
        <f t="shared" si="1"/>
        <v>0.93199924864416328</v>
      </c>
      <c r="S18" s="151" t="str">
        <f t="shared" si="10"/>
        <v>14-16</v>
      </c>
      <c r="T18" s="161">
        <f t="shared" si="2"/>
        <v>0.93052185083363614</v>
      </c>
      <c r="U18" s="151" t="str">
        <f t="shared" si="11"/>
        <v>14-15</v>
      </c>
      <c r="V18" s="161">
        <f t="shared" si="3"/>
        <v>0.92975780277601605</v>
      </c>
      <c r="W18" s="151">
        <f t="shared" si="12"/>
        <v>14</v>
      </c>
      <c r="X18" s="152">
        <f t="shared" si="13"/>
        <v>0.92957470679446252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4"/>
        <v>#VALUE!</v>
      </c>
      <c r="AD18" s="153" t="e">
        <f t="shared" si="14"/>
        <v>#VALUE!</v>
      </c>
      <c r="AE18" s="150" t="e">
        <f t="shared" ca="1" si="5"/>
        <v>#VALUE!</v>
      </c>
    </row>
    <row r="19" spans="1:32">
      <c r="A19" s="48">
        <f>'HIV Neg U5MR 50'!A19</f>
        <v>15</v>
      </c>
      <c r="B19" s="9">
        <f>'HIV Neg U5MR 50'!B19</f>
        <v>932494.89095396351</v>
      </c>
      <c r="C19" s="9">
        <f>'HIV Neg U5MR 200'!I19</f>
        <v>181671.6730417542</v>
      </c>
      <c r="D19" s="5">
        <v>0</v>
      </c>
      <c r="E19" s="9">
        <f>'HIV Pos Neg U5MR 50'!B19</f>
        <v>101861.10904603652</v>
      </c>
      <c r="F19" s="9">
        <f>'HIV Pos Neg U5MR 200'!I19</f>
        <v>20545.148717359883</v>
      </c>
      <c r="G19" s="10">
        <f>'Base values'!C72</f>
        <v>1</v>
      </c>
      <c r="H19" s="9">
        <f>'HIV Pos Pos U5MR 50'!B19</f>
        <v>34264</v>
      </c>
      <c r="I19" s="9">
        <f>'HIV Pos Pos U5MR 200'!I19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C19+'HIV Pos Neg U5MR 200'!K19+'HIV Pos Pos U5MR 200'!K19</f>
        <v>181671.6730417542</v>
      </c>
      <c r="N19" s="57">
        <f>'HIV Pos Neg U5MR 200'!L19+'HIV Pos Pos U5MR 200'!L19</f>
        <v>42199.351717359881</v>
      </c>
      <c r="O19" s="151" t="str">
        <f t="shared" si="8"/>
        <v>15-19</v>
      </c>
      <c r="P19" s="179">
        <f t="shared" si="0"/>
        <v>0.93848345318157034</v>
      </c>
      <c r="Q19" s="151" t="str">
        <f t="shared" si="9"/>
        <v>15-18</v>
      </c>
      <c r="R19" s="161">
        <f t="shared" si="1"/>
        <v>0.9354061466819078</v>
      </c>
      <c r="S19" s="151" t="str">
        <f t="shared" si="10"/>
        <v>15-17</v>
      </c>
      <c r="T19" s="161">
        <f t="shared" si="2"/>
        <v>0.93287679327390016</v>
      </c>
      <c r="U19" s="151" t="str">
        <f t="shared" si="11"/>
        <v>15-16</v>
      </c>
      <c r="V19" s="161">
        <f t="shared" si="3"/>
        <v>0.931037622137314</v>
      </c>
      <c r="W19" s="151">
        <f t="shared" si="12"/>
        <v>15</v>
      </c>
      <c r="X19" s="152">
        <f t="shared" si="13"/>
        <v>0.92996406137202836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4"/>
        <v>#VALUE!</v>
      </c>
      <c r="AD19" s="153" t="e">
        <f t="shared" si="14"/>
        <v>#VALUE!</v>
      </c>
      <c r="AE19" s="150" t="e">
        <f t="shared" ca="1" si="5"/>
        <v>#VALUE!</v>
      </c>
    </row>
    <row r="20" spans="1:32">
      <c r="A20" s="48">
        <f>'HIV Neg U5MR 50'!A20</f>
        <v>16</v>
      </c>
      <c r="B20" s="9">
        <f>'HIV Neg U5MR 50'!B20</f>
        <v>903865.75167033426</v>
      </c>
      <c r="C20" s="9">
        <f>'HIV Neg U5MR 200'!I20</f>
        <v>176790.565805789</v>
      </c>
      <c r="D20" s="5">
        <v>0</v>
      </c>
      <c r="E20" s="9">
        <f>'HIV Pos Neg U5MR 50'!B20</f>
        <v>105039.24832966569</v>
      </c>
      <c r="F20" s="9">
        <f>'HIV Pos Neg U5MR 200'!I20</f>
        <v>20695.785386678595</v>
      </c>
      <c r="G20" s="10">
        <f>'Base values'!C73</f>
        <v>1</v>
      </c>
      <c r="H20" s="9">
        <f>'HIV Pos Pos U5MR 50'!B20</f>
        <v>35185</v>
      </c>
      <c r="I20" s="9">
        <f>'HIV Pos Pos U5MR 200'!I20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C20+'HIV Pos Neg U5MR 200'!K20+'HIV Pos Pos U5MR 200'!K20</f>
        <v>176790.565805789</v>
      </c>
      <c r="N20" s="57">
        <f>'HIV Pos Neg U5MR 200'!L20+'HIV Pos Pos U5MR 200'!L20</f>
        <v>42291.864886678595</v>
      </c>
      <c r="O20" s="151" t="str">
        <f t="shared" si="8"/>
        <v>16-20</v>
      </c>
      <c r="P20" s="179">
        <f t="shared" si="0"/>
        <v>0.94451521127668159</v>
      </c>
      <c r="Q20" s="151" t="str">
        <f t="shared" si="9"/>
        <v>16-19</v>
      </c>
      <c r="R20" s="161">
        <f t="shared" si="1"/>
        <v>0.94076285843139318</v>
      </c>
      <c r="S20" s="151" t="str">
        <f t="shared" si="10"/>
        <v>16-18</v>
      </c>
      <c r="T20" s="161">
        <f t="shared" si="2"/>
        <v>0.93732809471425538</v>
      </c>
      <c r="U20" s="151" t="str">
        <f t="shared" si="11"/>
        <v>16-17</v>
      </c>
      <c r="V20" s="161">
        <f t="shared" si="3"/>
        <v>0.93440288035779206</v>
      </c>
      <c r="W20" s="151">
        <f t="shared" si="12"/>
        <v>16</v>
      </c>
      <c r="X20" s="152">
        <f t="shared" si="13"/>
        <v>0.93214943436116471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4"/>
        <v>#VALUE!</v>
      </c>
      <c r="AD20" s="153" t="e">
        <f t="shared" si="14"/>
        <v>#VALUE!</v>
      </c>
      <c r="AE20" s="150" t="e">
        <f t="shared" ca="1" si="5"/>
        <v>#VALUE!</v>
      </c>
    </row>
    <row r="21" spans="1:32">
      <c r="A21" s="48">
        <f>'HIV Neg U5MR 50'!A21</f>
        <v>17</v>
      </c>
      <c r="B21" s="9">
        <f>'HIV Neg U5MR 50'!B21</f>
        <v>879136.63873421436</v>
      </c>
      <c r="C21" s="9">
        <f>'HIV Neg U5MR 200'!I21</f>
        <v>172762.40696720171</v>
      </c>
      <c r="D21" s="5">
        <v>0</v>
      </c>
      <c r="E21" s="9">
        <f>'HIV Pos Neg U5MR 50'!B21</f>
        <v>106211.36126578561</v>
      </c>
      <c r="F21" s="9">
        <f>'HIV Pos Neg U5MR 200'!I21</f>
        <v>20375.37730410463</v>
      </c>
      <c r="G21" s="10">
        <f>'Base values'!C74</f>
        <v>1</v>
      </c>
      <c r="H21" s="9">
        <f>'HIV Pos Pos U5MR 50'!B21</f>
        <v>35412</v>
      </c>
      <c r="I21" s="9">
        <f>'HIV Pos Pos U5MR 200'!I21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C21+'HIV Pos Neg U5MR 200'!K21+'HIV Pos Pos U5MR 200'!K21</f>
        <v>172762.40696720171</v>
      </c>
      <c r="N21" s="57">
        <f>'HIV Pos Neg U5MR 200'!L21+'HIV Pos Pos U5MR 200'!L21</f>
        <v>41382.061304104631</v>
      </c>
      <c r="O21" s="151" t="str">
        <f t="shared" si="8"/>
        <v>17-21</v>
      </c>
      <c r="P21" s="179">
        <f t="shared" si="0"/>
        <v>0.95187468304631873</v>
      </c>
      <c r="Q21" s="151" t="str">
        <f t="shared" si="9"/>
        <v>17-20</v>
      </c>
      <c r="R21" s="161">
        <f t="shared" si="1"/>
        <v>0.94780063082550292</v>
      </c>
      <c r="S21" s="151" t="str">
        <f t="shared" si="10"/>
        <v>17-19</v>
      </c>
      <c r="T21" s="161">
        <f t="shared" si="2"/>
        <v>0.94378344203611708</v>
      </c>
      <c r="U21" s="151" t="str">
        <f t="shared" si="11"/>
        <v>17-18</v>
      </c>
      <c r="V21" s="161">
        <f t="shared" si="3"/>
        <v>0.94002261945071941</v>
      </c>
      <c r="W21" s="151">
        <f t="shared" si="12"/>
        <v>17</v>
      </c>
      <c r="X21" s="152">
        <f t="shared" si="13"/>
        <v>0.936719689540637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4"/>
        <v>#VALUE!</v>
      </c>
      <c r="AD21" s="153" t="e">
        <f t="shared" si="14"/>
        <v>#VALUE!</v>
      </c>
      <c r="AE21" s="150" t="e">
        <f t="shared" ca="1" si="5"/>
        <v>#VALUE!</v>
      </c>
    </row>
    <row r="22" spans="1:32">
      <c r="A22" s="48">
        <f>'HIV Neg U5MR 50'!A22</f>
        <v>18</v>
      </c>
      <c r="B22" s="9">
        <f>'HIV Neg U5MR 50'!B22</f>
        <v>858590.99039825355</v>
      </c>
      <c r="C22" s="9">
        <f>'HIV Neg U5MR 200'!I22</f>
        <v>169653.4412111027</v>
      </c>
      <c r="D22" s="5">
        <v>0</v>
      </c>
      <c r="E22" s="9">
        <f>'HIV Pos Neg U5MR 50'!B22</f>
        <v>104648.00960174639</v>
      </c>
      <c r="F22" s="9">
        <f>'HIV Pos Neg U5MR 200'!I22</f>
        <v>19513.949325806851</v>
      </c>
      <c r="G22" s="10">
        <f>'Base values'!C75</f>
        <v>1</v>
      </c>
      <c r="H22" s="9">
        <f>'HIV Pos Pos U5MR 50'!B22</f>
        <v>34706</v>
      </c>
      <c r="I22" s="9">
        <f>'HIV Pos Pos U5MR 200'!I22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C22+'HIV Pos Neg U5MR 200'!K22+'HIV Pos Pos U5MR 200'!K22</f>
        <v>169653.4412111027</v>
      </c>
      <c r="N22" s="103">
        <f>'HIV Pos Neg U5MR 200'!L22+'HIV Pos Pos U5MR 200'!L22</f>
        <v>39364.133825806843</v>
      </c>
      <c r="O22" s="151" t="str">
        <f t="shared" si="8"/>
        <v>18-22</v>
      </c>
      <c r="P22" s="179">
        <f t="shared" si="0"/>
        <v>0.9599130176570172</v>
      </c>
      <c r="Q22" s="151" t="str">
        <f t="shared" si="9"/>
        <v>18-21</v>
      </c>
      <c r="R22" s="161">
        <f t="shared" si="1"/>
        <v>0.95588094422660452</v>
      </c>
      <c r="S22" s="151" t="str">
        <f t="shared" si="10"/>
        <v>18-20</v>
      </c>
      <c r="T22" s="161">
        <f t="shared" si="2"/>
        <v>0.95166931003542876</v>
      </c>
      <c r="U22" s="151" t="str">
        <f t="shared" si="11"/>
        <v>18-19</v>
      </c>
      <c r="V22" s="161">
        <f t="shared" si="3"/>
        <v>0.94744484018404496</v>
      </c>
      <c r="W22" s="151">
        <f t="shared" si="12"/>
        <v>18</v>
      </c>
      <c r="X22" s="152">
        <f t="shared" si="13"/>
        <v>0.94340928878246899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4"/>
        <v>#VALUE!</v>
      </c>
      <c r="AD22" s="153" t="e">
        <f t="shared" si="14"/>
        <v>#VALUE!</v>
      </c>
      <c r="AE22" s="150" t="e">
        <f t="shared" ca="1" si="5"/>
        <v>#VALUE!</v>
      </c>
    </row>
    <row r="23" spans="1:32">
      <c r="A23" s="48">
        <f>'HIV Neg U5MR 50'!A23</f>
        <v>19</v>
      </c>
      <c r="B23" s="9">
        <f>'HIV Neg U5MR 50'!B23</f>
        <v>843666.6351556615</v>
      </c>
      <c r="C23" s="9">
        <f>'HIV Neg U5MR 200'!I23</f>
        <v>167559.39122666823</v>
      </c>
      <c r="D23" s="5">
        <v>0</v>
      </c>
      <c r="E23" s="9">
        <f>'HIV Pos Neg U5MR 50'!B23</f>
        <v>99999.364844338474</v>
      </c>
      <c r="F23" s="9">
        <f>'HIV Pos Neg U5MR 200'!I23</f>
        <v>18113.442624769425</v>
      </c>
      <c r="G23" s="10">
        <f>'Base values'!C76</f>
        <v>1</v>
      </c>
      <c r="H23" s="9">
        <f>'HIV Pos Pos U5MR 50'!B23</f>
        <v>32990</v>
      </c>
      <c r="I23" s="9">
        <f>'HIV Pos Pos U5MR 200'!I23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C23+'HIV Pos Neg U5MR 200'!K23+'HIV Pos Pos U5MR 200'!K23</f>
        <v>167559.39122666823</v>
      </c>
      <c r="N23" s="103">
        <f>'HIV Pos Neg U5MR 200'!L23+'HIV Pos Pos U5MR 200'!L23</f>
        <v>36284.378124769428</v>
      </c>
      <c r="O23" s="151" t="str">
        <f t="shared" si="8"/>
        <v>19-23</v>
      </c>
      <c r="P23" s="179">
        <f t="shared" si="0"/>
        <v>0.96793508493011848</v>
      </c>
      <c r="Q23" s="151" t="str">
        <f t="shared" si="9"/>
        <v>19-22</v>
      </c>
      <c r="R23" s="161">
        <f t="shared" si="1"/>
        <v>0.96425740520436709</v>
      </c>
      <c r="S23" s="151" t="str">
        <f t="shared" si="10"/>
        <v>19-21</v>
      </c>
      <c r="T23" s="161">
        <f t="shared" si="2"/>
        <v>0.96021926853286721</v>
      </c>
      <c r="U23" s="151" t="str">
        <f t="shared" si="11"/>
        <v>19-20</v>
      </c>
      <c r="V23" s="161">
        <f t="shared" si="3"/>
        <v>0.95593806558974281</v>
      </c>
      <c r="W23" s="151">
        <f t="shared" si="12"/>
        <v>19</v>
      </c>
      <c r="X23" s="152">
        <f t="shared" si="13"/>
        <v>0.95157293382152486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4"/>
        <v>#VALUE!</v>
      </c>
      <c r="AD23" s="153" t="e">
        <f t="shared" si="14"/>
        <v>#VALUE!</v>
      </c>
      <c r="AE23" s="150" t="e">
        <f t="shared" ca="1" si="5"/>
        <v>#VALUE!</v>
      </c>
    </row>
    <row r="24" spans="1:32" ht="13.5" thickBot="1">
      <c r="A24" s="48">
        <f>'HIV Neg U5MR 50'!A24</f>
        <v>20</v>
      </c>
      <c r="B24" s="9">
        <f>'HIV Neg U5MR 50'!B24</f>
        <v>833406.34579112253</v>
      </c>
      <c r="C24" s="9">
        <f>'HIV Neg U5MR 200'!I24</f>
        <v>166315.94004239634</v>
      </c>
      <c r="D24" s="5">
        <v>0</v>
      </c>
      <c r="E24" s="9">
        <f>'HIV Pos Neg U5MR 50'!B24</f>
        <v>92241.654208877473</v>
      </c>
      <c r="F24" s="9">
        <f>'HIV Pos Neg U5MR 200'!I24</f>
        <v>16241.072152994442</v>
      </c>
      <c r="G24" s="10">
        <f>'Base values'!C77</f>
        <v>1</v>
      </c>
      <c r="H24" s="9">
        <f>'HIV Pos Pos U5MR 50'!B24</f>
        <v>30311</v>
      </c>
      <c r="I24" s="9">
        <f>'HIV Pos Pos U5MR 200'!I24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C24+'HIV Pos Neg U5MR 200'!K24+'HIV Pos Pos U5MR 200'!K24</f>
        <v>166315.94004239634</v>
      </c>
      <c r="N24" s="103">
        <f>'HIV Pos Neg U5MR 200'!L24+'HIV Pos Pos U5MR 200'!L24</f>
        <v>32323.678652994444</v>
      </c>
      <c r="O24" s="159" t="str">
        <f t="shared" si="8"/>
        <v>20-24</v>
      </c>
      <c r="P24" s="180">
        <f t="shared" si="0"/>
        <v>0.97535705472470757</v>
      </c>
      <c r="Q24" s="151" t="str">
        <f t="shared" si="9"/>
        <v>20-23</v>
      </c>
      <c r="R24" s="161">
        <f t="shared" si="1"/>
        <v>0.97223054243239926</v>
      </c>
      <c r="S24" s="151" t="str">
        <f t="shared" si="10"/>
        <v>20-22</v>
      </c>
      <c r="T24" s="161">
        <f t="shared" si="2"/>
        <v>0.96865614388126176</v>
      </c>
      <c r="U24" s="146" t="str">
        <f t="shared" si="11"/>
        <v>20-21</v>
      </c>
      <c r="V24" s="161">
        <f t="shared" si="3"/>
        <v>0.96467653853408397</v>
      </c>
      <c r="W24" s="146">
        <f t="shared" si="12"/>
        <v>20</v>
      </c>
      <c r="X24" s="152">
        <f t="shared" si="13"/>
        <v>0.96039627130064587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4"/>
        <v>#VALUE!</v>
      </c>
      <c r="AD24" s="153" t="e">
        <f t="shared" si="14"/>
        <v>#VALUE!</v>
      </c>
      <c r="AE24" s="150" t="e">
        <f t="shared" ca="1" si="5"/>
        <v>#VALUE!</v>
      </c>
    </row>
    <row r="25" spans="1:32" ht="13.5" thickBot="1">
      <c r="A25" s="48">
        <f>'HIV Neg U5MR 50'!A25</f>
        <v>21</v>
      </c>
      <c r="B25" s="9">
        <f>'HIV Neg U5MR 50'!B25</f>
        <v>827393.24855432892</v>
      </c>
      <c r="C25" s="9">
        <f>'HIV Neg U5MR 200'!I25</f>
        <v>165819.14432865274</v>
      </c>
      <c r="D25" s="5">
        <v>0</v>
      </c>
      <c r="E25" s="9">
        <f>'HIV Pos Neg U5MR 50'!B25</f>
        <v>81886.751445671107</v>
      </c>
      <c r="F25" s="9">
        <f>'HIV Pos Neg U5MR 200'!I25</f>
        <v>14039.859273864571</v>
      </c>
      <c r="G25" s="10">
        <f>'Base values'!C78</f>
        <v>1</v>
      </c>
      <c r="H25" s="9">
        <f>'HIV Pos Pos U5MR 50'!B25</f>
        <v>26880</v>
      </c>
      <c r="I25" s="9">
        <f>'HIV Pos Pos U5MR 200'!I25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C25+'HIV Pos Neg U5MR 200'!K25+'HIV Pos Pos U5MR 200'!K25</f>
        <v>165819.14432865274</v>
      </c>
      <c r="N25" s="103">
        <f>'HIV Pos Neg U5MR 200'!L25+'HIV Pos Pos U5MR 200'!L25</f>
        <v>27792.412773864569</v>
      </c>
      <c r="O25" s="154"/>
      <c r="P25" s="149"/>
      <c r="Q25" s="159" t="str">
        <f t="shared" si="9"/>
        <v>21-24</v>
      </c>
      <c r="R25" s="182">
        <f t="shared" si="1"/>
        <v>0.97929100955058934</v>
      </c>
      <c r="S25" s="151" t="str">
        <f t="shared" si="10"/>
        <v>21-23</v>
      </c>
      <c r="T25" s="161">
        <f t="shared" si="2"/>
        <v>0.97632990883665205</v>
      </c>
      <c r="U25" s="146" t="str">
        <f t="shared" si="11"/>
        <v>21-22</v>
      </c>
      <c r="V25" s="161">
        <f t="shared" si="3"/>
        <v>0.97290472785041826</v>
      </c>
      <c r="W25" s="146">
        <f t="shared" si="12"/>
        <v>21</v>
      </c>
      <c r="X25" s="152">
        <f t="shared" si="13"/>
        <v>0.96903954430588479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4"/>
        <v>#VALUE!</v>
      </c>
      <c r="AD25" s="153" t="e">
        <f t="shared" si="14"/>
        <v>#VALUE!</v>
      </c>
      <c r="AE25" s="150" t="e">
        <f t="shared" ca="1" si="5"/>
        <v>#VALUE!</v>
      </c>
      <c r="AF25" s="46"/>
    </row>
    <row r="26" spans="1:32" ht="13.5" thickBot="1">
      <c r="A26" s="99">
        <f>'HIV Neg U5MR 50'!A26</f>
        <v>22</v>
      </c>
      <c r="B26" s="171">
        <f>'HIV Neg U5MR 50'!B26</f>
        <v>826385.49363108212</v>
      </c>
      <c r="C26" s="171">
        <f>'HIV Neg U5MR 200'!I26</f>
        <v>165995.85223069502</v>
      </c>
      <c r="D26" s="172">
        <v>0</v>
      </c>
      <c r="E26" s="171">
        <f>'HIV Pos Neg U5MR 50'!B26</f>
        <v>69939.506368917864</v>
      </c>
      <c r="F26" s="171">
        <f>'HIV Pos Neg U5MR 200'!I26</f>
        <v>11697.818625602733</v>
      </c>
      <c r="G26" s="173">
        <f>'Base values'!C79</f>
        <v>1</v>
      </c>
      <c r="H26" s="171">
        <f>'HIV Pos Pos U5MR 50'!B26</f>
        <v>23012</v>
      </c>
      <c r="I26" s="171">
        <f>'HIV Pos Pos U5MR 200'!I26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C26+'HIV Pos Neg U5MR 200'!K26+'HIV Pos Pos U5MR 200'!K26</f>
        <v>165995.85223069502</v>
      </c>
      <c r="N26" s="174">
        <f>'HIV Pos Neg U5MR 200'!L26+'HIV Pos Pos U5MR 200'!L26</f>
        <v>23048.608625602734</v>
      </c>
      <c r="O26" s="154"/>
      <c r="P26" s="149"/>
      <c r="Q26" s="158"/>
      <c r="R26" s="161"/>
      <c r="S26" s="159" t="str">
        <f t="shared" si="10"/>
        <v>22-24</v>
      </c>
      <c r="T26" s="182">
        <f t="shared" si="2"/>
        <v>0.98286504936957519</v>
      </c>
      <c r="U26" s="146" t="str">
        <f t="shared" si="11"/>
        <v>22-23</v>
      </c>
      <c r="V26" s="161">
        <f t="shared" si="3"/>
        <v>0.98008837763059664</v>
      </c>
      <c r="W26" s="146">
        <f t="shared" si="12"/>
        <v>22</v>
      </c>
      <c r="X26" s="152">
        <f t="shared" si="13"/>
        <v>0.97684427129858109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4"/>
        <v>#VALUE!</v>
      </c>
      <c r="AD26" s="153" t="e">
        <f t="shared" si="14"/>
        <v>#VALUE!</v>
      </c>
      <c r="AE26" s="150" t="e">
        <f t="shared" ca="1" si="5"/>
        <v>#VALUE!</v>
      </c>
      <c r="AF26" s="46"/>
    </row>
    <row r="27" spans="1:32" s="116" customFormat="1" ht="13.5" thickBot="1">
      <c r="A27" s="208">
        <f>'HIV Neg U5MR 50'!A27</f>
        <v>23</v>
      </c>
      <c r="B27" s="189">
        <f>'HIV Neg U5MR 50'!B27</f>
        <v>830227.93305620481</v>
      </c>
      <c r="C27" s="189">
        <f>'HIV Neg U5MR 200'!I27</f>
        <v>166588.50550156599</v>
      </c>
      <c r="D27" s="190">
        <v>0</v>
      </c>
      <c r="E27" s="189">
        <f>'HIV Pos Neg U5MR 50'!B27</f>
        <v>57515.066943795158</v>
      </c>
      <c r="F27" s="189">
        <f>'HIV Pos Neg U5MR 200'!I27</f>
        <v>9394.2110142626061</v>
      </c>
      <c r="G27" s="191">
        <f>'Base values'!C80</f>
        <v>1</v>
      </c>
      <c r="H27" s="189">
        <f>'HIV Pos Pos U5MR 50'!B27</f>
        <v>18989</v>
      </c>
      <c r="I27" s="189">
        <f>'HIV Pos Pos U5MR 200'!I27</f>
        <v>9025.3445000000011</v>
      </c>
      <c r="J27" s="191">
        <f>'Base values'!C80</f>
        <v>1</v>
      </c>
      <c r="K27" s="189">
        <f t="shared" ref="K27:K33" si="15">B27*(1-D27) + E27*(1-G27) + H27*(1-J27)</f>
        <v>830227.93305620481</v>
      </c>
      <c r="L27" s="189">
        <f t="shared" ref="L27:L33" si="16">E27*G27+H27*J27</f>
        <v>76504.066943795158</v>
      </c>
      <c r="M27" s="189">
        <f>C27+'HIV Pos Neg U5MR 200'!K27+'HIV Pos Pos U5MR 200'!K27</f>
        <v>166588.50550156599</v>
      </c>
      <c r="N27" s="192">
        <f>'HIV Pos Neg U5MR 200'!L27+'HIV Pos Pos U5MR 200'!L27</f>
        <v>18419.555514262607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3"/>
        <v>0.98600357859038179</v>
      </c>
      <c r="W27" s="146">
        <f t="shared" si="12"/>
        <v>23</v>
      </c>
      <c r="X27" s="152">
        <f t="shared" si="13"/>
        <v>0.9834130844208685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208">
        <f>'HIV Neg U5MR 50'!A28</f>
        <v>24</v>
      </c>
      <c r="B28" s="189">
        <f>'HIV Neg U5MR 50'!B28</f>
        <v>836633.84568017919</v>
      </c>
      <c r="C28" s="189">
        <f>'HIV Neg U5MR 200'!I28</f>
        <v>167102.08332686216</v>
      </c>
      <c r="D28" s="190">
        <v>0</v>
      </c>
      <c r="E28" s="189">
        <f>'HIV Pos Neg U5MR 50'!B28</f>
        <v>45524.15431982078</v>
      </c>
      <c r="F28" s="189">
        <f>'HIV Pos Neg U5MR 200'!I28</f>
        <v>7264.9990716041384</v>
      </c>
      <c r="G28" s="191">
        <f>'Base values'!C81</f>
        <v>1</v>
      </c>
      <c r="H28" s="189">
        <f>'HIV Pos Pos U5MR 50'!B28</f>
        <v>15077</v>
      </c>
      <c r="I28" s="189">
        <f>'HIV Pos Pos U5MR 200'!I28</f>
        <v>6889.0535</v>
      </c>
      <c r="J28" s="191">
        <f>'Base values'!C81</f>
        <v>1</v>
      </c>
      <c r="K28" s="189">
        <f t="shared" si="15"/>
        <v>836633.84568017919</v>
      </c>
      <c r="L28" s="189">
        <f t="shared" si="16"/>
        <v>60601.15431982078</v>
      </c>
      <c r="M28" s="189">
        <f>C28+'HIV Pos Neg U5MR 200'!K28+'HIV Pos Pos U5MR 200'!K28</f>
        <v>167102.08332686216</v>
      </c>
      <c r="N28" s="192">
        <f>'HIV Pos Neg U5MR 200'!L28+'HIV Pos Pos U5MR 200'!L28</f>
        <v>14154.052571604137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0.98868950448640458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09">
        <f>'HIV Neg U5MR 50'!A29</f>
        <v>25</v>
      </c>
      <c r="B29" s="194">
        <f>'HIV Neg U5MR 50'!B29</f>
        <v>840389.38258109975</v>
      </c>
      <c r="C29" s="194">
        <f>'HIV Neg U5MR 200'!I29</f>
        <v>160614.5919816742</v>
      </c>
      <c r="D29" s="195">
        <v>0</v>
      </c>
      <c r="E29" s="194">
        <f>'HIV Pos Neg U5MR 50'!B29</f>
        <v>34523.6174189003</v>
      </c>
      <c r="F29" s="194">
        <f>'HIV Pos Neg U5MR 200'!I29</f>
        <v>5358.8443273299827</v>
      </c>
      <c r="G29" s="196">
        <f>'Base values'!C82</f>
        <v>1</v>
      </c>
      <c r="H29" s="194">
        <f>'HIV Pos Pos U5MR 50'!B29</f>
        <v>11406</v>
      </c>
      <c r="I29" s="194">
        <f>'HIV Pos Pos U5MR 200'!I29</f>
        <v>5014.1195000000007</v>
      </c>
      <c r="J29" s="196">
        <f>'Base values'!C82</f>
        <v>1</v>
      </c>
      <c r="K29" s="194">
        <f t="shared" si="15"/>
        <v>840389.38258109975</v>
      </c>
      <c r="L29" s="194">
        <f t="shared" si="16"/>
        <v>45929.6174189003</v>
      </c>
      <c r="M29" s="194">
        <f>C29+'HIV Pos Neg U5MR 200'!K29+'HIV Pos Pos U5MR 200'!K29</f>
        <v>160614.5919816742</v>
      </c>
      <c r="N29" s="197">
        <f>'HIV Pos Neg U5MR 200'!L29+'HIV Pos Pos U5MR 200'!L29</f>
        <v>10372.963827329982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0">
        <f>'HIV Neg U5MR 50'!A30</f>
        <v>26</v>
      </c>
      <c r="B30" s="199">
        <f>'HIV Neg U5MR 50'!B30</f>
        <v>839518.91477298003</v>
      </c>
      <c r="C30" s="199">
        <f>'HIV Neg U5MR 200'!I30</f>
        <v>153106.38029255092</v>
      </c>
      <c r="D30" s="200">
        <v>0</v>
      </c>
      <c r="E30" s="199">
        <f>'HIV Pos Neg U5MR 50'!B30</f>
        <v>25185.085227019939</v>
      </c>
      <c r="F30" s="199">
        <f>'HIV Pos Neg U5MR 200'!I30</f>
        <v>3797.1217110191565</v>
      </c>
      <c r="G30" s="201">
        <f>'Base values'!C83</f>
        <v>1</v>
      </c>
      <c r="H30" s="199">
        <f>'HIV Pos Pos U5MR 50'!B30</f>
        <v>8309</v>
      </c>
      <c r="I30" s="199">
        <f>'HIV Pos Pos U5MR 200'!I30</f>
        <v>3497.8670000000002</v>
      </c>
      <c r="J30" s="201">
        <f>'Base values'!C83</f>
        <v>1</v>
      </c>
      <c r="K30" s="199">
        <f t="shared" si="15"/>
        <v>839518.91477298003</v>
      </c>
      <c r="L30" s="199">
        <f t="shared" si="16"/>
        <v>33494.085227019939</v>
      </c>
      <c r="M30" s="199">
        <f>C30+'HIV Pos Neg U5MR 200'!K30+'HIV Pos Pos U5MR 200'!K30</f>
        <v>153106.38029255092</v>
      </c>
      <c r="N30" s="202">
        <f>'HIV Pos Neg U5MR 200'!L30+'HIV Pos Pos U5MR 200'!L30</f>
        <v>7294.9887110191567</v>
      </c>
      <c r="O30" s="125"/>
    </row>
    <row r="31" spans="1:32" s="116" customFormat="1">
      <c r="A31" s="209">
        <f>'HIV Neg U5MR 50'!A31</f>
        <v>27</v>
      </c>
      <c r="B31" s="194">
        <f>'HIV Neg U5MR 50'!B31</f>
        <v>832038.27103829291</v>
      </c>
      <c r="C31" s="194">
        <f>'HIV Neg U5MR 200'!I31</f>
        <v>141825.53117935464</v>
      </c>
      <c r="D31" s="195">
        <v>0</v>
      </c>
      <c r="E31" s="194">
        <f>'HIV Pos Neg U5MR 50'!B31</f>
        <v>17622.728961707078</v>
      </c>
      <c r="F31" s="194">
        <f>'HIV Pos Neg U5MR 200'!I31</f>
        <v>2558.0455666107923</v>
      </c>
      <c r="G31" s="196">
        <f>'Base values'!C84</f>
        <v>1</v>
      </c>
      <c r="H31" s="194">
        <f>'HIV Pos Pos U5MR 50'!B31</f>
        <v>5805</v>
      </c>
      <c r="I31" s="194">
        <f>'HIV Pos Pos U5MR 200'!I31</f>
        <v>2314.4380000000001</v>
      </c>
      <c r="J31" s="196">
        <f>'Base values'!C84</f>
        <v>1</v>
      </c>
      <c r="K31" s="194">
        <f t="shared" si="15"/>
        <v>832038.27103829291</v>
      </c>
      <c r="L31" s="194">
        <f t="shared" si="16"/>
        <v>23427.728961707078</v>
      </c>
      <c r="M31" s="194">
        <f>C31+'HIV Pos Neg U5MR 200'!K31+'HIV Pos Pos U5MR 200'!K31</f>
        <v>141825.53117935464</v>
      </c>
      <c r="N31" s="197">
        <f>'HIV Pos Neg U5MR 200'!L31+'HIV Pos Pos U5MR 200'!L31</f>
        <v>4872.483566610792</v>
      </c>
      <c r="O31" s="125"/>
    </row>
    <row r="32" spans="1:32" s="116" customFormat="1">
      <c r="A32" s="209">
        <f>'HIV Neg U5MR 50'!A32</f>
        <v>28</v>
      </c>
      <c r="B32" s="194">
        <f>'HIV Neg U5MR 50'!B32</f>
        <v>819828.22422705835</v>
      </c>
      <c r="C32" s="194">
        <f>'HIV Neg U5MR 200'!I32</f>
        <v>120904.14832784279</v>
      </c>
      <c r="D32" s="195">
        <v>0</v>
      </c>
      <c r="E32" s="194">
        <f>'HIV Pos Neg U5MR 50'!B32</f>
        <v>11855.775772941659</v>
      </c>
      <c r="F32" s="194">
        <f>'HIV Pos Neg U5MR 200'!I32</f>
        <v>1585.6448371385525</v>
      </c>
      <c r="G32" s="196">
        <f>'Base values'!C85</f>
        <v>1</v>
      </c>
      <c r="H32" s="194">
        <f>'HIV Pos Pos U5MR 50'!B32</f>
        <v>3928</v>
      </c>
      <c r="I32" s="194">
        <f>'HIV Pos Pos U5MR 200'!I32</f>
        <v>1382.0280000000002</v>
      </c>
      <c r="J32" s="196">
        <f>'Base values'!C85</f>
        <v>1</v>
      </c>
      <c r="K32" s="194">
        <f t="shared" si="15"/>
        <v>819828.22422705835</v>
      </c>
      <c r="L32" s="194">
        <f t="shared" si="16"/>
        <v>15783.775772941659</v>
      </c>
      <c r="M32" s="194">
        <f>C32+'HIV Pos Neg U5MR 200'!K32+'HIV Pos Pos U5MR 200'!K32</f>
        <v>120904.14832784279</v>
      </c>
      <c r="N32" s="197">
        <f>'HIV Pos Neg U5MR 200'!L32+'HIV Pos Pos U5MR 200'!L32</f>
        <v>2967.6728371385525</v>
      </c>
      <c r="O32" s="125"/>
    </row>
    <row r="33" spans="1:15" s="116" customFormat="1" ht="13.5" thickBot="1">
      <c r="A33" s="211">
        <f>'HIV Neg U5MR 50'!A33</f>
        <v>29</v>
      </c>
      <c r="B33" s="204">
        <f>'HIV Neg U5MR 50'!B33</f>
        <v>805075.62538199848</v>
      </c>
      <c r="C33" s="204">
        <f>'HIV Neg U5MR 200'!I33</f>
        <v>86675.116223346602</v>
      </c>
      <c r="D33" s="205">
        <v>0</v>
      </c>
      <c r="E33" s="204">
        <f>'HIV Pos Neg U5MR 50'!B33</f>
        <v>7627.3746180014859</v>
      </c>
      <c r="F33" s="204">
        <f>'HIV Pos Neg U5MR 200'!I33</f>
        <v>821.16954066345909</v>
      </c>
      <c r="G33" s="206">
        <f>'Base values'!C86</f>
        <v>1</v>
      </c>
      <c r="H33" s="204">
        <f>'HIV Pos Pos U5MR 50'!B33</f>
        <v>2564</v>
      </c>
      <c r="I33" s="204">
        <f>'HIV Pos Pos U5MR 200'!I33</f>
        <v>482.03199999999987</v>
      </c>
      <c r="J33" s="206">
        <f>'Base values'!C86</f>
        <v>1</v>
      </c>
      <c r="K33" s="204">
        <f t="shared" si="15"/>
        <v>805075.62538199848</v>
      </c>
      <c r="L33" s="204">
        <f t="shared" si="16"/>
        <v>10191.374618001486</v>
      </c>
      <c r="M33" s="204">
        <f>C33+'HIV Pos Neg U5MR 200'!K33+'HIV Pos Pos U5MR 200'!K33</f>
        <v>86675.116223346602</v>
      </c>
      <c r="N33" s="207">
        <f>'HIV Pos Neg U5MR 200'!L33+'HIV Pos Pos U5MR 200'!L33</f>
        <v>1303.2015406634589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M2:N2"/>
    <mergeCell ref="O2:O3"/>
    <mergeCell ref="P2:P3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I39"/>
  <sheetViews>
    <sheetView workbookViewId="0"/>
  </sheetViews>
  <sheetFormatPr defaultRowHeight="12.75"/>
  <cols>
    <col min="9" max="9" width="14" customWidth="1"/>
  </cols>
  <sheetData>
    <row r="1" spans="1:9" ht="15.75">
      <c r="A1" s="32" t="s">
        <v>30</v>
      </c>
    </row>
    <row r="2" spans="1:9">
      <c r="A2" s="299" t="s">
        <v>40</v>
      </c>
      <c r="B2" s="11"/>
      <c r="C2" s="296" t="s">
        <v>10</v>
      </c>
      <c r="D2" s="296"/>
      <c r="E2" s="296"/>
      <c r="F2" s="296"/>
      <c r="G2" s="296"/>
      <c r="H2" s="296"/>
      <c r="I2" s="19" t="s">
        <v>11</v>
      </c>
    </row>
    <row r="3" spans="1:9">
      <c r="A3" s="300"/>
      <c r="B3" s="19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19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values'!Y$40)</f>
        <v>169591.35261476846</v>
      </c>
      <c r="D4" s="9">
        <f>B5*('Base values'!Y$40-'Base values'!Y$41)</f>
        <v>63104.650904953145</v>
      </c>
      <c r="E4" s="9">
        <f>B6*('Base values'!Y$41-'Base values'!Y$42)</f>
        <v>37449.007134006315</v>
      </c>
      <c r="F4" s="9">
        <f>B7*('Base values'!Y$42-'Base values'!Y$43)</f>
        <v>18803.834345659641</v>
      </c>
      <c r="G4" s="9">
        <f>B8*('Base values'!Y$43-'Base values'!Y$44)</f>
        <v>12829.030222932788</v>
      </c>
      <c r="H4" s="9">
        <f>B9*('Base values'!Y$44-'Base values'!Y$45)</f>
        <v>12857.410961612055</v>
      </c>
      <c r="I4" s="9">
        <f>SUM(C4:H4)</f>
        <v>314635.28618393245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values'!Y$40)</f>
        <v>168372.10401370263</v>
      </c>
      <c r="D5" s="9">
        <f>B6*('Base values'!Y$40-'Base values'!Y$41)</f>
        <v>62552.930459556963</v>
      </c>
      <c r="E5" s="9">
        <f>B7*('Base values'!Y$41-'Base values'!Y$42)</f>
        <v>37113.607839755321</v>
      </c>
      <c r="F5" s="9">
        <f>B8*('Base values'!Y$42-'Base values'!Y$43)</f>
        <v>18607.2287348145</v>
      </c>
      <c r="G5" s="9">
        <f>B9*('Base values'!Y$43-'Base values'!Y$44)</f>
        <v>12683.474973524406</v>
      </c>
      <c r="H5" s="9">
        <f>B10*('Base values'!Y$44-'Base values'!Y$45)</f>
        <v>12632.147709028881</v>
      </c>
      <c r="I5" s="9">
        <f t="shared" ref="I5:I26" si="0">SUM(C5:H5)</f>
        <v>311961.49373038264</v>
      </c>
    </row>
    <row r="6" spans="1:9">
      <c r="A6" s="28">
        <f t="shared" ref="A6:A26" si="1">1+A5</f>
        <v>2</v>
      </c>
      <c r="B6" s="9">
        <f>'Base values'!G6</f>
        <v>1248874.5119299444</v>
      </c>
      <c r="C6" s="9">
        <f>B6*(1-'Base values'!Y$40)</f>
        <v>166900.03609340548</v>
      </c>
      <c r="D6" s="9">
        <f>B7*('Base values'!Y$40-'Base values'!Y$41)</f>
        <v>61992.696415049671</v>
      </c>
      <c r="E6" s="9">
        <f>B8*('Base values'!Y$41-'Base values'!Y$42)</f>
        <v>36725.562327022628</v>
      </c>
      <c r="F6" s="9">
        <f>B9*('Base values'!Y$42-'Base values'!Y$43)</f>
        <v>18396.115363637517</v>
      </c>
      <c r="G6" s="9">
        <f>B10*('Base values'!Y$43-'Base values'!Y$44)</f>
        <v>12461.259098561412</v>
      </c>
      <c r="H6" s="9">
        <f>B11*('Base values'!Y$44-'Base values'!Y$45)</f>
        <v>12399.734343302975</v>
      </c>
      <c r="I6" s="9">
        <f t="shared" si="0"/>
        <v>308875.40364097967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values'!Y$40)</f>
        <v>165405.25269058032</v>
      </c>
      <c r="D7" s="9">
        <f>B8*('Base values'!Y$40-'Base values'!Y$41)</f>
        <v>61344.524785659014</v>
      </c>
      <c r="E7" s="9">
        <f>B9*('Base values'!Y$41-'Base values'!Y$42)</f>
        <v>36308.882477394</v>
      </c>
      <c r="F7" s="9">
        <f>B10*('Base values'!Y$42-'Base values'!Y$43)</f>
        <v>18073.813401439933</v>
      </c>
      <c r="G7" s="9">
        <f>B11*('Base values'!Y$43-'Base values'!Y$44)</f>
        <v>12231.989837704908</v>
      </c>
      <c r="H7" s="9">
        <f>B12*('Base values'!Y$44-'Base values'!Y$45)</f>
        <v>12157.397706536722</v>
      </c>
      <c r="I7" s="9">
        <f t="shared" si="0"/>
        <v>305521.86089931487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values'!Y$40)</f>
        <v>163675.83941537072</v>
      </c>
      <c r="D8" s="9">
        <f>B9*('Base values'!Y$40-'Base values'!Y$41)</f>
        <v>60648.523805861339</v>
      </c>
      <c r="E8" s="9">
        <f>B10*('Base values'!Y$41-'Base values'!Y$42)</f>
        <v>35672.746867438153</v>
      </c>
      <c r="F8" s="9">
        <f>B11*('Base values'!Y$42-'Base values'!Y$43)</f>
        <v>17741.281206528354</v>
      </c>
      <c r="G8" s="9">
        <f>B12*('Base values'!Y$43-'Base values'!Y$44)</f>
        <v>11992.931548538465</v>
      </c>
      <c r="H8" s="9">
        <f>B13*('Base values'!Y$44-'Base values'!Y$45)</f>
        <v>11892.181340877349</v>
      </c>
      <c r="I8" s="9">
        <f t="shared" si="0"/>
        <v>301623.5041846144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values'!Y$40)</f>
        <v>161818.81069112281</v>
      </c>
      <c r="D9" s="9">
        <f>B10*('Base values'!Y$40-'Base values'!Y$41)</f>
        <v>59585.955005838827</v>
      </c>
      <c r="E9" s="9">
        <f>B11*('Base values'!Y$41-'Base values'!Y$42)</f>
        <v>35016.41958603503</v>
      </c>
      <c r="F9" s="9">
        <f>B12*('Base values'!Y$42-'Base values'!Y$43)</f>
        <v>17394.551002438417</v>
      </c>
      <c r="G9" s="9">
        <f>B13*('Base values'!Y$43-'Base values'!Y$44)</f>
        <v>11731.303049110928</v>
      </c>
      <c r="H9" s="9">
        <f>B14*('Base values'!Y$44-'Base values'!Y$45)</f>
        <v>11613.549996162952</v>
      </c>
      <c r="I9" s="9">
        <f t="shared" si="0"/>
        <v>297160.58933070896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values'!Y$40)</f>
        <v>158983.72735014101</v>
      </c>
      <c r="D10" s="9">
        <f>B11*('Base values'!Y$40-'Base values'!Y$41)</f>
        <v>58489.659057446683</v>
      </c>
      <c r="E10" s="9">
        <f>B12*('Base values'!Y$41-'Base values'!Y$42)</f>
        <v>34332.069331494393</v>
      </c>
      <c r="F10" s="9">
        <f>B13*('Base values'!Y$42-'Base values'!Y$43)</f>
        <v>17015.084959581003</v>
      </c>
      <c r="G10" s="9">
        <f>B14*('Base values'!Y$43-'Base values'!Y$44)</f>
        <v>11456.441049438063</v>
      </c>
      <c r="H10" s="9">
        <f>B15*('Base values'!Y$44-'Base values'!Y$45)</f>
        <v>11317.086827810124</v>
      </c>
      <c r="I10" s="9">
        <f t="shared" si="0"/>
        <v>291594.06857591128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values'!Y$40)</f>
        <v>156058.65522304055</v>
      </c>
      <c r="D11" s="9">
        <f>B12*('Base values'!Y$40-'Base values'!Y$41)</f>
        <v>57346.554949797646</v>
      </c>
      <c r="E11" s="9">
        <f>B13*('Base values'!Y$41-'Base values'!Y$42)</f>
        <v>33583.107516354568</v>
      </c>
      <c r="F11" s="9">
        <f>B14*('Base values'!Y$42-'Base values'!Y$43)</f>
        <v>16616.425044564268</v>
      </c>
      <c r="G11" s="9">
        <f>B15*('Base values'!Y$43-'Base values'!Y$44)</f>
        <v>11163.988456330359</v>
      </c>
      <c r="H11" s="9">
        <f>B16*('Base values'!Y$44-'Base values'!Y$45)</f>
        <v>10956.097775103646</v>
      </c>
      <c r="I11" s="9">
        <f t="shared" si="0"/>
        <v>285724.82896519103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values'!Y$40)</f>
        <v>153008.6923288402</v>
      </c>
      <c r="D12" s="9">
        <f>B13*('Base values'!Y$40-'Base values'!Y$41)</f>
        <v>56095.526954004337</v>
      </c>
      <c r="E12" s="9">
        <f>B14*('Base values'!Y$41-'Base values'!Y$42)</f>
        <v>32796.262265785954</v>
      </c>
      <c r="F12" s="9">
        <f>B15*('Base values'!Y$42-'Base values'!Y$43)</f>
        <v>16192.251728305555</v>
      </c>
      <c r="G12" s="9">
        <f>B16*('Base values'!Y$43-'Base values'!Y$44)</f>
        <v>10807.882889712861</v>
      </c>
      <c r="H12" s="9">
        <f>B17*('Base values'!Y$44-'Base values'!Y$45)</f>
        <v>10597.499114975586</v>
      </c>
      <c r="I12" s="9">
        <f t="shared" si="0"/>
        <v>279498.11528162449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values'!Y$40)</f>
        <v>149670.77328783285</v>
      </c>
      <c r="D13" s="9">
        <f>B14*('Base values'!Y$40-'Base values'!Y$41)</f>
        <v>54781.220380665138</v>
      </c>
      <c r="E13" s="9">
        <f>B15*('Base values'!Y$41-'Base values'!Y$42)</f>
        <v>31959.060563924111</v>
      </c>
      <c r="F13" s="9">
        <f>B16*('Base values'!Y$42-'Base values'!Y$43)</f>
        <v>15675.756122897452</v>
      </c>
      <c r="G13" s="9">
        <f>B17*('Base values'!Y$43-'Base values'!Y$44)</f>
        <v>10454.135378269595</v>
      </c>
      <c r="H13" s="9">
        <f>B18*('Base values'!Y$44-'Base values'!Y$45)</f>
        <v>10242.842576011581</v>
      </c>
      <c r="I13" s="9">
        <f t="shared" si="0"/>
        <v>272783.78830960079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values'!Y$40)</f>
        <v>146164.01808201661</v>
      </c>
      <c r="D14" s="9">
        <f>B15*('Base values'!Y$40-'Base values'!Y$41)</f>
        <v>53382.800933928149</v>
      </c>
      <c r="E14" s="9">
        <f>B16*('Base values'!Y$41-'Base values'!Y$42)</f>
        <v>30939.640003324563</v>
      </c>
      <c r="F14" s="9">
        <f>B17*('Base values'!Y$42-'Base values'!Y$43)</f>
        <v>15162.680641320521</v>
      </c>
      <c r="G14" s="9">
        <f>B18*('Base values'!Y$43-'Base values'!Y$44)</f>
        <v>10104.276658689338</v>
      </c>
      <c r="H14" s="9">
        <f>B19*('Base values'!Y$44-'Base values'!Y$45)</f>
        <v>9901.6736872224028</v>
      </c>
      <c r="I14" s="9">
        <f t="shared" si="0"/>
        <v>265655.09000650159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values'!Y$40)</f>
        <v>142432.83787320092</v>
      </c>
      <c r="D15" s="9">
        <f>B16*('Base values'!Y$40-'Base values'!Y$41)</f>
        <v>51680.012307035009</v>
      </c>
      <c r="E15" s="9">
        <f>B17*('Base values'!Y$41-'Base values'!Y$42)</f>
        <v>29926.969828433601</v>
      </c>
      <c r="F15" s="9">
        <f>B18*('Base values'!Y$42-'Base values'!Y$43)</f>
        <v>14655.245464461846</v>
      </c>
      <c r="G15" s="9">
        <f>B19*('Base values'!Y$43-'Base values'!Y$44)</f>
        <v>9767.7231273740326</v>
      </c>
      <c r="H15" s="9">
        <f>B20*('Base values'!Y$44-'Base values'!Y$45)</f>
        <v>9597.6758874676671</v>
      </c>
      <c r="I15" s="9">
        <f t="shared" si="0"/>
        <v>258060.46448797305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values'!Y$40)</f>
        <v>137889.55778704013</v>
      </c>
      <c r="D16" s="9">
        <f>B17*('Base values'!Y$40-'Base values'!Y$41)</f>
        <v>49988.49918355624</v>
      </c>
      <c r="E16" s="9">
        <f>B18*('Base values'!Y$41-'Base values'!Y$42)</f>
        <v>28925.432066940997</v>
      </c>
      <c r="F16" s="9">
        <f>B19*('Base values'!Y$42-'Base values'!Y$43)</f>
        <v>14167.108136084593</v>
      </c>
      <c r="G16" s="9">
        <f>B20*('Base values'!Y$43-'Base values'!Y$44)</f>
        <v>9467.8378319045423</v>
      </c>
      <c r="H16" s="9">
        <f>B21*('Base values'!Y$44-'Base values'!Y$45)</f>
        <v>9335.0904199833003</v>
      </c>
      <c r="I16" s="9">
        <f t="shared" si="0"/>
        <v>249773.52542550978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values'!Y$40)</f>
        <v>133376.3623334138</v>
      </c>
      <c r="D17" s="9">
        <f>B18*('Base values'!Y$40-'Base values'!Y$41)</f>
        <v>48315.581081266224</v>
      </c>
      <c r="E17" s="9">
        <f>B19*('Base values'!Y$41-'Base values'!Y$42)</f>
        <v>27961.982961598234</v>
      </c>
      <c r="F17" s="9">
        <f>B20*('Base values'!Y$42-'Base values'!Y$43)</f>
        <v>13732.154426408744</v>
      </c>
      <c r="G17" s="9">
        <f>B21*('Base values'!Y$43-'Base values'!Y$44)</f>
        <v>9208.8046396706704</v>
      </c>
      <c r="H17" s="9">
        <f>B22*('Base values'!Y$44-'Base values'!Y$45)</f>
        <v>9116.9269667691096</v>
      </c>
      <c r="I17" s="9">
        <f t="shared" si="0"/>
        <v>241711.81240912678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values'!Y$40)</f>
        <v>128912.78101752268</v>
      </c>
      <c r="D18" s="9">
        <f>B19*('Base values'!Y$40-'Base values'!Y$41)</f>
        <v>46706.284346851549</v>
      </c>
      <c r="E18" s="9">
        <f>B20*('Base values'!Y$41-'Base values'!Y$42)</f>
        <v>27103.503722065776</v>
      </c>
      <c r="F18" s="9">
        <f>B21*('Base values'!Y$42-'Base values'!Y$43)</f>
        <v>13356.452617772502</v>
      </c>
      <c r="G18" s="9">
        <f>B22*('Base values'!Y$43-'Base values'!Y$44)</f>
        <v>8993.5925174758195</v>
      </c>
      <c r="H18" s="9">
        <f>B23*('Base values'!Y$44-'Base values'!Y$45)</f>
        <v>8958.4530737345267</v>
      </c>
      <c r="I18" s="9">
        <f t="shared" si="0"/>
        <v>234031.06729542286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values'!Y$40)</f>
        <v>124618.95047936006</v>
      </c>
      <c r="D19" s="9">
        <f>B20*('Base values'!Y$40-'Base values'!Y$41)</f>
        <v>45272.323975638297</v>
      </c>
      <c r="E19" s="9">
        <f>B21*('Base values'!Y$41-'Base values'!Y$42)</f>
        <v>26361.971472095131</v>
      </c>
      <c r="F19" s="9">
        <f>B22*('Base values'!Y$42-'Base values'!Y$43)</f>
        <v>13044.308900391114</v>
      </c>
      <c r="G19" s="9">
        <f>B23*('Base values'!Y$43-'Base values'!Y$44)</f>
        <v>8837.2624707609484</v>
      </c>
      <c r="H19" s="9">
        <f>B24*('Base values'!Y$44-'Base values'!Y$45)</f>
        <v>8849.5044476244038</v>
      </c>
      <c r="I19" s="9">
        <f t="shared" si="0"/>
        <v>226984.32174586994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values'!Y$40)</f>
        <v>120792.94207409854</v>
      </c>
      <c r="D20" s="9">
        <f>B21*('Base values'!Y$40-'Base values'!Y$41)</f>
        <v>44033.705950333919</v>
      </c>
      <c r="E20" s="9">
        <f>B22*('Base values'!Y$41-'Base values'!Y$42)</f>
        <v>25745.885449235098</v>
      </c>
      <c r="F20" s="9">
        <f>B23*('Base values'!Y$42-'Base values'!Y$43)</f>
        <v>12817.567760429649</v>
      </c>
      <c r="G20" s="9">
        <f>B24*('Base values'!Y$43-'Base values'!Y$44)</f>
        <v>8729.7877095673175</v>
      </c>
      <c r="H20" s="9">
        <f>B25*('Base values'!Y$44-'Base values'!Y$45)</f>
        <v>8785.6545249429419</v>
      </c>
      <c r="I20" s="9">
        <f t="shared" si="0"/>
        <v>220905.54346860744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values'!Y$40)</f>
        <v>117488.13458369806</v>
      </c>
      <c r="D21" s="9">
        <f>B22*('Base values'!Y$40-'Base values'!Y$41)</f>
        <v>43004.626968155157</v>
      </c>
      <c r="E21" s="9">
        <f>B23*('Base values'!Y$41-'Base values'!Y$42)</f>
        <v>25298.36067343791</v>
      </c>
      <c r="F21" s="9">
        <f>B24*('Base values'!Y$42-'Base values'!Y$43)</f>
        <v>12661.686339153188</v>
      </c>
      <c r="G21" s="9">
        <f>B25*('Base values'!Y$43-'Base values'!Y$44)</f>
        <v>8666.8015532711779</v>
      </c>
      <c r="H21" s="9">
        <f>B26*('Base values'!Y$44-'Base values'!Y$45)</f>
        <v>8774.9537044843182</v>
      </c>
      <c r="I21" s="9">
        <f t="shared" si="0"/>
        <v>215894.56382219982</v>
      </c>
    </row>
    <row r="22" spans="1:9">
      <c r="A22" s="28">
        <f t="shared" si="1"/>
        <v>18</v>
      </c>
      <c r="B22" s="9">
        <f>'Base values'!G22</f>
        <v>858590.99039825355</v>
      </c>
      <c r="C22" s="9">
        <f>B22*(1-'Base values'!Y$40)</f>
        <v>114742.40679753709</v>
      </c>
      <c r="D22" s="9">
        <f>B23*('Base values'!Y$40-'Base values'!Y$41)</f>
        <v>42257.104181257288</v>
      </c>
      <c r="E22" s="9">
        <f>B24*('Base values'!Y$41-'Base values'!Y$42)</f>
        <v>24990.693533193524</v>
      </c>
      <c r="F22" s="9">
        <f>B25*('Base values'!Y$42-'Base values'!Y$43)</f>
        <v>12570.331201861984</v>
      </c>
      <c r="G22" s="9">
        <f>B26*('Base values'!Y$43-'Base values'!Y$44)</f>
        <v>8656.2454942878921</v>
      </c>
      <c r="H22" s="9">
        <f>B27*('Base values'!Y$44-'Base values'!Y$45)</f>
        <v>8815.7545514589983</v>
      </c>
      <c r="I22" s="9">
        <f t="shared" si="0"/>
        <v>212032.53575959677</v>
      </c>
    </row>
    <row r="23" spans="1:9">
      <c r="A23" s="28">
        <f t="shared" si="1"/>
        <v>19</v>
      </c>
      <c r="B23" s="9">
        <f>'Base values'!G23</f>
        <v>843666.6351556615</v>
      </c>
      <c r="C23" s="9">
        <f>B23*(1-'Base values'!Y$40)</f>
        <v>112747.91062929506</v>
      </c>
      <c r="D23" s="9">
        <f>B24*('Base values'!Y$40-'Base values'!Y$41)</f>
        <v>41743.192526416067</v>
      </c>
      <c r="E23" s="9">
        <f>B25*('Base values'!Y$41-'Base values'!Y$42)</f>
        <v>24810.383566766097</v>
      </c>
      <c r="F23" s="9">
        <f>B26*('Base values'!Y$42-'Base values'!Y$43)</f>
        <v>12555.020691197733</v>
      </c>
      <c r="G23" s="9">
        <f>B27*('Base values'!Y$43-'Base values'!Y$44)</f>
        <v>8696.4943844452519</v>
      </c>
      <c r="H23" s="9">
        <f>B28*('Base values'!Y$44-'Base values'!Y$45)</f>
        <v>8883.7755745088543</v>
      </c>
      <c r="I23" s="9">
        <f t="shared" si="0"/>
        <v>209436.77737262909</v>
      </c>
    </row>
    <row r="24" spans="1:9">
      <c r="A24" s="28">
        <f t="shared" si="1"/>
        <v>20</v>
      </c>
      <c r="B24" s="9">
        <f>'Base values'!G24</f>
        <v>833406.34579112253</v>
      </c>
      <c r="C24" s="9">
        <f>B24*(1-'Base values'!Y$40)</f>
        <v>111376.72189182614</v>
      </c>
      <c r="D24" s="9">
        <f>B25*('Base values'!Y$40-'Base values'!Y$41)</f>
        <v>41442.011863581945</v>
      </c>
      <c r="E24" s="9">
        <f>B26*('Base values'!Y$41-'Base values'!Y$42)</f>
        <v>24780.16482104786</v>
      </c>
      <c r="F24" s="9">
        <f>B27*('Base values'!Y$42-'Base values'!Y$43)</f>
        <v>12613.397691833499</v>
      </c>
      <c r="G24" s="9">
        <f>B28*('Base values'!Y$43-'Base values'!Y$44)</f>
        <v>8763.5952141614562</v>
      </c>
      <c r="H24" s="9">
        <f>B29*('Base values'!Y$44-'Base values'!Y$45)</f>
        <v>8923.6536492028572</v>
      </c>
      <c r="I24" s="9">
        <f t="shared" si="0"/>
        <v>207899.54513165378</v>
      </c>
    </row>
    <row r="25" spans="1:9">
      <c r="A25" s="28">
        <f t="shared" si="1"/>
        <v>21</v>
      </c>
      <c r="B25" s="9">
        <f>'Base values'!G25</f>
        <v>827393.24855432892</v>
      </c>
      <c r="C25" s="9">
        <f>B25*(1-'Base values'!Y$40)</f>
        <v>110573.12942815809</v>
      </c>
      <c r="D25" s="9">
        <f>B26*('Base values'!Y$40-'Base values'!Y$41)</f>
        <v>41391.535996685823</v>
      </c>
      <c r="E25" s="9">
        <f>B27*('Base values'!Y$41-'Base values'!Y$42)</f>
        <v>24895.384997349669</v>
      </c>
      <c r="F25" s="9">
        <f>B28*('Base values'!Y$42-'Base values'!Y$43)</f>
        <v>12710.72075251141</v>
      </c>
      <c r="G25" s="9">
        <f>B29*('Base values'!Y$43-'Base values'!Y$44)</f>
        <v>8802.9338153684821</v>
      </c>
      <c r="H25" s="9">
        <f>B30*('Base values'!Y$44-'Base values'!Y$45)</f>
        <v>8914.4106085440326</v>
      </c>
      <c r="I25" s="9">
        <f t="shared" si="0"/>
        <v>207288.1155986175</v>
      </c>
    </row>
    <row r="26" spans="1:9">
      <c r="A26" s="28">
        <f t="shared" si="1"/>
        <v>22</v>
      </c>
      <c r="B26" s="9">
        <f>'Base values'!G26</f>
        <v>826385.49363108212</v>
      </c>
      <c r="C26" s="9">
        <f>B26*(1-'Base values'!Y$40)</f>
        <v>110438.4527000669</v>
      </c>
      <c r="D26" s="9">
        <f>B27*('Base values'!Y$40-'Base values'!Y$41)</f>
        <v>41583.993960923821</v>
      </c>
      <c r="E26" s="9">
        <f>B28*('Base values'!Y$41-'Base values'!Y$42)</f>
        <v>25087.474006504253</v>
      </c>
      <c r="F26" s="9">
        <f>B29*('Base values'!Y$42-'Base values'!Y$43)</f>
        <v>12767.777469819499</v>
      </c>
      <c r="G26" s="9">
        <f>B30*('Base values'!Y$43-'Base values'!Y$44)</f>
        <v>8793.8158152341257</v>
      </c>
      <c r="H26" s="9">
        <f>B31*('Base values'!Y$44-'Base values'!Y$45)</f>
        <v>8834.9775800633506</v>
      </c>
      <c r="I26" s="9">
        <f t="shared" si="0"/>
        <v>207506.49153261195</v>
      </c>
    </row>
    <row r="27" spans="1:9" s="116" customFormat="1">
      <c r="A27" s="121">
        <f t="shared" ref="A27:A33" si="2">1+A26</f>
        <v>23</v>
      </c>
      <c r="B27" s="122">
        <f>'Base values'!G27</f>
        <v>830227.93305620481</v>
      </c>
      <c r="C27" s="122">
        <f>B27*(1-'Base values'!Y$40)</f>
        <v>110951.95767803997</v>
      </c>
      <c r="D27" s="122">
        <f>B28*('Base values'!Y$40-'Base values'!Y$41)</f>
        <v>41904.849741924772</v>
      </c>
      <c r="E27" s="122">
        <f>B29*('Base values'!Y$41-'Base values'!Y$42)</f>
        <v>25200.088305900324</v>
      </c>
      <c r="F27" s="122">
        <f>B30*('Base values'!Y$42-'Base values'!Y$43)</f>
        <v>12754.552720079588</v>
      </c>
      <c r="G27" s="122">
        <f>B31*('Base values'!Y$43-'Base values'!Y$44)</f>
        <v>8715.4573625243229</v>
      </c>
      <c r="H27" s="122">
        <f>B32*('Base values'!Y$44-'Base values'!Y$45)</f>
        <v>8705.3255032494271</v>
      </c>
      <c r="I27" s="122">
        <f t="shared" ref="I27:I33" si="3">SUM(C27:H27)</f>
        <v>208232.23131171841</v>
      </c>
    </row>
    <row r="28" spans="1:9" s="116" customFormat="1">
      <c r="A28" s="121">
        <f t="shared" si="2"/>
        <v>24</v>
      </c>
      <c r="B28" s="122">
        <f>'Base values'!G28</f>
        <v>836633.84568017919</v>
      </c>
      <c r="C28" s="122">
        <f>B28*(1-'Base values'!Y$40)</f>
        <v>111808.04613043404</v>
      </c>
      <c r="D28" s="122">
        <f>B29*('Base values'!Y$40-'Base values'!Y$41)</f>
        <v>42092.95498096801</v>
      </c>
      <c r="E28" s="122">
        <f>B30*('Base values'!Y$41-'Base values'!Y$42)</f>
        <v>25173.986279760145</v>
      </c>
      <c r="F28" s="122">
        <f>B31*('Base values'!Y$42-'Base values'!Y$43)</f>
        <v>12640.901600116435</v>
      </c>
      <c r="G28" s="122">
        <f>B32*('Base values'!Y$43-'Base values'!Y$44)</f>
        <v>8587.5592284097165</v>
      </c>
      <c r="H28" s="122">
        <f>B33*('Base values'!Y$44-'Base values'!Y$45)</f>
        <v>8548.675401228129</v>
      </c>
      <c r="I28" s="122">
        <f t="shared" si="3"/>
        <v>208852.12362091648</v>
      </c>
    </row>
    <row r="29" spans="1:9" s="116" customFormat="1">
      <c r="A29" s="121">
        <f t="shared" si="2"/>
        <v>25</v>
      </c>
      <c r="B29" s="122">
        <f>'Base values'!G29</f>
        <v>840389.38258109975</v>
      </c>
      <c r="C29" s="122">
        <f>B29*(1-'Base values'!Y$40)</f>
        <v>112309.93742401576</v>
      </c>
      <c r="D29" s="122">
        <f>B30*('Base values'!Y$40-'Base values'!Y$41)</f>
        <v>42049.355474573684</v>
      </c>
      <c r="E29" s="122">
        <f>B31*('Base values'!Y$41-'Base values'!Y$42)</f>
        <v>24949.670163199851</v>
      </c>
      <c r="F29" s="122">
        <f>B32*('Base values'!Y$42-'Base values'!Y$43)</f>
        <v>12455.398113502742</v>
      </c>
      <c r="G29" s="122">
        <f>B33*('Base values'!Y$43-'Base values'!Y$44)</f>
        <v>8433.028300331016</v>
      </c>
      <c r="H29" s="122">
        <f>B34*('Base values'!Y$44-'Base values'!Y$45)</f>
        <v>0</v>
      </c>
      <c r="I29" s="122">
        <f t="shared" si="3"/>
        <v>200197.38947562306</v>
      </c>
    </row>
    <row r="30" spans="1:9" s="116" customFormat="1">
      <c r="A30" s="121">
        <f t="shared" si="2"/>
        <v>26</v>
      </c>
      <c r="B30" s="122">
        <f>'Base values'!G30</f>
        <v>839518.91477298003</v>
      </c>
      <c r="C30" s="122">
        <f>B30*(1-'Base values'!Y$40)</f>
        <v>112193.60779505344</v>
      </c>
      <c r="D30" s="122">
        <f>B31*('Base values'!Y$40-'Base values'!Y$41)</f>
        <v>41674.669160729805</v>
      </c>
      <c r="E30" s="122">
        <f>B32*('Base values'!Y$41-'Base values'!Y$42)</f>
        <v>24583.537196458576</v>
      </c>
      <c r="F30" s="122">
        <f>B33*('Base values'!Y$42-'Base values'!Y$43)</f>
        <v>12231.266415673892</v>
      </c>
      <c r="G30" s="122">
        <f>B34*('Base values'!Y$43-'Base values'!Y$44)</f>
        <v>0</v>
      </c>
      <c r="H30" s="122">
        <f>B35*('Base values'!Y$44-'Base values'!Y$45)</f>
        <v>0</v>
      </c>
      <c r="I30" s="122">
        <f t="shared" si="3"/>
        <v>190683.08056791572</v>
      </c>
    </row>
    <row r="31" spans="1:9" s="116" customFormat="1">
      <c r="A31" s="121">
        <f t="shared" si="2"/>
        <v>27</v>
      </c>
      <c r="B31" s="122">
        <f>'Base values'!G31</f>
        <v>832038.27103829291</v>
      </c>
      <c r="C31" s="122">
        <f>B31*(1-'Base values'!Y$40)</f>
        <v>111193.89189293946</v>
      </c>
      <c r="D31" s="122">
        <f>B32*('Base values'!Y$40-'Base values'!Y$41)</f>
        <v>41063.099141648549</v>
      </c>
      <c r="E31" s="122">
        <f>B33*('Base values'!Y$41-'Base values'!Y$42)</f>
        <v>24141.162743207846</v>
      </c>
      <c r="F31" s="122">
        <f>B34*('Base values'!Y$42-'Base values'!Y$43)</f>
        <v>0</v>
      </c>
      <c r="G31" s="122">
        <f>B35*('Base values'!Y$43-'Base values'!Y$44)</f>
        <v>0</v>
      </c>
      <c r="H31" s="122">
        <f>B36*('Base values'!Y$44-'Base values'!Y$45)</f>
        <v>0</v>
      </c>
      <c r="I31" s="122">
        <f t="shared" si="3"/>
        <v>176398.15377779587</v>
      </c>
    </row>
    <row r="32" spans="1:9" s="116" customFormat="1">
      <c r="A32" s="121">
        <f t="shared" si="2"/>
        <v>28</v>
      </c>
      <c r="B32" s="122">
        <f>'Base values'!G32</f>
        <v>819828.22422705835</v>
      </c>
      <c r="C32" s="122">
        <f>B32*(1-'Base values'!Y$40)</f>
        <v>109562.13687349558</v>
      </c>
      <c r="D32" s="122">
        <f>B33*('Base values'!Y$40-'Base values'!Y$41)</f>
        <v>40324.179193457203</v>
      </c>
      <c r="E32" s="122">
        <f>B34*('Base values'!Y$41-'Base values'!Y$42)</f>
        <v>0</v>
      </c>
      <c r="F32" s="122">
        <f>B35*('Base values'!Y$42-'Base values'!Y$43)</f>
        <v>0</v>
      </c>
      <c r="G32" s="122">
        <f>B36*('Base values'!Y$43-'Base values'!Y$44)</f>
        <v>0</v>
      </c>
      <c r="H32" s="122">
        <f>B37*('Base values'!Y$44-'Base values'!Y$45)</f>
        <v>0</v>
      </c>
      <c r="I32" s="122">
        <f t="shared" si="3"/>
        <v>149886.31606695277</v>
      </c>
    </row>
    <row r="33" spans="1:9" s="116" customFormat="1">
      <c r="A33" s="121">
        <f t="shared" si="2"/>
        <v>29</v>
      </c>
      <c r="B33" s="122">
        <f>'Base values'!G33</f>
        <v>805075.62538199848</v>
      </c>
      <c r="C33" s="122">
        <f>B33*(1-'Base values'!Y$40)</f>
        <v>107590.59429160153</v>
      </c>
      <c r="D33" s="122">
        <f>B34*('Base values'!Y$40-'Base values'!Y$41)</f>
        <v>0</v>
      </c>
      <c r="E33" s="122">
        <f>B35*('Base values'!Y$41-'Base values'!Y$42)</f>
        <v>0</v>
      </c>
      <c r="F33" s="122">
        <f>B36*('Base values'!Y$42-'Base values'!Y$43)</f>
        <v>0</v>
      </c>
      <c r="G33" s="122">
        <f>B37*('Base values'!Y$43-'Base values'!Y$44)</f>
        <v>0</v>
      </c>
      <c r="H33" s="122">
        <f>B38*('Base values'!Y$44-'Base values'!Y$45)</f>
        <v>0</v>
      </c>
      <c r="I33" s="122">
        <f t="shared" si="3"/>
        <v>107590.59429160153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2">
    <mergeCell ref="A2:A3"/>
    <mergeCell ref="C2:H2"/>
  </mergeCells>
  <phoneticPr fontId="4" type="noConversion"/>
  <pageMargins left="0.75" right="0.75" top="1" bottom="1" header="0.5" footer="0.5"/>
  <headerFooter alignWithMargins="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8"/>
  <sheetViews>
    <sheetView workbookViewId="0"/>
  </sheetViews>
  <sheetFormatPr defaultRowHeight="12.75"/>
  <cols>
    <col min="10" max="10" width="14.7109375" customWidth="1"/>
    <col min="11" max="11" width="11.7109375" customWidth="1"/>
    <col min="12" max="12" width="14" customWidth="1"/>
  </cols>
  <sheetData>
    <row r="1" spans="1:12" ht="16.5" thickBot="1">
      <c r="A1" s="32" t="s">
        <v>32</v>
      </c>
    </row>
    <row r="2" spans="1:12">
      <c r="A2" s="78" t="s">
        <v>0</v>
      </c>
      <c r="B2" s="79"/>
      <c r="C2" s="322" t="s">
        <v>10</v>
      </c>
      <c r="D2" s="322"/>
      <c r="E2" s="322"/>
      <c r="F2" s="322"/>
      <c r="G2" s="322"/>
      <c r="H2" s="322"/>
      <c r="I2" s="79" t="s">
        <v>11</v>
      </c>
      <c r="J2" s="87" t="s">
        <v>22</v>
      </c>
      <c r="K2" s="90" t="s">
        <v>12</v>
      </c>
      <c r="L2" s="82" t="s">
        <v>12</v>
      </c>
    </row>
    <row r="3" spans="1:12">
      <c r="A3" s="83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88" t="s">
        <v>15</v>
      </c>
      <c r="K3" s="91" t="s">
        <v>19</v>
      </c>
      <c r="L3" s="84" t="s">
        <v>20</v>
      </c>
    </row>
    <row r="4" spans="1:12">
      <c r="A4" s="85">
        <v>0</v>
      </c>
      <c r="B4" s="9">
        <f>'Base values'!F4-'Base values'!E4</f>
        <v>88597.986690792124</v>
      </c>
      <c r="C4" s="9">
        <f>B4*(1-'Base values'!Y$40)</f>
        <v>11840.266604244494</v>
      </c>
      <c r="D4" s="9">
        <f>B5*('Base values'!Y$40-'Base values'!Y$41)</f>
        <v>4328.1231857683451</v>
      </c>
      <c r="E4" s="9">
        <f>B6*('Base values'!Y$41-'Base values'!Y$42)</f>
        <v>2583.146278888747</v>
      </c>
      <c r="F4" s="9">
        <f>B7*('Base values'!Y$42-'Base values'!Y$43)</f>
        <v>1318.3703190453516</v>
      </c>
      <c r="G4" s="9">
        <f>B8*('Base values'!Y$43-'Base values'!Y$44)</f>
        <v>875.52178979714711</v>
      </c>
      <c r="H4" s="9">
        <f>B9*('Base values'!Y$44-'Base values'!Y$45)</f>
        <v>864.7062407129655</v>
      </c>
      <c r="I4" s="9">
        <f>SUM(C4:H4)</f>
        <v>21810.134418457055</v>
      </c>
      <c r="J4" s="89">
        <f>'Base values'!C57</f>
        <v>0</v>
      </c>
      <c r="K4" s="92">
        <f>C4*(1-J4)+D4*(1-J5)+E4*(1-J6)+F4*(1-J7)+G4*(1-J8)+H4*(1-J9)</f>
        <v>20308.8360168447</v>
      </c>
      <c r="L4" s="86">
        <f>I4-K4</f>
        <v>1501.2984016123555</v>
      </c>
    </row>
    <row r="5" spans="1:12">
      <c r="A5" s="85">
        <f>1+A4</f>
        <v>1</v>
      </c>
      <c r="B5" s="9">
        <f>'Base values'!F5-'Base values'!E5</f>
        <v>86411.343025629394</v>
      </c>
      <c r="C5" s="9">
        <f>B5*(1-'Base values'!Y$40)</f>
        <v>11548.042763375886</v>
      </c>
      <c r="D5" s="9">
        <f>B6*('Base values'!Y$40-'Base values'!Y$41)</f>
        <v>4314.7571034923949</v>
      </c>
      <c r="E5" s="9">
        <f>B7*('Base values'!Y$41-'Base values'!Y$42)</f>
        <v>2602.1011517747356</v>
      </c>
      <c r="F5" s="9">
        <f>B8*('Base values'!Y$42-'Base values'!Y$43)</f>
        <v>1269.857029095491</v>
      </c>
      <c r="G5" s="9">
        <f>B9*('Base values'!Y$43-'Base values'!Y$44)</f>
        <v>853.00843196803055</v>
      </c>
      <c r="H5" s="9">
        <f>B10*('Base values'!Y$44-'Base values'!Y$45)</f>
        <v>850.99009494614006</v>
      </c>
      <c r="I5" s="9">
        <f t="shared" ref="I5:I33" si="0">SUM(C5:H5)</f>
        <v>21438.756574652682</v>
      </c>
      <c r="J5" s="89">
        <f>'Base values'!C58</f>
        <v>5.4347826086956513E-2</v>
      </c>
      <c r="K5" s="92">
        <f t="shared" ref="K5:K33" si="1">C5*(1-J5)+D5*(1-J6)+E5*(1-J7)+F5*(1-J8)+G5*(1-J9)+H5*(1-J10)</f>
        <v>18467.549841640001</v>
      </c>
      <c r="L5" s="86">
        <f t="shared" ref="L5:L33" si="2">I5-K5</f>
        <v>2971.2067330126811</v>
      </c>
    </row>
    <row r="6" spans="1:12">
      <c r="A6" s="85">
        <f t="shared" ref="A6:A26" si="3">1+A5</f>
        <v>2</v>
      </c>
      <c r="B6" s="9">
        <f>'Base values'!F6-'Base values'!E6</f>
        <v>86144.488070055653</v>
      </c>
      <c r="C6" s="9">
        <f>B6*(1-'Base values'!Y$40)</f>
        <v>11512.380171745175</v>
      </c>
      <c r="D6" s="9">
        <f>B7*('Base values'!Y$40-'Base values'!Y$41)</f>
        <v>4346.4183659996816</v>
      </c>
      <c r="E6" s="9">
        <f>B8*('Base values'!Y$41-'Base values'!Y$42)</f>
        <v>2506.3492330374247</v>
      </c>
      <c r="F6" s="9">
        <f>B9*('Base values'!Y$42-'Base values'!Y$43)</f>
        <v>1237.2036491099748</v>
      </c>
      <c r="G6" s="9">
        <f>B10*('Base values'!Y$43-'Base values'!Y$44)</f>
        <v>839.47783921602525</v>
      </c>
      <c r="H6" s="9">
        <f>B11*('Base values'!Y$44-'Base values'!Y$45)</f>
        <v>811.63421152204501</v>
      </c>
      <c r="I6" s="9">
        <f t="shared" si="0"/>
        <v>21253.463470630326</v>
      </c>
      <c r="J6" s="89">
        <f>'Base values'!C59</f>
        <v>0.13043478260869565</v>
      </c>
      <c r="K6" s="92">
        <f t="shared" si="1"/>
        <v>16533.667841889303</v>
      </c>
      <c r="L6" s="86">
        <f t="shared" si="2"/>
        <v>4719.7956287410234</v>
      </c>
    </row>
    <row r="7" spans="1:12">
      <c r="A7" s="85">
        <f t="shared" si="3"/>
        <v>3</v>
      </c>
      <c r="B7" s="9">
        <f>'Base values'!F7-'Base values'!E7</f>
        <v>86776.60783599432</v>
      </c>
      <c r="C7" s="9">
        <f>B7*(1-'Base values'!Y$40)</f>
        <v>11596.856883170316</v>
      </c>
      <c r="D7" s="9">
        <f>B8*('Base values'!Y$40-'Base values'!Y$41)</f>
        <v>4186.4791961116434</v>
      </c>
      <c r="E7" s="9">
        <f>B9*('Base values'!Y$41-'Base values'!Y$42)</f>
        <v>2441.9004234410618</v>
      </c>
      <c r="F7" s="9">
        <f>B10*('Base values'!Y$42-'Base values'!Y$43)</f>
        <v>1217.57887390256</v>
      </c>
      <c r="G7" s="9">
        <f>B11*('Base values'!Y$43-'Base values'!Y$44)</f>
        <v>800.65436503752949</v>
      </c>
      <c r="H7" s="9">
        <f>B12*('Base values'!Y$44-'Base values'!Y$45)</f>
        <v>805.28616378829759</v>
      </c>
      <c r="I7" s="9">
        <f t="shared" si="0"/>
        <v>21048.755905451402</v>
      </c>
      <c r="J7" s="89">
        <f>'Base values'!C60</f>
        <v>0.21739130434782611</v>
      </c>
      <c r="K7" s="92">
        <f t="shared" si="1"/>
        <v>14441.936822100592</v>
      </c>
      <c r="L7" s="86">
        <f t="shared" si="2"/>
        <v>6606.8190833508106</v>
      </c>
    </row>
    <row r="8" spans="1:12">
      <c r="A8" s="85">
        <f t="shared" si="3"/>
        <v>4</v>
      </c>
      <c r="B8" s="9">
        <f>'Base values'!F8-'Base values'!E8</f>
        <v>83583.408872093714</v>
      </c>
      <c r="C8" s="9">
        <f>B8*(1-'Base values'!Y$40)</f>
        <v>11170.116632458616</v>
      </c>
      <c r="D8" s="9">
        <f>B9*('Base values'!Y$40-'Base values'!Y$41)</f>
        <v>4078.8271590240788</v>
      </c>
      <c r="E8" s="9">
        <f>B10*('Base values'!Y$41-'Base values'!Y$42)</f>
        <v>2403.1665036669033</v>
      </c>
      <c r="F8" s="9">
        <f>B11*('Base values'!Y$42-'Base values'!Y$43)</f>
        <v>1161.2692969691375</v>
      </c>
      <c r="G8" s="9">
        <f>B12*('Base values'!Y$43-'Base values'!Y$44)</f>
        <v>794.39219415397326</v>
      </c>
      <c r="H8" s="9">
        <f>B13*('Base values'!Y$44-'Base values'!Y$45)</f>
        <v>812.98327374767007</v>
      </c>
      <c r="I8" s="9">
        <f t="shared" si="0"/>
        <v>20420.755060020379</v>
      </c>
      <c r="J8" s="89">
        <f>'Base values'!C61</f>
        <v>0.31521739130434784</v>
      </c>
      <c r="K8" s="92">
        <f t="shared" si="1"/>
        <v>11934.808684818017</v>
      </c>
      <c r="L8" s="86">
        <f t="shared" si="2"/>
        <v>8485.9463752023621</v>
      </c>
    </row>
    <row r="9" spans="1:12">
      <c r="A9" s="85">
        <f t="shared" si="3"/>
        <v>5</v>
      </c>
      <c r="B9" s="9">
        <f>'Base values'!F9-'Base values'!E9</f>
        <v>81434.126907391517</v>
      </c>
      <c r="C9" s="9">
        <f>B9*(1-'Base values'!Y$40)</f>
        <v>10882.885822591768</v>
      </c>
      <c r="D9" s="9">
        <f>B10*('Base values'!Y$40-'Base values'!Y$41)</f>
        <v>4014.1279753744593</v>
      </c>
      <c r="E9" s="9">
        <f>B11*('Base values'!Y$41-'Base values'!Y$42)</f>
        <v>2292.0268543000197</v>
      </c>
      <c r="F9" s="9">
        <f>B12*('Base values'!Y$42-'Base values'!Y$43)</f>
        <v>1152.1866427090722</v>
      </c>
      <c r="G9" s="9">
        <f>B13*('Base values'!Y$43-'Base values'!Y$44)</f>
        <v>801.98517705151346</v>
      </c>
      <c r="H9" s="9">
        <f>B14*('Base values'!Y$44-'Base values'!Y$45)</f>
        <v>831.78053521206527</v>
      </c>
      <c r="I9" s="9">
        <f t="shared" si="0"/>
        <v>19974.9930072389</v>
      </c>
      <c r="J9" s="89">
        <f>'Base values'!C62</f>
        <v>0.42391304347826092</v>
      </c>
      <c r="K9" s="92">
        <f t="shared" si="1"/>
        <v>9592.772798258542</v>
      </c>
      <c r="L9" s="86">
        <f t="shared" si="2"/>
        <v>10382.220208980358</v>
      </c>
    </row>
    <row r="10" spans="1:12">
      <c r="A10" s="85">
        <f t="shared" si="3"/>
        <v>6</v>
      </c>
      <c r="B10" s="9">
        <f>'Base values'!F10-'Base values'!E10</f>
        <v>80142.40227020724</v>
      </c>
      <c r="C10" s="9">
        <f>B10*(1-'Base values'!Y$40)</f>
        <v>10710.259280445722</v>
      </c>
      <c r="D10" s="9">
        <f>B11*('Base values'!Y$40-'Base values'!Y$41)</f>
        <v>3828.4859172747879</v>
      </c>
      <c r="E10" s="9">
        <f>B12*('Base values'!Y$41-'Base values'!Y$42)</f>
        <v>2274.1001877406566</v>
      </c>
      <c r="F10" s="9">
        <f>B13*('Base values'!Y$42-'Base values'!Y$43)</f>
        <v>1163.199507056489</v>
      </c>
      <c r="G10" s="9">
        <f>B14*('Base values'!Y$43-'Base values'!Y$44)</f>
        <v>820.52814779937842</v>
      </c>
      <c r="H10" s="9">
        <f>B15*('Base values'!Y$44-'Base values'!Y$45)</f>
        <v>877.94501086489402</v>
      </c>
      <c r="I10" s="9">
        <f t="shared" si="0"/>
        <v>19674.518051181924</v>
      </c>
      <c r="J10" s="89">
        <f>'Base values'!C63</f>
        <v>0.53260869565217406</v>
      </c>
      <c r="K10" s="92">
        <f t="shared" si="1"/>
        <v>7483.307524598843</v>
      </c>
      <c r="L10" s="86">
        <f t="shared" si="2"/>
        <v>12191.21052658308</v>
      </c>
    </row>
    <row r="11" spans="1:12">
      <c r="A11" s="85">
        <f t="shared" si="3"/>
        <v>7</v>
      </c>
      <c r="B11" s="9">
        <f>'Base values'!F11-'Base values'!E11</f>
        <v>76436.042983765918</v>
      </c>
      <c r="C11" s="9">
        <f>B11*(1-'Base values'!Y$40)</f>
        <v>10214.940100837959</v>
      </c>
      <c r="D11" s="9">
        <f>B12*('Base values'!Y$40-'Base values'!Y$41)</f>
        <v>3798.5421186943113</v>
      </c>
      <c r="E11" s="9">
        <f>B13*('Base values'!Y$41-'Base values'!Y$42)</f>
        <v>2295.8365592204864</v>
      </c>
      <c r="F11" s="9">
        <f>B14*('Base values'!Y$42-'Base values'!Y$43)</f>
        <v>1190.0942365982221</v>
      </c>
      <c r="G11" s="9">
        <f>B15*('Base values'!Y$43-'Base values'!Y$44)</f>
        <v>866.06810707708337</v>
      </c>
      <c r="H11" s="9">
        <f>B16*('Base values'!Y$44-'Base values'!Y$45)</f>
        <v>928.94892289637266</v>
      </c>
      <c r="I11" s="9">
        <f t="shared" si="0"/>
        <v>19294.430045324436</v>
      </c>
      <c r="J11" s="89">
        <f>'Base values'!C64</f>
        <v>0.63043478260869579</v>
      </c>
      <c r="K11" s="92">
        <f t="shared" si="1"/>
        <v>5591.7351209498556</v>
      </c>
      <c r="L11" s="86">
        <f t="shared" si="2"/>
        <v>13702.69492437458</v>
      </c>
    </row>
    <row r="12" spans="1:12">
      <c r="A12" s="85">
        <f t="shared" si="3"/>
        <v>8</v>
      </c>
      <c r="B12" s="9">
        <f>'Base values'!F12-'Base values'!E12</f>
        <v>75838.212529416545</v>
      </c>
      <c r="C12" s="9">
        <f>B12*(1-'Base values'!Y$40)</f>
        <v>10135.045825267825</v>
      </c>
      <c r="D12" s="9">
        <f>B13*('Base values'!Y$40-'Base values'!Y$41)</f>
        <v>3834.8494559958176</v>
      </c>
      <c r="E12" s="9">
        <f>B14*('Base values'!Y$41-'Base values'!Y$42)</f>
        <v>2348.919373439096</v>
      </c>
      <c r="F12" s="9">
        <f>B15*('Base values'!Y$42-'Base values'!Y$43)</f>
        <v>1256.1454052469369</v>
      </c>
      <c r="G12" s="9">
        <f>B16*('Base values'!Y$43-'Base values'!Y$44)</f>
        <v>916.38203448708441</v>
      </c>
      <c r="H12" s="9">
        <f>B17*('Base values'!Y$44-'Base values'!Y$45)</f>
        <v>983.20085257443145</v>
      </c>
      <c r="I12" s="9">
        <f t="shared" si="0"/>
        <v>19474.542947011192</v>
      </c>
      <c r="J12" s="89">
        <f>'Base values'!C65</f>
        <v>0.71739130434782605</v>
      </c>
      <c r="K12" s="92">
        <f t="shared" si="1"/>
        <v>4137.5555379535926</v>
      </c>
      <c r="L12" s="86">
        <f t="shared" si="2"/>
        <v>15336.9874090576</v>
      </c>
    </row>
    <row r="13" spans="1:12">
      <c r="A13" s="85">
        <f t="shared" si="3"/>
        <v>9</v>
      </c>
      <c r="B13" s="9">
        <f>'Base values'!F13-'Base values'!E13</f>
        <v>76563.09156895589</v>
      </c>
      <c r="C13" s="9">
        <f>B13*(1-'Base values'!Y$40)</f>
        <v>10231.918919166996</v>
      </c>
      <c r="D13" s="9">
        <f>B14*('Base values'!Y$40-'Base values'!Y$41)</f>
        <v>3923.5163083514053</v>
      </c>
      <c r="E13" s="9">
        <f>B15*('Base values'!Y$41-'Base values'!Y$42)</f>
        <v>2479.2862510409395</v>
      </c>
      <c r="F13" s="9">
        <f>B16*('Base values'!Y$42-'Base values'!Y$43)</f>
        <v>1329.1207385025414</v>
      </c>
      <c r="G13" s="9">
        <f>B17*('Base values'!Y$43-'Base values'!Y$44)</f>
        <v>969.90004012535098</v>
      </c>
      <c r="H13" s="9">
        <f>B18*('Base values'!Y$44-'Base values'!Y$45)</f>
        <v>1035.496315913437</v>
      </c>
      <c r="I13" s="9">
        <f t="shared" si="0"/>
        <v>19969.238573100669</v>
      </c>
      <c r="J13" s="89">
        <f>'Base values'!C66</f>
        <v>0.80434782608695654</v>
      </c>
      <c r="K13" s="92">
        <f t="shared" si="1"/>
        <v>2887.0145944641718</v>
      </c>
      <c r="L13" s="86">
        <f t="shared" si="2"/>
        <v>17082.223978636495</v>
      </c>
    </row>
    <row r="14" spans="1:12">
      <c r="A14" s="85">
        <f t="shared" si="3"/>
        <v>10</v>
      </c>
      <c r="B14" s="9">
        <f>'Base values'!F14-'Base values'!E14</f>
        <v>78333.332725468019</v>
      </c>
      <c r="C14" s="9">
        <f>B14*(1-'Base values'!Y$40)</f>
        <v>10468.494579966837</v>
      </c>
      <c r="D14" s="9">
        <f>B15*('Base values'!Y$40-'Base values'!Y$41)</f>
        <v>4141.2745575801955</v>
      </c>
      <c r="E14" s="9">
        <f>B16*('Base values'!Y$41-'Base values'!Y$42)</f>
        <v>2623.3195290754861</v>
      </c>
      <c r="F14" s="9">
        <f>B17*('Base values'!Y$42-'Base values'!Y$43)</f>
        <v>1406.7432676444728</v>
      </c>
      <c r="G14" s="9">
        <f>B18*('Base values'!Y$43-'Base values'!Y$44)</f>
        <v>1021.4880466431092</v>
      </c>
      <c r="H14" s="9">
        <f>B19*('Base values'!Y$44-'Base values'!Y$45)</f>
        <v>1081.6096398776142</v>
      </c>
      <c r="I14" s="9">
        <f t="shared" si="0"/>
        <v>20742.929620787712</v>
      </c>
      <c r="J14" s="89">
        <f>'Base values'!C67</f>
        <v>0.85869565217391319</v>
      </c>
      <c r="K14" s="92">
        <f t="shared" si="1"/>
        <v>2038.9015379909154</v>
      </c>
      <c r="L14" s="86">
        <f t="shared" si="2"/>
        <v>18704.028082796798</v>
      </c>
    </row>
    <row r="15" spans="1:12">
      <c r="A15" s="85">
        <f t="shared" si="3"/>
        <v>11</v>
      </c>
      <c r="B15" s="9">
        <f>'Base values'!F15-'Base values'!E15</f>
        <v>82680.894466003141</v>
      </c>
      <c r="C15" s="9">
        <f>B15*(1-'Base values'!Y$40)</f>
        <v>11049.504284690736</v>
      </c>
      <c r="D15" s="9">
        <f>B16*('Base values'!Y$40-'Base values'!Y$41)</f>
        <v>4381.8604719815303</v>
      </c>
      <c r="E15" s="9">
        <f>B17*('Base values'!Y$41-'Base values'!Y$42)</f>
        <v>2776.5250962564473</v>
      </c>
      <c r="F15" s="9">
        <f>B18*('Base values'!Y$42-'Base values'!Y$43)</f>
        <v>1481.5665255656461</v>
      </c>
      <c r="G15" s="9">
        <f>B19*('Base values'!Y$43-'Base values'!Y$44)</f>
        <v>1066.9775462159171</v>
      </c>
      <c r="H15" s="9">
        <f>B20*('Base values'!Y$44-'Base values'!Y$45)</f>
        <v>1115.3566324073486</v>
      </c>
      <c r="I15" s="9">
        <f t="shared" si="0"/>
        <v>21871.790557117623</v>
      </c>
      <c r="J15" s="89">
        <f>'Base values'!C68</f>
        <v>0.91304347826086973</v>
      </c>
      <c r="K15" s="92">
        <f t="shared" si="1"/>
        <v>1305.6138962148736</v>
      </c>
      <c r="L15" s="86">
        <f t="shared" si="2"/>
        <v>20566.176660902751</v>
      </c>
    </row>
    <row r="16" spans="1:12">
      <c r="A16" s="85">
        <f t="shared" si="3"/>
        <v>12</v>
      </c>
      <c r="B16" s="9">
        <f>'Base values'!F16-'Base values'!E16</f>
        <v>87484.212459545393</v>
      </c>
      <c r="C16" s="9">
        <f>B16*(1-'Base values'!Y$40)</f>
        <v>11691.421417943333</v>
      </c>
      <c r="D16" s="9">
        <f>B17*('Base values'!Y$40-'Base values'!Y$41)</f>
        <v>4637.7673150012806</v>
      </c>
      <c r="E16" s="9">
        <f>B18*('Base values'!Y$41-'Base values'!Y$42)</f>
        <v>2924.2056703740491</v>
      </c>
      <c r="F16" s="9">
        <f>B19*('Base values'!Y$42-'Base values'!Y$43)</f>
        <v>1547.5445074454005</v>
      </c>
      <c r="G16" s="9">
        <f>B20*('Base values'!Y$43-'Base values'!Y$44)</f>
        <v>1100.2680069829059</v>
      </c>
      <c r="H16" s="9">
        <f>B21*('Base values'!Y$44-'Base values'!Y$45)</f>
        <v>1127.8026843167147</v>
      </c>
      <c r="I16" s="9">
        <f t="shared" si="0"/>
        <v>23029.009602063685</v>
      </c>
      <c r="J16" s="89">
        <f>'Base values'!C69</f>
        <v>0.94565217391304346</v>
      </c>
      <c r="K16" s="92">
        <f t="shared" si="1"/>
        <v>818.41972505537603</v>
      </c>
      <c r="L16" s="86">
        <f t="shared" si="2"/>
        <v>22210.589877008308</v>
      </c>
    </row>
    <row r="17" spans="1:12">
      <c r="A17" s="85">
        <f t="shared" si="3"/>
        <v>13</v>
      </c>
      <c r="B17" s="9">
        <f>'Base values'!F17-'Base values'!E17</f>
        <v>92593.414080122617</v>
      </c>
      <c r="C17" s="9">
        <f>B17*(1-'Base values'!Y$40)</f>
        <v>12374.216948428671</v>
      </c>
      <c r="D17" s="9">
        <f>B18*('Base values'!Y$40-'Base values'!Y$41)</f>
        <v>4884.4454886027688</v>
      </c>
      <c r="E17" s="9">
        <f>B19*('Base values'!Y$41-'Base values'!Y$42)</f>
        <v>3054.4280973818099</v>
      </c>
      <c r="F17" s="9">
        <f>B20*('Base values'!Y$42-'Base values'!Y$43)</f>
        <v>1595.8290003037487</v>
      </c>
      <c r="G17" s="9">
        <f>B21*('Base values'!Y$43-'Base values'!Y$44)</f>
        <v>1112.5456877992806</v>
      </c>
      <c r="H17" s="9">
        <f>B22*('Base values'!Y$44-'Base values'!Y$45)</f>
        <v>1111.2022737559057</v>
      </c>
      <c r="I17" s="9">
        <f t="shared" si="0"/>
        <v>24132.667496272181</v>
      </c>
      <c r="J17" s="89">
        <f>'Base values'!C70</f>
        <v>0.96739130434782605</v>
      </c>
      <c r="K17" s="92">
        <f t="shared" si="1"/>
        <v>456.59887319444391</v>
      </c>
      <c r="L17" s="86">
        <f t="shared" si="2"/>
        <v>23676.068623077736</v>
      </c>
    </row>
    <row r="18" spans="1:12">
      <c r="A18" s="85">
        <f t="shared" si="3"/>
        <v>14</v>
      </c>
      <c r="B18" s="9">
        <f>'Base values'!F18-'Base values'!E18</f>
        <v>97518.364540429335</v>
      </c>
      <c r="C18" s="9">
        <f>B18*(1-'Base values'!Y$40)</f>
        <v>13032.389088008324</v>
      </c>
      <c r="D18" s="9">
        <f>B19*('Base values'!Y$40-'Base values'!Y$41)</f>
        <v>5101.9624548535048</v>
      </c>
      <c r="E18" s="9">
        <f>B20*('Base values'!Y$41-'Base values'!Y$42)</f>
        <v>3149.7284334592673</v>
      </c>
      <c r="F18" s="9">
        <f>B21*('Base values'!Y$42-'Base values'!Y$43)</f>
        <v>1613.6365517174909</v>
      </c>
      <c r="G18" s="9">
        <f>B22*('Base values'!Y$43-'Base values'!Y$44)</f>
        <v>1096.1698487966319</v>
      </c>
      <c r="H18" s="9">
        <f>B23*('Base values'!Y$44-'Base values'!Y$45)</f>
        <v>1061.8407556154887</v>
      </c>
      <c r="I18" s="9">
        <f t="shared" si="0"/>
        <v>25055.727132450702</v>
      </c>
      <c r="J18" s="89">
        <f>'Base values'!C71</f>
        <v>0.98913043478260865</v>
      </c>
      <c r="K18" s="92">
        <f t="shared" si="1"/>
        <v>141.65640313052589</v>
      </c>
      <c r="L18" s="86">
        <f t="shared" si="2"/>
        <v>24914.070729320178</v>
      </c>
    </row>
    <row r="19" spans="1:12">
      <c r="A19" s="85">
        <f t="shared" si="3"/>
        <v>15</v>
      </c>
      <c r="B19" s="9">
        <f>'Base values'!F19-'Base values'!E19</f>
        <v>101861.10904603652</v>
      </c>
      <c r="C19" s="9">
        <f>B19*(1-'Base values'!Y$40)</f>
        <v>13612.755015734885</v>
      </c>
      <c r="D19" s="9">
        <f>B20*('Base values'!Y$40-'Base values'!Y$41)</f>
        <v>5261.1473238700264</v>
      </c>
      <c r="E19" s="9">
        <f>B21*('Base values'!Y$41-'Base values'!Y$42)</f>
        <v>3184.8756522449116</v>
      </c>
      <c r="F19" s="9">
        <f>B22*('Base values'!Y$42-'Base values'!Y$43)</f>
        <v>1589.8850306163797</v>
      </c>
      <c r="G19" s="9">
        <f>B23*('Base values'!Y$43-'Base values'!Y$44)</f>
        <v>1047.4760968540049</v>
      </c>
      <c r="H19" s="9">
        <f>B24*('Base values'!Y$44-'Base values'!Y$45)</f>
        <v>979.46569917561169</v>
      </c>
      <c r="I19" s="9">
        <f t="shared" si="0"/>
        <v>25675.60481849582</v>
      </c>
      <c r="J19" s="89">
        <f>'Base values'!C72</f>
        <v>1</v>
      </c>
      <c r="K19" s="92">
        <f t="shared" si="1"/>
        <v>0</v>
      </c>
      <c r="L19" s="86">
        <f t="shared" si="2"/>
        <v>25675.60481849582</v>
      </c>
    </row>
    <row r="20" spans="1:12">
      <c r="A20" s="85">
        <f t="shared" si="3"/>
        <v>16</v>
      </c>
      <c r="B20" s="9">
        <f>'Base values'!F20-'Base values'!E20</f>
        <v>105039.24832966569</v>
      </c>
      <c r="C20" s="9">
        <f>B20*(1-'Base values'!Y$40)</f>
        <v>14037.482685393124</v>
      </c>
      <c r="D20" s="9">
        <f>B21*('Base values'!Y$40-'Base values'!Y$41)</f>
        <v>5319.8554633055519</v>
      </c>
      <c r="E20" s="9">
        <f>B22*('Base values'!Y$41-'Base values'!Y$42)</f>
        <v>3137.9966687599403</v>
      </c>
      <c r="F20" s="9">
        <f>B23*('Base values'!Y$42-'Base values'!Y$43)</f>
        <v>1519.2596002753442</v>
      </c>
      <c r="G20" s="9">
        <f>B24*('Base values'!Y$43-'Base values'!Y$44)</f>
        <v>966.21541615263595</v>
      </c>
      <c r="H20" s="9">
        <f>B25*('Base values'!Y$44-'Base values'!Y$45)</f>
        <v>869.51242305707387</v>
      </c>
      <c r="I20" s="9">
        <f t="shared" si="0"/>
        <v>25850.322256943669</v>
      </c>
      <c r="J20" s="89">
        <f>'Base values'!C73</f>
        <v>1</v>
      </c>
      <c r="K20" s="92">
        <f t="shared" si="1"/>
        <v>0</v>
      </c>
      <c r="L20" s="86">
        <f t="shared" si="2"/>
        <v>25850.322256943669</v>
      </c>
    </row>
    <row r="21" spans="1:12">
      <c r="A21" s="85">
        <f t="shared" si="3"/>
        <v>17</v>
      </c>
      <c r="B21" s="9">
        <f>'Base values'!F21-'Base values'!E21</f>
        <v>106211.36126578561</v>
      </c>
      <c r="C21" s="9">
        <f>B21*(1-'Base values'!Y$40)</f>
        <v>14194.124277062454</v>
      </c>
      <c r="D21" s="9">
        <f>B22*('Base values'!Y$40-'Base values'!Y$41)</f>
        <v>5241.5511765334932</v>
      </c>
      <c r="E21" s="9">
        <f>B23*('Base values'!Y$41-'Base values'!Y$42)</f>
        <v>2998.601454092131</v>
      </c>
      <c r="F21" s="9">
        <f>B24*('Base values'!Y$42-'Base values'!Y$43)</f>
        <v>1401.3990880868057</v>
      </c>
      <c r="G21" s="9">
        <f>B25*('Base values'!Y$43-'Base values'!Y$44)</f>
        <v>857.74959592877644</v>
      </c>
      <c r="H21" s="9">
        <f>B26*('Base values'!Y$44-'Base values'!Y$45)</f>
        <v>742.65089989069622</v>
      </c>
      <c r="I21" s="9">
        <f t="shared" si="0"/>
        <v>25436.076491594358</v>
      </c>
      <c r="J21" s="89">
        <f>'Base values'!C74</f>
        <v>1</v>
      </c>
      <c r="K21" s="92">
        <f t="shared" si="1"/>
        <v>0</v>
      </c>
      <c r="L21" s="86">
        <f t="shared" si="2"/>
        <v>25436.076491594358</v>
      </c>
    </row>
    <row r="22" spans="1:12">
      <c r="A22" s="85">
        <f t="shared" si="3"/>
        <v>18</v>
      </c>
      <c r="B22" s="9">
        <f>'Base values'!F22-'Base values'!E22</f>
        <v>104648.00960174639</v>
      </c>
      <c r="C22" s="9">
        <f>B22*(1-'Base values'!Y$40)</f>
        <v>13985.197401974248</v>
      </c>
      <c r="D22" s="9">
        <f>B23*('Base values'!Y$40-'Base values'!Y$41)</f>
        <v>5008.7124489723419</v>
      </c>
      <c r="E22" s="9">
        <f>B24*('Base values'!Y$41-'Base values'!Y$42)</f>
        <v>2765.977152646517</v>
      </c>
      <c r="F22" s="9">
        <f>B25*('Base values'!Y$42-'Base values'!Y$43)</f>
        <v>1244.0802345380112</v>
      </c>
      <c r="G22" s="9">
        <f>B26*('Base values'!Y$43-'Base values'!Y$44)</f>
        <v>732.60426464956254</v>
      </c>
      <c r="H22" s="9">
        <f>B27*('Base values'!Y$44-'Base values'!Y$45)</f>
        <v>610.72230046601624</v>
      </c>
      <c r="I22" s="9">
        <f t="shared" si="0"/>
        <v>24347.293803246695</v>
      </c>
      <c r="J22" s="89">
        <f>'Base values'!C75</f>
        <v>1</v>
      </c>
      <c r="K22" s="92">
        <f t="shared" si="1"/>
        <v>0</v>
      </c>
      <c r="L22" s="86">
        <f t="shared" si="2"/>
        <v>24347.293803246695</v>
      </c>
    </row>
    <row r="23" spans="1:12">
      <c r="A23" s="85">
        <f t="shared" si="3"/>
        <v>19</v>
      </c>
      <c r="B23" s="9">
        <f>'Base values'!F23-'Base values'!E23</f>
        <v>99999.364844338474</v>
      </c>
      <c r="C23" s="9">
        <f>B23*(1-'Base values'!Y$40)</f>
        <v>13363.950855275309</v>
      </c>
      <c r="D23" s="9">
        <f>B24*('Base values'!Y$40-'Base values'!Y$41)</f>
        <v>4620.1485626332324</v>
      </c>
      <c r="E23" s="9">
        <f>B25*('Base values'!Y$41-'Base values'!Y$42)</f>
        <v>2455.4729156339436</v>
      </c>
      <c r="F23" s="9">
        <f>B26*('Base values'!Y$42-'Base values'!Y$43)</f>
        <v>1062.5694138647602</v>
      </c>
      <c r="G23" s="9">
        <f>B27*('Base values'!Y$43-'Base values'!Y$44)</f>
        <v>602.46040488720359</v>
      </c>
      <c r="H23" s="9">
        <f>B28*('Base values'!Y$44-'Base values'!Y$45)</f>
        <v>483.39709454115967</v>
      </c>
      <c r="I23" s="9">
        <f t="shared" si="0"/>
        <v>22587.999246835607</v>
      </c>
      <c r="J23" s="89">
        <f>'Base values'!C76</f>
        <v>1</v>
      </c>
      <c r="K23" s="92">
        <f t="shared" si="1"/>
        <v>0</v>
      </c>
      <c r="L23" s="86">
        <f t="shared" si="2"/>
        <v>22587.999246835607</v>
      </c>
    </row>
    <row r="24" spans="1:12">
      <c r="A24" s="85">
        <f t="shared" si="3"/>
        <v>20</v>
      </c>
      <c r="B24" s="9">
        <f>'Base values'!F24-'Base values'!E24</f>
        <v>92241.654208877473</v>
      </c>
      <c r="C24" s="9">
        <f>B24*(1-'Base values'!Y$40)</f>
        <v>12327.207633524566</v>
      </c>
      <c r="D24" s="9">
        <f>B25*('Base values'!Y$40-'Base values'!Y$41)</f>
        <v>4101.4979646148977</v>
      </c>
      <c r="E24" s="9">
        <f>B26*('Base values'!Y$41-'Base values'!Y$42)</f>
        <v>2097.2203755771798</v>
      </c>
      <c r="F24" s="9">
        <f>B27*('Base values'!Y$42-'Base values'!Y$43)</f>
        <v>873.80872619399429</v>
      </c>
      <c r="G24" s="9">
        <f>B28*('Base values'!Y$43-'Base values'!Y$44)</f>
        <v>476.85766358350025</v>
      </c>
      <c r="H24" s="9">
        <f>B29*('Base values'!Y$44-'Base values'!Y$45)</f>
        <v>366.58816847215792</v>
      </c>
      <c r="I24" s="9">
        <f t="shared" si="0"/>
        <v>20243.180531966296</v>
      </c>
      <c r="J24" s="89">
        <f>'Base values'!C77</f>
        <v>1</v>
      </c>
      <c r="K24" s="92">
        <f t="shared" si="1"/>
        <v>0</v>
      </c>
      <c r="L24" s="86">
        <f t="shared" si="2"/>
        <v>20243.180531966296</v>
      </c>
    </row>
    <row r="25" spans="1:12">
      <c r="A25" s="85">
        <f t="shared" si="3"/>
        <v>21</v>
      </c>
      <c r="B25" s="9">
        <f>'Base values'!F25-'Base values'!E25</f>
        <v>81886.751445671107</v>
      </c>
      <c r="C25" s="9">
        <f>B25*(1-'Base values'!Y$40)</f>
        <v>10943.374727645074</v>
      </c>
      <c r="D25" s="9">
        <f>B26*('Base values'!Y$40-'Base values'!Y$41)</f>
        <v>3503.0910123306862</v>
      </c>
      <c r="E25" s="9">
        <f>B27*('Base values'!Y$41-'Base values'!Y$42)</f>
        <v>1724.6585879653676</v>
      </c>
      <c r="F25" s="9">
        <f>B28*('Base values'!Y$42-'Base values'!Y$43)</f>
        <v>691.6344779035835</v>
      </c>
      <c r="G25" s="9">
        <f>B29*('Base values'!Y$43-'Base values'!Y$44)</f>
        <v>361.62893713897415</v>
      </c>
      <c r="H25" s="9">
        <f>B30*('Base values'!Y$44-'Base values'!Y$45)</f>
        <v>267.42719785598098</v>
      </c>
      <c r="I25" s="9">
        <f t="shared" si="0"/>
        <v>17491.814940839668</v>
      </c>
      <c r="J25" s="89">
        <f>'Base values'!C78</f>
        <v>1</v>
      </c>
      <c r="K25" s="92">
        <f t="shared" si="1"/>
        <v>0</v>
      </c>
      <c r="L25" s="86">
        <f t="shared" si="2"/>
        <v>17491.814940839668</v>
      </c>
    </row>
    <row r="26" spans="1:12">
      <c r="A26" s="100">
        <f t="shared" si="3"/>
        <v>22</v>
      </c>
      <c r="B26" s="9">
        <f>'Base values'!F26-'Base values'!E26</f>
        <v>69939.506368917864</v>
      </c>
      <c r="C26" s="9">
        <f>B26*(1-'Base values'!Y$40)</f>
        <v>9346.7406259165818</v>
      </c>
      <c r="D26" s="9">
        <f>B27*('Base values'!Y$40-'Base values'!Y$41)</f>
        <v>2880.7826155025227</v>
      </c>
      <c r="E26" s="9">
        <f>B28*('Base values'!Y$41-'Base values'!Y$42)</f>
        <v>1365.0966238857834</v>
      </c>
      <c r="F26" s="9">
        <f>B29*('Base values'!Y$42-'Base values'!Y$43)</f>
        <v>524.50670343299566</v>
      </c>
      <c r="G26" s="9">
        <f>B30*('Base values'!Y$43-'Base values'!Y$44)</f>
        <v>263.80942332583095</v>
      </c>
      <c r="H26" s="9">
        <f>B31*('Base values'!Y$44-'Base values'!Y$45)</f>
        <v>187.12650691166286</v>
      </c>
      <c r="I26" s="9">
        <f t="shared" si="0"/>
        <v>14568.062498975378</v>
      </c>
      <c r="J26" s="89">
        <f>'Base values'!C79</f>
        <v>1</v>
      </c>
      <c r="K26" s="92">
        <f t="shared" si="1"/>
        <v>0</v>
      </c>
      <c r="L26" s="86">
        <f t="shared" si="2"/>
        <v>14568.062498975378</v>
      </c>
    </row>
    <row r="27" spans="1:12" s="116" customFormat="1">
      <c r="A27" s="128">
        <f t="shared" ref="A27:A33" si="4">1+A26</f>
        <v>23</v>
      </c>
      <c r="B27" s="122">
        <f>'Base values'!F27-'Base values'!E27</f>
        <v>57515.066943795158</v>
      </c>
      <c r="C27" s="122">
        <f>B27*(1-'Base values'!Y$40)</f>
        <v>7686.3341009336846</v>
      </c>
      <c r="D27" s="122">
        <f>B28*('Base values'!Y$40-'Base values'!Y$41)</f>
        <v>2280.1884674523881</v>
      </c>
      <c r="E27" s="122">
        <f>B29*('Base values'!Y$41-'Base values'!Y$42)</f>
        <v>1035.2322692647167</v>
      </c>
      <c r="F27" s="122">
        <f>B30*('Base values'!Y$42-'Base values'!Y$43)</f>
        <v>382.62925544040644</v>
      </c>
      <c r="G27" s="122">
        <f>B31*('Base values'!Y$43-'Base values'!Y$44)</f>
        <v>184.59504595313487</v>
      </c>
      <c r="H27" s="122">
        <f>B32*('Base values'!Y$44-'Base values'!Y$45)</f>
        <v>125.89025865058687</v>
      </c>
      <c r="I27" s="122">
        <f t="shared" si="0"/>
        <v>11694.869397694918</v>
      </c>
      <c r="J27" s="129">
        <f>'Base values'!C80</f>
        <v>1</v>
      </c>
      <c r="K27" s="130">
        <f t="shared" si="1"/>
        <v>0</v>
      </c>
      <c r="L27" s="127">
        <f t="shared" si="2"/>
        <v>11694.869397694918</v>
      </c>
    </row>
    <row r="28" spans="1:12" s="116" customFormat="1">
      <c r="A28" s="128">
        <f t="shared" si="4"/>
        <v>24</v>
      </c>
      <c r="B28" s="122">
        <f>'Base values'!F28-'Base values'!E28</f>
        <v>45524.15431982078</v>
      </c>
      <c r="C28" s="122">
        <f>B28*(1-'Base values'!Y$40)</f>
        <v>6083.8642525887799</v>
      </c>
      <c r="D28" s="122">
        <f>B29*('Base values'!Y$40-'Base values'!Y$41)</f>
        <v>1729.1997066058786</v>
      </c>
      <c r="E28" s="122">
        <f>B30*('Base values'!Y$41-'Base values'!Y$42)</f>
        <v>755.2051285598925</v>
      </c>
      <c r="F28" s="122">
        <f>B31*('Base values'!Y$42-'Base values'!Y$43)</f>
        <v>267.73670212605981</v>
      </c>
      <c r="G28" s="122">
        <f>B32*('Base values'!Y$43-'Base values'!Y$44)</f>
        <v>124.18720610024245</v>
      </c>
      <c r="H28" s="122">
        <f>B33*('Base values'!Y$44-'Base values'!Y$45)</f>
        <v>80.991086696883457</v>
      </c>
      <c r="I28" s="122">
        <f t="shared" si="0"/>
        <v>9041.184082677737</v>
      </c>
      <c r="J28" s="129">
        <f>'Base values'!C81</f>
        <v>1</v>
      </c>
      <c r="K28" s="130">
        <f t="shared" si="1"/>
        <v>0</v>
      </c>
      <c r="L28" s="127">
        <f t="shared" si="2"/>
        <v>9041.184082677737</v>
      </c>
    </row>
    <row r="29" spans="1:12" s="116" customFormat="1">
      <c r="A29" s="128">
        <f t="shared" si="4"/>
        <v>25</v>
      </c>
      <c r="B29" s="122">
        <f>'Base values'!F29-'Base values'!E29</f>
        <v>34523.6174189003</v>
      </c>
      <c r="C29" s="122">
        <f>B29*(1-'Base values'!Y$40)</f>
        <v>4613.7485698103519</v>
      </c>
      <c r="D29" s="122">
        <f>B30*('Base values'!Y$40-'Base values'!Y$41)</f>
        <v>1261.4565112624907</v>
      </c>
      <c r="E29" s="122">
        <f>B31*('Base values'!Y$41-'Base values'!Y$42)</f>
        <v>528.4387633051864</v>
      </c>
      <c r="F29" s="122">
        <f>B32*('Base values'!Y$42-'Base values'!Y$43)</f>
        <v>180.12115566725237</v>
      </c>
      <c r="G29" s="122">
        <f>B33*('Base values'!Y$43-'Base values'!Y$44)</f>
        <v>79.895433401443583</v>
      </c>
      <c r="H29" s="122">
        <f>B34*('Base values'!Y$44-'Base values'!Y$45)</f>
        <v>0</v>
      </c>
      <c r="I29" s="122">
        <f t="shared" si="0"/>
        <v>6663.6604334467247</v>
      </c>
      <c r="J29" s="129">
        <f>'Base values'!C82</f>
        <v>1</v>
      </c>
      <c r="K29" s="130">
        <f t="shared" si="1"/>
        <v>0</v>
      </c>
      <c r="L29" s="127">
        <f t="shared" si="2"/>
        <v>6663.6604334467247</v>
      </c>
    </row>
    <row r="30" spans="1:12" s="116" customFormat="1">
      <c r="A30" s="131">
        <f t="shared" si="4"/>
        <v>26</v>
      </c>
      <c r="B30" s="122">
        <f>'Base values'!F30-'Base values'!E30</f>
        <v>25185.085227019939</v>
      </c>
      <c r="C30" s="122">
        <f>B30*(1-'Base values'!Y$40)</f>
        <v>3365.7437903103832</v>
      </c>
      <c r="D30" s="122">
        <f>B31*('Base values'!Y$40-'Base values'!Y$41)</f>
        <v>882.67742572931922</v>
      </c>
      <c r="E30" s="122">
        <f>B32*('Base values'!Y$41-'Base values'!Y$42)</f>
        <v>355.50972276146257</v>
      </c>
      <c r="F30" s="122">
        <f>B33*('Base values'!Y$42-'Base values'!Y$43)</f>
        <v>115.88035715360149</v>
      </c>
      <c r="G30" s="122">
        <f>B34*('Base values'!Y$43-'Base values'!Y$44)</f>
        <v>0</v>
      </c>
      <c r="H30" s="122">
        <f>B35*('Base values'!Y$44-'Base values'!Y$45)</f>
        <v>0</v>
      </c>
      <c r="I30" s="122">
        <f t="shared" si="0"/>
        <v>4719.811295954767</v>
      </c>
      <c r="J30" s="129">
        <f>'Base values'!C83</f>
        <v>1</v>
      </c>
      <c r="K30" s="130">
        <f t="shared" si="1"/>
        <v>0</v>
      </c>
      <c r="L30" s="127">
        <f t="shared" si="2"/>
        <v>4719.811295954767</v>
      </c>
    </row>
    <row r="31" spans="1:12" s="116" customFormat="1">
      <c r="A31" s="131">
        <f t="shared" si="4"/>
        <v>27</v>
      </c>
      <c r="B31" s="122">
        <f>'Base values'!F31-'Base values'!E31</f>
        <v>17622.728961707078</v>
      </c>
      <c r="C31" s="122">
        <f>B31*(1-'Base values'!Y$40)</f>
        <v>2355.1077964014066</v>
      </c>
      <c r="D31" s="122">
        <f>B32*('Base values'!Y$40-'Base values'!Y$41)</f>
        <v>593.82548877778731</v>
      </c>
      <c r="E31" s="122">
        <f>B33*('Base values'!Y$41-'Base values'!Y$42)</f>
        <v>228.71601890718958</v>
      </c>
      <c r="F31" s="122">
        <f>B34*('Base values'!Y$42-'Base values'!Y$43)</f>
        <v>0</v>
      </c>
      <c r="G31" s="122">
        <f>B35*('Base values'!Y$43-'Base values'!Y$44)</f>
        <v>0</v>
      </c>
      <c r="H31" s="122">
        <f>B36*('Base values'!Y$44-'Base values'!Y$45)</f>
        <v>0</v>
      </c>
      <c r="I31" s="122">
        <f t="shared" si="0"/>
        <v>3177.6493040863838</v>
      </c>
      <c r="J31" s="129">
        <f>'Base values'!C84</f>
        <v>1</v>
      </c>
      <c r="K31" s="130">
        <f t="shared" si="1"/>
        <v>0</v>
      </c>
      <c r="L31" s="127">
        <f t="shared" si="2"/>
        <v>3177.6493040863838</v>
      </c>
    </row>
    <row r="32" spans="1:12" s="116" customFormat="1">
      <c r="A32" s="131">
        <f t="shared" si="4"/>
        <v>28</v>
      </c>
      <c r="B32" s="122">
        <f>'Base values'!F32-'Base values'!E32</f>
        <v>11855.775772941659</v>
      </c>
      <c r="C32" s="122">
        <f>B32*(1-'Base values'!Y$40)</f>
        <v>1584.4101112780831</v>
      </c>
      <c r="D32" s="122">
        <f>B33*('Base values'!Y$40-'Base values'!Y$41)</f>
        <v>382.03568854290188</v>
      </c>
      <c r="E32" s="122">
        <f>B34*('Base values'!Y$41-'Base values'!Y$42)</f>
        <v>0</v>
      </c>
      <c r="F32" s="122">
        <f>B35*('Base values'!Y$42-'Base values'!Y$43)</f>
        <v>0</v>
      </c>
      <c r="G32" s="122">
        <f>B36*('Base values'!Y$43-'Base values'!Y$44)</f>
        <v>0</v>
      </c>
      <c r="H32" s="122">
        <f>B37*('Base values'!Y$44-'Base values'!Y$45)</f>
        <v>0</v>
      </c>
      <c r="I32" s="122">
        <f t="shared" si="0"/>
        <v>1966.445799820985</v>
      </c>
      <c r="J32" s="129">
        <f>'Base values'!C85</f>
        <v>1</v>
      </c>
      <c r="K32" s="130">
        <f t="shared" si="1"/>
        <v>0</v>
      </c>
      <c r="L32" s="127">
        <f t="shared" si="2"/>
        <v>1966.445799820985</v>
      </c>
    </row>
    <row r="33" spans="1:12" s="116" customFormat="1">
      <c r="A33" s="131">
        <f t="shared" si="4"/>
        <v>29</v>
      </c>
      <c r="B33" s="122">
        <f>'Base values'!F33-'Base values'!E33</f>
        <v>7627.3746180014859</v>
      </c>
      <c r="C33" s="122">
        <f>B33*(1-'Base values'!Y$40)</f>
        <v>1019.3250697983515</v>
      </c>
      <c r="D33" s="122">
        <f>B34*('Base values'!Y$40-'Base values'!Y$41)</f>
        <v>0</v>
      </c>
      <c r="E33" s="122">
        <f>B35*('Base values'!Y$41-'Base values'!Y$42)</f>
        <v>0</v>
      </c>
      <c r="F33" s="122">
        <f>B36*('Base values'!Y$42-'Base values'!Y$43)</f>
        <v>0</v>
      </c>
      <c r="G33" s="122">
        <f>B37*('Base values'!Y$43-'Base values'!Y$44)</f>
        <v>0</v>
      </c>
      <c r="H33" s="122">
        <f>B38*('Base values'!Y$44-'Base values'!Y$45)</f>
        <v>0</v>
      </c>
      <c r="I33" s="122">
        <f t="shared" si="0"/>
        <v>1019.3250697983515</v>
      </c>
      <c r="J33" s="129">
        <f>'Base values'!C86</f>
        <v>1</v>
      </c>
      <c r="K33" s="130">
        <f t="shared" si="1"/>
        <v>0</v>
      </c>
      <c r="L33" s="127">
        <f t="shared" si="2"/>
        <v>1019.3250697983515</v>
      </c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38"/>
  <sheetViews>
    <sheetView workbookViewId="0"/>
  </sheetViews>
  <sheetFormatPr defaultRowHeight="12.75"/>
  <cols>
    <col min="10" max="10" width="12.85546875" customWidth="1"/>
    <col min="11" max="11" width="11.7109375" customWidth="1"/>
    <col min="12" max="12" width="14.140625" customWidth="1"/>
  </cols>
  <sheetData>
    <row r="1" spans="1:12" ht="16.5" thickBot="1">
      <c r="A1" s="32" t="s">
        <v>31</v>
      </c>
    </row>
    <row r="2" spans="1:12">
      <c r="A2" s="78" t="s">
        <v>0</v>
      </c>
      <c r="B2" s="79"/>
      <c r="C2" s="322" t="s">
        <v>10</v>
      </c>
      <c r="D2" s="322"/>
      <c r="E2" s="322"/>
      <c r="F2" s="322"/>
      <c r="G2" s="322"/>
      <c r="H2" s="322"/>
      <c r="I2" s="79" t="s">
        <v>11</v>
      </c>
      <c r="J2" s="80" t="s">
        <v>22</v>
      </c>
      <c r="K2" s="81" t="s">
        <v>12</v>
      </c>
      <c r="L2" s="82" t="s">
        <v>12</v>
      </c>
    </row>
    <row r="3" spans="1:12">
      <c r="A3" s="83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38" t="s">
        <v>19</v>
      </c>
      <c r="L3" s="84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36">
        <f>C4*(1-J4)+D4*(1-J5)+E4*(1-J6)+F4*(1-J7)+G4*(1-J8)+H4*(1-J9)</f>
        <v>4852.8092500000002</v>
      </c>
      <c r="L4" s="86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36">
        <f t="shared" ref="K5:K33" si="1">C5*(1-J5)+D5*(1-J6)+E5*(1-J7)+F5*(1-J8)+G5*(1-J9)+H5*(1-J10)</f>
        <v>4480.6484076086954</v>
      </c>
      <c r="L5" s="86">
        <f t="shared" ref="L5:L33" si="2">I5-K5</f>
        <v>875.50109239130416</v>
      </c>
    </row>
    <row r="6" spans="1:12">
      <c r="A6" s="28">
        <f t="shared" ref="A6:A30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36">
        <f t="shared" si="1"/>
        <v>3743.7264945652164</v>
      </c>
      <c r="L6" s="86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36">
        <f t="shared" si="1"/>
        <v>3560.2627554347823</v>
      </c>
      <c r="L7" s="86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36">
        <f t="shared" si="1"/>
        <v>3665.2645489130427</v>
      </c>
      <c r="L8" s="86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36">
        <f t="shared" si="1"/>
        <v>3435.8725434782596</v>
      </c>
      <c r="L9" s="86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36">
        <f t="shared" si="1"/>
        <v>3238.908385869564</v>
      </c>
      <c r="L10" s="86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36">
        <f t="shared" si="1"/>
        <v>2961.0896086956518</v>
      </c>
      <c r="L11" s="86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36">
        <f t="shared" si="1"/>
        <v>2433.675951086956</v>
      </c>
      <c r="L12" s="86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36">
        <f t="shared" si="1"/>
        <v>1937.5311086956508</v>
      </c>
      <c r="L13" s="86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36">
        <f t="shared" si="1"/>
        <v>1428.374820652172</v>
      </c>
      <c r="L14" s="86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36">
        <f t="shared" si="1"/>
        <v>941.1757934782604</v>
      </c>
      <c r="L15" s="86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36">
        <f t="shared" si="1"/>
        <v>581.92063586956579</v>
      </c>
      <c r="L16" s="86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36">
        <f t="shared" si="1"/>
        <v>279.47320652173971</v>
      </c>
      <c r="L17" s="86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36">
        <f t="shared" si="1"/>
        <v>67.019956521739417</v>
      </c>
      <c r="L18" s="86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36">
        <f t="shared" si="1"/>
        <v>0</v>
      </c>
      <c r="L19" s="86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36">
        <f t="shared" si="1"/>
        <v>0</v>
      </c>
      <c r="L20" s="86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36">
        <f t="shared" si="1"/>
        <v>0</v>
      </c>
      <c r="L21" s="86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36">
        <f t="shared" si="1"/>
        <v>0</v>
      </c>
      <c r="L22" s="86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36">
        <f t="shared" si="1"/>
        <v>0</v>
      </c>
      <c r="L23" s="86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36">
        <f t="shared" si="1"/>
        <v>0</v>
      </c>
      <c r="L24" s="86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36">
        <f t="shared" si="1"/>
        <v>0</v>
      </c>
      <c r="L25" s="86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36">
        <f t="shared" si="1"/>
        <v>0</v>
      </c>
      <c r="L26" s="86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6">
        <f t="shared" si="1"/>
        <v>0</v>
      </c>
      <c r="L27" s="127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6">
        <f t="shared" si="1"/>
        <v>0</v>
      </c>
      <c r="L28" s="127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6">
        <f t="shared" si="1"/>
        <v>0</v>
      </c>
      <c r="L29" s="127">
        <f t="shared" si="2"/>
        <v>5014.1195000000007</v>
      </c>
    </row>
    <row r="30" spans="1:12" s="116" customFormat="1">
      <c r="A30" s="121">
        <f t="shared" si="3"/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6">
        <f t="shared" si="1"/>
        <v>0</v>
      </c>
      <c r="L30" s="127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6">
        <f t="shared" si="1"/>
        <v>0</v>
      </c>
      <c r="L31" s="127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6">
        <f t="shared" si="1"/>
        <v>0</v>
      </c>
      <c r="L32" s="127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6">
        <f t="shared" si="1"/>
        <v>0</v>
      </c>
      <c r="L33" s="127">
        <f t="shared" si="2"/>
        <v>482.03199999999987</v>
      </c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33"/>
  <sheetViews>
    <sheetView workbookViewId="0">
      <selection activeCell="A40" sqref="A40"/>
    </sheetView>
  </sheetViews>
  <sheetFormatPr defaultRowHeight="12.75"/>
  <cols>
    <col min="1" max="1" width="17.7109375" customWidth="1"/>
    <col min="2" max="11" width="10.7109375" customWidth="1"/>
    <col min="12" max="12" width="11.85546875" customWidth="1"/>
    <col min="13" max="13" width="10.7109375" customWidth="1"/>
    <col min="14" max="14" width="12.5703125" customWidth="1"/>
    <col min="15" max="15" width="12.85546875" style="46" customWidth="1"/>
    <col min="16" max="16" width="14.28515625" customWidth="1"/>
    <col min="17" max="17" width="12.5703125" customWidth="1"/>
    <col min="18" max="18" width="14.140625" customWidth="1"/>
    <col min="19" max="24" width="14.7109375" customWidth="1"/>
    <col min="28" max="28" width="11.85546875" customWidth="1"/>
    <col min="29" max="29" width="12.140625" customWidth="1"/>
  </cols>
  <sheetData>
    <row r="1" spans="1:32" ht="13.5" thickBot="1">
      <c r="O1" s="135" t="s">
        <v>51</v>
      </c>
      <c r="P1" s="135"/>
      <c r="Q1" s="135" t="s">
        <v>52</v>
      </c>
      <c r="R1" s="135"/>
      <c r="S1" s="135" t="s">
        <v>53</v>
      </c>
      <c r="T1" s="135"/>
      <c r="U1" s="135" t="s">
        <v>54</v>
      </c>
      <c r="V1" s="135"/>
      <c r="W1" s="135" t="s">
        <v>55</v>
      </c>
      <c r="X1" s="135"/>
      <c r="Y1" s="136"/>
      <c r="Z1" s="94"/>
      <c r="AA1" s="95"/>
      <c r="AB1" s="95"/>
      <c r="AC1" s="95"/>
      <c r="AD1" s="95"/>
      <c r="AE1" s="95"/>
      <c r="AF1" s="55"/>
    </row>
    <row r="2" spans="1:32" ht="12.75" customHeight="1">
      <c r="A2" s="47" t="str">
        <f>'HIV Neg U5MR 50'!A2</f>
        <v>Year before survey</v>
      </c>
      <c r="B2" s="314" t="s">
        <v>13</v>
      </c>
      <c r="C2" s="314"/>
      <c r="D2" s="314"/>
      <c r="E2" s="315" t="s">
        <v>16</v>
      </c>
      <c r="F2" s="315"/>
      <c r="G2" s="315"/>
      <c r="H2" s="316" t="s">
        <v>17</v>
      </c>
      <c r="I2" s="316"/>
      <c r="J2" s="316"/>
      <c r="K2" s="317" t="s">
        <v>9</v>
      </c>
      <c r="L2" s="317"/>
      <c r="M2" s="320" t="s">
        <v>21</v>
      </c>
      <c r="N2" s="321"/>
      <c r="O2" s="318" t="s">
        <v>56</v>
      </c>
      <c r="P2" s="312" t="s">
        <v>33</v>
      </c>
      <c r="Q2" s="308" t="s">
        <v>56</v>
      </c>
      <c r="R2" s="310" t="s">
        <v>33</v>
      </c>
      <c r="S2" s="308" t="s">
        <v>56</v>
      </c>
      <c r="T2" s="310" t="s">
        <v>33</v>
      </c>
      <c r="U2" s="308" t="s">
        <v>56</v>
      </c>
      <c r="V2" s="310" t="s">
        <v>33</v>
      </c>
      <c r="W2" s="308" t="s">
        <v>56</v>
      </c>
      <c r="X2" s="310" t="s">
        <v>33</v>
      </c>
      <c r="Y2" s="136"/>
      <c r="Z2" s="137" t="s">
        <v>60</v>
      </c>
      <c r="AA2" s="138"/>
      <c r="AB2" s="138"/>
      <c r="AC2" s="302" t="s">
        <v>58</v>
      </c>
      <c r="AD2" s="304" t="s">
        <v>59</v>
      </c>
      <c r="AE2" s="306" t="s">
        <v>44</v>
      </c>
    </row>
    <row r="3" spans="1:32" s="55" customFormat="1" ht="28.5" customHeight="1" thickBot="1">
      <c r="A3" s="53"/>
      <c r="B3" s="56" t="s">
        <v>9</v>
      </c>
      <c r="C3" s="56" t="s">
        <v>14</v>
      </c>
      <c r="D3" s="56" t="s">
        <v>34</v>
      </c>
      <c r="E3" s="49" t="s">
        <v>9</v>
      </c>
      <c r="F3" s="49" t="s">
        <v>14</v>
      </c>
      <c r="G3" s="49" t="s">
        <v>34</v>
      </c>
      <c r="H3" s="50" t="s">
        <v>9</v>
      </c>
      <c r="I3" s="50" t="s">
        <v>14</v>
      </c>
      <c r="J3" s="50" t="s">
        <v>34</v>
      </c>
      <c r="K3" s="52" t="s">
        <v>19</v>
      </c>
      <c r="L3" s="52" t="s">
        <v>20</v>
      </c>
      <c r="M3" s="51" t="s">
        <v>19</v>
      </c>
      <c r="N3" s="102" t="s">
        <v>20</v>
      </c>
      <c r="O3" s="319"/>
      <c r="P3" s="313"/>
      <c r="Q3" s="309"/>
      <c r="R3" s="311"/>
      <c r="S3" s="309"/>
      <c r="T3" s="311"/>
      <c r="U3" s="309"/>
      <c r="V3" s="311"/>
      <c r="W3" s="309"/>
      <c r="X3" s="311"/>
      <c r="Y3" s="139"/>
      <c r="Z3" s="140" t="s">
        <v>43</v>
      </c>
      <c r="AA3" s="141" t="s">
        <v>50</v>
      </c>
      <c r="AB3" s="142" t="s">
        <v>57</v>
      </c>
      <c r="AC3" s="303"/>
      <c r="AD3" s="305"/>
      <c r="AE3" s="307"/>
      <c r="AF3"/>
    </row>
    <row r="4" spans="1:32">
      <c r="A4" s="48">
        <f>'HIV Neg U5MR 50'!A4</f>
        <v>0</v>
      </c>
      <c r="B4" s="9">
        <f>'HIV Neg U5MR 50'!B4</f>
        <v>1269013.013309208</v>
      </c>
      <c r="C4" s="9">
        <f>'HIV Neg U5MR 250'!I4</f>
        <v>314635.28618393245</v>
      </c>
      <c r="D4" s="5">
        <v>0</v>
      </c>
      <c r="E4" s="9">
        <f>'HIV Pos Neg U5MR 50'!B4</f>
        <v>88597.986690792124</v>
      </c>
      <c r="F4" s="9">
        <f>'HIV Pos Neg U5MR 250'!I4</f>
        <v>21810.134418457055</v>
      </c>
      <c r="G4" s="10">
        <f>'Base values'!C57</f>
        <v>0</v>
      </c>
      <c r="H4" s="9">
        <f>'HIV Pos Pos U5MR 50'!B4</f>
        <v>7809</v>
      </c>
      <c r="I4" s="9">
        <f>'HIV Pos Pos U5MR 250'!I4</f>
        <v>5314.7365</v>
      </c>
      <c r="J4" s="10">
        <f>'Base values'!C57</f>
        <v>0</v>
      </c>
      <c r="K4" s="9">
        <f>B4*(1-D4) + E4*(1-G4) + H4*(1-J4)</f>
        <v>1365420</v>
      </c>
      <c r="L4" s="9">
        <f>E4*G4+H4*J4</f>
        <v>0</v>
      </c>
      <c r="M4" s="9">
        <f>C4+'HIV Pos Neg U5MR 250'!K4+'HIV Pos Pos U5MR 250'!K4</f>
        <v>339796.93145077716</v>
      </c>
      <c r="N4" s="57">
        <f>'HIV Pos Neg U5MR 250'!L4+'HIV Pos Pos U5MR 250'!L4</f>
        <v>1963.2256516123553</v>
      </c>
      <c r="O4" s="143" t="str">
        <f>$A4&amp;"-"&amp;$A4+4</f>
        <v>0-4</v>
      </c>
      <c r="P4" s="181">
        <f t="shared" ref="P4:P24" si="0">(SUM(M4:M8)/SUM(K4:K8))/(SUM(M4:N8)/SUM(K4:L8))</f>
        <v>0.99045213730466408</v>
      </c>
      <c r="Q4" s="143" t="str">
        <f>$A4&amp;"-"&amp;$A4+3</f>
        <v>0-3</v>
      </c>
      <c r="R4" s="162">
        <f t="shared" ref="R4:R25" si="1">(SUM(M4:M7)/SUM(K4:K7))/(SUM(M4:N7)/SUM(K4:L7))</f>
        <v>0.99156757525782246</v>
      </c>
      <c r="S4" s="143" t="str">
        <f>$A4&amp;"-"&amp;$A4+2</f>
        <v>0-2</v>
      </c>
      <c r="T4" s="162">
        <f t="shared" ref="T4:T26" si="2">(SUM(M4:M6)/SUM(K4:K6))/(SUM(M4:N6)/SUM(K4:L6))</f>
        <v>0.99253789036299844</v>
      </c>
      <c r="U4" s="143" t="str">
        <f>$A4&amp;"-"&amp;$A4+1</f>
        <v>0-1</v>
      </c>
      <c r="V4" s="162">
        <f t="shared" ref="V4:V27" si="3">(SUM(M4:M5)/SUM(K4:K5))/(SUM(M4:N5)/SUM(K4:L5))</f>
        <v>0.99336008651905461</v>
      </c>
      <c r="W4" s="143">
        <f>$A4</f>
        <v>0</v>
      </c>
      <c r="X4" s="144">
        <f>(SUM(M4:M4)/SUM(K4:K4))/(SUM(M4:N4)/SUM(K4:L4))</f>
        <v>0.99425554556078888</v>
      </c>
      <c r="Y4" s="145"/>
      <c r="Z4" s="163" t="str">
        <f>'output Corrected U5MR'!D2</f>
        <v>2013-2013</v>
      </c>
      <c r="AA4" s="164">
        <f>'output Corrected U5MR'!E2</f>
        <v>2013.5</v>
      </c>
      <c r="AB4" s="164">
        <f>'output Corrected U5MR'!L2</f>
        <v>49.39</v>
      </c>
      <c r="AC4" s="165">
        <f t="shared" ref="AC4:AC26" si="4">RIGHT(Z4,4)-LEFT(Z4,4)+1</f>
        <v>1</v>
      </c>
      <c r="AD4" s="166">
        <v>0</v>
      </c>
      <c r="AE4" s="167">
        <f t="shared" ref="AE4:AE26" ca="1" si="5">OFFSET($P$4,AD4,2*(5-AC4))</f>
        <v>0.99425554556078888</v>
      </c>
    </row>
    <row r="5" spans="1:32">
      <c r="A5" s="48">
        <f>'HIV Neg U5MR 50'!A5</f>
        <v>1</v>
      </c>
      <c r="B5" s="9">
        <f>'HIV Neg U5MR 50'!B5</f>
        <v>1259889.6569743706</v>
      </c>
      <c r="C5" s="9">
        <f>'HIV Neg U5MR 250'!I5</f>
        <v>311961.49373038264</v>
      </c>
      <c r="D5" s="5">
        <v>0</v>
      </c>
      <c r="E5" s="9">
        <f>'HIV Pos Neg U5MR 50'!B5</f>
        <v>86411.343025629394</v>
      </c>
      <c r="F5" s="9">
        <f>'HIV Pos Neg U5MR 250'!I5</f>
        <v>21438.756574652682</v>
      </c>
      <c r="G5" s="10">
        <f>'Base values'!C58</f>
        <v>5.4347826086956513E-2</v>
      </c>
      <c r="H5" s="9">
        <f>'HIV Pos Pos U5MR 50'!B5</f>
        <v>9229</v>
      </c>
      <c r="I5" s="9">
        <f>'HIV Pos Pos U5MR 250'!I5</f>
        <v>5356.1494999999995</v>
      </c>
      <c r="J5" s="10">
        <f>'Base values'!C58</f>
        <v>5.4347826086956513E-2</v>
      </c>
      <c r="K5" s="9">
        <f t="shared" ref="K5:K26" si="6">B5*(1-D5) + E5*(1-G5) + H5*(1-J5)</f>
        <v>1350332.1552703462</v>
      </c>
      <c r="L5" s="9">
        <f t="shared" ref="L5:L26" si="7">E5*G5+H5*J5</f>
        <v>5197.8447296537706</v>
      </c>
      <c r="M5" s="9">
        <f>C5+'HIV Pos Neg U5MR 250'!K5+'HIV Pos Pos U5MR 250'!K5</f>
        <v>334909.69197963132</v>
      </c>
      <c r="N5" s="57">
        <f>'HIV Pos Neg U5MR 250'!L5+'HIV Pos Pos U5MR 250'!L5</f>
        <v>3846.7078254039852</v>
      </c>
      <c r="O5" s="151" t="str">
        <f t="shared" ref="O5:O24" si="8">A5&amp;"-"&amp;A5+4</f>
        <v>1-5</v>
      </c>
      <c r="P5" s="179">
        <f t="shared" si="0"/>
        <v>0.98820221481230575</v>
      </c>
      <c r="Q5" s="151" t="str">
        <f t="shared" ref="Q5:Q25" si="9">$A5&amp;"-"&amp;$A5+3</f>
        <v>1-4</v>
      </c>
      <c r="R5" s="161">
        <f t="shared" si="1"/>
        <v>0.9894608404999633</v>
      </c>
      <c r="S5" s="151" t="str">
        <f t="shared" ref="S5:S26" si="10">$A5&amp;"-"&amp;$A5+2</f>
        <v>1-3</v>
      </c>
      <c r="T5" s="161">
        <f t="shared" si="2"/>
        <v>0.99064067405804646</v>
      </c>
      <c r="U5" s="151" t="str">
        <f t="shared" ref="U5:U27" si="11">$A5&amp;"-"&amp;$A5+1</f>
        <v>1-2</v>
      </c>
      <c r="V5" s="161">
        <f t="shared" si="3"/>
        <v>0.99165645450952067</v>
      </c>
      <c r="W5" s="151">
        <f t="shared" ref="W5:W28" si="12">$A5</f>
        <v>1</v>
      </c>
      <c r="X5" s="152">
        <f t="shared" ref="X5:X28" si="13">(SUM(M5:M5)/SUM(K5:K5))/(SUM(M5:N5)/SUM(K5:L5))</f>
        <v>0.99245021738172701</v>
      </c>
      <c r="Y5" s="145"/>
      <c r="Z5" s="146" t="str">
        <f>'output Corrected U5MR'!D3</f>
        <v>2012-2012</v>
      </c>
      <c r="AA5" s="147">
        <f>'output Corrected U5MR'!E3</f>
        <v>2012.5</v>
      </c>
      <c r="AB5" s="147">
        <f>'output Corrected U5MR'!L3</f>
        <v>51.73</v>
      </c>
      <c r="AC5" s="148">
        <f t="shared" si="4"/>
        <v>1</v>
      </c>
      <c r="AD5" s="153">
        <f>AC4</f>
        <v>1</v>
      </c>
      <c r="AE5" s="150">
        <f t="shared" ca="1" si="5"/>
        <v>0.99245021738172701</v>
      </c>
    </row>
    <row r="6" spans="1:32">
      <c r="A6" s="48">
        <f>'HIV Neg U5MR 50'!A6</f>
        <v>2</v>
      </c>
      <c r="B6" s="9">
        <f>'HIV Neg U5MR 50'!B6</f>
        <v>1248874.5119299444</v>
      </c>
      <c r="C6" s="9">
        <f>'HIV Neg U5MR 250'!I6</f>
        <v>308875.40364097967</v>
      </c>
      <c r="D6" s="5">
        <v>0</v>
      </c>
      <c r="E6" s="9">
        <f>'HIV Pos Neg U5MR 50'!B6</f>
        <v>86144.488070055653</v>
      </c>
      <c r="F6" s="9">
        <f>'HIV Pos Neg U5MR 250'!I6</f>
        <v>21253.463470630326</v>
      </c>
      <c r="G6" s="10">
        <f>'Base values'!C59</f>
        <v>0.13043478260869565</v>
      </c>
      <c r="H6" s="9">
        <f>'HIV Pos Pos U5MR 50'!B6</f>
        <v>8311</v>
      </c>
      <c r="I6" s="9">
        <f>'HIV Pos Pos U5MR 250'!I6</f>
        <v>5139.5275000000011</v>
      </c>
      <c r="J6" s="10">
        <f>'Base values'!C59</f>
        <v>0.13043478260869565</v>
      </c>
      <c r="K6" s="9">
        <f t="shared" si="6"/>
        <v>1331009.718947384</v>
      </c>
      <c r="L6" s="9">
        <f t="shared" si="7"/>
        <v>12320.281052615956</v>
      </c>
      <c r="M6" s="9">
        <f>C6+'HIV Pos Neg U5MR 250'!K6+'HIV Pos Pos U5MR 250'!K6</f>
        <v>329152.79797743418</v>
      </c>
      <c r="N6" s="57">
        <f>'HIV Pos Neg U5MR 250'!L6+'HIV Pos Pos U5MR 250'!L6</f>
        <v>6115.5966341758085</v>
      </c>
      <c r="O6" s="151" t="str">
        <f t="shared" si="8"/>
        <v>2-6</v>
      </c>
      <c r="P6" s="179">
        <f t="shared" si="0"/>
        <v>0.98546377467610935</v>
      </c>
      <c r="Q6" s="151" t="str">
        <f t="shared" si="9"/>
        <v>2-5</v>
      </c>
      <c r="R6" s="161">
        <f t="shared" si="1"/>
        <v>0.98709412658967555</v>
      </c>
      <c r="S6" s="151" t="str">
        <f t="shared" si="10"/>
        <v>2-4</v>
      </c>
      <c r="T6" s="161">
        <f t="shared" si="2"/>
        <v>0.98843027997281496</v>
      </c>
      <c r="U6" s="151" t="str">
        <f t="shared" si="11"/>
        <v>2-3</v>
      </c>
      <c r="V6" s="161">
        <f t="shared" si="3"/>
        <v>0.9897116410190081</v>
      </c>
      <c r="W6" s="151">
        <f t="shared" si="12"/>
        <v>2</v>
      </c>
      <c r="X6" s="152">
        <f t="shared" si="13"/>
        <v>0.99084659979084788</v>
      </c>
      <c r="Y6" s="145"/>
      <c r="Z6" s="146" t="str">
        <f>'output Corrected U5MR'!D4</f>
        <v>2011-2011</v>
      </c>
      <c r="AA6" s="147">
        <f>'output Corrected U5MR'!E4</f>
        <v>2011.5</v>
      </c>
      <c r="AB6" s="147">
        <f>'output Corrected U5MR'!L4</f>
        <v>50.43</v>
      </c>
      <c r="AC6" s="148">
        <f t="shared" si="4"/>
        <v>1</v>
      </c>
      <c r="AD6" s="153">
        <f t="shared" ref="AD6:AD26" si="14">AD5+AC5</f>
        <v>2</v>
      </c>
      <c r="AE6" s="150">
        <f t="shared" ca="1" si="5"/>
        <v>0.99084659979084788</v>
      </c>
    </row>
    <row r="7" spans="1:32">
      <c r="A7" s="48">
        <f>'HIV Neg U5MR 50'!A7</f>
        <v>3</v>
      </c>
      <c r="B7" s="9">
        <f>'HIV Neg U5MR 50'!B7</f>
        <v>1237689.3921640057</v>
      </c>
      <c r="C7" s="9">
        <f>'HIV Neg U5MR 250'!I7</f>
        <v>305521.86089931487</v>
      </c>
      <c r="D7" s="5">
        <v>0</v>
      </c>
      <c r="E7" s="9">
        <f>'HIV Pos Neg U5MR 50'!B7</f>
        <v>86776.60783599432</v>
      </c>
      <c r="F7" s="9">
        <f>'HIV Pos Neg U5MR 250'!I7</f>
        <v>21048.755905451402</v>
      </c>
      <c r="G7" s="10">
        <f>'Base values'!C60</f>
        <v>0.21739130434782611</v>
      </c>
      <c r="H7" s="9">
        <f>'HIV Pos Pos U5MR 50'!B7</f>
        <v>6494</v>
      </c>
      <c r="I7" s="9">
        <f>'HIV Pos Pos U5MR 250'!I7</f>
        <v>5759.8829999999998</v>
      </c>
      <c r="J7" s="10">
        <f>'Base values'!C60</f>
        <v>0.21739130434782611</v>
      </c>
      <c r="K7" s="9">
        <f t="shared" si="6"/>
        <v>1310683.7809052186</v>
      </c>
      <c r="L7" s="9">
        <f t="shared" si="7"/>
        <v>20276.219094781376</v>
      </c>
      <c r="M7" s="9">
        <f>C7+'HIV Pos Neg U5MR 250'!K7+'HIV Pos Pos U5MR 250'!K7</f>
        <v>323524.06047685025</v>
      </c>
      <c r="N7" s="57">
        <f>'HIV Pos Neg U5MR 250'!L7+'HIV Pos Pos U5MR 250'!L7</f>
        <v>8806.4393279160286</v>
      </c>
      <c r="O7" s="151" t="str">
        <f t="shared" si="8"/>
        <v>3-7</v>
      </c>
      <c r="P7" s="179">
        <f t="shared" si="0"/>
        <v>0.98211830410767786</v>
      </c>
      <c r="Q7" s="151" t="str">
        <f t="shared" si="9"/>
        <v>3-6</v>
      </c>
      <c r="R7" s="161">
        <f t="shared" si="1"/>
        <v>0.98406499360306499</v>
      </c>
      <c r="S7" s="151" t="str">
        <f t="shared" si="10"/>
        <v>3-5</v>
      </c>
      <c r="T7" s="161">
        <f t="shared" si="2"/>
        <v>0.98580391619867169</v>
      </c>
      <c r="U7" s="151" t="str">
        <f t="shared" si="11"/>
        <v>3-4</v>
      </c>
      <c r="V7" s="161">
        <f t="shared" si="3"/>
        <v>0.98719584679405104</v>
      </c>
      <c r="W7" s="151">
        <f t="shared" si="12"/>
        <v>3</v>
      </c>
      <c r="X7" s="152">
        <f t="shared" si="13"/>
        <v>0.98856097566467549</v>
      </c>
      <c r="Y7" s="145"/>
      <c r="Z7" s="146" t="str">
        <f>'output Corrected U5MR'!D5</f>
        <v>2010-2010</v>
      </c>
      <c r="AA7" s="147">
        <f>'output Corrected U5MR'!E5</f>
        <v>2010.5</v>
      </c>
      <c r="AB7" s="147">
        <f>'output Corrected U5MR'!L5</f>
        <v>50.57</v>
      </c>
      <c r="AC7" s="148">
        <f t="shared" si="4"/>
        <v>1</v>
      </c>
      <c r="AD7" s="153">
        <f t="shared" si="14"/>
        <v>3</v>
      </c>
      <c r="AE7" s="150">
        <f t="shared" ca="1" si="5"/>
        <v>0.98856097566467549</v>
      </c>
    </row>
    <row r="8" spans="1:32">
      <c r="A8" s="48">
        <f>'HIV Neg U5MR 50'!A8</f>
        <v>4</v>
      </c>
      <c r="B8" s="9">
        <f>'HIV Neg U5MR 50'!B8</f>
        <v>1224748.5911279062</v>
      </c>
      <c r="C8" s="9">
        <f>'HIV Neg U5MR 250'!I8</f>
        <v>301623.5041846144</v>
      </c>
      <c r="D8" s="5">
        <v>0</v>
      </c>
      <c r="E8" s="9">
        <f>'HIV Pos Neg U5MR 50'!B8</f>
        <v>83583.408872093714</v>
      </c>
      <c r="F8" s="9">
        <f>'HIV Pos Neg U5MR 250'!I8</f>
        <v>20420.755060020379</v>
      </c>
      <c r="G8" s="10">
        <f>'Base values'!C61</f>
        <v>0.31521739130434784</v>
      </c>
      <c r="H8" s="9">
        <f>'HIV Pos Pos U5MR 50'!B8</f>
        <v>8918</v>
      </c>
      <c r="I8" s="9">
        <f>'HIV Pos Pos U5MR 250'!I8</f>
        <v>7029.9970000000012</v>
      </c>
      <c r="J8" s="10">
        <f>'Base values'!C61</f>
        <v>0.31521739130434784</v>
      </c>
      <c r="K8" s="9">
        <f t="shared" si="6"/>
        <v>1288091.9472033617</v>
      </c>
      <c r="L8" s="9">
        <f t="shared" si="7"/>
        <v>29158.052796638236</v>
      </c>
      <c r="M8" s="9">
        <f>C8+'HIV Pos Neg U5MR 250'!K8+'HIV Pos Pos U5MR 250'!K8</f>
        <v>317223.57741834549</v>
      </c>
      <c r="N8" s="57">
        <f>'HIV Pos Neg U5MR 250'!L8+'HIV Pos Pos U5MR 250'!L8</f>
        <v>11850.678826289321</v>
      </c>
      <c r="O8" s="151" t="str">
        <f t="shared" si="8"/>
        <v>4-8</v>
      </c>
      <c r="P8" s="179">
        <f t="shared" si="0"/>
        <v>0.97809558447771205</v>
      </c>
      <c r="Q8" s="151" t="str">
        <f t="shared" si="9"/>
        <v>4-7</v>
      </c>
      <c r="R8" s="161">
        <f t="shared" si="1"/>
        <v>0.98044001703419947</v>
      </c>
      <c r="S8" s="151" t="str">
        <f t="shared" si="10"/>
        <v>4-6</v>
      </c>
      <c r="T8" s="161">
        <f t="shared" si="2"/>
        <v>0.98251541306652912</v>
      </c>
      <c r="U8" s="151" t="str">
        <f t="shared" si="11"/>
        <v>4-5</v>
      </c>
      <c r="V8" s="161">
        <f t="shared" si="3"/>
        <v>0.98438909640072725</v>
      </c>
      <c r="W8" s="151">
        <f t="shared" si="12"/>
        <v>4</v>
      </c>
      <c r="X8" s="152">
        <f t="shared" si="13"/>
        <v>0.9858092574455517</v>
      </c>
      <c r="Y8" s="145"/>
      <c r="Z8" s="146" t="str">
        <f>'output Corrected U5MR'!D6</f>
        <v>2009-2009</v>
      </c>
      <c r="AA8" s="147">
        <f>'output Corrected U5MR'!E6</f>
        <v>2009.5</v>
      </c>
      <c r="AB8" s="147">
        <f>'output Corrected U5MR'!L6</f>
        <v>53.22</v>
      </c>
      <c r="AC8" s="148">
        <f t="shared" si="4"/>
        <v>1</v>
      </c>
      <c r="AD8" s="153">
        <f t="shared" si="14"/>
        <v>4</v>
      </c>
      <c r="AE8" s="150">
        <f t="shared" ca="1" si="5"/>
        <v>0.9858092574455517</v>
      </c>
    </row>
    <row r="9" spans="1:32">
      <c r="A9" s="48">
        <f>'HIV Neg U5MR 50'!A9</f>
        <v>5</v>
      </c>
      <c r="B9" s="9">
        <f>'HIV Neg U5MR 50'!B9</f>
        <v>1210852.8730926085</v>
      </c>
      <c r="C9" s="9">
        <f>'HIV Neg U5MR 250'!I9</f>
        <v>297160.58933070896</v>
      </c>
      <c r="D9" s="5">
        <v>0</v>
      </c>
      <c r="E9" s="9">
        <f>'HIV Pos Neg U5MR 50'!B9</f>
        <v>81434.126907391517</v>
      </c>
      <c r="F9" s="9">
        <f>'HIV Pos Neg U5MR 250'!I9</f>
        <v>19974.9930072389</v>
      </c>
      <c r="G9" s="10">
        <f>'Base values'!C62</f>
        <v>0.42391304347826092</v>
      </c>
      <c r="H9" s="9">
        <f>'HIV Pos Pos U5MR 50'!B9</f>
        <v>10663</v>
      </c>
      <c r="I9" s="9">
        <f>'HIV Pos Pos U5MR 250'!I9</f>
        <v>8185.5479999999989</v>
      </c>
      <c r="J9" s="10">
        <f>'Base values'!C62</f>
        <v>0.42391304347826092</v>
      </c>
      <c r="K9" s="9">
        <f t="shared" si="6"/>
        <v>1263908.8266370841</v>
      </c>
      <c r="L9" s="9">
        <f t="shared" si="7"/>
        <v>39041.173362915972</v>
      </c>
      <c r="M9" s="9">
        <f>C9+'HIV Pos Neg U5MR 250'!K9+'HIV Pos Pos U5MR 250'!K9</f>
        <v>310189.23467244575</v>
      </c>
      <c r="N9" s="57">
        <f>'HIV Pos Neg U5MR 250'!L9+'HIV Pos Pos U5MR 250'!L9</f>
        <v>15131.895665502097</v>
      </c>
      <c r="O9" s="151" t="str">
        <f t="shared" si="8"/>
        <v>5-9</v>
      </c>
      <c r="P9" s="179">
        <f t="shared" si="0"/>
        <v>0.97357431362061608</v>
      </c>
      <c r="Q9" s="151" t="str">
        <f t="shared" si="9"/>
        <v>5-8</v>
      </c>
      <c r="R9" s="161">
        <f t="shared" si="1"/>
        <v>0.97608347690033814</v>
      </c>
      <c r="S9" s="151" t="str">
        <f t="shared" si="10"/>
        <v>5-7</v>
      </c>
      <c r="T9" s="161">
        <f t="shared" si="2"/>
        <v>0.97858769556686886</v>
      </c>
      <c r="U9" s="151" t="str">
        <f t="shared" si="11"/>
        <v>5-6</v>
      </c>
      <c r="V9" s="161">
        <f t="shared" si="3"/>
        <v>0.98082363539754214</v>
      </c>
      <c r="W9" s="151">
        <f t="shared" si="12"/>
        <v>5</v>
      </c>
      <c r="X9" s="152">
        <f t="shared" si="13"/>
        <v>0.98293874016020966</v>
      </c>
      <c r="Y9" s="145"/>
      <c r="Z9" s="146" t="str">
        <f>'output Corrected U5MR'!D7</f>
        <v>2008-2008</v>
      </c>
      <c r="AA9" s="147">
        <f>'output Corrected U5MR'!E7</f>
        <v>2008.5</v>
      </c>
      <c r="AB9" s="147">
        <f>'output Corrected U5MR'!L7</f>
        <v>65.709999999999994</v>
      </c>
      <c r="AC9" s="148">
        <f t="shared" si="4"/>
        <v>1</v>
      </c>
      <c r="AD9" s="153">
        <f t="shared" si="14"/>
        <v>5</v>
      </c>
      <c r="AE9" s="150">
        <f t="shared" ca="1" si="5"/>
        <v>0.98293874016020966</v>
      </c>
    </row>
    <row r="10" spans="1:32">
      <c r="A10" s="48">
        <f>'HIV Neg U5MR 50'!A10</f>
        <v>6</v>
      </c>
      <c r="B10" s="9">
        <f>'HIV Neg U5MR 50'!B10</f>
        <v>1189638.5977297928</v>
      </c>
      <c r="C10" s="9">
        <f>'HIV Neg U5MR 250'!I10</f>
        <v>291594.06857591128</v>
      </c>
      <c r="D10" s="5">
        <v>0</v>
      </c>
      <c r="E10" s="9">
        <f>'HIV Pos Neg U5MR 50'!B10</f>
        <v>80142.40227020724</v>
      </c>
      <c r="F10" s="9">
        <f>'HIV Pos Neg U5MR 250'!I10</f>
        <v>19674.518051181924</v>
      </c>
      <c r="G10" s="10">
        <f>'Base values'!C63</f>
        <v>0.53260869565217406</v>
      </c>
      <c r="H10" s="9">
        <f>'HIV Pos Pos U5MR 50'!B10</f>
        <v>11419</v>
      </c>
      <c r="I10" s="9">
        <f>'HIV Pos Pos U5MR 250'!I10</f>
        <v>9856.8670000000002</v>
      </c>
      <c r="J10" s="10">
        <f>'Base values'!C63</f>
        <v>0.53260869565217406</v>
      </c>
      <c r="K10" s="9">
        <f t="shared" si="6"/>
        <v>1232433.6009647811</v>
      </c>
      <c r="L10" s="9">
        <f t="shared" si="7"/>
        <v>48766.399035219089</v>
      </c>
      <c r="M10" s="9">
        <f>C10+'HIV Pos Neg U5MR 250'!K10+'HIV Pos Pos U5MR 250'!K10</f>
        <v>302316.28448637971</v>
      </c>
      <c r="N10" s="57">
        <f>'HIV Pos Neg U5MR 250'!L10+'HIV Pos Pos U5MR 250'!L10</f>
        <v>18809.169140713515</v>
      </c>
      <c r="O10" s="151" t="str">
        <f t="shared" si="8"/>
        <v>6-10</v>
      </c>
      <c r="P10" s="179">
        <f t="shared" si="0"/>
        <v>0.96854253483042652</v>
      </c>
      <c r="Q10" s="151" t="str">
        <f t="shared" si="9"/>
        <v>6-9</v>
      </c>
      <c r="R10" s="161">
        <f t="shared" si="1"/>
        <v>0.97113772224329264</v>
      </c>
      <c r="S10" s="151" t="str">
        <f t="shared" si="10"/>
        <v>6-8</v>
      </c>
      <c r="T10" s="161">
        <f t="shared" si="2"/>
        <v>0.97372593002827834</v>
      </c>
      <c r="U10" s="151" t="str">
        <f t="shared" si="11"/>
        <v>6-7</v>
      </c>
      <c r="V10" s="161">
        <f t="shared" si="3"/>
        <v>0.97636289098754026</v>
      </c>
      <c r="W10" s="151">
        <f t="shared" si="12"/>
        <v>6</v>
      </c>
      <c r="X10" s="152">
        <f t="shared" si="13"/>
        <v>0.97867886636812562</v>
      </c>
      <c r="Y10" s="145"/>
      <c r="Z10" s="146" t="str">
        <f>'output Corrected U5MR'!D8</f>
        <v>-</v>
      </c>
      <c r="AA10" s="147">
        <f>'output Corrected U5MR'!E8</f>
        <v>0</v>
      </c>
      <c r="AB10" s="147">
        <f>'output Corrected U5MR'!L8</f>
        <v>0</v>
      </c>
      <c r="AC10" s="148" t="e">
        <f t="shared" si="4"/>
        <v>#VALUE!</v>
      </c>
      <c r="AD10" s="153">
        <f t="shared" si="14"/>
        <v>6</v>
      </c>
      <c r="AE10" s="150" t="e">
        <f t="shared" ca="1" si="5"/>
        <v>#VALUE!</v>
      </c>
    </row>
    <row r="11" spans="1:32">
      <c r="A11" s="48">
        <f>'HIV Neg U5MR 50'!A11</f>
        <v>7</v>
      </c>
      <c r="B11" s="9">
        <f>'HIV Neg U5MR 50'!B11</f>
        <v>1167750.9570162341</v>
      </c>
      <c r="C11" s="9">
        <f>'HIV Neg U5MR 250'!I11</f>
        <v>285724.82896519103</v>
      </c>
      <c r="D11" s="5">
        <v>0</v>
      </c>
      <c r="E11" s="9">
        <f>'HIV Pos Neg U5MR 50'!B11</f>
        <v>76436.042983765918</v>
      </c>
      <c r="F11" s="9">
        <f>'HIV Pos Neg U5MR 250'!I11</f>
        <v>19294.430045324436</v>
      </c>
      <c r="G11" s="10">
        <f>'Base values'!C64</f>
        <v>0.63043478260869579</v>
      </c>
      <c r="H11" s="9">
        <f>'HIV Pos Pos U5MR 50'!B11</f>
        <v>15633</v>
      </c>
      <c r="I11" s="9">
        <f>'HIV Pos Pos U5MR 250'!I11</f>
        <v>11703.877</v>
      </c>
      <c r="J11" s="10">
        <f>'Base values'!C64</f>
        <v>0.63043478260869579</v>
      </c>
      <c r="K11" s="9">
        <f t="shared" si="6"/>
        <v>1201776.4729015389</v>
      </c>
      <c r="L11" s="9">
        <f t="shared" si="7"/>
        <v>58043.527098461134</v>
      </c>
      <c r="M11" s="9">
        <f>C11+'HIV Pos Neg U5MR 250'!K11+'HIV Pos Pos U5MR 250'!K11</f>
        <v>294277.65369483654</v>
      </c>
      <c r="N11" s="57">
        <f>'HIV Pos Neg U5MR 250'!L11+'HIV Pos Pos U5MR 250'!L11</f>
        <v>22445.482315678928</v>
      </c>
      <c r="O11" s="151" t="str">
        <f t="shared" si="8"/>
        <v>7-11</v>
      </c>
      <c r="P11" s="179">
        <f t="shared" si="0"/>
        <v>0.96360331778221586</v>
      </c>
      <c r="Q11" s="151" t="str">
        <f t="shared" si="9"/>
        <v>7-10</v>
      </c>
      <c r="R11" s="161">
        <f t="shared" si="1"/>
        <v>0.96589342458261429</v>
      </c>
      <c r="S11" s="151" t="str">
        <f t="shared" si="10"/>
        <v>7-9</v>
      </c>
      <c r="T11" s="161">
        <f t="shared" si="2"/>
        <v>0.96853543901051142</v>
      </c>
      <c r="U11" s="151" t="str">
        <f t="shared" si="11"/>
        <v>7-8</v>
      </c>
      <c r="V11" s="161">
        <f t="shared" si="3"/>
        <v>0.971184842114592</v>
      </c>
      <c r="W11" s="151">
        <f t="shared" si="12"/>
        <v>7</v>
      </c>
      <c r="X11" s="152">
        <f t="shared" si="13"/>
        <v>0.97400749057879943</v>
      </c>
      <c r="Y11" s="145"/>
      <c r="Z11" s="146" t="str">
        <f>'output Corrected U5MR'!D9</f>
        <v>-</v>
      </c>
      <c r="AA11" s="147">
        <f>'output Corrected U5MR'!E9</f>
        <v>0</v>
      </c>
      <c r="AB11" s="147">
        <f>'output Corrected U5MR'!L9</f>
        <v>0</v>
      </c>
      <c r="AC11" s="148" t="e">
        <f t="shared" si="4"/>
        <v>#VALUE!</v>
      </c>
      <c r="AD11" s="153" t="e">
        <f t="shared" si="14"/>
        <v>#VALUE!</v>
      </c>
      <c r="AE11" s="150" t="e">
        <f t="shared" ca="1" si="5"/>
        <v>#VALUE!</v>
      </c>
    </row>
    <row r="12" spans="1:32">
      <c r="A12" s="48">
        <f>'HIV Neg U5MR 50'!A12</f>
        <v>8</v>
      </c>
      <c r="B12" s="9">
        <f>'HIV Neg U5MR 50'!B12</f>
        <v>1144928.7874705833</v>
      </c>
      <c r="C12" s="9">
        <f>'HIV Neg U5MR 250'!I12</f>
        <v>279498.11528162449</v>
      </c>
      <c r="D12" s="5">
        <v>0</v>
      </c>
      <c r="E12" s="9">
        <f>'HIV Pos Neg U5MR 50'!B12</f>
        <v>75838.212529416545</v>
      </c>
      <c r="F12" s="9">
        <f>'HIV Pos Neg U5MR 250'!I12</f>
        <v>19474.542947011192</v>
      </c>
      <c r="G12" s="10">
        <f>'Base values'!C65</f>
        <v>0.71739130434782605</v>
      </c>
      <c r="H12" s="9">
        <f>'HIV Pos Pos U5MR 50'!B12</f>
        <v>17643</v>
      </c>
      <c r="I12" s="9">
        <f>'HIV Pos Pos U5MR 250'!I12</f>
        <v>13372.593500000001</v>
      </c>
      <c r="J12" s="10">
        <f>'Base values'!C65</f>
        <v>0.71739130434782605</v>
      </c>
      <c r="K12" s="9">
        <f t="shared" si="6"/>
        <v>1171347.3910115054</v>
      </c>
      <c r="L12" s="9">
        <f t="shared" si="7"/>
        <v>67062.608988494467</v>
      </c>
      <c r="M12" s="9">
        <f>C12+'HIV Pos Neg U5MR 250'!K12+'HIV Pos Pos U5MR 250'!K12</f>
        <v>286069.34677066503</v>
      </c>
      <c r="N12" s="57">
        <f>'HIV Pos Neg U5MR 250'!L12+'HIV Pos Pos U5MR 250'!L12</f>
        <v>26275.904957970644</v>
      </c>
      <c r="O12" s="151" t="str">
        <f t="shared" si="8"/>
        <v>8-12</v>
      </c>
      <c r="P12" s="179">
        <f t="shared" si="0"/>
        <v>0.95887481308334155</v>
      </c>
      <c r="Q12" s="151" t="str">
        <f t="shared" si="9"/>
        <v>8-11</v>
      </c>
      <c r="R12" s="161">
        <f t="shared" si="1"/>
        <v>0.96087411437394499</v>
      </c>
      <c r="S12" s="151" t="str">
        <f t="shared" si="10"/>
        <v>8-10</v>
      </c>
      <c r="T12" s="161">
        <f t="shared" si="2"/>
        <v>0.96308723993752476</v>
      </c>
      <c r="U12" s="151" t="str">
        <f t="shared" si="11"/>
        <v>8-9</v>
      </c>
      <c r="V12" s="161">
        <f t="shared" si="3"/>
        <v>0.965725321481956</v>
      </c>
      <c r="W12" s="151">
        <f t="shared" si="12"/>
        <v>8</v>
      </c>
      <c r="X12" s="152">
        <f t="shared" si="13"/>
        <v>0.9683116383184639</v>
      </c>
      <c r="Y12" s="145"/>
      <c r="Z12" s="146" t="str">
        <f>'output Corrected U5MR'!D10</f>
        <v>-</v>
      </c>
      <c r="AA12" s="147">
        <f>'output Corrected U5MR'!E10</f>
        <v>0</v>
      </c>
      <c r="AB12" s="147">
        <f>'output Corrected U5MR'!L10</f>
        <v>0</v>
      </c>
      <c r="AC12" s="148" t="e">
        <f t="shared" si="4"/>
        <v>#VALUE!</v>
      </c>
      <c r="AD12" s="153" t="e">
        <f t="shared" si="14"/>
        <v>#VALUE!</v>
      </c>
      <c r="AE12" s="150" t="e">
        <f t="shared" ca="1" si="5"/>
        <v>#VALUE!</v>
      </c>
    </row>
    <row r="13" spans="1:32">
      <c r="A13" s="48">
        <f>'HIV Neg U5MR 50'!A13</f>
        <v>9</v>
      </c>
      <c r="B13" s="9">
        <f>'HIV Neg U5MR 50'!B13</f>
        <v>1119951.9084310441</v>
      </c>
      <c r="C13" s="9">
        <f>'HIV Neg U5MR 250'!I13</f>
        <v>272783.78830960079</v>
      </c>
      <c r="D13" s="5">
        <v>0</v>
      </c>
      <c r="E13" s="9">
        <f>'HIV Pos Neg U5MR 50'!B13</f>
        <v>76563.09156895589</v>
      </c>
      <c r="F13" s="9">
        <f>'HIV Pos Neg U5MR 250'!I13</f>
        <v>19969.238573100669</v>
      </c>
      <c r="G13" s="10">
        <f>'Base values'!C66</f>
        <v>0.80434782608695654</v>
      </c>
      <c r="H13" s="9">
        <f>'HIV Pos Pos U5MR 50'!B13</f>
        <v>20575</v>
      </c>
      <c r="I13" s="9">
        <f>'HIV Pos Pos U5MR 250'!I13</f>
        <v>15267.6245</v>
      </c>
      <c r="J13" s="10">
        <f>'Base values'!C66</f>
        <v>0.80434782608695654</v>
      </c>
      <c r="K13" s="9">
        <f t="shared" si="6"/>
        <v>1138957.1872162747</v>
      </c>
      <c r="L13" s="9">
        <f t="shared" si="7"/>
        <v>78132.8127837254</v>
      </c>
      <c r="M13" s="9">
        <f>C13+'HIV Pos Neg U5MR 250'!K13+'HIV Pos Pos U5MR 250'!K13</f>
        <v>277608.33401276061</v>
      </c>
      <c r="N13" s="57">
        <f>'HIV Pos Neg U5MR 250'!L13+'HIV Pos Pos U5MR 250'!L13</f>
        <v>30412.317369940843</v>
      </c>
      <c r="O13" s="151" t="str">
        <f t="shared" si="8"/>
        <v>9-13</v>
      </c>
      <c r="P13" s="179">
        <f t="shared" si="0"/>
        <v>0.95472444885296515</v>
      </c>
      <c r="Q13" s="151" t="str">
        <f t="shared" si="9"/>
        <v>9-12</v>
      </c>
      <c r="R13" s="161">
        <f t="shared" si="1"/>
        <v>0.95638798299354921</v>
      </c>
      <c r="S13" s="151" t="str">
        <f t="shared" si="10"/>
        <v>9-11</v>
      </c>
      <c r="T13" s="161">
        <f t="shared" si="2"/>
        <v>0.95829151686752034</v>
      </c>
      <c r="U13" s="151" t="str">
        <f t="shared" si="11"/>
        <v>9-10</v>
      </c>
      <c r="V13" s="161">
        <f t="shared" si="3"/>
        <v>0.96039872037546081</v>
      </c>
      <c r="W13" s="151">
        <f t="shared" si="12"/>
        <v>9</v>
      </c>
      <c r="X13" s="152">
        <f t="shared" si="13"/>
        <v>0.96309240838179921</v>
      </c>
      <c r="Y13" s="145"/>
      <c r="Z13" s="146" t="str">
        <f>'output Corrected U5MR'!D11</f>
        <v>-</v>
      </c>
      <c r="AA13" s="147">
        <f>'output Corrected U5MR'!E11</f>
        <v>0</v>
      </c>
      <c r="AB13" s="147">
        <f>'output Corrected U5MR'!L11</f>
        <v>0</v>
      </c>
      <c r="AC13" s="148" t="e">
        <f t="shared" si="4"/>
        <v>#VALUE!</v>
      </c>
      <c r="AD13" s="153" t="e">
        <f t="shared" si="14"/>
        <v>#VALUE!</v>
      </c>
      <c r="AE13" s="150" t="e">
        <f t="shared" ca="1" si="5"/>
        <v>#VALUE!</v>
      </c>
    </row>
    <row r="14" spans="1:32">
      <c r="A14" s="48">
        <f>'HIV Neg U5MR 50'!A14</f>
        <v>10</v>
      </c>
      <c r="B14" s="9">
        <f>'HIV Neg U5MR 50'!B14</f>
        <v>1093711.6672745319</v>
      </c>
      <c r="C14" s="9">
        <f>'HIV Neg U5MR 250'!I14</f>
        <v>265655.09000650159</v>
      </c>
      <c r="D14" s="5">
        <v>0</v>
      </c>
      <c r="E14" s="9">
        <f>'HIV Pos Neg U5MR 50'!B14</f>
        <v>78333.332725468019</v>
      </c>
      <c r="F14" s="9">
        <f>'HIV Pos Neg U5MR 250'!I14</f>
        <v>20742.929620787712</v>
      </c>
      <c r="G14" s="10">
        <f>'Base values'!C67</f>
        <v>0.85869565217391319</v>
      </c>
      <c r="H14" s="9">
        <f>'HIV Pos Pos U5MR 50'!B14</f>
        <v>24235</v>
      </c>
      <c r="I14" s="9">
        <f>'HIV Pos Pos U5MR 250'!I14</f>
        <v>16961.538500000002</v>
      </c>
      <c r="J14" s="10">
        <f>'Base values'!C67</f>
        <v>0.85869565217391319</v>
      </c>
      <c r="K14" s="9">
        <f t="shared" si="6"/>
        <v>1108205.0186379133</v>
      </c>
      <c r="L14" s="9">
        <f t="shared" si="7"/>
        <v>88074.981362086677</v>
      </c>
      <c r="M14" s="9">
        <f>C14+'HIV Pos Neg U5MR 250'!K14+'HIV Pos Pos U5MR 250'!K14</f>
        <v>269122.36636514467</v>
      </c>
      <c r="N14" s="57">
        <f>'HIV Pos Neg U5MR 250'!L14+'HIV Pos Pos U5MR 250'!L14</f>
        <v>34237.191762144626</v>
      </c>
      <c r="O14" s="151" t="str">
        <f t="shared" si="8"/>
        <v>10-14</v>
      </c>
      <c r="P14" s="179">
        <f t="shared" si="0"/>
        <v>0.95144720995722487</v>
      </c>
      <c r="Q14" s="151" t="str">
        <f t="shared" si="9"/>
        <v>10-13</v>
      </c>
      <c r="R14" s="161">
        <f t="shared" si="1"/>
        <v>0.95250559437061588</v>
      </c>
      <c r="S14" s="151" t="str">
        <f t="shared" si="10"/>
        <v>10-12</v>
      </c>
      <c r="T14" s="161">
        <f t="shared" si="2"/>
        <v>0.95404538315709131</v>
      </c>
      <c r="U14" s="151" t="str">
        <f t="shared" si="11"/>
        <v>10-11</v>
      </c>
      <c r="V14" s="161">
        <f t="shared" si="3"/>
        <v>0.95580575091871667</v>
      </c>
      <c r="W14" s="151">
        <f t="shared" si="12"/>
        <v>10</v>
      </c>
      <c r="X14" s="152">
        <f t="shared" si="13"/>
        <v>0.95764564772369332</v>
      </c>
      <c r="Y14" s="145"/>
      <c r="Z14" s="151" t="str">
        <f>'output Corrected U5MR'!D12</f>
        <v>-</v>
      </c>
      <c r="AA14" s="147">
        <f>'output Corrected U5MR'!E12</f>
        <v>0</v>
      </c>
      <c r="AB14" s="147">
        <f>'output Corrected U5MR'!L12</f>
        <v>0</v>
      </c>
      <c r="AC14" s="148" t="e">
        <f t="shared" si="4"/>
        <v>#VALUE!</v>
      </c>
      <c r="AD14" s="153" t="e">
        <f t="shared" si="14"/>
        <v>#VALUE!</v>
      </c>
      <c r="AE14" s="150" t="e">
        <f t="shared" ca="1" si="5"/>
        <v>#VALUE!</v>
      </c>
    </row>
    <row r="15" spans="1:32">
      <c r="A15" s="48">
        <f>'HIV Neg U5MR 50'!A15</f>
        <v>11</v>
      </c>
      <c r="B15" s="9">
        <f>'HIV Neg U5MR 50'!B15</f>
        <v>1065792.1055339968</v>
      </c>
      <c r="C15" s="9">
        <f>'HIV Neg U5MR 250'!I15</f>
        <v>258060.46448797305</v>
      </c>
      <c r="D15" s="5">
        <v>0</v>
      </c>
      <c r="E15" s="9">
        <f>'HIV Pos Neg U5MR 50'!B15</f>
        <v>82680.894466003141</v>
      </c>
      <c r="F15" s="9">
        <f>'HIV Pos Neg U5MR 250'!I15</f>
        <v>21871.790557117623</v>
      </c>
      <c r="G15" s="10">
        <f>'Base values'!C68</f>
        <v>0.91304347826086973</v>
      </c>
      <c r="H15" s="9">
        <f>'HIV Pos Pos U5MR 50'!B15</f>
        <v>26757</v>
      </c>
      <c r="I15" s="9">
        <f>'HIV Pos Pos U5MR 250'!I15</f>
        <v>18307.986000000001</v>
      </c>
      <c r="J15" s="10">
        <f>'Base values'!C68</f>
        <v>0.91304347826086973</v>
      </c>
      <c r="K15" s="9">
        <f t="shared" si="6"/>
        <v>1075308.4441832143</v>
      </c>
      <c r="L15" s="9">
        <f t="shared" si="7"/>
        <v>99921.555816785505</v>
      </c>
      <c r="M15" s="9">
        <f>C15+'HIV Pos Neg U5MR 250'!K15+'HIV Pos Pos U5MR 250'!K15</f>
        <v>260307.25417766618</v>
      </c>
      <c r="N15" s="57">
        <f>'HIV Pos Neg U5MR 250'!L15+'HIV Pos Pos U5MR 250'!L15</f>
        <v>37932.986867424494</v>
      </c>
      <c r="O15" s="151" t="str">
        <f t="shared" si="8"/>
        <v>11-15</v>
      </c>
      <c r="P15" s="179">
        <f t="shared" si="0"/>
        <v>0.9494836630942125</v>
      </c>
      <c r="Q15" s="151" t="str">
        <f t="shared" si="9"/>
        <v>11-14</v>
      </c>
      <c r="R15" s="161">
        <f t="shared" si="1"/>
        <v>0.94980411542808307</v>
      </c>
      <c r="S15" s="151" t="str">
        <f t="shared" si="10"/>
        <v>11-13</v>
      </c>
      <c r="T15" s="161">
        <f t="shared" si="2"/>
        <v>0.95070655203605037</v>
      </c>
      <c r="U15" s="151" t="str">
        <f t="shared" si="11"/>
        <v>11-12</v>
      </c>
      <c r="V15" s="161">
        <f t="shared" si="3"/>
        <v>0.95217561201376244</v>
      </c>
      <c r="W15" s="151">
        <f t="shared" si="12"/>
        <v>11</v>
      </c>
      <c r="X15" s="152">
        <f t="shared" si="13"/>
        <v>0.95391536089338169</v>
      </c>
      <c r="Y15" s="145"/>
      <c r="Z15" s="151" t="str">
        <f>'output Corrected U5MR'!D13</f>
        <v>-</v>
      </c>
      <c r="AA15" s="147">
        <f>'output Corrected U5MR'!E13</f>
        <v>0</v>
      </c>
      <c r="AB15" s="147">
        <f>'output Corrected U5MR'!L13</f>
        <v>0</v>
      </c>
      <c r="AC15" s="148" t="e">
        <f t="shared" si="4"/>
        <v>#VALUE!</v>
      </c>
      <c r="AD15" s="153" t="e">
        <f t="shared" si="14"/>
        <v>#VALUE!</v>
      </c>
      <c r="AE15" s="150" t="e">
        <f t="shared" ca="1" si="5"/>
        <v>#VALUE!</v>
      </c>
    </row>
    <row r="16" spans="1:32">
      <c r="A16" s="48">
        <f>'HIV Neg U5MR 50'!A16</f>
        <v>12</v>
      </c>
      <c r="B16" s="9">
        <f>'HIV Neg U5MR 50'!B16</f>
        <v>1031795.7875404547</v>
      </c>
      <c r="C16" s="9">
        <f>'HIV Neg U5MR 250'!I16</f>
        <v>249773.52542550978</v>
      </c>
      <c r="D16" s="5">
        <v>0</v>
      </c>
      <c r="E16" s="9">
        <f>'HIV Pos Neg U5MR 50'!B16</f>
        <v>87484.212459545393</v>
      </c>
      <c r="F16" s="9">
        <f>'HIV Pos Neg U5MR 250'!I16</f>
        <v>23029.009602063685</v>
      </c>
      <c r="G16" s="10">
        <f>'Base values'!C69</f>
        <v>0.94565217391304346</v>
      </c>
      <c r="H16" s="9">
        <f>'HIV Pos Pos U5MR 50'!B16</f>
        <v>28900</v>
      </c>
      <c r="I16" s="9">
        <f>'HIV Pos Pos U5MR 250'!I16</f>
        <v>19499.034000000003</v>
      </c>
      <c r="J16" s="10">
        <f>'Base values'!C69</f>
        <v>0.94565217391304346</v>
      </c>
      <c r="K16" s="9">
        <f t="shared" si="6"/>
        <v>1038121.0164784734</v>
      </c>
      <c r="L16" s="9">
        <f t="shared" si="7"/>
        <v>110058.98352152662</v>
      </c>
      <c r="M16" s="9">
        <f>C16+'HIV Pos Neg U5MR 250'!K16+'HIV Pos Pos U5MR 250'!K16</f>
        <v>251173.8657864347</v>
      </c>
      <c r="N16" s="57">
        <f>'HIV Pos Neg U5MR 250'!L16+'HIV Pos Pos U5MR 250'!L16</f>
        <v>41127.703241138748</v>
      </c>
      <c r="O16" s="151" t="str">
        <f t="shared" si="8"/>
        <v>12-16</v>
      </c>
      <c r="P16" s="179">
        <f t="shared" si="0"/>
        <v>0.94878855863950862</v>
      </c>
      <c r="Q16" s="151" t="str">
        <f t="shared" si="9"/>
        <v>12-15</v>
      </c>
      <c r="R16" s="161">
        <f t="shared" si="1"/>
        <v>0.94832593469425985</v>
      </c>
      <c r="S16" s="151" t="str">
        <f t="shared" si="10"/>
        <v>12-14</v>
      </c>
      <c r="T16" s="161">
        <f t="shared" si="2"/>
        <v>0.94837774503212224</v>
      </c>
      <c r="U16" s="151" t="str">
        <f t="shared" si="11"/>
        <v>12-13</v>
      </c>
      <c r="V16" s="161">
        <f t="shared" si="3"/>
        <v>0.94904972462890846</v>
      </c>
      <c r="W16" s="151">
        <f t="shared" si="12"/>
        <v>12</v>
      </c>
      <c r="X16" s="152">
        <f t="shared" si="13"/>
        <v>0.95039752705468028</v>
      </c>
      <c r="Y16" s="145"/>
      <c r="Z16" s="151" t="str">
        <f>'output Corrected U5MR'!D14</f>
        <v>-</v>
      </c>
      <c r="AA16" s="147">
        <f>'output Corrected U5MR'!E14</f>
        <v>0</v>
      </c>
      <c r="AB16" s="147">
        <f>'output Corrected U5MR'!L14</f>
        <v>0</v>
      </c>
      <c r="AC16" s="148" t="e">
        <f t="shared" si="4"/>
        <v>#VALUE!</v>
      </c>
      <c r="AD16" s="153" t="e">
        <f t="shared" si="14"/>
        <v>#VALUE!</v>
      </c>
      <c r="AE16" s="150" t="e">
        <f t="shared" ca="1" si="5"/>
        <v>#VALUE!</v>
      </c>
    </row>
    <row r="17" spans="1:32">
      <c r="A17" s="48">
        <f>'HIV Neg U5MR 50'!A17</f>
        <v>13</v>
      </c>
      <c r="B17" s="9">
        <f>'HIV Neg U5MR 50'!B17</f>
        <v>998024.5859198774</v>
      </c>
      <c r="C17" s="9">
        <f>'HIV Neg U5MR 250'!I17</f>
        <v>241711.81240912678</v>
      </c>
      <c r="D17" s="5">
        <v>0</v>
      </c>
      <c r="E17" s="9">
        <f>'HIV Pos Neg U5MR 50'!B17</f>
        <v>92593.414080122617</v>
      </c>
      <c r="F17" s="9">
        <f>'HIV Pos Neg U5MR 250'!I17</f>
        <v>24132.667496272181</v>
      </c>
      <c r="G17" s="10">
        <f>'Base values'!C70</f>
        <v>0.96739130434782605</v>
      </c>
      <c r="H17" s="9">
        <f>'HIV Pos Pos U5MR 50'!B17</f>
        <v>30992</v>
      </c>
      <c r="I17" s="9">
        <f>'HIV Pos Pos U5MR 250'!I17</f>
        <v>20513.944</v>
      </c>
      <c r="J17" s="10">
        <f>'Base values'!C70</f>
        <v>0.96739130434782605</v>
      </c>
      <c r="K17" s="9">
        <f t="shared" si="6"/>
        <v>1002054.5450746641</v>
      </c>
      <c r="L17" s="9">
        <f t="shared" si="7"/>
        <v>119555.454925336</v>
      </c>
      <c r="M17" s="9">
        <f>C17+'HIV Pos Neg U5MR 250'!K17+'HIV Pos Pos U5MR 250'!K17</f>
        <v>242447.88448884297</v>
      </c>
      <c r="N17" s="57">
        <f>'HIV Pos Neg U5MR 250'!L17+'HIV Pos Pos U5MR 250'!L17</f>
        <v>43910.539416555999</v>
      </c>
      <c r="O17" s="151" t="str">
        <f t="shared" si="8"/>
        <v>13-17</v>
      </c>
      <c r="P17" s="179">
        <f t="shared" si="0"/>
        <v>0.94972656101420427</v>
      </c>
      <c r="Q17" s="151" t="str">
        <f t="shared" si="9"/>
        <v>13-16</v>
      </c>
      <c r="R17" s="161">
        <f t="shared" si="1"/>
        <v>0.94838983979932412</v>
      </c>
      <c r="S17" s="151" t="str">
        <f t="shared" si="10"/>
        <v>13-15</v>
      </c>
      <c r="T17" s="161">
        <f t="shared" si="2"/>
        <v>0.94762153416112604</v>
      </c>
      <c r="U17" s="151" t="str">
        <f t="shared" si="11"/>
        <v>13-14</v>
      </c>
      <c r="V17" s="161">
        <f t="shared" si="3"/>
        <v>0.94734219703174349</v>
      </c>
      <c r="W17" s="151">
        <f t="shared" si="12"/>
        <v>13</v>
      </c>
      <c r="X17" s="152">
        <f t="shared" si="13"/>
        <v>0.94767395713721614</v>
      </c>
      <c r="Y17" s="145"/>
      <c r="Z17" s="151" t="str">
        <f>'output Corrected U5MR'!D15</f>
        <v>-</v>
      </c>
      <c r="AA17" s="147">
        <f>'output Corrected U5MR'!E15</f>
        <v>0</v>
      </c>
      <c r="AB17" s="147">
        <f>'output Corrected U5MR'!L15</f>
        <v>0</v>
      </c>
      <c r="AC17" s="148" t="e">
        <f t="shared" si="4"/>
        <v>#VALUE!</v>
      </c>
      <c r="AD17" s="153" t="e">
        <f t="shared" si="14"/>
        <v>#VALUE!</v>
      </c>
      <c r="AE17" s="150" t="e">
        <f t="shared" ca="1" si="5"/>
        <v>#VALUE!</v>
      </c>
    </row>
    <row r="18" spans="1:32">
      <c r="A18" s="48">
        <f>'HIV Neg U5MR 50'!A18</f>
        <v>14</v>
      </c>
      <c r="B18" s="9">
        <f>'HIV Neg U5MR 50'!B18</f>
        <v>964624.63545957068</v>
      </c>
      <c r="C18" s="9">
        <f>'HIV Neg U5MR 250'!I18</f>
        <v>234031.06729542286</v>
      </c>
      <c r="D18" s="5">
        <v>0</v>
      </c>
      <c r="E18" s="9">
        <f>'HIV Pos Neg U5MR 50'!B18</f>
        <v>97518.364540429335</v>
      </c>
      <c r="F18" s="9">
        <f>'HIV Pos Neg U5MR 250'!I18</f>
        <v>25055.727132450702</v>
      </c>
      <c r="G18" s="10">
        <f>'Base values'!C71</f>
        <v>0.98913043478260865</v>
      </c>
      <c r="H18" s="9">
        <f>'HIV Pos Pos U5MR 50'!B18</f>
        <v>32797</v>
      </c>
      <c r="I18" s="9">
        <f>'HIV Pos Pos U5MR 250'!I18</f>
        <v>21261.4575</v>
      </c>
      <c r="J18" s="10">
        <f>'Base values'!C71</f>
        <v>0.98913043478260865</v>
      </c>
      <c r="K18" s="9">
        <f t="shared" si="6"/>
        <v>966041.10681327106</v>
      </c>
      <c r="L18" s="9">
        <f t="shared" si="7"/>
        <v>128898.89318672901</v>
      </c>
      <c r="M18" s="9">
        <f>C18+'HIV Pos Neg U5MR 250'!K18+'HIV Pos Pos U5MR 250'!K18</f>
        <v>234239.74365507514</v>
      </c>
      <c r="N18" s="57">
        <f>'HIV Pos Neg U5MR 250'!L18+'HIV Pos Pos U5MR 250'!L18</f>
        <v>46108.508272798441</v>
      </c>
      <c r="O18" s="151" t="str">
        <f t="shared" si="8"/>
        <v>14-18</v>
      </c>
      <c r="P18" s="179">
        <f t="shared" si="0"/>
        <v>0.9524862792922697</v>
      </c>
      <c r="Q18" s="151" t="str">
        <f t="shared" si="9"/>
        <v>14-17</v>
      </c>
      <c r="R18" s="161">
        <f t="shared" si="1"/>
        <v>0.95031003146882409</v>
      </c>
      <c r="S18" s="151" t="str">
        <f t="shared" si="10"/>
        <v>14-16</v>
      </c>
      <c r="T18" s="161">
        <f t="shared" si="2"/>
        <v>0.94867200512934491</v>
      </c>
      <c r="U18" s="151" t="str">
        <f t="shared" si="11"/>
        <v>14-15</v>
      </c>
      <c r="V18" s="161">
        <f t="shared" si="3"/>
        <v>0.94761811653805683</v>
      </c>
      <c r="W18" s="151">
        <f t="shared" si="12"/>
        <v>14</v>
      </c>
      <c r="X18" s="152">
        <f t="shared" si="13"/>
        <v>0.94701628309924835</v>
      </c>
      <c r="Y18" s="145"/>
      <c r="Z18" s="151" t="str">
        <f>'output Corrected U5MR'!D16</f>
        <v>-</v>
      </c>
      <c r="AA18" s="147">
        <f>'output Corrected U5MR'!E16</f>
        <v>0</v>
      </c>
      <c r="AB18" s="147">
        <f>'output Corrected U5MR'!L16</f>
        <v>0</v>
      </c>
      <c r="AC18" s="148" t="e">
        <f t="shared" si="4"/>
        <v>#VALUE!</v>
      </c>
      <c r="AD18" s="153" t="e">
        <f t="shared" si="14"/>
        <v>#VALUE!</v>
      </c>
      <c r="AE18" s="150" t="e">
        <f t="shared" ca="1" si="5"/>
        <v>#VALUE!</v>
      </c>
    </row>
    <row r="19" spans="1:32">
      <c r="A19" s="48">
        <f>'HIV Neg U5MR 50'!A19</f>
        <v>15</v>
      </c>
      <c r="B19" s="9">
        <f>'HIV Neg U5MR 50'!B19</f>
        <v>932494.89095396351</v>
      </c>
      <c r="C19" s="9">
        <f>'HIV Neg U5MR 250'!I19</f>
        <v>226984.32174586994</v>
      </c>
      <c r="D19" s="5">
        <v>0</v>
      </c>
      <c r="E19" s="9">
        <f>'HIV Pos Neg U5MR 50'!B19</f>
        <v>101861.10904603652</v>
      </c>
      <c r="F19" s="9">
        <f>'HIV Pos Neg U5MR 250'!I19</f>
        <v>25675.60481849582</v>
      </c>
      <c r="G19" s="10">
        <f>'Base values'!C72</f>
        <v>1</v>
      </c>
      <c r="H19" s="9">
        <f>'HIV Pos Pos U5MR 50'!B19</f>
        <v>34264</v>
      </c>
      <c r="I19" s="9">
        <f>'HIV Pos Pos U5MR 250'!I19</f>
        <v>21654.202999999998</v>
      </c>
      <c r="J19" s="10">
        <f>'Base values'!C72</f>
        <v>1</v>
      </c>
      <c r="K19" s="9">
        <f t="shared" si="6"/>
        <v>932494.89095396351</v>
      </c>
      <c r="L19" s="9">
        <f t="shared" si="7"/>
        <v>136125.10904603652</v>
      </c>
      <c r="M19" s="9">
        <f>C19+'HIV Pos Neg U5MR 250'!K19+'HIV Pos Pos U5MR 250'!K19</f>
        <v>226984.32174586994</v>
      </c>
      <c r="N19" s="57">
        <f>'HIV Pos Neg U5MR 250'!L19+'HIV Pos Pos U5MR 250'!L19</f>
        <v>47329.807818495814</v>
      </c>
      <c r="O19" s="151" t="str">
        <f t="shared" si="8"/>
        <v>15-19</v>
      </c>
      <c r="P19" s="179">
        <f t="shared" si="0"/>
        <v>0.95684540284927044</v>
      </c>
      <c r="Q19" s="151" t="str">
        <f t="shared" si="9"/>
        <v>15-18</v>
      </c>
      <c r="R19" s="161">
        <f t="shared" si="1"/>
        <v>0.95397278556153553</v>
      </c>
      <c r="S19" s="151" t="str">
        <f t="shared" si="10"/>
        <v>15-17</v>
      </c>
      <c r="T19" s="161">
        <f t="shared" si="2"/>
        <v>0.95149281942679242</v>
      </c>
      <c r="U19" s="151" t="str">
        <f t="shared" si="11"/>
        <v>15-16</v>
      </c>
      <c r="V19" s="161">
        <f t="shared" si="3"/>
        <v>0.94955576517865181</v>
      </c>
      <c r="W19" s="151">
        <f t="shared" si="12"/>
        <v>15</v>
      </c>
      <c r="X19" s="152">
        <f t="shared" si="13"/>
        <v>0.94825364236053933</v>
      </c>
      <c r="Y19" s="145"/>
      <c r="Z19" s="151" t="str">
        <f>'output Corrected U5MR'!D17</f>
        <v>-</v>
      </c>
      <c r="AA19" s="147">
        <f>'output Corrected U5MR'!E17</f>
        <v>0</v>
      </c>
      <c r="AB19" s="147">
        <f>'output Corrected U5MR'!L17</f>
        <v>0</v>
      </c>
      <c r="AC19" s="148" t="e">
        <f t="shared" si="4"/>
        <v>#VALUE!</v>
      </c>
      <c r="AD19" s="153" t="e">
        <f t="shared" si="14"/>
        <v>#VALUE!</v>
      </c>
      <c r="AE19" s="150" t="e">
        <f t="shared" ca="1" si="5"/>
        <v>#VALUE!</v>
      </c>
    </row>
    <row r="20" spans="1:32">
      <c r="A20" s="48">
        <f>'HIV Neg U5MR 50'!A20</f>
        <v>16</v>
      </c>
      <c r="B20" s="9">
        <f>'HIV Neg U5MR 50'!B20</f>
        <v>903865.75167033426</v>
      </c>
      <c r="C20" s="9">
        <f>'HIV Neg U5MR 250'!I20</f>
        <v>220905.54346860744</v>
      </c>
      <c r="D20" s="5">
        <v>0</v>
      </c>
      <c r="E20" s="9">
        <f>'HIV Pos Neg U5MR 50'!B20</f>
        <v>105039.24832966569</v>
      </c>
      <c r="F20" s="9">
        <f>'HIV Pos Neg U5MR 250'!I20</f>
        <v>25850.322256943669</v>
      </c>
      <c r="G20" s="10">
        <f>'Base values'!C73</f>
        <v>1</v>
      </c>
      <c r="H20" s="9">
        <f>'HIV Pos Pos U5MR 50'!B20</f>
        <v>35185</v>
      </c>
      <c r="I20" s="9">
        <f>'HIV Pos Pos U5MR 250'!I20</f>
        <v>21596.0795</v>
      </c>
      <c r="J20" s="10">
        <f>'Base values'!C73</f>
        <v>1</v>
      </c>
      <c r="K20" s="9">
        <f t="shared" si="6"/>
        <v>903865.75167033426</v>
      </c>
      <c r="L20" s="9">
        <f t="shared" si="7"/>
        <v>140224.24832966569</v>
      </c>
      <c r="M20" s="9">
        <f>C20+'HIV Pos Neg U5MR 250'!K20+'HIV Pos Pos U5MR 250'!K20</f>
        <v>220905.54346860744</v>
      </c>
      <c r="N20" s="57">
        <f>'HIV Pos Neg U5MR 250'!L20+'HIV Pos Pos U5MR 250'!L20</f>
        <v>47446.401756943669</v>
      </c>
      <c r="O20" s="151" t="str">
        <f t="shared" si="8"/>
        <v>16-20</v>
      </c>
      <c r="P20" s="179">
        <f t="shared" si="0"/>
        <v>0.96246074795321579</v>
      </c>
      <c r="Q20" s="151" t="str">
        <f t="shared" si="9"/>
        <v>16-19</v>
      </c>
      <c r="R20" s="161">
        <f t="shared" si="1"/>
        <v>0.95914415767219074</v>
      </c>
      <c r="S20" s="151" t="str">
        <f t="shared" si="10"/>
        <v>16-18</v>
      </c>
      <c r="T20" s="161">
        <f t="shared" si="2"/>
        <v>0.9559924559837284</v>
      </c>
      <c r="U20" s="151" t="str">
        <f t="shared" si="11"/>
        <v>16-17</v>
      </c>
      <c r="V20" s="161">
        <f t="shared" si="3"/>
        <v>0.95318897977550909</v>
      </c>
      <c r="W20" s="151">
        <f t="shared" si="12"/>
        <v>16</v>
      </c>
      <c r="X20" s="152">
        <f t="shared" si="13"/>
        <v>0.95090224325762873</v>
      </c>
      <c r="Y20" s="145"/>
      <c r="Z20" s="151" t="str">
        <f>'output Corrected U5MR'!D18</f>
        <v>-</v>
      </c>
      <c r="AA20" s="147">
        <f>'output Corrected U5MR'!E18</f>
        <v>0</v>
      </c>
      <c r="AB20" s="147">
        <f>'output Corrected U5MR'!L18</f>
        <v>0</v>
      </c>
      <c r="AC20" s="148" t="e">
        <f t="shared" si="4"/>
        <v>#VALUE!</v>
      </c>
      <c r="AD20" s="153" t="e">
        <f t="shared" si="14"/>
        <v>#VALUE!</v>
      </c>
      <c r="AE20" s="150" t="e">
        <f t="shared" ca="1" si="5"/>
        <v>#VALUE!</v>
      </c>
    </row>
    <row r="21" spans="1:32">
      <c r="A21" s="48">
        <f>'HIV Neg U5MR 50'!A21</f>
        <v>17</v>
      </c>
      <c r="B21" s="9">
        <f>'HIV Neg U5MR 50'!B21</f>
        <v>879136.63873421436</v>
      </c>
      <c r="C21" s="9">
        <f>'HIV Neg U5MR 250'!I21</f>
        <v>215894.56382219982</v>
      </c>
      <c r="D21" s="5">
        <v>0</v>
      </c>
      <c r="E21" s="9">
        <f>'HIV Pos Neg U5MR 50'!B21</f>
        <v>106211.36126578561</v>
      </c>
      <c r="F21" s="9">
        <f>'HIV Pos Neg U5MR 250'!I21</f>
        <v>25436.076491594358</v>
      </c>
      <c r="G21" s="10">
        <f>'Base values'!C74</f>
        <v>1</v>
      </c>
      <c r="H21" s="9">
        <f>'HIV Pos Pos U5MR 50'!B21</f>
        <v>35412</v>
      </c>
      <c r="I21" s="9">
        <f>'HIV Pos Pos U5MR 250'!I21</f>
        <v>21006.684000000001</v>
      </c>
      <c r="J21" s="10">
        <f>'Base values'!C74</f>
        <v>1</v>
      </c>
      <c r="K21" s="9">
        <f t="shared" si="6"/>
        <v>879136.63873421436</v>
      </c>
      <c r="L21" s="9">
        <f t="shared" si="7"/>
        <v>141623.36126578561</v>
      </c>
      <c r="M21" s="9">
        <f>C21+'HIV Pos Neg U5MR 250'!K21+'HIV Pos Pos U5MR 250'!K21</f>
        <v>215894.56382219982</v>
      </c>
      <c r="N21" s="57">
        <f>'HIV Pos Neg U5MR 250'!L21+'HIV Pos Pos U5MR 250'!L21</f>
        <v>46442.760491594359</v>
      </c>
      <c r="O21" s="151" t="str">
        <f t="shared" si="8"/>
        <v>17-21</v>
      </c>
      <c r="P21" s="179">
        <f t="shared" si="0"/>
        <v>0.96894640861154024</v>
      </c>
      <c r="Q21" s="151" t="str">
        <f t="shared" si="9"/>
        <v>17-20</v>
      </c>
      <c r="R21" s="161">
        <f t="shared" si="1"/>
        <v>0.96552708995914061</v>
      </c>
      <c r="S21" s="151" t="str">
        <f t="shared" si="10"/>
        <v>17-19</v>
      </c>
      <c r="T21" s="161">
        <f t="shared" si="2"/>
        <v>0.96203256811918725</v>
      </c>
      <c r="U21" s="151" t="str">
        <f t="shared" si="11"/>
        <v>17-18</v>
      </c>
      <c r="V21" s="161">
        <f t="shared" si="3"/>
        <v>0.95864052258168464</v>
      </c>
      <c r="W21" s="151">
        <f t="shared" si="12"/>
        <v>17</v>
      </c>
      <c r="X21" s="152">
        <f t="shared" si="13"/>
        <v>0.95554003023246836</v>
      </c>
      <c r="Y21" s="145"/>
      <c r="Z21" s="151" t="str">
        <f>'output Corrected U5MR'!D19</f>
        <v>-</v>
      </c>
      <c r="AA21" s="147">
        <f>'output Corrected U5MR'!E19</f>
        <v>0</v>
      </c>
      <c r="AB21" s="147">
        <f>'output Corrected U5MR'!L19</f>
        <v>0</v>
      </c>
      <c r="AC21" s="148" t="e">
        <f t="shared" si="4"/>
        <v>#VALUE!</v>
      </c>
      <c r="AD21" s="153" t="e">
        <f t="shared" si="14"/>
        <v>#VALUE!</v>
      </c>
      <c r="AE21" s="150" t="e">
        <f t="shared" ca="1" si="5"/>
        <v>#VALUE!</v>
      </c>
    </row>
    <row r="22" spans="1:32">
      <c r="A22" s="48">
        <f>'HIV Neg U5MR 50'!A22</f>
        <v>18</v>
      </c>
      <c r="B22" s="9">
        <f>'HIV Neg U5MR 50'!B22</f>
        <v>858590.99039825355</v>
      </c>
      <c r="C22" s="9">
        <f>'HIV Neg U5MR 250'!I22</f>
        <v>212032.53575959677</v>
      </c>
      <c r="D22" s="5">
        <v>0</v>
      </c>
      <c r="E22" s="9">
        <f>'HIV Pos Neg U5MR 50'!B22</f>
        <v>104648.00960174639</v>
      </c>
      <c r="F22" s="9">
        <f>'HIV Pos Neg U5MR 250'!I22</f>
        <v>24347.293803246695</v>
      </c>
      <c r="G22" s="10">
        <f>'Base values'!C75</f>
        <v>1</v>
      </c>
      <c r="H22" s="9">
        <f>'HIV Pos Pos U5MR 50'!B22</f>
        <v>34706</v>
      </c>
      <c r="I22" s="9">
        <f>'HIV Pos Pos U5MR 250'!I22</f>
        <v>19850.184499999996</v>
      </c>
      <c r="J22" s="10">
        <f>'Base values'!C75</f>
        <v>1</v>
      </c>
      <c r="K22" s="9">
        <f t="shared" si="6"/>
        <v>858590.99039825355</v>
      </c>
      <c r="L22" s="9">
        <f t="shared" si="7"/>
        <v>139354.00960174639</v>
      </c>
      <c r="M22" s="9">
        <f>C22+'HIV Pos Neg U5MR 250'!K22+'HIV Pos Pos U5MR 250'!K22</f>
        <v>212032.53575959677</v>
      </c>
      <c r="N22" s="103">
        <f>'HIV Pos Neg U5MR 250'!L22+'HIV Pos Pos U5MR 250'!L22</f>
        <v>44197.478303246695</v>
      </c>
      <c r="O22" s="151" t="str">
        <f t="shared" si="8"/>
        <v>18-22</v>
      </c>
      <c r="P22" s="179">
        <f t="shared" si="0"/>
        <v>0.9756691108719987</v>
      </c>
      <c r="Q22" s="151" t="str">
        <f t="shared" si="9"/>
        <v>18-21</v>
      </c>
      <c r="R22" s="161">
        <f t="shared" si="1"/>
        <v>0.9724762897106799</v>
      </c>
      <c r="S22" s="151" t="str">
        <f t="shared" si="10"/>
        <v>18-20</v>
      </c>
      <c r="T22" s="161">
        <f t="shared" si="2"/>
        <v>0.96900510756257363</v>
      </c>
      <c r="U22" s="151" t="str">
        <f t="shared" si="11"/>
        <v>18-19</v>
      </c>
      <c r="V22" s="161">
        <f t="shared" si="3"/>
        <v>0.96539326396249703</v>
      </c>
      <c r="W22" s="151">
        <f t="shared" si="12"/>
        <v>18</v>
      </c>
      <c r="X22" s="152">
        <f t="shared" si="13"/>
        <v>0.96181774757606942</v>
      </c>
      <c r="Y22" s="145"/>
      <c r="Z22" s="151" t="str">
        <f>'output Corrected U5MR'!D20</f>
        <v>-</v>
      </c>
      <c r="AA22" s="147">
        <f>'output Corrected U5MR'!E20</f>
        <v>0</v>
      </c>
      <c r="AB22" s="147">
        <f>'output Corrected U5MR'!L20</f>
        <v>0</v>
      </c>
      <c r="AC22" s="148" t="e">
        <f t="shared" si="4"/>
        <v>#VALUE!</v>
      </c>
      <c r="AD22" s="153" t="e">
        <f t="shared" si="14"/>
        <v>#VALUE!</v>
      </c>
      <c r="AE22" s="150" t="e">
        <f t="shared" ca="1" si="5"/>
        <v>#VALUE!</v>
      </c>
    </row>
    <row r="23" spans="1:32">
      <c r="A23" s="48">
        <f>'HIV Neg U5MR 50'!A23</f>
        <v>19</v>
      </c>
      <c r="B23" s="9">
        <f>'HIV Neg U5MR 50'!B23</f>
        <v>843666.6351556615</v>
      </c>
      <c r="C23" s="9">
        <f>'HIV Neg U5MR 250'!I23</f>
        <v>209436.77737262909</v>
      </c>
      <c r="D23" s="5">
        <v>0</v>
      </c>
      <c r="E23" s="9">
        <f>'HIV Pos Neg U5MR 50'!B23</f>
        <v>99999.364844338474</v>
      </c>
      <c r="F23" s="9">
        <f>'HIV Pos Neg U5MR 250'!I23</f>
        <v>22587.999246835607</v>
      </c>
      <c r="G23" s="10">
        <f>'Base values'!C76</f>
        <v>1</v>
      </c>
      <c r="H23" s="9">
        <f>'HIV Pos Pos U5MR 50'!B23</f>
        <v>32990</v>
      </c>
      <c r="I23" s="9">
        <f>'HIV Pos Pos U5MR 250'!I23</f>
        <v>18170.9355</v>
      </c>
      <c r="J23" s="10">
        <f>'Base values'!C76</f>
        <v>1</v>
      </c>
      <c r="K23" s="9">
        <f t="shared" si="6"/>
        <v>843666.6351556615</v>
      </c>
      <c r="L23" s="9">
        <f t="shared" si="7"/>
        <v>132989.36484433847</v>
      </c>
      <c r="M23" s="9">
        <f>C23+'HIV Pos Neg U5MR 250'!K23+'HIV Pos Pos U5MR 250'!K23</f>
        <v>209436.77737262909</v>
      </c>
      <c r="N23" s="103">
        <f>'HIV Pos Neg U5MR 250'!L23+'HIV Pos Pos U5MR 250'!L23</f>
        <v>40758.934746835606</v>
      </c>
      <c r="O23" s="151" t="str">
        <f t="shared" si="8"/>
        <v>19-23</v>
      </c>
      <c r="P23" s="179">
        <f t="shared" si="0"/>
        <v>0.98200071473098005</v>
      </c>
      <c r="Q23" s="151" t="str">
        <f t="shared" si="9"/>
        <v>19-22</v>
      </c>
      <c r="R23" s="161">
        <f t="shared" si="1"/>
        <v>0.9792909682132781</v>
      </c>
      <c r="S23" s="151" t="str">
        <f t="shared" si="10"/>
        <v>19-21</v>
      </c>
      <c r="T23" s="161">
        <f t="shared" si="2"/>
        <v>0.97616636523534062</v>
      </c>
      <c r="U23" s="151" t="str">
        <f t="shared" si="11"/>
        <v>19-20</v>
      </c>
      <c r="V23" s="161">
        <f t="shared" si="3"/>
        <v>0.97270829868364928</v>
      </c>
      <c r="W23" s="151">
        <f t="shared" si="12"/>
        <v>19</v>
      </c>
      <c r="X23" s="152">
        <f t="shared" si="13"/>
        <v>0.96904474890955616</v>
      </c>
      <c r="Y23" s="145"/>
      <c r="Z23" s="151" t="str">
        <f>'output Corrected U5MR'!D21</f>
        <v>-</v>
      </c>
      <c r="AA23" s="147">
        <f>'output Corrected U5MR'!E21</f>
        <v>0</v>
      </c>
      <c r="AB23" s="147">
        <f>'output Corrected U5MR'!L21</f>
        <v>0</v>
      </c>
      <c r="AC23" s="148" t="e">
        <f t="shared" si="4"/>
        <v>#VALUE!</v>
      </c>
      <c r="AD23" s="153" t="e">
        <f t="shared" si="14"/>
        <v>#VALUE!</v>
      </c>
      <c r="AE23" s="150" t="e">
        <f t="shared" ca="1" si="5"/>
        <v>#VALUE!</v>
      </c>
    </row>
    <row r="24" spans="1:32" ht="13.5" thickBot="1">
      <c r="A24" s="48">
        <f>'HIV Neg U5MR 50'!A24</f>
        <v>20</v>
      </c>
      <c r="B24" s="9">
        <f>'HIV Neg U5MR 50'!B24</f>
        <v>833406.34579112253</v>
      </c>
      <c r="C24" s="9">
        <f>'HIV Neg U5MR 250'!I24</f>
        <v>207899.54513165378</v>
      </c>
      <c r="D24" s="5">
        <v>0</v>
      </c>
      <c r="E24" s="9">
        <f>'HIV Pos Neg U5MR 50'!B24</f>
        <v>92241.654208877473</v>
      </c>
      <c r="F24" s="9">
        <f>'HIV Pos Neg U5MR 250'!I24</f>
        <v>20243.180531966296</v>
      </c>
      <c r="G24" s="10">
        <f>'Base values'!C77</f>
        <v>1</v>
      </c>
      <c r="H24" s="9">
        <f>'HIV Pos Pos U5MR 50'!B24</f>
        <v>30311</v>
      </c>
      <c r="I24" s="9">
        <f>'HIV Pos Pos U5MR 250'!I24</f>
        <v>16082.6065</v>
      </c>
      <c r="J24" s="10">
        <f>'Base values'!C77</f>
        <v>1</v>
      </c>
      <c r="K24" s="9">
        <f t="shared" si="6"/>
        <v>833406.34579112253</v>
      </c>
      <c r="L24" s="9">
        <f t="shared" si="7"/>
        <v>122552.65420887747</v>
      </c>
      <c r="M24" s="9">
        <f>C24+'HIV Pos Neg U5MR 250'!K24+'HIV Pos Pos U5MR 250'!K24</f>
        <v>207899.54513165378</v>
      </c>
      <c r="N24" s="103">
        <f>'HIV Pos Neg U5MR 250'!L24+'HIV Pos Pos U5MR 250'!L24</f>
        <v>36325.787031966298</v>
      </c>
      <c r="O24" s="159" t="str">
        <f t="shared" si="8"/>
        <v>20-24</v>
      </c>
      <c r="P24" s="180">
        <f t="shared" si="0"/>
        <v>0.98747371324342081</v>
      </c>
      <c r="Q24" s="151" t="str">
        <f t="shared" si="9"/>
        <v>20-23</v>
      </c>
      <c r="R24" s="161">
        <f t="shared" si="1"/>
        <v>0.98537201623066228</v>
      </c>
      <c r="S24" s="151" t="str">
        <f t="shared" si="10"/>
        <v>20-22</v>
      </c>
      <c r="T24" s="161">
        <f t="shared" si="2"/>
        <v>0.98281973382136822</v>
      </c>
      <c r="U24" s="146" t="str">
        <f t="shared" si="11"/>
        <v>20-21</v>
      </c>
      <c r="V24" s="161">
        <f t="shared" si="3"/>
        <v>0.9798200914730959</v>
      </c>
      <c r="W24" s="146">
        <f t="shared" si="12"/>
        <v>20</v>
      </c>
      <c r="X24" s="152">
        <f t="shared" si="13"/>
        <v>0.97643939619005615</v>
      </c>
      <c r="Y24" s="145"/>
      <c r="Z24" s="151" t="str">
        <f>'output Corrected U5MR'!D22</f>
        <v>-</v>
      </c>
      <c r="AA24" s="147">
        <f>'output Corrected U5MR'!E22</f>
        <v>0</v>
      </c>
      <c r="AB24" s="147">
        <f>'output Corrected U5MR'!L22</f>
        <v>0</v>
      </c>
      <c r="AC24" s="148" t="e">
        <f t="shared" si="4"/>
        <v>#VALUE!</v>
      </c>
      <c r="AD24" s="153" t="e">
        <f t="shared" si="14"/>
        <v>#VALUE!</v>
      </c>
      <c r="AE24" s="150" t="e">
        <f t="shared" ca="1" si="5"/>
        <v>#VALUE!</v>
      </c>
    </row>
    <row r="25" spans="1:32" ht="13.5" thickBot="1">
      <c r="A25" s="48">
        <f>'HIV Neg U5MR 50'!A25</f>
        <v>21</v>
      </c>
      <c r="B25" s="9">
        <f>'HIV Neg U5MR 50'!B25</f>
        <v>827393.24855432892</v>
      </c>
      <c r="C25" s="9">
        <f>'HIV Neg U5MR 250'!I25</f>
        <v>207288.1155986175</v>
      </c>
      <c r="D25" s="5">
        <v>0</v>
      </c>
      <c r="E25" s="9">
        <f>'HIV Pos Neg U5MR 50'!B25</f>
        <v>81886.751445671107</v>
      </c>
      <c r="F25" s="9">
        <f>'HIV Pos Neg U5MR 250'!I25</f>
        <v>17491.814940839668</v>
      </c>
      <c r="G25" s="10">
        <f>'Base values'!C78</f>
        <v>1</v>
      </c>
      <c r="H25" s="9">
        <f>'HIV Pos Pos U5MR 50'!B25</f>
        <v>26880</v>
      </c>
      <c r="I25" s="9">
        <f>'HIV Pos Pos U5MR 250'!I25</f>
        <v>13752.5535</v>
      </c>
      <c r="J25" s="10">
        <f>'Base values'!C78</f>
        <v>1</v>
      </c>
      <c r="K25" s="9">
        <f t="shared" si="6"/>
        <v>827393.24855432892</v>
      </c>
      <c r="L25" s="9">
        <f t="shared" si="7"/>
        <v>108766.75144567111</v>
      </c>
      <c r="M25" s="9">
        <f>C25+'HIV Pos Neg U5MR 250'!K25+'HIV Pos Pos U5MR 250'!K25</f>
        <v>207288.1155986175</v>
      </c>
      <c r="N25" s="103">
        <f>'HIV Pos Neg U5MR 250'!L25+'HIV Pos Pos U5MR 250'!L25</f>
        <v>31244.368440839666</v>
      </c>
      <c r="O25" s="154"/>
      <c r="P25" s="149"/>
      <c r="Q25" s="159" t="str">
        <f t="shared" si="9"/>
        <v>21-24</v>
      </c>
      <c r="R25" s="182">
        <f t="shared" si="1"/>
        <v>0.99035055447552955</v>
      </c>
      <c r="S25" s="151" t="str">
        <f t="shared" si="10"/>
        <v>21-23</v>
      </c>
      <c r="T25" s="161">
        <f t="shared" si="2"/>
        <v>0.98844213890325383</v>
      </c>
      <c r="U25" s="146" t="str">
        <f t="shared" si="11"/>
        <v>21-22</v>
      </c>
      <c r="V25" s="161">
        <f t="shared" si="3"/>
        <v>0.98608138152098901</v>
      </c>
      <c r="W25" s="146">
        <f t="shared" si="12"/>
        <v>21</v>
      </c>
      <c r="X25" s="152">
        <f t="shared" si="13"/>
        <v>0.98325232183876099</v>
      </c>
      <c r="Y25" s="145"/>
      <c r="Z25" s="151" t="str">
        <f>'output Corrected U5MR'!D23</f>
        <v>-</v>
      </c>
      <c r="AA25" s="147">
        <f>'output Corrected U5MR'!E23</f>
        <v>0</v>
      </c>
      <c r="AB25" s="147">
        <f>'output Corrected U5MR'!L23</f>
        <v>0</v>
      </c>
      <c r="AC25" s="148" t="e">
        <f t="shared" si="4"/>
        <v>#VALUE!</v>
      </c>
      <c r="AD25" s="153" t="e">
        <f t="shared" si="14"/>
        <v>#VALUE!</v>
      </c>
      <c r="AE25" s="150" t="e">
        <f t="shared" ca="1" si="5"/>
        <v>#VALUE!</v>
      </c>
      <c r="AF25" s="46"/>
    </row>
    <row r="26" spans="1:32" ht="13.5" thickBot="1">
      <c r="A26" s="99">
        <f>'HIV Neg U5MR 50'!A26</f>
        <v>22</v>
      </c>
      <c r="B26" s="171">
        <f>'HIV Neg U5MR 50'!B26</f>
        <v>826385.49363108212</v>
      </c>
      <c r="C26" s="171">
        <f>'HIV Neg U5MR 250'!I26</f>
        <v>207506.49153261195</v>
      </c>
      <c r="D26" s="172">
        <v>0</v>
      </c>
      <c r="E26" s="171">
        <f>'HIV Pos Neg U5MR 50'!B26</f>
        <v>69939.506368917864</v>
      </c>
      <c r="F26" s="171">
        <f>'HIV Pos Neg U5MR 250'!I26</f>
        <v>14568.062498975378</v>
      </c>
      <c r="G26" s="173">
        <f>'Base values'!C79</f>
        <v>1</v>
      </c>
      <c r="H26" s="171">
        <f>'HIV Pos Pos U5MR 50'!B26</f>
        <v>23012</v>
      </c>
      <c r="I26" s="171">
        <f>'HIV Pos Pos U5MR 250'!I26</f>
        <v>11350.79</v>
      </c>
      <c r="J26" s="173">
        <f>'Base values'!C79</f>
        <v>1</v>
      </c>
      <c r="K26" s="171">
        <f t="shared" si="6"/>
        <v>826385.49363108212</v>
      </c>
      <c r="L26" s="171">
        <f t="shared" si="7"/>
        <v>92951.506368917864</v>
      </c>
      <c r="M26" s="171">
        <f>C26+'HIV Pos Neg U5MR 250'!K26+'HIV Pos Pos U5MR 250'!K26</f>
        <v>207506.49153261195</v>
      </c>
      <c r="N26" s="174">
        <f>'HIV Pos Neg U5MR 250'!L26+'HIV Pos Pos U5MR 250'!L26</f>
        <v>25918.852498975379</v>
      </c>
      <c r="O26" s="154"/>
      <c r="P26" s="149"/>
      <c r="Q26" s="158"/>
      <c r="R26" s="161"/>
      <c r="S26" s="159" t="str">
        <f t="shared" si="10"/>
        <v>22-24</v>
      </c>
      <c r="T26" s="182">
        <f t="shared" si="2"/>
        <v>0.99281520667824852</v>
      </c>
      <c r="U26" s="146" t="str">
        <f t="shared" si="11"/>
        <v>22-23</v>
      </c>
      <c r="V26" s="161">
        <f t="shared" si="3"/>
        <v>0.99110466484828574</v>
      </c>
      <c r="W26" s="146">
        <f t="shared" si="12"/>
        <v>22</v>
      </c>
      <c r="X26" s="152">
        <f t="shared" si="13"/>
        <v>0.98895318673062715</v>
      </c>
      <c r="Y26" s="145"/>
      <c r="Z26" s="151" t="str">
        <f>'output Corrected U5MR'!D24</f>
        <v>-</v>
      </c>
      <c r="AA26" s="147">
        <f>'output Corrected U5MR'!E24</f>
        <v>0</v>
      </c>
      <c r="AB26" s="147">
        <f>'output Corrected U5MR'!L24</f>
        <v>0</v>
      </c>
      <c r="AC26" s="148" t="e">
        <f t="shared" si="4"/>
        <v>#VALUE!</v>
      </c>
      <c r="AD26" s="153" t="e">
        <f t="shared" si="14"/>
        <v>#VALUE!</v>
      </c>
      <c r="AE26" s="150" t="e">
        <f t="shared" ca="1" si="5"/>
        <v>#VALUE!</v>
      </c>
      <c r="AF26" s="46"/>
    </row>
    <row r="27" spans="1:32" s="116" customFormat="1" ht="13.5" thickBot="1">
      <c r="A27" s="123">
        <f>'HIV Neg U5MR 50'!A27</f>
        <v>23</v>
      </c>
      <c r="B27" s="122">
        <f>'HIV Neg U5MR 50'!B27</f>
        <v>830227.93305620481</v>
      </c>
      <c r="C27" s="122">
        <f>'HIV Neg U5MR 250'!I27</f>
        <v>208232.23131171841</v>
      </c>
      <c r="D27" s="106">
        <v>0</v>
      </c>
      <c r="E27" s="122">
        <f>'HIV Pos Neg U5MR 50'!B27</f>
        <v>57515.066943795158</v>
      </c>
      <c r="F27" s="122">
        <f>'HIV Pos Neg U5MR 250'!I27</f>
        <v>11694.869397694918</v>
      </c>
      <c r="G27" s="124">
        <f>'Base values'!C80</f>
        <v>1</v>
      </c>
      <c r="H27" s="122">
        <f>'HIV Pos Pos U5MR 50'!B27</f>
        <v>18989</v>
      </c>
      <c r="I27" s="122">
        <f>'HIV Pos Pos U5MR 250'!I27</f>
        <v>9025.3445000000011</v>
      </c>
      <c r="J27" s="124">
        <f>'Base values'!C80</f>
        <v>1</v>
      </c>
      <c r="K27" s="122">
        <f t="shared" ref="K27:K33" si="15">B27*(1-D27) + E27*(1-G27) + H27*(1-J27)</f>
        <v>830227.93305620481</v>
      </c>
      <c r="L27" s="122">
        <f t="shared" ref="L27:L33" si="16">E27*G27+H27*J27</f>
        <v>76504.066943795158</v>
      </c>
      <c r="M27" s="122">
        <f>C27+'HIV Pos Neg U5MR 250'!K27+'HIV Pos Pos U5MR 250'!K27</f>
        <v>208232.23131171841</v>
      </c>
      <c r="N27" s="134">
        <f>'HIV Pos Neg U5MR 250'!L27+'HIV Pos Pos U5MR 250'!L27</f>
        <v>20720.213897694921</v>
      </c>
      <c r="O27" s="154"/>
      <c r="P27" s="149"/>
      <c r="Q27" s="147"/>
      <c r="R27" s="161"/>
      <c r="S27" s="147"/>
      <c r="T27" s="161"/>
      <c r="U27" s="156" t="str">
        <f t="shared" si="11"/>
        <v>23-24</v>
      </c>
      <c r="V27" s="182">
        <f t="shared" si="3"/>
        <v>0.99483442316767923</v>
      </c>
      <c r="W27" s="146">
        <f t="shared" si="12"/>
        <v>23</v>
      </c>
      <c r="X27" s="152">
        <f t="shared" si="13"/>
        <v>0.99330876671102408</v>
      </c>
      <c r="Y27" s="145"/>
      <c r="Z27" s="151" t="str">
        <f>'output Corrected U5MR'!D25</f>
        <v>-</v>
      </c>
      <c r="AA27" s="147">
        <f>'output Corrected U5MR'!E25</f>
        <v>0</v>
      </c>
      <c r="AB27" s="147">
        <f>'output Corrected U5MR'!L25</f>
        <v>0</v>
      </c>
      <c r="AC27" s="148" t="e">
        <f>RIGHT(Z27,4)-LEFT(Z27,4)+1</f>
        <v>#VALUE!</v>
      </c>
      <c r="AD27" s="153" t="e">
        <f>AD26+AC26</f>
        <v>#VALUE!</v>
      </c>
      <c r="AE27" s="150" t="e">
        <f ca="1">OFFSET($P$4,AD27,2*(5-AC27))</f>
        <v>#VALUE!</v>
      </c>
      <c r="AF27" s="125"/>
    </row>
    <row r="28" spans="1:32" s="116" customFormat="1" ht="13.5" thickBot="1">
      <c r="A28" s="123">
        <f>'HIV Neg U5MR 50'!A28</f>
        <v>24</v>
      </c>
      <c r="B28" s="122">
        <f>'HIV Neg U5MR 50'!B28</f>
        <v>836633.84568017919</v>
      </c>
      <c r="C28" s="122">
        <f>'HIV Neg U5MR 250'!I28</f>
        <v>208852.12362091648</v>
      </c>
      <c r="D28" s="106">
        <v>0</v>
      </c>
      <c r="E28" s="122">
        <f>'HIV Pos Neg U5MR 50'!B28</f>
        <v>45524.15431982078</v>
      </c>
      <c r="F28" s="122">
        <f>'HIV Pos Neg U5MR 250'!I28</f>
        <v>9041.184082677737</v>
      </c>
      <c r="G28" s="124">
        <f>'Base values'!C81</f>
        <v>1</v>
      </c>
      <c r="H28" s="122">
        <f>'HIV Pos Pos U5MR 50'!B28</f>
        <v>15077</v>
      </c>
      <c r="I28" s="122">
        <f>'HIV Pos Pos U5MR 250'!I28</f>
        <v>6889.0535</v>
      </c>
      <c r="J28" s="124">
        <f>'Base values'!C81</f>
        <v>1</v>
      </c>
      <c r="K28" s="122">
        <f t="shared" si="15"/>
        <v>836633.84568017919</v>
      </c>
      <c r="L28" s="122">
        <f t="shared" si="16"/>
        <v>60601.15431982078</v>
      </c>
      <c r="M28" s="122">
        <f>C28+'HIV Pos Neg U5MR 250'!K28+'HIV Pos Pos U5MR 250'!K28</f>
        <v>208852.12362091648</v>
      </c>
      <c r="N28" s="134">
        <f>'HIV Pos Neg U5MR 250'!L28+'HIV Pos Pos U5MR 250'!L28</f>
        <v>15930.237582677737</v>
      </c>
      <c r="O28" s="154"/>
      <c r="P28" s="149"/>
      <c r="Q28" s="147"/>
      <c r="R28" s="161"/>
      <c r="S28" s="147"/>
      <c r="T28" s="161"/>
      <c r="U28" s="147"/>
      <c r="V28" s="161"/>
      <c r="W28" s="156">
        <f t="shared" si="12"/>
        <v>24</v>
      </c>
      <c r="X28" s="157">
        <f t="shared" si="13"/>
        <v>0.99643148855743136</v>
      </c>
      <c r="Y28" s="145"/>
      <c r="Z28" s="151" t="str">
        <f>'output Corrected U5MR'!D26</f>
        <v>-</v>
      </c>
      <c r="AA28" s="147">
        <f>'output Corrected U5MR'!E26</f>
        <v>0</v>
      </c>
      <c r="AB28" s="147">
        <f>'output Corrected U5MR'!L26</f>
        <v>0</v>
      </c>
      <c r="AC28" s="148" t="e">
        <f>RIGHT(Z28,4)-LEFT(Z28,4)+1</f>
        <v>#VALUE!</v>
      </c>
      <c r="AD28" s="153" t="e">
        <f>AD27+AC27</f>
        <v>#VALUE!</v>
      </c>
      <c r="AE28" s="150" t="e">
        <f ca="1">OFFSET($P$4,AD28,2*(5-AC28))</f>
        <v>#VALUE!</v>
      </c>
      <c r="AF28" s="125"/>
    </row>
    <row r="29" spans="1:32" s="116" customFormat="1" ht="13.5" thickBot="1">
      <c r="A29" s="212">
        <f>'HIV Neg U5MR 50'!A29</f>
        <v>25</v>
      </c>
      <c r="B29" s="213">
        <f>'HIV Neg U5MR 50'!B29</f>
        <v>840389.38258109975</v>
      </c>
      <c r="C29" s="213">
        <f>'HIV Neg U5MR 250'!I29</f>
        <v>200197.38947562306</v>
      </c>
      <c r="D29" s="214">
        <v>0</v>
      </c>
      <c r="E29" s="213">
        <f>'HIV Pos Neg U5MR 50'!B29</f>
        <v>34523.6174189003</v>
      </c>
      <c r="F29" s="213">
        <f>'HIV Pos Neg U5MR 250'!I29</f>
        <v>6663.6604334467247</v>
      </c>
      <c r="G29" s="215">
        <f>'Base values'!C82</f>
        <v>1</v>
      </c>
      <c r="H29" s="213">
        <f>'HIV Pos Pos U5MR 50'!B29</f>
        <v>11406</v>
      </c>
      <c r="I29" s="213">
        <f>'HIV Pos Pos U5MR 250'!I29</f>
        <v>5014.1195000000007</v>
      </c>
      <c r="J29" s="215">
        <f>'Base values'!C82</f>
        <v>1</v>
      </c>
      <c r="K29" s="213">
        <f t="shared" si="15"/>
        <v>840389.38258109975</v>
      </c>
      <c r="L29" s="213">
        <f t="shared" si="16"/>
        <v>45929.6174189003</v>
      </c>
      <c r="M29" s="213">
        <f>C29+'HIV Pos Neg U5MR 250'!K29+'HIV Pos Pos U5MR 250'!K29</f>
        <v>200197.38947562306</v>
      </c>
      <c r="N29" s="216">
        <f>'HIV Pos Neg U5MR 250'!L29+'HIV Pos Pos U5MR 250'!L29</f>
        <v>11677.779933446725</v>
      </c>
      <c r="O29" s="154"/>
      <c r="P29" s="155"/>
      <c r="Q29" s="147"/>
      <c r="R29" s="161"/>
      <c r="S29" s="147"/>
      <c r="T29" s="161"/>
      <c r="U29" s="147"/>
      <c r="V29" s="161"/>
      <c r="W29" s="147"/>
      <c r="X29" s="161"/>
      <c r="Y29" s="145"/>
      <c r="Z29" s="159" t="str">
        <f>'output Corrected U5MR'!D31</f>
        <v>Period</v>
      </c>
      <c r="AA29" s="160" t="str">
        <f>'output Corrected U5MR'!E31</f>
        <v>Date</v>
      </c>
      <c r="AB29" s="160" t="str">
        <f>'output Corrected U5MR'!L31</f>
        <v>q5raw</v>
      </c>
      <c r="AC29" s="168" t="e">
        <f>RIGHT(Z29,4)-LEFT(Z29,4)+1</f>
        <v>#VALUE!</v>
      </c>
      <c r="AD29" s="169" t="e">
        <f>AD28+AC28</f>
        <v>#VALUE!</v>
      </c>
      <c r="AE29" s="170" t="e">
        <f ca="1">OFFSET($P$4,AD29,2*(5-AC29))</f>
        <v>#VALUE!</v>
      </c>
      <c r="AF29" s="125"/>
    </row>
    <row r="30" spans="1:32" s="116" customFormat="1">
      <c r="A30" s="217">
        <f>'HIV Neg U5MR 50'!A30</f>
        <v>26</v>
      </c>
      <c r="B30" s="218">
        <f>'HIV Neg U5MR 50'!B30</f>
        <v>839518.91477298003</v>
      </c>
      <c r="C30" s="218">
        <f>'HIV Neg U5MR 250'!I30</f>
        <v>190683.08056791572</v>
      </c>
      <c r="D30" s="219">
        <v>0</v>
      </c>
      <c r="E30" s="218">
        <f>'HIV Pos Neg U5MR 50'!B30</f>
        <v>25185.085227019939</v>
      </c>
      <c r="F30" s="218">
        <f>'HIV Pos Neg U5MR 250'!I30</f>
        <v>4719.811295954767</v>
      </c>
      <c r="G30" s="220">
        <f>'Base values'!C83</f>
        <v>1</v>
      </c>
      <c r="H30" s="218">
        <f>'HIV Pos Pos U5MR 50'!B30</f>
        <v>8309</v>
      </c>
      <c r="I30" s="218">
        <f>'HIV Pos Pos U5MR 250'!I30</f>
        <v>3497.8670000000002</v>
      </c>
      <c r="J30" s="220">
        <f>'Base values'!C83</f>
        <v>1</v>
      </c>
      <c r="K30" s="218">
        <f t="shared" si="15"/>
        <v>839518.91477298003</v>
      </c>
      <c r="L30" s="218">
        <f t="shared" si="16"/>
        <v>33494.085227019939</v>
      </c>
      <c r="M30" s="218">
        <f>C30+'HIV Pos Neg U5MR 250'!K30+'HIV Pos Pos U5MR 250'!K30</f>
        <v>190683.08056791572</v>
      </c>
      <c r="N30" s="221">
        <f>'HIV Pos Neg U5MR 250'!L30+'HIV Pos Pos U5MR 250'!L30</f>
        <v>8217.6782959547672</v>
      </c>
      <c r="O30" s="125"/>
    </row>
    <row r="31" spans="1:32" s="116" customFormat="1">
      <c r="A31" s="212">
        <f>'HIV Neg U5MR 50'!A31</f>
        <v>27</v>
      </c>
      <c r="B31" s="213">
        <f>'HIV Neg U5MR 50'!B31</f>
        <v>832038.27103829291</v>
      </c>
      <c r="C31" s="213">
        <f>'HIV Neg U5MR 250'!I31</f>
        <v>176398.15377779587</v>
      </c>
      <c r="D31" s="214">
        <v>0</v>
      </c>
      <c r="E31" s="213">
        <f>'HIV Pos Neg U5MR 50'!B31</f>
        <v>17622.728961707078</v>
      </c>
      <c r="F31" s="213">
        <f>'HIV Pos Neg U5MR 250'!I31</f>
        <v>3177.6493040863838</v>
      </c>
      <c r="G31" s="215">
        <f>'Base values'!C84</f>
        <v>1</v>
      </c>
      <c r="H31" s="213">
        <f>'HIV Pos Pos U5MR 50'!B31</f>
        <v>5805</v>
      </c>
      <c r="I31" s="213">
        <f>'HIV Pos Pos U5MR 250'!I31</f>
        <v>2314.4380000000001</v>
      </c>
      <c r="J31" s="215">
        <f>'Base values'!C84</f>
        <v>1</v>
      </c>
      <c r="K31" s="213">
        <f t="shared" si="15"/>
        <v>832038.27103829291</v>
      </c>
      <c r="L31" s="213">
        <f t="shared" si="16"/>
        <v>23427.728961707078</v>
      </c>
      <c r="M31" s="213">
        <f>C31+'HIV Pos Neg U5MR 250'!K31+'HIV Pos Pos U5MR 250'!K31</f>
        <v>176398.15377779587</v>
      </c>
      <c r="N31" s="216">
        <f>'HIV Pos Neg U5MR 250'!L31+'HIV Pos Pos U5MR 250'!L31</f>
        <v>5492.0873040863844</v>
      </c>
      <c r="O31" s="125"/>
    </row>
    <row r="32" spans="1:32" s="116" customFormat="1">
      <c r="A32" s="212">
        <f>'HIV Neg U5MR 50'!A32</f>
        <v>28</v>
      </c>
      <c r="B32" s="213">
        <f>'HIV Neg U5MR 50'!B32</f>
        <v>819828.22422705835</v>
      </c>
      <c r="C32" s="213">
        <f>'HIV Neg U5MR 250'!I32</f>
        <v>149886.31606695277</v>
      </c>
      <c r="D32" s="214">
        <v>0</v>
      </c>
      <c r="E32" s="213">
        <f>'HIV Pos Neg U5MR 50'!B32</f>
        <v>11855.775772941659</v>
      </c>
      <c r="F32" s="213">
        <f>'HIV Pos Neg U5MR 250'!I32</f>
        <v>1966.445799820985</v>
      </c>
      <c r="G32" s="215">
        <f>'Base values'!C85</f>
        <v>1</v>
      </c>
      <c r="H32" s="213">
        <f>'HIV Pos Pos U5MR 50'!B32</f>
        <v>3928</v>
      </c>
      <c r="I32" s="213">
        <f>'HIV Pos Pos U5MR 250'!I32</f>
        <v>1382.0280000000002</v>
      </c>
      <c r="J32" s="215">
        <f>'Base values'!C85</f>
        <v>1</v>
      </c>
      <c r="K32" s="213">
        <f t="shared" si="15"/>
        <v>819828.22422705835</v>
      </c>
      <c r="L32" s="213">
        <f t="shared" si="16"/>
        <v>15783.775772941659</v>
      </c>
      <c r="M32" s="213">
        <f>C32+'HIV Pos Neg U5MR 250'!K32+'HIV Pos Pos U5MR 250'!K32</f>
        <v>149886.31606695277</v>
      </c>
      <c r="N32" s="216">
        <f>'HIV Pos Neg U5MR 250'!L32+'HIV Pos Pos U5MR 250'!L32</f>
        <v>3348.4737998209853</v>
      </c>
      <c r="O32" s="125"/>
    </row>
    <row r="33" spans="1:15" s="116" customFormat="1" ht="13.5" thickBot="1">
      <c r="A33" s="222">
        <f>'HIV Neg U5MR 50'!A33</f>
        <v>29</v>
      </c>
      <c r="B33" s="223">
        <f>'HIV Neg U5MR 50'!B33</f>
        <v>805075.62538199848</v>
      </c>
      <c r="C33" s="223">
        <f>'HIV Neg U5MR 250'!I33</f>
        <v>107590.59429160153</v>
      </c>
      <c r="D33" s="224">
        <v>0</v>
      </c>
      <c r="E33" s="223">
        <f>'HIV Pos Neg U5MR 50'!B33</f>
        <v>7627.3746180014859</v>
      </c>
      <c r="F33" s="223">
        <f>'HIV Pos Neg U5MR 250'!I33</f>
        <v>1019.3250697983515</v>
      </c>
      <c r="G33" s="225">
        <f>'Base values'!C86</f>
        <v>1</v>
      </c>
      <c r="H33" s="223">
        <f>'HIV Pos Pos U5MR 50'!B33</f>
        <v>2564</v>
      </c>
      <c r="I33" s="223">
        <f>'HIV Pos Pos U5MR 250'!I33</f>
        <v>482.03199999999987</v>
      </c>
      <c r="J33" s="225">
        <f>'Base values'!C86</f>
        <v>1</v>
      </c>
      <c r="K33" s="223">
        <f t="shared" si="15"/>
        <v>805075.62538199848</v>
      </c>
      <c r="L33" s="223">
        <f t="shared" si="16"/>
        <v>10191.374618001486</v>
      </c>
      <c r="M33" s="223">
        <f>C33+'HIV Pos Neg U5MR 250'!K33+'HIV Pos Pos U5MR 250'!K33</f>
        <v>107590.59429160153</v>
      </c>
      <c r="N33" s="226">
        <f>'HIV Pos Neg U5MR 250'!L33+'HIV Pos Pos U5MR 250'!L33</f>
        <v>1501.3570697983514</v>
      </c>
      <c r="O33" s="125"/>
    </row>
  </sheetData>
  <mergeCells count="18">
    <mergeCell ref="AE2:AE3"/>
    <mergeCell ref="U2:U3"/>
    <mergeCell ref="V2:V3"/>
    <mergeCell ref="W2:W3"/>
    <mergeCell ref="X2:X3"/>
    <mergeCell ref="AD2:AD3"/>
    <mergeCell ref="Q2:Q3"/>
    <mergeCell ref="R2:R3"/>
    <mergeCell ref="S2:S3"/>
    <mergeCell ref="T2:T3"/>
    <mergeCell ref="AC2:AC3"/>
    <mergeCell ref="M2:N2"/>
    <mergeCell ref="O2:O3"/>
    <mergeCell ref="P2:P3"/>
    <mergeCell ref="B2:D2"/>
    <mergeCell ref="E2:G2"/>
    <mergeCell ref="H2:J2"/>
    <mergeCell ref="K2:L2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topLeftCell="D1" zoomScale="80" zoomScaleNormal="80" workbookViewId="0">
      <selection activeCell="U2" sqref="U2"/>
    </sheetView>
  </sheetViews>
  <sheetFormatPr defaultRowHeight="12.75"/>
  <cols>
    <col min="3" max="3" width="73.28515625" customWidth="1"/>
    <col min="4" max="4" width="12.5703125" customWidth="1"/>
    <col min="5" max="5" width="13" customWidth="1"/>
    <col min="9" max="11" width="9.140625" customWidth="1"/>
    <col min="22" max="22" width="11.42578125" customWidth="1"/>
  </cols>
  <sheetData>
    <row r="1" spans="1:31">
      <c r="A1" s="264" t="s">
        <v>72</v>
      </c>
      <c r="B1" s="264" t="s">
        <v>74</v>
      </c>
      <c r="C1" s="264" t="s">
        <v>139</v>
      </c>
      <c r="D1" s="265" t="s">
        <v>43</v>
      </c>
      <c r="E1" s="265" t="s">
        <v>50</v>
      </c>
      <c r="F1" s="266" t="s">
        <v>157</v>
      </c>
      <c r="G1" s="245" t="s">
        <v>148</v>
      </c>
      <c r="H1" s="245" t="s">
        <v>173</v>
      </c>
      <c r="I1" s="245" t="s">
        <v>207</v>
      </c>
      <c r="J1" s="245" t="s">
        <v>208</v>
      </c>
      <c r="K1" s="245" t="s">
        <v>177</v>
      </c>
      <c r="L1" s="245" t="s">
        <v>123</v>
      </c>
      <c r="M1" s="245" t="s">
        <v>158</v>
      </c>
      <c r="N1" s="245" t="s">
        <v>159</v>
      </c>
      <c r="O1" s="245" t="s">
        <v>160</v>
      </c>
      <c r="P1" s="234"/>
      <c r="Q1" s="238" t="s">
        <v>176</v>
      </c>
      <c r="R1" s="242" t="s">
        <v>124</v>
      </c>
      <c r="S1" s="240" t="s">
        <v>125</v>
      </c>
      <c r="T1" s="240" t="s">
        <v>126</v>
      </c>
      <c r="U1" s="240" t="s">
        <v>127</v>
      </c>
      <c r="V1" s="240" t="s">
        <v>128</v>
      </c>
      <c r="W1" s="240" t="s">
        <v>129</v>
      </c>
      <c r="X1" s="240" t="s">
        <v>130</v>
      </c>
      <c r="Y1" s="240" t="s">
        <v>131</v>
      </c>
      <c r="Z1" s="240" t="s">
        <v>132</v>
      </c>
      <c r="AA1" s="240" t="s">
        <v>133</v>
      </c>
      <c r="AB1" s="240" t="s">
        <v>134</v>
      </c>
      <c r="AC1" s="240" t="s">
        <v>135</v>
      </c>
      <c r="AD1" s="240" t="s">
        <v>136</v>
      </c>
      <c r="AE1" s="240" t="s">
        <v>137</v>
      </c>
    </row>
    <row r="2" spans="1:31">
      <c r="A2" s="246">
        <f>'UNAIDS 2016'!N1</f>
        <v>404</v>
      </c>
      <c r="B2" s="246" t="str">
        <f>'input data'!A1</f>
        <v>Kenya</v>
      </c>
      <c r="C2" s="246" t="str">
        <f ca="1">'input data'!B4&amp;IF(SUM(M2:M26)=0,""," (MM adjusted)")&amp;"_"&amp;'input data'!B5&amp;"_"&amp;'input data'!B7</f>
        <v>Demographic and Health Survey (MM adjusted)_Direct (Various periods)_2014</v>
      </c>
      <c r="D2" s="246" t="str">
        <f>SUBSTITUTE('input data'!A15, " ", "")</f>
        <v>2013-2013</v>
      </c>
      <c r="E2" s="246">
        <f>'input data'!B15</f>
        <v>2013.5</v>
      </c>
      <c r="F2" s="248">
        <f ca="1">IF(ISERROR(Q2),L2,IF(Q2=0,L2,Q2))</f>
        <v>49.948536210866905</v>
      </c>
      <c r="G2" s="246">
        <f ca="1">F2/L2*'input data'!D15</f>
        <v>4.4396451501458936</v>
      </c>
      <c r="H2" s="246">
        <f>VALUE(RIGHT('input data'!B7,4))</f>
        <v>2014</v>
      </c>
      <c r="I2" s="246" t="s">
        <v>174</v>
      </c>
      <c r="J2" s="246" t="s">
        <v>175</v>
      </c>
      <c r="K2" s="246">
        <v>0</v>
      </c>
      <c r="L2" s="246">
        <f>'input data'!C15</f>
        <v>49.39</v>
      </c>
      <c r="M2" s="246">
        <f ca="1">F2-L2</f>
        <v>0.55853621086690453</v>
      </c>
      <c r="N2" s="246">
        <f t="shared" ref="N2:N26" ca="1" si="0">M2/L2</f>
        <v>1.1308690238244675E-2</v>
      </c>
      <c r="O2" s="246">
        <f>'New Format'!B1</f>
        <v>75</v>
      </c>
      <c r="P2" s="235"/>
      <c r="Q2" s="238">
        <f ca="1">OFFSET(R2,0,IF(O2&lt;175,(O2-25)/25-1,O2/50+1))</f>
        <v>49.948536210866905</v>
      </c>
      <c r="R2" s="243">
        <f t="shared" ref="R2:R26" ca="1" si="1">IF(Y2&gt;0,$L2/Y2,0)</f>
        <v>49.837414655318483</v>
      </c>
      <c r="S2" s="241">
        <f t="shared" ref="S2:S26" ca="1" si="2">IF(Z2&gt;0,$L2/Z2,0)</f>
        <v>49.948536210866905</v>
      </c>
      <c r="T2" s="241">
        <f t="shared" ref="T2:T26" ca="1" si="3">IF(AA2&gt;0,$L2/AA2,0)</f>
        <v>49.734825639029118</v>
      </c>
      <c r="U2" s="241">
        <f t="shared" ref="U2:U26" ca="1" si="4">IF(AB2&gt;0,$L2/AB2,0)</f>
        <v>49.799676798164647</v>
      </c>
      <c r="V2" s="241">
        <f t="shared" ref="V2:V26" ca="1" si="5">IF(AC2&gt;0,$L2/AC2,0)</f>
        <v>49.693775147730527</v>
      </c>
      <c r="W2" s="241">
        <f t="shared" ref="W2:W26" ca="1" si="6">IF(AD2&gt;0,$L2/AD2,0)</f>
        <v>49.686063086402527</v>
      </c>
      <c r="X2" s="241">
        <f t="shared" ref="X2:X26" ca="1" si="7">IF(AE2&gt;0,$L2/AE2,0)</f>
        <v>49.675357829804824</v>
      </c>
      <c r="Y2" s="238">
        <f ca="1">'Summary U5MR 50'!$AE4</f>
        <v>0.99102251474293246</v>
      </c>
      <c r="Z2" s="238">
        <f ca="1">'Summary U5MR 75'!$AE4</f>
        <v>0.98881776618019512</v>
      </c>
      <c r="AA2" s="238">
        <f ca="1">'Summary U5MR 100'!$AE4</f>
        <v>0.9930667166397279</v>
      </c>
      <c r="AB2" s="238">
        <f ca="1">'Summary U5MR 125'!$AE4</f>
        <v>0.99177350487986005</v>
      </c>
      <c r="AC2" s="238">
        <f ca="1">'Summary U5MR 150'!$AE4</f>
        <v>0.99388705835232971</v>
      </c>
      <c r="AD2" s="238">
        <f ca="1">'Summary U5MR 200'!$AE4</f>
        <v>0.99404132531314304</v>
      </c>
      <c r="AE2" s="238">
        <f ca="1">'Summary U5MR 250'!$AE4</f>
        <v>0.99425554556078888</v>
      </c>
    </row>
    <row r="3" spans="1:31">
      <c r="A3" s="246">
        <f>IF($E3=0,0,A2)</f>
        <v>404</v>
      </c>
      <c r="B3" s="246" t="str">
        <f>IF($E3=0,0,B2)</f>
        <v>Kenya</v>
      </c>
      <c r="C3" s="246" t="str">
        <f ca="1">IF($E3=0,0,C2)</f>
        <v>Demographic and Health Survey (MM adjusted)_Direct (Various periods)_2014</v>
      </c>
      <c r="D3" s="246" t="str">
        <f>SUBSTITUTE('input data'!A16, " ", "")</f>
        <v>2012-2012</v>
      </c>
      <c r="E3" s="246">
        <f>'input data'!B16</f>
        <v>2012.5</v>
      </c>
      <c r="F3" s="248">
        <f t="shared" ref="F3:F26" ca="1" si="8">IF(ISERROR(Q3),L3,IF(Q3=0,L3,Q3))</f>
        <v>52.555089744912692</v>
      </c>
      <c r="G3" s="246">
        <f ca="1">F3/L3*'input data'!D16</f>
        <v>5.0187926414047688</v>
      </c>
      <c r="H3" s="246">
        <f>IF($E3=0,0,H2)</f>
        <v>2014</v>
      </c>
      <c r="I3" s="246" t="s">
        <v>174</v>
      </c>
      <c r="J3" s="246" t="s">
        <v>175</v>
      </c>
      <c r="K3" s="246">
        <v>0</v>
      </c>
      <c r="L3" s="246">
        <f>'input data'!C16</f>
        <v>51.73</v>
      </c>
      <c r="M3" s="246">
        <f t="shared" ref="M3:M26" ca="1" si="9">F3-L3</f>
        <v>0.82508974491269527</v>
      </c>
      <c r="N3" s="246">
        <f t="shared" ca="1" si="0"/>
        <v>1.5949927409872323E-2</v>
      </c>
      <c r="O3" s="246">
        <f t="shared" ref="O3:O6" si="10">IF($E3=0,0,O2)</f>
        <v>75</v>
      </c>
      <c r="P3" s="235"/>
      <c r="Q3" s="238">
        <f t="shared" ref="Q3:Q26" ca="1" si="11">OFFSET(R3,0,IF(O3&lt;175,(O3-25)/25-1,O3/50+1))</f>
        <v>52.555089744912692</v>
      </c>
      <c r="R3" s="243">
        <f t="shared" ca="1" si="1"/>
        <v>52.50883979266488</v>
      </c>
      <c r="S3" s="241">
        <f t="shared" ca="1" si="2"/>
        <v>52.555089744912692</v>
      </c>
      <c r="T3" s="241">
        <f t="shared" ca="1" si="3"/>
        <v>52.273166945341735</v>
      </c>
      <c r="U3" s="241">
        <f t="shared" ca="1" si="4"/>
        <v>52.316999879649892</v>
      </c>
      <c r="V3" s="241">
        <f t="shared" ca="1" si="5"/>
        <v>52.183644045909688</v>
      </c>
      <c r="W3" s="241">
        <f t="shared" ca="1" si="6"/>
        <v>52.149120009399972</v>
      </c>
      <c r="X3" s="241">
        <f t="shared" ca="1" si="7"/>
        <v>52.123521254772463</v>
      </c>
      <c r="Y3" s="238">
        <f ca="1">'Summary U5MR 50'!$AE5</f>
        <v>0.98516745378987258</v>
      </c>
      <c r="Z3" s="238">
        <f ca="1">'Summary U5MR 75'!$AE5</f>
        <v>0.98430047881342331</v>
      </c>
      <c r="AA3" s="238">
        <f ca="1">'Summary U5MR 100'!$AE5</f>
        <v>0.98960906757553668</v>
      </c>
      <c r="AB3" s="238">
        <f ca="1">'Summary U5MR 125'!$AE5</f>
        <v>0.98877993996214941</v>
      </c>
      <c r="AC3" s="238">
        <f ca="1">'Summary U5MR 150'!$AE5</f>
        <v>0.99130677716737092</v>
      </c>
      <c r="AD3" s="238">
        <f ca="1">'Summary U5MR 200'!$AE5</f>
        <v>0.99196304732803875</v>
      </c>
      <c r="AE3" s="238">
        <f ca="1">'Summary U5MR 250'!$AE5</f>
        <v>0.99245021738172701</v>
      </c>
    </row>
    <row r="4" spans="1:31">
      <c r="A4" s="246">
        <f t="shared" ref="A4:A26" si="12">IF($E4=0,0,A3)</f>
        <v>404</v>
      </c>
      <c r="B4" s="246" t="str">
        <f t="shared" ref="B4:B26" si="13">IF($E4=0,0,B3)</f>
        <v>Kenya</v>
      </c>
      <c r="C4" s="246" t="str">
        <f t="shared" ref="C4:C26" ca="1" si="14">IF($E4=0,0,C3)</f>
        <v>Demographic and Health Survey (MM adjusted)_Direct (Various periods)_2014</v>
      </c>
      <c r="D4" s="246" t="str">
        <f>SUBSTITUTE('input data'!A17, " ", "")</f>
        <v>2011-2011</v>
      </c>
      <c r="E4" s="246">
        <f>'input data'!B17</f>
        <v>2011.5</v>
      </c>
      <c r="F4" s="248">
        <f t="shared" ca="1" si="8"/>
        <v>51.486971177334382</v>
      </c>
      <c r="G4" s="246">
        <f ca="1">F4/L4*'input data'!D17</f>
        <v>4.7066217951122651</v>
      </c>
      <c r="H4" s="246">
        <f t="shared" ref="H4:H26" si="15">IF($E4=0,0,H3)</f>
        <v>2014</v>
      </c>
      <c r="I4" s="246" t="s">
        <v>174</v>
      </c>
      <c r="J4" s="246" t="s">
        <v>175</v>
      </c>
      <c r="K4" s="246">
        <v>0</v>
      </c>
      <c r="L4" s="246">
        <f>'input data'!C17</f>
        <v>50.43</v>
      </c>
      <c r="M4" s="246">
        <f t="shared" ca="1" si="9"/>
        <v>1.0569711773343826</v>
      </c>
      <c r="N4" s="246">
        <f t="shared" ca="1" si="0"/>
        <v>2.0959174644742864E-2</v>
      </c>
      <c r="O4" s="246">
        <f t="shared" si="10"/>
        <v>75</v>
      </c>
      <c r="P4" s="235"/>
      <c r="Q4" s="238">
        <f t="shared" ca="1" si="11"/>
        <v>51.486971177334382</v>
      </c>
      <c r="R4" s="243">
        <f t="shared" ca="1" si="1"/>
        <v>51.564004082707157</v>
      </c>
      <c r="S4" s="241">
        <f t="shared" ca="1" si="2"/>
        <v>51.486971177334382</v>
      </c>
      <c r="T4" s="241">
        <f t="shared" ca="1" si="3"/>
        <v>51.158051566641596</v>
      </c>
      <c r="U4" s="241">
        <f t="shared" ca="1" si="4"/>
        <v>51.157306975212386</v>
      </c>
      <c r="V4" s="241">
        <f t="shared" ca="1" si="5"/>
        <v>51.008826715081987</v>
      </c>
      <c r="W4" s="241">
        <f t="shared" ca="1" si="6"/>
        <v>50.940013793206298</v>
      </c>
      <c r="X4" s="241">
        <f t="shared" ca="1" si="7"/>
        <v>50.895870269570466</v>
      </c>
      <c r="Y4" s="238">
        <f ca="1">'Summary U5MR 50'!$AE6</f>
        <v>0.97800783506090316</v>
      </c>
      <c r="Z4" s="238">
        <f ca="1">'Summary U5MR 75'!$AE6</f>
        <v>0.97947109427560031</v>
      </c>
      <c r="AA4" s="238">
        <f ca="1">'Summary U5MR 100'!$AE6</f>
        <v>0.98576858296307102</v>
      </c>
      <c r="AB4" s="238">
        <f ca="1">'Summary U5MR 125'!$AE6</f>
        <v>0.98578293076363865</v>
      </c>
      <c r="AC4" s="238">
        <f ca="1">'Summary U5MR 150'!$AE6</f>
        <v>0.98865242052488056</v>
      </c>
      <c r="AD4" s="238">
        <f ca="1">'Summary U5MR 200'!$AE6</f>
        <v>0.98998795337439982</v>
      </c>
      <c r="AE4" s="238">
        <f ca="1">'Summary U5MR 250'!$AE6</f>
        <v>0.99084659979084788</v>
      </c>
    </row>
    <row r="5" spans="1:31">
      <c r="A5" s="246">
        <f t="shared" si="12"/>
        <v>404</v>
      </c>
      <c r="B5" s="246" t="str">
        <f t="shared" si="13"/>
        <v>Kenya</v>
      </c>
      <c r="C5" s="246" t="str">
        <f t="shared" ca="1" si="14"/>
        <v>Demographic and Health Survey (MM adjusted)_Direct (Various periods)_2014</v>
      </c>
      <c r="D5" s="246" t="str">
        <f>SUBSTITUTE('input data'!A18, " ", "")</f>
        <v>2010-2010</v>
      </c>
      <c r="E5" s="246">
        <f>'input data'!B18</f>
        <v>2010.5</v>
      </c>
      <c r="F5" s="248">
        <f t="shared" ca="1" si="8"/>
        <v>52.026059896931372</v>
      </c>
      <c r="G5" s="246">
        <f ca="1">F5/L5*'input data'!D18</f>
        <v>4.4032338611600998</v>
      </c>
      <c r="H5" s="246">
        <f t="shared" si="15"/>
        <v>2014</v>
      </c>
      <c r="I5" s="246" t="s">
        <v>174</v>
      </c>
      <c r="J5" s="246" t="s">
        <v>175</v>
      </c>
      <c r="K5" s="246">
        <v>0</v>
      </c>
      <c r="L5" s="246">
        <f>'input data'!C18</f>
        <v>50.57</v>
      </c>
      <c r="M5" s="246">
        <f t="shared" ca="1" si="9"/>
        <v>1.4560598969313716</v>
      </c>
      <c r="N5" s="246">
        <f t="shared" ca="1" si="0"/>
        <v>2.8792958214976697E-2</v>
      </c>
      <c r="O5" s="246">
        <f t="shared" si="10"/>
        <v>75</v>
      </c>
      <c r="P5" s="235"/>
      <c r="Q5" s="238">
        <f t="shared" ca="1" si="11"/>
        <v>52.026059896931372</v>
      </c>
      <c r="R5" s="243">
        <f t="shared" ca="1" si="1"/>
        <v>52.285340076571337</v>
      </c>
      <c r="S5" s="241">
        <f t="shared" ca="1" si="2"/>
        <v>52.026059896931372</v>
      </c>
      <c r="T5" s="241">
        <f t="shared" ca="1" si="3"/>
        <v>51.596466448743953</v>
      </c>
      <c r="U5" s="241">
        <f t="shared" ca="1" si="4"/>
        <v>51.537357531913422</v>
      </c>
      <c r="V5" s="241">
        <f t="shared" ca="1" si="5"/>
        <v>51.348860509380124</v>
      </c>
      <c r="W5" s="241">
        <f t="shared" ca="1" si="6"/>
        <v>51.229619462345461</v>
      </c>
      <c r="X5" s="241">
        <f t="shared" ca="1" si="7"/>
        <v>51.155165179364296</v>
      </c>
      <c r="Y5" s="238">
        <f ca="1">'Summary U5MR 50'!$AE7</f>
        <v>0.96719271455327172</v>
      </c>
      <c r="Z5" s="238">
        <f ca="1">'Summary U5MR 75'!$AE7</f>
        <v>0.97201287393633173</v>
      </c>
      <c r="AA5" s="238">
        <f ca="1">'Summary U5MR 100'!$AE7</f>
        <v>0.98010587702234131</v>
      </c>
      <c r="AB5" s="238">
        <f ca="1">'Summary U5MR 125'!$AE7</f>
        <v>0.98122997417330904</v>
      </c>
      <c r="AC5" s="238">
        <f ca="1">'Summary U5MR 150'!$AE7</f>
        <v>0.98483198065830801</v>
      </c>
      <c r="AD5" s="238">
        <f ca="1">'Summary U5MR 200'!$AE7</f>
        <v>0.98712425605990906</v>
      </c>
      <c r="AE5" s="238">
        <f ca="1">'Summary U5MR 250'!$AE7</f>
        <v>0.98856097566467549</v>
      </c>
    </row>
    <row r="6" spans="1:31">
      <c r="A6" s="246">
        <f t="shared" si="12"/>
        <v>404</v>
      </c>
      <c r="B6" s="246" t="str">
        <f t="shared" si="13"/>
        <v>Kenya</v>
      </c>
      <c r="C6" s="246" t="str">
        <f t="shared" ca="1" si="14"/>
        <v>Demographic and Health Survey (MM adjusted)_Direct (Various periods)_2014</v>
      </c>
      <c r="D6" s="246" t="str">
        <f>SUBSTITUTE('input data'!A19, " ", "")</f>
        <v>2009-2009</v>
      </c>
      <c r="E6" s="246">
        <f>'input data'!B19</f>
        <v>2009.5</v>
      </c>
      <c r="F6" s="248">
        <f t="shared" ca="1" si="8"/>
        <v>55.339426424400607</v>
      </c>
      <c r="G6" s="246">
        <f ca="1">F6/L6*'input data'!D19</f>
        <v>4.6376144654796443</v>
      </c>
      <c r="H6" s="246">
        <f t="shared" si="15"/>
        <v>2014</v>
      </c>
      <c r="I6" s="246" t="s">
        <v>174</v>
      </c>
      <c r="J6" s="246" t="s">
        <v>175</v>
      </c>
      <c r="K6" s="246">
        <v>0</v>
      </c>
      <c r="L6" s="246">
        <f>'input data'!C19</f>
        <v>53.22</v>
      </c>
      <c r="M6" s="246">
        <f t="shared" ca="1" si="9"/>
        <v>2.1194264244006078</v>
      </c>
      <c r="N6" s="246">
        <f t="shared" ca="1" si="0"/>
        <v>3.9823871183776921E-2</v>
      </c>
      <c r="O6" s="246">
        <f t="shared" si="10"/>
        <v>75</v>
      </c>
      <c r="P6" s="235"/>
      <c r="Q6" s="238">
        <f t="shared" ca="1" si="11"/>
        <v>55.339426424400607</v>
      </c>
      <c r="R6" s="243">
        <f t="shared" ca="1" si="1"/>
        <v>55.884340265807374</v>
      </c>
      <c r="S6" s="241">
        <f t="shared" ca="1" si="2"/>
        <v>55.339426424400607</v>
      </c>
      <c r="T6" s="241">
        <f t="shared" ca="1" si="3"/>
        <v>54.728155048259907</v>
      </c>
      <c r="U6" s="241">
        <f t="shared" ca="1" si="4"/>
        <v>54.577616586344234</v>
      </c>
      <c r="V6" s="241">
        <f t="shared" ca="1" si="5"/>
        <v>54.315941289054088</v>
      </c>
      <c r="W6" s="241">
        <f t="shared" ca="1" si="6"/>
        <v>54.11129452283474</v>
      </c>
      <c r="X6" s="241">
        <f t="shared" ca="1" si="7"/>
        <v>53.986102887595827</v>
      </c>
      <c r="Y6" s="238">
        <f ca="1">'Summary U5MR 50'!$AE8</f>
        <v>0.95232402756953471</v>
      </c>
      <c r="Z6" s="238">
        <f ca="1">'Summary U5MR 75'!$AE8</f>
        <v>0.96170133011233927</v>
      </c>
      <c r="AA6" s="238">
        <f ca="1">'Summary U5MR 100'!$AE8</f>
        <v>0.97244279389776611</v>
      </c>
      <c r="AB6" s="238">
        <f ca="1">'Summary U5MR 125'!$AE8</f>
        <v>0.97512502979685045</v>
      </c>
      <c r="AC6" s="238">
        <f ca="1">'Summary U5MR 150'!$AE8</f>
        <v>0.9798228427411062</v>
      </c>
      <c r="AD6" s="238">
        <f ca="1">'Summary U5MR 200'!$AE8</f>
        <v>0.98352849380717333</v>
      </c>
      <c r="AE6" s="238">
        <f ca="1">'Summary U5MR 250'!$AE8</f>
        <v>0.9858092574455517</v>
      </c>
    </row>
    <row r="7" spans="1:31">
      <c r="A7" s="246">
        <f t="shared" si="12"/>
        <v>404</v>
      </c>
      <c r="B7" s="246" t="str">
        <f t="shared" si="13"/>
        <v>Kenya</v>
      </c>
      <c r="C7" s="246" t="str">
        <f t="shared" ca="1" si="14"/>
        <v>Demographic and Health Survey (MM adjusted)_Direct (Various periods)_2014</v>
      </c>
      <c r="D7" s="246" t="str">
        <f>SUBSTITUTE('input data'!A20, " ", "")</f>
        <v>2008-2008</v>
      </c>
      <c r="E7" s="246">
        <f>IF('input data'!$B$20-'input data'!$B$15=25,0,'input data'!B20)</f>
        <v>2008.5</v>
      </c>
      <c r="F7" s="248">
        <f t="shared" ca="1" si="8"/>
        <v>69.184132623582187</v>
      </c>
      <c r="G7" s="246">
        <f ca="1">F7/L7*'input data'!D20</f>
        <v>6.2224657404561068</v>
      </c>
      <c r="H7" s="246">
        <f t="shared" si="15"/>
        <v>2014</v>
      </c>
      <c r="I7" s="246" t="s">
        <v>174</v>
      </c>
      <c r="J7" s="246" t="s">
        <v>175</v>
      </c>
      <c r="K7" s="246">
        <v>0</v>
      </c>
      <c r="L7" s="246">
        <f>IF('input data'!$B$20-'input data'!$B$15=25,0,'input data'!C20)</f>
        <v>65.709999999999994</v>
      </c>
      <c r="M7" s="246">
        <f t="shared" ca="1" si="9"/>
        <v>3.474132623582193</v>
      </c>
      <c r="N7" s="246">
        <f t="shared" ca="1" si="0"/>
        <v>5.2870683664315833E-2</v>
      </c>
      <c r="O7" s="246">
        <f t="shared" ref="O7:O26" si="16">IF($E7=0,0,O6)</f>
        <v>75</v>
      </c>
      <c r="P7" s="235"/>
      <c r="Q7" s="238">
        <f t="shared" ca="1" si="11"/>
        <v>69.184132623582187</v>
      </c>
      <c r="R7" s="243">
        <f t="shared" ca="1" si="1"/>
        <v>70.293770555865905</v>
      </c>
      <c r="S7" s="241">
        <f t="shared" ca="1" si="2"/>
        <v>69.184132623582187</v>
      </c>
      <c r="T7" s="241">
        <f t="shared" ca="1" si="3"/>
        <v>68.195235302690435</v>
      </c>
      <c r="U7" s="241">
        <f t="shared" ca="1" si="4"/>
        <v>67.867032910980356</v>
      </c>
      <c r="V7" s="241">
        <f t="shared" ca="1" si="5"/>
        <v>67.451592785538423</v>
      </c>
      <c r="W7" s="241">
        <f t="shared" ca="1" si="6"/>
        <v>67.077046388205645</v>
      </c>
      <c r="X7" s="241">
        <f t="shared" ca="1" si="7"/>
        <v>66.850554683896064</v>
      </c>
      <c r="Y7" s="238">
        <f ca="1">'Summary U5MR 50'!$AE9</f>
        <v>0.93479122659634595</v>
      </c>
      <c r="Z7" s="238">
        <f ca="1">'Summary U5MR 75'!$AE9</f>
        <v>0.94978425699886571</v>
      </c>
      <c r="AA7" s="238">
        <f ca="1">'Summary U5MR 100'!$AE9</f>
        <v>0.96355705363198019</v>
      </c>
      <c r="AB7" s="238">
        <f ca="1">'Summary U5MR 125'!$AE9</f>
        <v>0.96821677892107516</v>
      </c>
      <c r="AC7" s="238">
        <f ca="1">'Summary U5MR 150'!$AE9</f>
        <v>0.97418010882150985</v>
      </c>
      <c r="AD7" s="238">
        <f ca="1">'Summary U5MR 200'!$AE9</f>
        <v>0.97961975874289497</v>
      </c>
      <c r="AE7" s="238">
        <f ca="1">'Summary U5MR 250'!$AE9</f>
        <v>0.98293874016020966</v>
      </c>
    </row>
    <row r="8" spans="1:31">
      <c r="A8" s="246">
        <f t="shared" si="12"/>
        <v>0</v>
      </c>
      <c r="B8" s="246">
        <f t="shared" si="13"/>
        <v>0</v>
      </c>
      <c r="C8" s="246">
        <f t="shared" si="14"/>
        <v>0</v>
      </c>
      <c r="D8" s="246" t="str">
        <f>SUBSTITUTE('input data'!A21, " ", "")</f>
        <v>-</v>
      </c>
      <c r="E8" s="246">
        <f>'input data'!B21</f>
        <v>0</v>
      </c>
      <c r="F8" s="248">
        <f t="shared" ca="1" si="8"/>
        <v>0</v>
      </c>
      <c r="G8" s="246" t="e">
        <f ca="1">F8/L8*'input data'!D21</f>
        <v>#DIV/0!</v>
      </c>
      <c r="H8" s="246">
        <f t="shared" si="15"/>
        <v>0</v>
      </c>
      <c r="I8" s="246" t="s">
        <v>174</v>
      </c>
      <c r="J8" s="246" t="s">
        <v>175</v>
      </c>
      <c r="K8" s="246">
        <v>0</v>
      </c>
      <c r="L8" s="246">
        <f>'input data'!C21</f>
        <v>0</v>
      </c>
      <c r="M8" s="246">
        <f t="shared" ca="1" si="9"/>
        <v>0</v>
      </c>
      <c r="N8" s="246" t="e">
        <f t="shared" ca="1" si="0"/>
        <v>#DIV/0!</v>
      </c>
      <c r="O8" s="246">
        <f t="shared" si="16"/>
        <v>0</v>
      </c>
      <c r="P8" s="235"/>
      <c r="Q8" s="238">
        <f t="shared" ca="1" si="11"/>
        <v>0</v>
      </c>
      <c r="R8" s="243" t="e">
        <f t="shared" ca="1" si="1"/>
        <v>#VALUE!</v>
      </c>
      <c r="S8" s="241" t="e">
        <f t="shared" ca="1" si="2"/>
        <v>#VALUE!</v>
      </c>
      <c r="T8" s="241" t="e">
        <f t="shared" ca="1" si="3"/>
        <v>#VALUE!</v>
      </c>
      <c r="U8" s="241" t="e">
        <f t="shared" ca="1" si="4"/>
        <v>#VALUE!</v>
      </c>
      <c r="V8" s="241" t="e">
        <f t="shared" ca="1" si="5"/>
        <v>#VALUE!</v>
      </c>
      <c r="W8" s="241" t="e">
        <f t="shared" ca="1" si="6"/>
        <v>#VALUE!</v>
      </c>
      <c r="X8" s="241" t="e">
        <f t="shared" ca="1" si="7"/>
        <v>#VALUE!</v>
      </c>
      <c r="Y8" s="238" t="e">
        <f ca="1">'Summary U5MR 50'!$AE10</f>
        <v>#VALUE!</v>
      </c>
      <c r="Z8" s="238" t="e">
        <f ca="1">'Summary U5MR 75'!$AE10</f>
        <v>#VALUE!</v>
      </c>
      <c r="AA8" s="238" t="e">
        <f ca="1">'Summary U5MR 100'!$AE10</f>
        <v>#VALUE!</v>
      </c>
      <c r="AB8" s="238" t="e">
        <f ca="1">'Summary U5MR 125'!$AE10</f>
        <v>#VALUE!</v>
      </c>
      <c r="AC8" s="238" t="e">
        <f ca="1">'Summary U5MR 150'!$AE10</f>
        <v>#VALUE!</v>
      </c>
      <c r="AD8" s="238" t="e">
        <f ca="1">'Summary U5MR 200'!$AE10</f>
        <v>#VALUE!</v>
      </c>
      <c r="AE8" s="238" t="e">
        <f ca="1">'Summary U5MR 250'!$AE10</f>
        <v>#VALUE!</v>
      </c>
    </row>
    <row r="9" spans="1:31">
      <c r="A9" s="246">
        <f t="shared" si="12"/>
        <v>0</v>
      </c>
      <c r="B9" s="246">
        <f t="shared" si="13"/>
        <v>0</v>
      </c>
      <c r="C9" s="246">
        <f t="shared" si="14"/>
        <v>0</v>
      </c>
      <c r="D9" s="246" t="str">
        <f>SUBSTITUTE('input data'!A22, " ", "")</f>
        <v>-</v>
      </c>
      <c r="E9" s="246">
        <f>'input data'!B22</f>
        <v>0</v>
      </c>
      <c r="F9" s="248">
        <f t="shared" ca="1" si="8"/>
        <v>0</v>
      </c>
      <c r="G9" s="246" t="e">
        <f ca="1">F9/L9*'input data'!D22</f>
        <v>#DIV/0!</v>
      </c>
      <c r="H9" s="246">
        <f t="shared" si="15"/>
        <v>0</v>
      </c>
      <c r="I9" s="246" t="s">
        <v>174</v>
      </c>
      <c r="J9" s="246" t="s">
        <v>175</v>
      </c>
      <c r="K9" s="246">
        <v>0</v>
      </c>
      <c r="L9" s="246">
        <f>'input data'!C22</f>
        <v>0</v>
      </c>
      <c r="M9" s="246">
        <f t="shared" ca="1" si="9"/>
        <v>0</v>
      </c>
      <c r="N9" s="246" t="e">
        <f t="shared" ca="1" si="0"/>
        <v>#DIV/0!</v>
      </c>
      <c r="O9" s="246">
        <f>IF($E9=0,0,O8)</f>
        <v>0</v>
      </c>
      <c r="P9" s="235"/>
      <c r="Q9" s="238">
        <f t="shared" ca="1" si="11"/>
        <v>0</v>
      </c>
      <c r="R9" s="243" t="e">
        <f t="shared" ca="1" si="1"/>
        <v>#VALUE!</v>
      </c>
      <c r="S9" s="241" t="e">
        <f t="shared" ca="1" si="2"/>
        <v>#VALUE!</v>
      </c>
      <c r="T9" s="241" t="e">
        <f t="shared" ca="1" si="3"/>
        <v>#VALUE!</v>
      </c>
      <c r="U9" s="241" t="e">
        <f t="shared" ca="1" si="4"/>
        <v>#VALUE!</v>
      </c>
      <c r="V9" s="241" t="e">
        <f t="shared" ca="1" si="5"/>
        <v>#VALUE!</v>
      </c>
      <c r="W9" s="241" t="e">
        <f t="shared" ca="1" si="6"/>
        <v>#VALUE!</v>
      </c>
      <c r="X9" s="241" t="e">
        <f t="shared" ca="1" si="7"/>
        <v>#VALUE!</v>
      </c>
      <c r="Y9" s="238" t="e">
        <f ca="1">'Summary U5MR 50'!$AE11</f>
        <v>#VALUE!</v>
      </c>
      <c r="Z9" s="238" t="e">
        <f ca="1">'Summary U5MR 75'!$AE11</f>
        <v>#VALUE!</v>
      </c>
      <c r="AA9" s="238" t="e">
        <f ca="1">'Summary U5MR 100'!$AE11</f>
        <v>#VALUE!</v>
      </c>
      <c r="AB9" s="238" t="e">
        <f ca="1">'Summary U5MR 125'!$AE11</f>
        <v>#VALUE!</v>
      </c>
      <c r="AC9" s="238" t="e">
        <f ca="1">'Summary U5MR 150'!$AE11</f>
        <v>#VALUE!</v>
      </c>
      <c r="AD9" s="238" t="e">
        <f ca="1">'Summary U5MR 200'!$AE11</f>
        <v>#VALUE!</v>
      </c>
      <c r="AE9" s="238" t="e">
        <f ca="1">'Summary U5MR 250'!$AE11</f>
        <v>#VALUE!</v>
      </c>
    </row>
    <row r="10" spans="1:31">
      <c r="A10" s="246">
        <f t="shared" si="12"/>
        <v>0</v>
      </c>
      <c r="B10" s="246">
        <f t="shared" si="13"/>
        <v>0</v>
      </c>
      <c r="C10" s="246">
        <f t="shared" si="14"/>
        <v>0</v>
      </c>
      <c r="D10" s="246" t="str">
        <f>SUBSTITUTE('input data'!A23, " ", "")</f>
        <v>-</v>
      </c>
      <c r="E10" s="246">
        <f>'input data'!B23</f>
        <v>0</v>
      </c>
      <c r="F10" s="248">
        <f t="shared" ca="1" si="8"/>
        <v>0</v>
      </c>
      <c r="G10" s="246" t="e">
        <f ca="1">F10/L10*'input data'!D23</f>
        <v>#DIV/0!</v>
      </c>
      <c r="H10" s="246">
        <f t="shared" si="15"/>
        <v>0</v>
      </c>
      <c r="I10" s="246" t="s">
        <v>174</v>
      </c>
      <c r="J10" s="246" t="s">
        <v>175</v>
      </c>
      <c r="K10" s="246">
        <v>0</v>
      </c>
      <c r="L10" s="246">
        <f>'input data'!C23</f>
        <v>0</v>
      </c>
      <c r="M10" s="246">
        <f t="shared" ca="1" si="9"/>
        <v>0</v>
      </c>
      <c r="N10" s="246" t="e">
        <f t="shared" ca="1" si="0"/>
        <v>#DIV/0!</v>
      </c>
      <c r="O10" s="246">
        <f t="shared" si="16"/>
        <v>0</v>
      </c>
      <c r="P10" s="235"/>
      <c r="Q10" s="238">
        <f t="shared" ca="1" si="11"/>
        <v>0</v>
      </c>
      <c r="R10" s="243" t="e">
        <f t="shared" ca="1" si="1"/>
        <v>#VALUE!</v>
      </c>
      <c r="S10" s="241" t="e">
        <f t="shared" ca="1" si="2"/>
        <v>#VALUE!</v>
      </c>
      <c r="T10" s="241" t="e">
        <f t="shared" ca="1" si="3"/>
        <v>#VALUE!</v>
      </c>
      <c r="U10" s="241" t="e">
        <f t="shared" ca="1" si="4"/>
        <v>#VALUE!</v>
      </c>
      <c r="V10" s="241" t="e">
        <f t="shared" ca="1" si="5"/>
        <v>#VALUE!</v>
      </c>
      <c r="W10" s="241" t="e">
        <f t="shared" ca="1" si="6"/>
        <v>#VALUE!</v>
      </c>
      <c r="X10" s="241" t="e">
        <f t="shared" ca="1" si="7"/>
        <v>#VALUE!</v>
      </c>
      <c r="Y10" s="238" t="e">
        <f ca="1">'Summary U5MR 50'!$AE12</f>
        <v>#VALUE!</v>
      </c>
      <c r="Z10" s="238" t="e">
        <f ca="1">'Summary U5MR 75'!$AE12</f>
        <v>#VALUE!</v>
      </c>
      <c r="AA10" s="238" t="e">
        <f ca="1">'Summary U5MR 100'!$AE12</f>
        <v>#VALUE!</v>
      </c>
      <c r="AB10" s="238" t="e">
        <f ca="1">'Summary U5MR 125'!$AE12</f>
        <v>#VALUE!</v>
      </c>
      <c r="AC10" s="238" t="e">
        <f ca="1">'Summary U5MR 150'!$AE12</f>
        <v>#VALUE!</v>
      </c>
      <c r="AD10" s="238" t="e">
        <f ca="1">'Summary U5MR 200'!$AE12</f>
        <v>#VALUE!</v>
      </c>
      <c r="AE10" s="238" t="e">
        <f ca="1">'Summary U5MR 250'!$AE12</f>
        <v>#VALUE!</v>
      </c>
    </row>
    <row r="11" spans="1:31">
      <c r="A11" s="246">
        <f t="shared" si="12"/>
        <v>0</v>
      </c>
      <c r="B11" s="246">
        <f t="shared" si="13"/>
        <v>0</v>
      </c>
      <c r="C11" s="246">
        <f t="shared" si="14"/>
        <v>0</v>
      </c>
      <c r="D11" s="246" t="str">
        <f>SUBSTITUTE('input data'!A24, " ", "")</f>
        <v>-</v>
      </c>
      <c r="E11" s="246">
        <f>'input data'!B24</f>
        <v>0</v>
      </c>
      <c r="F11" s="248">
        <f t="shared" ca="1" si="8"/>
        <v>0</v>
      </c>
      <c r="G11" s="246" t="e">
        <f ca="1">F11/L11*'input data'!D24</f>
        <v>#DIV/0!</v>
      </c>
      <c r="H11" s="246">
        <f t="shared" si="15"/>
        <v>0</v>
      </c>
      <c r="I11" s="246" t="s">
        <v>174</v>
      </c>
      <c r="J11" s="246" t="s">
        <v>175</v>
      </c>
      <c r="K11" s="246">
        <v>0</v>
      </c>
      <c r="L11" s="246">
        <f>'input data'!C24</f>
        <v>0</v>
      </c>
      <c r="M11" s="246">
        <f t="shared" ca="1" si="9"/>
        <v>0</v>
      </c>
      <c r="N11" s="246" t="e">
        <f t="shared" ca="1" si="0"/>
        <v>#DIV/0!</v>
      </c>
      <c r="O11" s="246">
        <f t="shared" si="16"/>
        <v>0</v>
      </c>
      <c r="P11" s="235"/>
      <c r="Q11" s="238">
        <f t="shared" ca="1" si="11"/>
        <v>0</v>
      </c>
      <c r="R11" s="243" t="e">
        <f t="shared" ca="1" si="1"/>
        <v>#VALUE!</v>
      </c>
      <c r="S11" s="241" t="e">
        <f t="shared" ca="1" si="2"/>
        <v>#VALUE!</v>
      </c>
      <c r="T11" s="241" t="e">
        <f t="shared" ca="1" si="3"/>
        <v>#VALUE!</v>
      </c>
      <c r="U11" s="241" t="e">
        <f t="shared" ca="1" si="4"/>
        <v>#VALUE!</v>
      </c>
      <c r="V11" s="241" t="e">
        <f t="shared" ca="1" si="5"/>
        <v>#VALUE!</v>
      </c>
      <c r="W11" s="241" t="e">
        <f t="shared" ca="1" si="6"/>
        <v>#VALUE!</v>
      </c>
      <c r="X11" s="241" t="e">
        <f t="shared" ca="1" si="7"/>
        <v>#VALUE!</v>
      </c>
      <c r="Y11" s="238" t="e">
        <f ca="1">'Summary U5MR 50'!$AE13</f>
        <v>#VALUE!</v>
      </c>
      <c r="Z11" s="238" t="e">
        <f ca="1">'Summary U5MR 75'!$AE13</f>
        <v>#VALUE!</v>
      </c>
      <c r="AA11" s="238" t="e">
        <f ca="1">'Summary U5MR 100'!$AE13</f>
        <v>#VALUE!</v>
      </c>
      <c r="AB11" s="238" t="e">
        <f ca="1">'Summary U5MR 125'!$AE13</f>
        <v>#VALUE!</v>
      </c>
      <c r="AC11" s="238" t="e">
        <f ca="1">'Summary U5MR 150'!$AE13</f>
        <v>#VALUE!</v>
      </c>
      <c r="AD11" s="238" t="e">
        <f ca="1">'Summary U5MR 200'!$AE13</f>
        <v>#VALUE!</v>
      </c>
      <c r="AE11" s="238" t="e">
        <f ca="1">'Summary U5MR 250'!$AE13</f>
        <v>#VALUE!</v>
      </c>
    </row>
    <row r="12" spans="1:31">
      <c r="A12" s="246">
        <f t="shared" si="12"/>
        <v>0</v>
      </c>
      <c r="B12" s="246">
        <f t="shared" si="13"/>
        <v>0</v>
      </c>
      <c r="C12" s="246">
        <f t="shared" si="14"/>
        <v>0</v>
      </c>
      <c r="D12" s="246" t="str">
        <f>SUBSTITUTE('input data'!A25, " ", "")</f>
        <v>-</v>
      </c>
      <c r="E12" s="246">
        <f>'input data'!B25</f>
        <v>0</v>
      </c>
      <c r="F12" s="248">
        <f t="shared" ca="1" si="8"/>
        <v>0</v>
      </c>
      <c r="G12" s="246" t="e">
        <f ca="1">F12/L12*'input data'!D25</f>
        <v>#DIV/0!</v>
      </c>
      <c r="H12" s="246">
        <f t="shared" si="15"/>
        <v>0</v>
      </c>
      <c r="I12" s="246" t="s">
        <v>174</v>
      </c>
      <c r="J12" s="246" t="s">
        <v>175</v>
      </c>
      <c r="K12" s="246">
        <v>0</v>
      </c>
      <c r="L12" s="246">
        <f>'input data'!C25</f>
        <v>0</v>
      </c>
      <c r="M12" s="246">
        <f t="shared" ca="1" si="9"/>
        <v>0</v>
      </c>
      <c r="N12" s="246" t="e">
        <f t="shared" ca="1" si="0"/>
        <v>#DIV/0!</v>
      </c>
      <c r="O12" s="246">
        <f t="shared" si="16"/>
        <v>0</v>
      </c>
      <c r="P12" s="235"/>
      <c r="Q12" s="238">
        <f t="shared" ca="1" si="11"/>
        <v>0</v>
      </c>
      <c r="R12" s="243" t="e">
        <f t="shared" ca="1" si="1"/>
        <v>#VALUE!</v>
      </c>
      <c r="S12" s="241" t="e">
        <f t="shared" ca="1" si="2"/>
        <v>#VALUE!</v>
      </c>
      <c r="T12" s="241" t="e">
        <f t="shared" ca="1" si="3"/>
        <v>#VALUE!</v>
      </c>
      <c r="U12" s="241" t="e">
        <f t="shared" ca="1" si="4"/>
        <v>#VALUE!</v>
      </c>
      <c r="V12" s="241" t="e">
        <f t="shared" ca="1" si="5"/>
        <v>#VALUE!</v>
      </c>
      <c r="W12" s="241" t="e">
        <f t="shared" ca="1" si="6"/>
        <v>#VALUE!</v>
      </c>
      <c r="X12" s="241" t="e">
        <f t="shared" ca="1" si="7"/>
        <v>#VALUE!</v>
      </c>
      <c r="Y12" s="238" t="e">
        <f ca="1">'Summary U5MR 50'!$AE14</f>
        <v>#VALUE!</v>
      </c>
      <c r="Z12" s="238" t="e">
        <f ca="1">'Summary U5MR 75'!$AE14</f>
        <v>#VALUE!</v>
      </c>
      <c r="AA12" s="238" t="e">
        <f ca="1">'Summary U5MR 100'!$AE14</f>
        <v>#VALUE!</v>
      </c>
      <c r="AB12" s="238" t="e">
        <f ca="1">'Summary U5MR 125'!$AE14</f>
        <v>#VALUE!</v>
      </c>
      <c r="AC12" s="238" t="e">
        <f ca="1">'Summary U5MR 150'!$AE14</f>
        <v>#VALUE!</v>
      </c>
      <c r="AD12" s="238" t="e">
        <f ca="1">'Summary U5MR 200'!$AE14</f>
        <v>#VALUE!</v>
      </c>
      <c r="AE12" s="238" t="e">
        <f ca="1">'Summary U5MR 250'!$AE14</f>
        <v>#VALUE!</v>
      </c>
    </row>
    <row r="13" spans="1:31">
      <c r="A13" s="246">
        <f t="shared" si="12"/>
        <v>0</v>
      </c>
      <c r="B13" s="246">
        <f t="shared" si="13"/>
        <v>0</v>
      </c>
      <c r="C13" s="246">
        <f t="shared" si="14"/>
        <v>0</v>
      </c>
      <c r="D13" s="246" t="str">
        <f>SUBSTITUTE('input data'!A26, " ", "")</f>
        <v>-</v>
      </c>
      <c r="E13" s="246">
        <f>'input data'!B26</f>
        <v>0</v>
      </c>
      <c r="F13" s="248">
        <f t="shared" ca="1" si="8"/>
        <v>0</v>
      </c>
      <c r="G13" s="246" t="e">
        <f ca="1">F13/L13*'input data'!D26</f>
        <v>#DIV/0!</v>
      </c>
      <c r="H13" s="246">
        <f t="shared" si="15"/>
        <v>0</v>
      </c>
      <c r="I13" s="246" t="s">
        <v>174</v>
      </c>
      <c r="J13" s="246" t="s">
        <v>175</v>
      </c>
      <c r="K13" s="246">
        <v>0</v>
      </c>
      <c r="L13" s="246">
        <f>'input data'!C26</f>
        <v>0</v>
      </c>
      <c r="M13" s="246">
        <f t="shared" ca="1" si="9"/>
        <v>0</v>
      </c>
      <c r="N13" s="246" t="e">
        <f t="shared" ca="1" si="0"/>
        <v>#DIV/0!</v>
      </c>
      <c r="O13" s="246">
        <f t="shared" si="16"/>
        <v>0</v>
      </c>
      <c r="P13" s="235"/>
      <c r="Q13" s="238">
        <f t="shared" ca="1" si="11"/>
        <v>0</v>
      </c>
      <c r="R13" s="243" t="e">
        <f t="shared" ca="1" si="1"/>
        <v>#VALUE!</v>
      </c>
      <c r="S13" s="241" t="e">
        <f t="shared" ca="1" si="2"/>
        <v>#VALUE!</v>
      </c>
      <c r="T13" s="241" t="e">
        <f t="shared" ca="1" si="3"/>
        <v>#VALUE!</v>
      </c>
      <c r="U13" s="241" t="e">
        <f t="shared" ca="1" si="4"/>
        <v>#VALUE!</v>
      </c>
      <c r="V13" s="241" t="e">
        <f t="shared" ca="1" si="5"/>
        <v>#VALUE!</v>
      </c>
      <c r="W13" s="241" t="e">
        <f t="shared" ca="1" si="6"/>
        <v>#VALUE!</v>
      </c>
      <c r="X13" s="241" t="e">
        <f t="shared" ca="1" si="7"/>
        <v>#VALUE!</v>
      </c>
      <c r="Y13" s="238" t="e">
        <f ca="1">'Summary U5MR 50'!$AE15</f>
        <v>#VALUE!</v>
      </c>
      <c r="Z13" s="238" t="e">
        <f ca="1">'Summary U5MR 75'!$AE15</f>
        <v>#VALUE!</v>
      </c>
      <c r="AA13" s="238" t="e">
        <f ca="1">'Summary U5MR 100'!$AE15</f>
        <v>#VALUE!</v>
      </c>
      <c r="AB13" s="238" t="e">
        <f ca="1">'Summary U5MR 125'!$AE15</f>
        <v>#VALUE!</v>
      </c>
      <c r="AC13" s="238" t="e">
        <f ca="1">'Summary U5MR 150'!$AE15</f>
        <v>#VALUE!</v>
      </c>
      <c r="AD13" s="238" t="e">
        <f ca="1">'Summary U5MR 200'!$AE15</f>
        <v>#VALUE!</v>
      </c>
      <c r="AE13" s="238" t="e">
        <f ca="1">'Summary U5MR 250'!$AE15</f>
        <v>#VALUE!</v>
      </c>
    </row>
    <row r="14" spans="1:31">
      <c r="A14" s="246">
        <f t="shared" si="12"/>
        <v>0</v>
      </c>
      <c r="B14" s="246">
        <f t="shared" si="13"/>
        <v>0</v>
      </c>
      <c r="C14" s="246">
        <f t="shared" si="14"/>
        <v>0</v>
      </c>
      <c r="D14" s="246" t="str">
        <f>SUBSTITUTE('input data'!A27, " ", "")</f>
        <v>-</v>
      </c>
      <c r="E14" s="246">
        <f>'input data'!B27</f>
        <v>0</v>
      </c>
      <c r="F14" s="248">
        <f t="shared" ca="1" si="8"/>
        <v>0</v>
      </c>
      <c r="G14" s="246" t="e">
        <f ca="1">F14/L14*'input data'!D27</f>
        <v>#DIV/0!</v>
      </c>
      <c r="H14" s="246">
        <f t="shared" si="15"/>
        <v>0</v>
      </c>
      <c r="I14" s="246" t="s">
        <v>174</v>
      </c>
      <c r="J14" s="246" t="s">
        <v>175</v>
      </c>
      <c r="K14" s="246">
        <v>0</v>
      </c>
      <c r="L14" s="246">
        <f>'input data'!C27</f>
        <v>0</v>
      </c>
      <c r="M14" s="246">
        <f t="shared" ca="1" si="9"/>
        <v>0</v>
      </c>
      <c r="N14" s="246" t="e">
        <f t="shared" ca="1" si="0"/>
        <v>#DIV/0!</v>
      </c>
      <c r="O14" s="246">
        <f t="shared" si="16"/>
        <v>0</v>
      </c>
      <c r="P14" s="235"/>
      <c r="Q14" s="238">
        <f t="shared" ca="1" si="11"/>
        <v>0</v>
      </c>
      <c r="R14" s="243" t="e">
        <f t="shared" ca="1" si="1"/>
        <v>#VALUE!</v>
      </c>
      <c r="S14" s="241" t="e">
        <f t="shared" ca="1" si="2"/>
        <v>#VALUE!</v>
      </c>
      <c r="T14" s="241" t="e">
        <f t="shared" ca="1" si="3"/>
        <v>#VALUE!</v>
      </c>
      <c r="U14" s="241" t="e">
        <f t="shared" ca="1" si="4"/>
        <v>#VALUE!</v>
      </c>
      <c r="V14" s="241" t="e">
        <f t="shared" ca="1" si="5"/>
        <v>#VALUE!</v>
      </c>
      <c r="W14" s="241" t="e">
        <f t="shared" ca="1" si="6"/>
        <v>#VALUE!</v>
      </c>
      <c r="X14" s="241" t="e">
        <f t="shared" ca="1" si="7"/>
        <v>#VALUE!</v>
      </c>
      <c r="Y14" s="238" t="e">
        <f ca="1">'Summary U5MR 50'!$AE16</f>
        <v>#VALUE!</v>
      </c>
      <c r="Z14" s="238" t="e">
        <f ca="1">'Summary U5MR 75'!$AE16</f>
        <v>#VALUE!</v>
      </c>
      <c r="AA14" s="238" t="e">
        <f ca="1">'Summary U5MR 100'!$AE16</f>
        <v>#VALUE!</v>
      </c>
      <c r="AB14" s="238" t="e">
        <f ca="1">'Summary U5MR 125'!$AE16</f>
        <v>#VALUE!</v>
      </c>
      <c r="AC14" s="238" t="e">
        <f ca="1">'Summary U5MR 150'!$AE16</f>
        <v>#VALUE!</v>
      </c>
      <c r="AD14" s="238" t="e">
        <f ca="1">'Summary U5MR 200'!$AE16</f>
        <v>#VALUE!</v>
      </c>
      <c r="AE14" s="238" t="e">
        <f ca="1">'Summary U5MR 250'!$AE16</f>
        <v>#VALUE!</v>
      </c>
    </row>
    <row r="15" spans="1:31">
      <c r="A15" s="246">
        <f t="shared" si="12"/>
        <v>0</v>
      </c>
      <c r="B15" s="246">
        <f t="shared" si="13"/>
        <v>0</v>
      </c>
      <c r="C15" s="246">
        <f t="shared" si="14"/>
        <v>0</v>
      </c>
      <c r="D15" s="246" t="str">
        <f>SUBSTITUTE('input data'!A28, " ", "")</f>
        <v>-</v>
      </c>
      <c r="E15" s="246">
        <f>'input data'!B28</f>
        <v>0</v>
      </c>
      <c r="F15" s="248">
        <f t="shared" ca="1" si="8"/>
        <v>0</v>
      </c>
      <c r="G15" s="246" t="e">
        <f ca="1">F15/L15*'input data'!D28</f>
        <v>#DIV/0!</v>
      </c>
      <c r="H15" s="246">
        <f t="shared" si="15"/>
        <v>0</v>
      </c>
      <c r="I15" s="246" t="s">
        <v>174</v>
      </c>
      <c r="J15" s="246" t="s">
        <v>175</v>
      </c>
      <c r="K15" s="246">
        <v>0</v>
      </c>
      <c r="L15" s="246">
        <f>'input data'!C28</f>
        <v>0</v>
      </c>
      <c r="M15" s="246">
        <f t="shared" ca="1" si="9"/>
        <v>0</v>
      </c>
      <c r="N15" s="246" t="e">
        <f t="shared" ca="1" si="0"/>
        <v>#DIV/0!</v>
      </c>
      <c r="O15" s="246">
        <f t="shared" si="16"/>
        <v>0</v>
      </c>
      <c r="P15" s="235"/>
      <c r="Q15" s="238">
        <f t="shared" ca="1" si="11"/>
        <v>0</v>
      </c>
      <c r="R15" s="243" t="e">
        <f t="shared" ca="1" si="1"/>
        <v>#VALUE!</v>
      </c>
      <c r="S15" s="241" t="e">
        <f t="shared" ca="1" si="2"/>
        <v>#VALUE!</v>
      </c>
      <c r="T15" s="241" t="e">
        <f t="shared" ca="1" si="3"/>
        <v>#VALUE!</v>
      </c>
      <c r="U15" s="241" t="e">
        <f t="shared" ca="1" si="4"/>
        <v>#VALUE!</v>
      </c>
      <c r="V15" s="241" t="e">
        <f t="shared" ca="1" si="5"/>
        <v>#VALUE!</v>
      </c>
      <c r="W15" s="241" t="e">
        <f t="shared" ca="1" si="6"/>
        <v>#VALUE!</v>
      </c>
      <c r="X15" s="241" t="e">
        <f t="shared" ca="1" si="7"/>
        <v>#VALUE!</v>
      </c>
      <c r="Y15" s="238" t="e">
        <f ca="1">'Summary U5MR 50'!$AE17</f>
        <v>#VALUE!</v>
      </c>
      <c r="Z15" s="238" t="e">
        <f ca="1">'Summary U5MR 75'!$AE17</f>
        <v>#VALUE!</v>
      </c>
      <c r="AA15" s="238" t="e">
        <f ca="1">'Summary U5MR 100'!$AE17</f>
        <v>#VALUE!</v>
      </c>
      <c r="AB15" s="238" t="e">
        <f ca="1">'Summary U5MR 125'!$AE17</f>
        <v>#VALUE!</v>
      </c>
      <c r="AC15" s="238" t="e">
        <f ca="1">'Summary U5MR 150'!$AE17</f>
        <v>#VALUE!</v>
      </c>
      <c r="AD15" s="238" t="e">
        <f ca="1">'Summary U5MR 200'!$AE17</f>
        <v>#VALUE!</v>
      </c>
      <c r="AE15" s="238" t="e">
        <f ca="1">'Summary U5MR 250'!$AE17</f>
        <v>#VALUE!</v>
      </c>
    </row>
    <row r="16" spans="1:31">
      <c r="A16" s="246">
        <f t="shared" si="12"/>
        <v>0</v>
      </c>
      <c r="B16" s="246">
        <f t="shared" si="13"/>
        <v>0</v>
      </c>
      <c r="C16" s="246">
        <f t="shared" si="14"/>
        <v>0</v>
      </c>
      <c r="D16" s="246" t="str">
        <f>SUBSTITUTE('input data'!A29, " ", "")</f>
        <v>-</v>
      </c>
      <c r="E16" s="246">
        <f>'input data'!B29</f>
        <v>0</v>
      </c>
      <c r="F16" s="248">
        <f t="shared" ca="1" si="8"/>
        <v>0</v>
      </c>
      <c r="G16" s="246" t="e">
        <f ca="1">F16/L16*'input data'!D29</f>
        <v>#DIV/0!</v>
      </c>
      <c r="H16" s="246">
        <f t="shared" si="15"/>
        <v>0</v>
      </c>
      <c r="I16" s="246" t="s">
        <v>174</v>
      </c>
      <c r="J16" s="246" t="s">
        <v>175</v>
      </c>
      <c r="K16" s="246">
        <v>0</v>
      </c>
      <c r="L16" s="246">
        <f>'input data'!C29</f>
        <v>0</v>
      </c>
      <c r="M16" s="246">
        <f t="shared" ca="1" si="9"/>
        <v>0</v>
      </c>
      <c r="N16" s="246" t="e">
        <f t="shared" ca="1" si="0"/>
        <v>#DIV/0!</v>
      </c>
      <c r="O16" s="246">
        <f t="shared" si="16"/>
        <v>0</v>
      </c>
      <c r="P16" s="235"/>
      <c r="Q16" s="238">
        <f t="shared" ca="1" si="11"/>
        <v>0</v>
      </c>
      <c r="R16" s="243" t="e">
        <f t="shared" ca="1" si="1"/>
        <v>#VALUE!</v>
      </c>
      <c r="S16" s="241" t="e">
        <f t="shared" ca="1" si="2"/>
        <v>#VALUE!</v>
      </c>
      <c r="T16" s="241" t="e">
        <f t="shared" ca="1" si="3"/>
        <v>#VALUE!</v>
      </c>
      <c r="U16" s="241" t="e">
        <f t="shared" ca="1" si="4"/>
        <v>#VALUE!</v>
      </c>
      <c r="V16" s="241" t="e">
        <f t="shared" ca="1" si="5"/>
        <v>#VALUE!</v>
      </c>
      <c r="W16" s="241" t="e">
        <f t="shared" ca="1" si="6"/>
        <v>#VALUE!</v>
      </c>
      <c r="X16" s="241" t="e">
        <f t="shared" ca="1" si="7"/>
        <v>#VALUE!</v>
      </c>
      <c r="Y16" s="238" t="e">
        <f ca="1">'Summary U5MR 50'!$AE18</f>
        <v>#VALUE!</v>
      </c>
      <c r="Z16" s="238" t="e">
        <f ca="1">'Summary U5MR 75'!$AE18</f>
        <v>#VALUE!</v>
      </c>
      <c r="AA16" s="238" t="e">
        <f ca="1">'Summary U5MR 100'!$AE18</f>
        <v>#VALUE!</v>
      </c>
      <c r="AB16" s="238" t="e">
        <f ca="1">'Summary U5MR 125'!$AE18</f>
        <v>#VALUE!</v>
      </c>
      <c r="AC16" s="238" t="e">
        <f ca="1">'Summary U5MR 150'!$AE18</f>
        <v>#VALUE!</v>
      </c>
      <c r="AD16" s="238" t="e">
        <f ca="1">'Summary U5MR 200'!$AE18</f>
        <v>#VALUE!</v>
      </c>
      <c r="AE16" s="238" t="e">
        <f ca="1">'Summary U5MR 250'!$AE18</f>
        <v>#VALUE!</v>
      </c>
    </row>
    <row r="17" spans="1:31">
      <c r="A17" s="246">
        <f t="shared" si="12"/>
        <v>0</v>
      </c>
      <c r="B17" s="246">
        <f t="shared" si="13"/>
        <v>0</v>
      </c>
      <c r="C17" s="246">
        <f t="shared" si="14"/>
        <v>0</v>
      </c>
      <c r="D17" s="246" t="str">
        <f>SUBSTITUTE('input data'!A30, " ", "")</f>
        <v>-</v>
      </c>
      <c r="E17" s="246">
        <f>'input data'!B30</f>
        <v>0</v>
      </c>
      <c r="F17" s="248">
        <f t="shared" ca="1" si="8"/>
        <v>0</v>
      </c>
      <c r="G17" s="246" t="e">
        <f ca="1">F17/L17*'input data'!D30</f>
        <v>#DIV/0!</v>
      </c>
      <c r="H17" s="246">
        <f t="shared" si="15"/>
        <v>0</v>
      </c>
      <c r="I17" s="246" t="s">
        <v>174</v>
      </c>
      <c r="J17" s="246" t="s">
        <v>175</v>
      </c>
      <c r="K17" s="246">
        <v>0</v>
      </c>
      <c r="L17" s="246">
        <f>'input data'!C30</f>
        <v>0</v>
      </c>
      <c r="M17" s="246">
        <f t="shared" ca="1" si="9"/>
        <v>0</v>
      </c>
      <c r="N17" s="246" t="e">
        <f t="shared" ca="1" si="0"/>
        <v>#DIV/0!</v>
      </c>
      <c r="O17" s="246">
        <f t="shared" si="16"/>
        <v>0</v>
      </c>
      <c r="P17" s="235"/>
      <c r="Q17" s="238">
        <f t="shared" ca="1" si="11"/>
        <v>0</v>
      </c>
      <c r="R17" s="243" t="e">
        <f t="shared" ca="1" si="1"/>
        <v>#VALUE!</v>
      </c>
      <c r="S17" s="241" t="e">
        <f t="shared" ca="1" si="2"/>
        <v>#VALUE!</v>
      </c>
      <c r="T17" s="241" t="e">
        <f t="shared" ca="1" si="3"/>
        <v>#VALUE!</v>
      </c>
      <c r="U17" s="241" t="e">
        <f t="shared" ca="1" si="4"/>
        <v>#VALUE!</v>
      </c>
      <c r="V17" s="241" t="e">
        <f t="shared" ca="1" si="5"/>
        <v>#VALUE!</v>
      </c>
      <c r="W17" s="241" t="e">
        <f t="shared" ca="1" si="6"/>
        <v>#VALUE!</v>
      </c>
      <c r="X17" s="241" t="e">
        <f t="shared" ca="1" si="7"/>
        <v>#VALUE!</v>
      </c>
      <c r="Y17" s="238" t="e">
        <f ca="1">'Summary U5MR 50'!$AE19</f>
        <v>#VALUE!</v>
      </c>
      <c r="Z17" s="238" t="e">
        <f ca="1">'Summary U5MR 75'!$AE19</f>
        <v>#VALUE!</v>
      </c>
      <c r="AA17" s="238" t="e">
        <f ca="1">'Summary U5MR 100'!$AE19</f>
        <v>#VALUE!</v>
      </c>
      <c r="AB17" s="238" t="e">
        <f ca="1">'Summary U5MR 125'!$AE19</f>
        <v>#VALUE!</v>
      </c>
      <c r="AC17" s="238" t="e">
        <f ca="1">'Summary U5MR 150'!$AE19</f>
        <v>#VALUE!</v>
      </c>
      <c r="AD17" s="238" t="e">
        <f ca="1">'Summary U5MR 200'!$AE19</f>
        <v>#VALUE!</v>
      </c>
      <c r="AE17" s="238" t="e">
        <f ca="1">'Summary U5MR 250'!$AE19</f>
        <v>#VALUE!</v>
      </c>
    </row>
    <row r="18" spans="1:31">
      <c r="A18" s="246">
        <f t="shared" si="12"/>
        <v>0</v>
      </c>
      <c r="B18" s="246">
        <f t="shared" si="13"/>
        <v>0</v>
      </c>
      <c r="C18" s="246">
        <f t="shared" si="14"/>
        <v>0</v>
      </c>
      <c r="D18" s="246" t="str">
        <f>SUBSTITUTE('input data'!A31, " ", "")</f>
        <v>-</v>
      </c>
      <c r="E18" s="246">
        <f>'input data'!B31</f>
        <v>0</v>
      </c>
      <c r="F18" s="248">
        <f t="shared" ca="1" si="8"/>
        <v>0</v>
      </c>
      <c r="G18" s="246" t="e">
        <f ca="1">F18/L18*'input data'!D31</f>
        <v>#DIV/0!</v>
      </c>
      <c r="H18" s="246">
        <f t="shared" si="15"/>
        <v>0</v>
      </c>
      <c r="I18" s="246" t="s">
        <v>174</v>
      </c>
      <c r="J18" s="246" t="s">
        <v>175</v>
      </c>
      <c r="K18" s="246">
        <v>0</v>
      </c>
      <c r="L18" s="246">
        <f>'input data'!C31</f>
        <v>0</v>
      </c>
      <c r="M18" s="246">
        <f t="shared" ca="1" si="9"/>
        <v>0</v>
      </c>
      <c r="N18" s="246" t="e">
        <f t="shared" ca="1" si="0"/>
        <v>#DIV/0!</v>
      </c>
      <c r="O18" s="246">
        <f t="shared" si="16"/>
        <v>0</v>
      </c>
      <c r="P18" s="235"/>
      <c r="Q18" s="238">
        <f t="shared" ca="1" si="11"/>
        <v>0</v>
      </c>
      <c r="R18" s="243" t="e">
        <f t="shared" ca="1" si="1"/>
        <v>#VALUE!</v>
      </c>
      <c r="S18" s="241" t="e">
        <f t="shared" ca="1" si="2"/>
        <v>#VALUE!</v>
      </c>
      <c r="T18" s="241" t="e">
        <f t="shared" ca="1" si="3"/>
        <v>#VALUE!</v>
      </c>
      <c r="U18" s="241" t="e">
        <f t="shared" ca="1" si="4"/>
        <v>#VALUE!</v>
      </c>
      <c r="V18" s="241" t="e">
        <f t="shared" ca="1" si="5"/>
        <v>#VALUE!</v>
      </c>
      <c r="W18" s="241" t="e">
        <f t="shared" ca="1" si="6"/>
        <v>#VALUE!</v>
      </c>
      <c r="X18" s="241" t="e">
        <f t="shared" ca="1" si="7"/>
        <v>#VALUE!</v>
      </c>
      <c r="Y18" s="238" t="e">
        <f ca="1">'Summary U5MR 50'!$AE20</f>
        <v>#VALUE!</v>
      </c>
      <c r="Z18" s="238" t="e">
        <f ca="1">'Summary U5MR 75'!$AE20</f>
        <v>#VALUE!</v>
      </c>
      <c r="AA18" s="238" t="e">
        <f ca="1">'Summary U5MR 100'!$AE20</f>
        <v>#VALUE!</v>
      </c>
      <c r="AB18" s="238" t="e">
        <f ca="1">'Summary U5MR 125'!$AE20</f>
        <v>#VALUE!</v>
      </c>
      <c r="AC18" s="238" t="e">
        <f ca="1">'Summary U5MR 150'!$AE20</f>
        <v>#VALUE!</v>
      </c>
      <c r="AD18" s="238" t="e">
        <f ca="1">'Summary U5MR 200'!$AE20</f>
        <v>#VALUE!</v>
      </c>
      <c r="AE18" s="238" t="e">
        <f ca="1">'Summary U5MR 250'!$AE20</f>
        <v>#VALUE!</v>
      </c>
    </row>
    <row r="19" spans="1:31">
      <c r="A19" s="246">
        <f t="shared" si="12"/>
        <v>0</v>
      </c>
      <c r="B19" s="246">
        <f t="shared" si="13"/>
        <v>0</v>
      </c>
      <c r="C19" s="246">
        <f t="shared" si="14"/>
        <v>0</v>
      </c>
      <c r="D19" s="246" t="str">
        <f>SUBSTITUTE('input data'!A32, " ", "")</f>
        <v>-</v>
      </c>
      <c r="E19" s="246">
        <f>'input data'!B32</f>
        <v>0</v>
      </c>
      <c r="F19" s="248">
        <f t="shared" ca="1" si="8"/>
        <v>0</v>
      </c>
      <c r="G19" s="246" t="e">
        <f ca="1">F19/L19*'input data'!D32</f>
        <v>#DIV/0!</v>
      </c>
      <c r="H19" s="246">
        <f t="shared" si="15"/>
        <v>0</v>
      </c>
      <c r="I19" s="246" t="s">
        <v>174</v>
      </c>
      <c r="J19" s="246" t="s">
        <v>175</v>
      </c>
      <c r="K19" s="246">
        <v>0</v>
      </c>
      <c r="L19" s="246">
        <f>'input data'!C32</f>
        <v>0</v>
      </c>
      <c r="M19" s="246">
        <f t="shared" ca="1" si="9"/>
        <v>0</v>
      </c>
      <c r="N19" s="246" t="e">
        <f t="shared" ca="1" si="0"/>
        <v>#DIV/0!</v>
      </c>
      <c r="O19" s="246">
        <f t="shared" si="16"/>
        <v>0</v>
      </c>
      <c r="P19" s="235"/>
      <c r="Q19" s="238">
        <f t="shared" ca="1" si="11"/>
        <v>0</v>
      </c>
      <c r="R19" s="243" t="e">
        <f t="shared" ca="1" si="1"/>
        <v>#VALUE!</v>
      </c>
      <c r="S19" s="241" t="e">
        <f t="shared" ca="1" si="2"/>
        <v>#VALUE!</v>
      </c>
      <c r="T19" s="241" t="e">
        <f t="shared" ca="1" si="3"/>
        <v>#VALUE!</v>
      </c>
      <c r="U19" s="241" t="e">
        <f t="shared" ca="1" si="4"/>
        <v>#VALUE!</v>
      </c>
      <c r="V19" s="241" t="e">
        <f t="shared" ca="1" si="5"/>
        <v>#VALUE!</v>
      </c>
      <c r="W19" s="241" t="e">
        <f t="shared" ca="1" si="6"/>
        <v>#VALUE!</v>
      </c>
      <c r="X19" s="241" t="e">
        <f t="shared" ca="1" si="7"/>
        <v>#VALUE!</v>
      </c>
      <c r="Y19" s="238" t="e">
        <f ca="1">'Summary U5MR 50'!$AE21</f>
        <v>#VALUE!</v>
      </c>
      <c r="Z19" s="238" t="e">
        <f ca="1">'Summary U5MR 75'!$AE21</f>
        <v>#VALUE!</v>
      </c>
      <c r="AA19" s="238" t="e">
        <f ca="1">'Summary U5MR 100'!$AE21</f>
        <v>#VALUE!</v>
      </c>
      <c r="AB19" s="238" t="e">
        <f ca="1">'Summary U5MR 125'!$AE21</f>
        <v>#VALUE!</v>
      </c>
      <c r="AC19" s="238" t="e">
        <f ca="1">'Summary U5MR 150'!$AE21</f>
        <v>#VALUE!</v>
      </c>
      <c r="AD19" s="238" t="e">
        <f ca="1">'Summary U5MR 200'!$AE21</f>
        <v>#VALUE!</v>
      </c>
      <c r="AE19" s="238" t="e">
        <f ca="1">'Summary U5MR 250'!$AE21</f>
        <v>#VALUE!</v>
      </c>
    </row>
    <row r="20" spans="1:31">
      <c r="A20" s="246">
        <f t="shared" si="12"/>
        <v>0</v>
      </c>
      <c r="B20" s="246">
        <f t="shared" si="13"/>
        <v>0</v>
      </c>
      <c r="C20" s="246">
        <f t="shared" si="14"/>
        <v>0</v>
      </c>
      <c r="D20" s="246" t="str">
        <f>SUBSTITUTE('input data'!A33, " ", "")</f>
        <v>-</v>
      </c>
      <c r="E20" s="246">
        <f>'input data'!B33</f>
        <v>0</v>
      </c>
      <c r="F20" s="248">
        <f t="shared" ca="1" si="8"/>
        <v>0</v>
      </c>
      <c r="G20" s="246" t="e">
        <f ca="1">F20/L20*'input data'!D33</f>
        <v>#DIV/0!</v>
      </c>
      <c r="H20" s="246">
        <f t="shared" si="15"/>
        <v>0</v>
      </c>
      <c r="I20" s="246" t="s">
        <v>174</v>
      </c>
      <c r="J20" s="246" t="s">
        <v>175</v>
      </c>
      <c r="K20" s="246">
        <v>0</v>
      </c>
      <c r="L20" s="246">
        <f>'input data'!C33</f>
        <v>0</v>
      </c>
      <c r="M20" s="246">
        <f t="shared" ca="1" si="9"/>
        <v>0</v>
      </c>
      <c r="N20" s="246" t="e">
        <f t="shared" ca="1" si="0"/>
        <v>#DIV/0!</v>
      </c>
      <c r="O20" s="246">
        <f t="shared" si="16"/>
        <v>0</v>
      </c>
      <c r="P20" s="235"/>
      <c r="Q20" s="238">
        <f t="shared" ca="1" si="11"/>
        <v>0</v>
      </c>
      <c r="R20" s="243" t="e">
        <f t="shared" ca="1" si="1"/>
        <v>#VALUE!</v>
      </c>
      <c r="S20" s="241" t="e">
        <f t="shared" ca="1" si="2"/>
        <v>#VALUE!</v>
      </c>
      <c r="T20" s="241" t="e">
        <f t="shared" ca="1" si="3"/>
        <v>#VALUE!</v>
      </c>
      <c r="U20" s="241" t="e">
        <f t="shared" ca="1" si="4"/>
        <v>#VALUE!</v>
      </c>
      <c r="V20" s="241" t="e">
        <f t="shared" ca="1" si="5"/>
        <v>#VALUE!</v>
      </c>
      <c r="W20" s="241" t="e">
        <f t="shared" ca="1" si="6"/>
        <v>#VALUE!</v>
      </c>
      <c r="X20" s="241" t="e">
        <f t="shared" ca="1" si="7"/>
        <v>#VALUE!</v>
      </c>
      <c r="Y20" s="238" t="e">
        <f ca="1">'Summary U5MR 50'!$AE22</f>
        <v>#VALUE!</v>
      </c>
      <c r="Z20" s="238" t="e">
        <f ca="1">'Summary U5MR 75'!$AE22</f>
        <v>#VALUE!</v>
      </c>
      <c r="AA20" s="238" t="e">
        <f ca="1">'Summary U5MR 100'!$AE22</f>
        <v>#VALUE!</v>
      </c>
      <c r="AB20" s="238" t="e">
        <f ca="1">'Summary U5MR 125'!$AE22</f>
        <v>#VALUE!</v>
      </c>
      <c r="AC20" s="238" t="e">
        <f ca="1">'Summary U5MR 150'!$AE22</f>
        <v>#VALUE!</v>
      </c>
      <c r="AD20" s="238" t="e">
        <f ca="1">'Summary U5MR 200'!$AE22</f>
        <v>#VALUE!</v>
      </c>
      <c r="AE20" s="238" t="e">
        <f ca="1">'Summary U5MR 250'!$AE22</f>
        <v>#VALUE!</v>
      </c>
    </row>
    <row r="21" spans="1:31">
      <c r="A21" s="246">
        <f t="shared" si="12"/>
        <v>0</v>
      </c>
      <c r="B21" s="246">
        <f t="shared" si="13"/>
        <v>0</v>
      </c>
      <c r="C21" s="246">
        <f t="shared" si="14"/>
        <v>0</v>
      </c>
      <c r="D21" s="246" t="str">
        <f>SUBSTITUTE('input data'!A34, " ", "")</f>
        <v>-</v>
      </c>
      <c r="E21" s="246">
        <f>'input data'!B34</f>
        <v>0</v>
      </c>
      <c r="F21" s="248">
        <f t="shared" ca="1" si="8"/>
        <v>0</v>
      </c>
      <c r="G21" s="246" t="e">
        <f ca="1">F21/L21*'input data'!D34</f>
        <v>#DIV/0!</v>
      </c>
      <c r="H21" s="246">
        <f t="shared" si="15"/>
        <v>0</v>
      </c>
      <c r="I21" s="246" t="s">
        <v>174</v>
      </c>
      <c r="J21" s="246" t="s">
        <v>175</v>
      </c>
      <c r="K21" s="246">
        <v>0</v>
      </c>
      <c r="L21" s="246">
        <f>'input data'!C34</f>
        <v>0</v>
      </c>
      <c r="M21" s="246">
        <f t="shared" ca="1" si="9"/>
        <v>0</v>
      </c>
      <c r="N21" s="246" t="e">
        <f t="shared" ca="1" si="0"/>
        <v>#DIV/0!</v>
      </c>
      <c r="O21" s="246">
        <f t="shared" si="16"/>
        <v>0</v>
      </c>
      <c r="P21" s="235"/>
      <c r="Q21" s="238">
        <f t="shared" ca="1" si="11"/>
        <v>0</v>
      </c>
      <c r="R21" s="243" t="e">
        <f t="shared" ca="1" si="1"/>
        <v>#VALUE!</v>
      </c>
      <c r="S21" s="241" t="e">
        <f t="shared" ca="1" si="2"/>
        <v>#VALUE!</v>
      </c>
      <c r="T21" s="241" t="e">
        <f t="shared" ca="1" si="3"/>
        <v>#VALUE!</v>
      </c>
      <c r="U21" s="241" t="e">
        <f t="shared" ca="1" si="4"/>
        <v>#VALUE!</v>
      </c>
      <c r="V21" s="241" t="e">
        <f t="shared" ca="1" si="5"/>
        <v>#VALUE!</v>
      </c>
      <c r="W21" s="241" t="e">
        <f t="shared" ca="1" si="6"/>
        <v>#VALUE!</v>
      </c>
      <c r="X21" s="241" t="e">
        <f t="shared" ca="1" si="7"/>
        <v>#VALUE!</v>
      </c>
      <c r="Y21" s="238" t="e">
        <f ca="1">'Summary U5MR 50'!$AE23</f>
        <v>#VALUE!</v>
      </c>
      <c r="Z21" s="238" t="e">
        <f ca="1">'Summary U5MR 75'!$AE23</f>
        <v>#VALUE!</v>
      </c>
      <c r="AA21" s="238" t="e">
        <f ca="1">'Summary U5MR 100'!$AE23</f>
        <v>#VALUE!</v>
      </c>
      <c r="AB21" s="238" t="e">
        <f ca="1">'Summary U5MR 125'!$AE23</f>
        <v>#VALUE!</v>
      </c>
      <c r="AC21" s="238" t="e">
        <f ca="1">'Summary U5MR 150'!$AE23</f>
        <v>#VALUE!</v>
      </c>
      <c r="AD21" s="238" t="e">
        <f ca="1">'Summary U5MR 200'!$AE23</f>
        <v>#VALUE!</v>
      </c>
      <c r="AE21" s="238" t="e">
        <f ca="1">'Summary U5MR 250'!$AE23</f>
        <v>#VALUE!</v>
      </c>
    </row>
    <row r="22" spans="1:31">
      <c r="A22" s="246">
        <f t="shared" si="12"/>
        <v>0</v>
      </c>
      <c r="B22" s="246">
        <f t="shared" si="13"/>
        <v>0</v>
      </c>
      <c r="C22" s="246">
        <f t="shared" si="14"/>
        <v>0</v>
      </c>
      <c r="D22" s="246" t="str">
        <f>SUBSTITUTE('input data'!A35, " ", "")</f>
        <v>-</v>
      </c>
      <c r="E22" s="246">
        <f>'input data'!B35</f>
        <v>0</v>
      </c>
      <c r="F22" s="248">
        <f t="shared" ca="1" si="8"/>
        <v>0</v>
      </c>
      <c r="G22" s="246" t="e">
        <f ca="1">F22/L22*'input data'!D35</f>
        <v>#DIV/0!</v>
      </c>
      <c r="H22" s="246">
        <f t="shared" si="15"/>
        <v>0</v>
      </c>
      <c r="I22" s="246" t="s">
        <v>174</v>
      </c>
      <c r="J22" s="246" t="s">
        <v>175</v>
      </c>
      <c r="K22" s="246">
        <v>0</v>
      </c>
      <c r="L22" s="246">
        <f>'input data'!C35</f>
        <v>0</v>
      </c>
      <c r="M22" s="246">
        <f t="shared" ca="1" si="9"/>
        <v>0</v>
      </c>
      <c r="N22" s="246" t="e">
        <f t="shared" ca="1" si="0"/>
        <v>#DIV/0!</v>
      </c>
      <c r="O22" s="246">
        <f t="shared" si="16"/>
        <v>0</v>
      </c>
      <c r="P22" s="235"/>
      <c r="Q22" s="238">
        <f t="shared" ca="1" si="11"/>
        <v>0</v>
      </c>
      <c r="R22" s="243" t="e">
        <f t="shared" ca="1" si="1"/>
        <v>#VALUE!</v>
      </c>
      <c r="S22" s="241" t="e">
        <f t="shared" ca="1" si="2"/>
        <v>#VALUE!</v>
      </c>
      <c r="T22" s="241" t="e">
        <f t="shared" ca="1" si="3"/>
        <v>#VALUE!</v>
      </c>
      <c r="U22" s="241" t="e">
        <f t="shared" ca="1" si="4"/>
        <v>#VALUE!</v>
      </c>
      <c r="V22" s="241" t="e">
        <f t="shared" ca="1" si="5"/>
        <v>#VALUE!</v>
      </c>
      <c r="W22" s="241" t="e">
        <f t="shared" ca="1" si="6"/>
        <v>#VALUE!</v>
      </c>
      <c r="X22" s="241" t="e">
        <f t="shared" ca="1" si="7"/>
        <v>#VALUE!</v>
      </c>
      <c r="Y22" s="238" t="e">
        <f ca="1">'Summary U5MR 50'!$AE24</f>
        <v>#VALUE!</v>
      </c>
      <c r="Z22" s="238" t="e">
        <f ca="1">'Summary U5MR 75'!$AE24</f>
        <v>#VALUE!</v>
      </c>
      <c r="AA22" s="238" t="e">
        <f ca="1">'Summary U5MR 100'!$AE24</f>
        <v>#VALUE!</v>
      </c>
      <c r="AB22" s="238" t="e">
        <f ca="1">'Summary U5MR 125'!$AE24</f>
        <v>#VALUE!</v>
      </c>
      <c r="AC22" s="238" t="e">
        <f ca="1">'Summary U5MR 150'!$AE24</f>
        <v>#VALUE!</v>
      </c>
      <c r="AD22" s="238" t="e">
        <f ca="1">'Summary U5MR 200'!$AE24</f>
        <v>#VALUE!</v>
      </c>
      <c r="AE22" s="238" t="e">
        <f ca="1">'Summary U5MR 250'!$AE24</f>
        <v>#VALUE!</v>
      </c>
    </row>
    <row r="23" spans="1:31">
      <c r="A23" s="246">
        <f t="shared" si="12"/>
        <v>0</v>
      </c>
      <c r="B23" s="246">
        <f t="shared" si="13"/>
        <v>0</v>
      </c>
      <c r="C23" s="246">
        <f t="shared" si="14"/>
        <v>0</v>
      </c>
      <c r="D23" s="246" t="str">
        <f>SUBSTITUTE('input data'!A36, " ", "")</f>
        <v>-</v>
      </c>
      <c r="E23" s="246">
        <f>'input data'!B36</f>
        <v>0</v>
      </c>
      <c r="F23" s="248">
        <f t="shared" ca="1" si="8"/>
        <v>0</v>
      </c>
      <c r="G23" s="246" t="e">
        <f ca="1">F23/L23*'input data'!D36</f>
        <v>#DIV/0!</v>
      </c>
      <c r="H23" s="246">
        <f t="shared" si="15"/>
        <v>0</v>
      </c>
      <c r="I23" s="246" t="s">
        <v>174</v>
      </c>
      <c r="J23" s="246" t="s">
        <v>175</v>
      </c>
      <c r="K23" s="246">
        <v>0</v>
      </c>
      <c r="L23" s="246">
        <f>'input data'!C36</f>
        <v>0</v>
      </c>
      <c r="M23" s="246">
        <f t="shared" ca="1" si="9"/>
        <v>0</v>
      </c>
      <c r="N23" s="246" t="e">
        <f t="shared" ca="1" si="0"/>
        <v>#DIV/0!</v>
      </c>
      <c r="O23" s="246">
        <f t="shared" si="16"/>
        <v>0</v>
      </c>
      <c r="P23" s="235"/>
      <c r="Q23" s="238">
        <f t="shared" ca="1" si="11"/>
        <v>0</v>
      </c>
      <c r="R23" s="243" t="e">
        <f t="shared" ca="1" si="1"/>
        <v>#VALUE!</v>
      </c>
      <c r="S23" s="241" t="e">
        <f t="shared" ca="1" si="2"/>
        <v>#VALUE!</v>
      </c>
      <c r="T23" s="241" t="e">
        <f t="shared" ca="1" si="3"/>
        <v>#VALUE!</v>
      </c>
      <c r="U23" s="241" t="e">
        <f t="shared" ca="1" si="4"/>
        <v>#VALUE!</v>
      </c>
      <c r="V23" s="241" t="e">
        <f t="shared" ca="1" si="5"/>
        <v>#VALUE!</v>
      </c>
      <c r="W23" s="241" t="e">
        <f t="shared" ca="1" si="6"/>
        <v>#VALUE!</v>
      </c>
      <c r="X23" s="241" t="e">
        <f t="shared" ca="1" si="7"/>
        <v>#VALUE!</v>
      </c>
      <c r="Y23" s="238" t="e">
        <f ca="1">'Summary U5MR 50'!$AE25</f>
        <v>#VALUE!</v>
      </c>
      <c r="Z23" s="238" t="e">
        <f ca="1">'Summary U5MR 75'!$AE25</f>
        <v>#VALUE!</v>
      </c>
      <c r="AA23" s="238" t="e">
        <f ca="1">'Summary U5MR 100'!$AE25</f>
        <v>#VALUE!</v>
      </c>
      <c r="AB23" s="238" t="e">
        <f ca="1">'Summary U5MR 125'!$AE25</f>
        <v>#VALUE!</v>
      </c>
      <c r="AC23" s="238" t="e">
        <f ca="1">'Summary U5MR 150'!$AE25</f>
        <v>#VALUE!</v>
      </c>
      <c r="AD23" s="238" t="e">
        <f ca="1">'Summary U5MR 200'!$AE25</f>
        <v>#VALUE!</v>
      </c>
      <c r="AE23" s="238" t="e">
        <f ca="1">'Summary U5MR 250'!$AE25</f>
        <v>#VALUE!</v>
      </c>
    </row>
    <row r="24" spans="1:31">
      <c r="A24" s="246">
        <f t="shared" si="12"/>
        <v>0</v>
      </c>
      <c r="B24" s="246">
        <f t="shared" si="13"/>
        <v>0</v>
      </c>
      <c r="C24" s="246">
        <f t="shared" si="14"/>
        <v>0</v>
      </c>
      <c r="D24" s="246" t="str">
        <f>SUBSTITUTE('input data'!A37, " ", "")</f>
        <v>-</v>
      </c>
      <c r="E24" s="246">
        <f>'input data'!B37</f>
        <v>0</v>
      </c>
      <c r="F24" s="248">
        <f t="shared" ca="1" si="8"/>
        <v>0</v>
      </c>
      <c r="G24" s="246" t="e">
        <f ca="1">F24/L24*'input data'!D37</f>
        <v>#DIV/0!</v>
      </c>
      <c r="H24" s="246">
        <f t="shared" si="15"/>
        <v>0</v>
      </c>
      <c r="I24" s="246" t="s">
        <v>174</v>
      </c>
      <c r="J24" s="246" t="s">
        <v>175</v>
      </c>
      <c r="K24" s="246">
        <v>0</v>
      </c>
      <c r="L24" s="246">
        <f>'input data'!C37</f>
        <v>0</v>
      </c>
      <c r="M24" s="246">
        <f t="shared" ca="1" si="9"/>
        <v>0</v>
      </c>
      <c r="N24" s="246" t="e">
        <f t="shared" ca="1" si="0"/>
        <v>#DIV/0!</v>
      </c>
      <c r="O24" s="246">
        <f t="shared" si="16"/>
        <v>0</v>
      </c>
      <c r="P24" s="235"/>
      <c r="Q24" s="238">
        <f t="shared" ca="1" si="11"/>
        <v>0</v>
      </c>
      <c r="R24" s="243" t="e">
        <f t="shared" ca="1" si="1"/>
        <v>#VALUE!</v>
      </c>
      <c r="S24" s="241" t="e">
        <f t="shared" ca="1" si="2"/>
        <v>#VALUE!</v>
      </c>
      <c r="T24" s="241" t="e">
        <f t="shared" ca="1" si="3"/>
        <v>#VALUE!</v>
      </c>
      <c r="U24" s="241" t="e">
        <f t="shared" ca="1" si="4"/>
        <v>#VALUE!</v>
      </c>
      <c r="V24" s="241" t="e">
        <f t="shared" ca="1" si="5"/>
        <v>#VALUE!</v>
      </c>
      <c r="W24" s="241" t="e">
        <f t="shared" ca="1" si="6"/>
        <v>#VALUE!</v>
      </c>
      <c r="X24" s="241" t="e">
        <f t="shared" ca="1" si="7"/>
        <v>#VALUE!</v>
      </c>
      <c r="Y24" s="238" t="e">
        <f ca="1">'Summary U5MR 50'!$AE26</f>
        <v>#VALUE!</v>
      </c>
      <c r="Z24" s="238" t="e">
        <f ca="1">'Summary U5MR 75'!$AE26</f>
        <v>#VALUE!</v>
      </c>
      <c r="AA24" s="238" t="e">
        <f ca="1">'Summary U5MR 100'!$AE26</f>
        <v>#VALUE!</v>
      </c>
      <c r="AB24" s="238" t="e">
        <f ca="1">'Summary U5MR 125'!$AE26</f>
        <v>#VALUE!</v>
      </c>
      <c r="AC24" s="238" t="e">
        <f ca="1">'Summary U5MR 150'!$AE26</f>
        <v>#VALUE!</v>
      </c>
      <c r="AD24" s="238" t="e">
        <f ca="1">'Summary U5MR 200'!$AE26</f>
        <v>#VALUE!</v>
      </c>
      <c r="AE24" s="238" t="e">
        <f ca="1">'Summary U5MR 250'!$AE26</f>
        <v>#VALUE!</v>
      </c>
    </row>
    <row r="25" spans="1:31">
      <c r="A25" s="246">
        <f t="shared" si="12"/>
        <v>0</v>
      </c>
      <c r="B25" s="246">
        <f t="shared" si="13"/>
        <v>0</v>
      </c>
      <c r="C25" s="246">
        <f t="shared" si="14"/>
        <v>0</v>
      </c>
      <c r="D25" s="246" t="str">
        <f>SUBSTITUTE('input data'!A38, " ", "")</f>
        <v>-</v>
      </c>
      <c r="E25" s="246">
        <f>'input data'!B38</f>
        <v>0</v>
      </c>
      <c r="F25" s="248">
        <f t="shared" ca="1" si="8"/>
        <v>0</v>
      </c>
      <c r="G25" s="246" t="e">
        <f ca="1">F25/L25*'input data'!D38</f>
        <v>#DIV/0!</v>
      </c>
      <c r="H25" s="246">
        <f t="shared" si="15"/>
        <v>0</v>
      </c>
      <c r="I25" s="246" t="s">
        <v>174</v>
      </c>
      <c r="J25" s="246" t="s">
        <v>175</v>
      </c>
      <c r="K25" s="246">
        <v>0</v>
      </c>
      <c r="L25" s="246">
        <f>'input data'!C38</f>
        <v>0</v>
      </c>
      <c r="M25" s="246">
        <f t="shared" ca="1" si="9"/>
        <v>0</v>
      </c>
      <c r="N25" s="246" t="e">
        <f t="shared" ca="1" si="0"/>
        <v>#DIV/0!</v>
      </c>
      <c r="O25" s="246">
        <f t="shared" si="16"/>
        <v>0</v>
      </c>
      <c r="P25" s="235"/>
      <c r="Q25" s="238">
        <f t="shared" ca="1" si="11"/>
        <v>0</v>
      </c>
      <c r="R25" s="243" t="e">
        <f t="shared" ca="1" si="1"/>
        <v>#VALUE!</v>
      </c>
      <c r="S25" s="241" t="e">
        <f t="shared" ca="1" si="2"/>
        <v>#VALUE!</v>
      </c>
      <c r="T25" s="241" t="e">
        <f t="shared" ca="1" si="3"/>
        <v>#VALUE!</v>
      </c>
      <c r="U25" s="241" t="e">
        <f t="shared" ca="1" si="4"/>
        <v>#VALUE!</v>
      </c>
      <c r="V25" s="241" t="e">
        <f t="shared" ca="1" si="5"/>
        <v>#VALUE!</v>
      </c>
      <c r="W25" s="241" t="e">
        <f t="shared" ca="1" si="6"/>
        <v>#VALUE!</v>
      </c>
      <c r="X25" s="241" t="e">
        <f t="shared" ca="1" si="7"/>
        <v>#VALUE!</v>
      </c>
      <c r="Y25" s="244" t="e">
        <f ca="1">'Summary U5MR 50'!$AE27</f>
        <v>#VALUE!</v>
      </c>
      <c r="Z25" s="238" t="e">
        <f ca="1">'Summary U5MR 75'!$AE27</f>
        <v>#VALUE!</v>
      </c>
      <c r="AA25" s="238" t="e">
        <f ca="1">'Summary U5MR 100'!$AE27</f>
        <v>#VALUE!</v>
      </c>
      <c r="AB25" s="238" t="e">
        <f ca="1">'Summary U5MR 125'!$AE27</f>
        <v>#VALUE!</v>
      </c>
      <c r="AC25" s="238" t="e">
        <f ca="1">'Summary U5MR 150'!$AE27</f>
        <v>#VALUE!</v>
      </c>
      <c r="AD25" s="238" t="e">
        <f ca="1">'Summary U5MR 200'!$AE27</f>
        <v>#VALUE!</v>
      </c>
      <c r="AE25" s="238" t="e">
        <f ca="1">'Summary U5MR 250'!$AE27</f>
        <v>#VALUE!</v>
      </c>
    </row>
    <row r="26" spans="1:31">
      <c r="A26" s="246">
        <f t="shared" si="12"/>
        <v>0</v>
      </c>
      <c r="B26" s="246">
        <f t="shared" si="13"/>
        <v>0</v>
      </c>
      <c r="C26" s="246">
        <f t="shared" si="14"/>
        <v>0</v>
      </c>
      <c r="D26" s="246" t="str">
        <f>SUBSTITUTE('input data'!A39, " ", "")</f>
        <v>-</v>
      </c>
      <c r="E26" s="246">
        <f>'input data'!B39</f>
        <v>0</v>
      </c>
      <c r="F26" s="248">
        <f t="shared" ca="1" si="8"/>
        <v>0</v>
      </c>
      <c r="G26" s="246" t="e">
        <f ca="1">F26/L26*'input data'!D39</f>
        <v>#DIV/0!</v>
      </c>
      <c r="H26" s="246">
        <f t="shared" si="15"/>
        <v>0</v>
      </c>
      <c r="I26" s="246" t="s">
        <v>174</v>
      </c>
      <c r="J26" s="246" t="s">
        <v>175</v>
      </c>
      <c r="K26" s="246">
        <v>0</v>
      </c>
      <c r="L26" s="246">
        <f>'input data'!C39</f>
        <v>0</v>
      </c>
      <c r="M26" s="246">
        <f t="shared" ca="1" si="9"/>
        <v>0</v>
      </c>
      <c r="N26" s="246" t="e">
        <f t="shared" ca="1" si="0"/>
        <v>#DIV/0!</v>
      </c>
      <c r="O26" s="246">
        <f t="shared" si="16"/>
        <v>0</v>
      </c>
      <c r="P26" s="235"/>
      <c r="Q26" s="238">
        <f t="shared" ca="1" si="11"/>
        <v>0</v>
      </c>
      <c r="R26" s="243" t="e">
        <f t="shared" ca="1" si="1"/>
        <v>#VALUE!</v>
      </c>
      <c r="S26" s="241" t="e">
        <f t="shared" ca="1" si="2"/>
        <v>#VALUE!</v>
      </c>
      <c r="T26" s="241" t="e">
        <f t="shared" ca="1" si="3"/>
        <v>#VALUE!</v>
      </c>
      <c r="U26" s="241" t="e">
        <f t="shared" ca="1" si="4"/>
        <v>#VALUE!</v>
      </c>
      <c r="V26" s="241" t="e">
        <f t="shared" ca="1" si="5"/>
        <v>#VALUE!</v>
      </c>
      <c r="W26" s="241" t="e">
        <f t="shared" ca="1" si="6"/>
        <v>#VALUE!</v>
      </c>
      <c r="X26" s="241" t="e">
        <f t="shared" ca="1" si="7"/>
        <v>#VALUE!</v>
      </c>
      <c r="Y26" s="238" t="e">
        <f ca="1">'Summary U5MR 50'!$AE28</f>
        <v>#VALUE!</v>
      </c>
      <c r="Z26" s="238" t="e">
        <f ca="1">'Summary U5MR 75'!$AE28</f>
        <v>#VALUE!</v>
      </c>
      <c r="AA26" s="238" t="e">
        <f ca="1">'Summary U5MR 100'!$AE28</f>
        <v>#VALUE!</v>
      </c>
      <c r="AB26" s="238" t="e">
        <f ca="1">'Summary U5MR 125'!$AE28</f>
        <v>#VALUE!</v>
      </c>
      <c r="AC26" s="238" t="e">
        <f ca="1">'Summary U5MR 150'!$AE28</f>
        <v>#VALUE!</v>
      </c>
      <c r="AD26" s="238" t="e">
        <f ca="1">'Summary U5MR 200'!$AE28</f>
        <v>#VALUE!</v>
      </c>
      <c r="AE26" s="238" t="e">
        <f ca="1">'Summary U5MR 250'!$AE28</f>
        <v>#VALUE!</v>
      </c>
    </row>
    <row r="27" spans="1:31" s="238" customFormat="1"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9"/>
      <c r="S27" s="239"/>
      <c r="T27" s="239"/>
      <c r="U27" s="239"/>
      <c r="V27" s="239"/>
      <c r="W27" s="239"/>
      <c r="X27" s="239"/>
    </row>
    <row r="28" spans="1:31" s="238" customFormat="1"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9"/>
      <c r="S28" s="239"/>
      <c r="T28" s="239"/>
      <c r="U28" s="239"/>
      <c r="V28" s="239"/>
      <c r="W28" s="239"/>
      <c r="X28" s="239"/>
    </row>
    <row r="29" spans="1:31" s="238" customFormat="1">
      <c r="A29" s="255" t="s">
        <v>211</v>
      </c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9"/>
      <c r="S29" s="239"/>
      <c r="T29" s="239"/>
      <c r="U29" s="239"/>
      <c r="V29" s="239"/>
      <c r="W29" s="239"/>
      <c r="X29" s="239"/>
    </row>
    <row r="30" spans="1:31" s="238" customFormat="1">
      <c r="A30" s="263" t="s">
        <v>212</v>
      </c>
      <c r="D30" s="254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9"/>
      <c r="S30" s="239"/>
      <c r="T30" s="239"/>
      <c r="U30" s="239"/>
      <c r="V30" s="239"/>
      <c r="W30" s="239"/>
      <c r="X30" s="239"/>
    </row>
    <row r="31" spans="1:31">
      <c r="A31" s="267" t="s">
        <v>72</v>
      </c>
      <c r="B31" s="267" t="s">
        <v>74</v>
      </c>
      <c r="C31" s="267" t="s">
        <v>139</v>
      </c>
      <c r="D31" s="267" t="s">
        <v>43</v>
      </c>
      <c r="E31" s="267" t="s">
        <v>50</v>
      </c>
      <c r="F31" s="267" t="s">
        <v>157</v>
      </c>
      <c r="G31" s="267" t="s">
        <v>148</v>
      </c>
      <c r="H31" s="267" t="s">
        <v>173</v>
      </c>
      <c r="I31" s="267" t="s">
        <v>207</v>
      </c>
      <c r="J31" s="267" t="s">
        <v>208</v>
      </c>
      <c r="K31" s="268" t="s">
        <v>177</v>
      </c>
      <c r="L31" s="252" t="s">
        <v>123</v>
      </c>
      <c r="M31" s="252" t="s">
        <v>158</v>
      </c>
      <c r="N31" s="252" t="s">
        <v>159</v>
      </c>
      <c r="O31" s="252" t="s">
        <v>160</v>
      </c>
    </row>
    <row r="32" spans="1:31" s="46" customFormat="1"/>
    <row r="33" s="46" customFormat="1"/>
    <row r="34" s="46" customFormat="1"/>
    <row r="35" s="46" customFormat="1"/>
    <row r="36" s="46" customFormat="1"/>
    <row r="37" s="46" customFormat="1"/>
    <row r="38" s="46" customFormat="1"/>
    <row r="39" s="46" customFormat="1"/>
    <row r="40" s="46" customFormat="1"/>
    <row r="41" s="46" customFormat="1"/>
    <row r="42" s="46" customFormat="1"/>
    <row r="43" s="46" customFormat="1"/>
    <row r="44" s="46" customFormat="1"/>
    <row r="45" s="46" customFormat="1"/>
    <row r="46" s="46" customFormat="1"/>
    <row r="47" s="46" customFormat="1"/>
    <row r="48" s="46" customFormat="1"/>
    <row r="49" s="46" customFormat="1"/>
    <row r="50" s="46" customFormat="1"/>
    <row r="51" s="46" customFormat="1"/>
    <row r="52" s="46" customFormat="1"/>
  </sheetData>
  <autoFilter ref="A31:O77"/>
  <phoneticPr fontId="4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613"/>
  <sheetViews>
    <sheetView topLeftCell="A216" workbookViewId="0">
      <selection activeCell="E228" sqref="E228:J228"/>
    </sheetView>
  </sheetViews>
  <sheetFormatPr defaultRowHeight="12.75"/>
  <sheetData>
    <row r="1" spans="1:16">
      <c r="A1" t="s">
        <v>112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259</v>
      </c>
      <c r="M1" t="s">
        <v>138</v>
      </c>
      <c r="N1">
        <f>INDEX($C$2:$C$579,MATCH('input data'!A1,$K$2:$K$579,0))</f>
        <v>404</v>
      </c>
      <c r="P1" s="247" t="s">
        <v>261</v>
      </c>
    </row>
    <row r="2" spans="1:16">
      <c r="A2" s="2" t="str">
        <f>C2&amp;F2</f>
        <v>721980</v>
      </c>
      <c r="B2" t="s">
        <v>80</v>
      </c>
      <c r="C2">
        <v>72</v>
      </c>
      <c r="D2">
        <v>1030</v>
      </c>
      <c r="E2" t="s">
        <v>81</v>
      </c>
      <c r="F2" s="283">
        <v>1980</v>
      </c>
      <c r="G2" s="284">
        <v>42811</v>
      </c>
      <c r="H2" s="284">
        <v>228578</v>
      </c>
      <c r="I2" s="284">
        <v>42</v>
      </c>
      <c r="J2" s="284">
        <v>2</v>
      </c>
      <c r="K2" t="s">
        <v>81</v>
      </c>
    </row>
    <row r="3" spans="1:16">
      <c r="A3" s="2" t="str">
        <f t="shared" ref="A3:A67" si="0">C3&amp;F3</f>
        <v>721981</v>
      </c>
      <c r="B3" t="s">
        <v>80</v>
      </c>
      <c r="C3">
        <v>72</v>
      </c>
      <c r="D3">
        <v>1030</v>
      </c>
      <c r="E3" t="s">
        <v>81</v>
      </c>
      <c r="F3" s="283">
        <v>1981</v>
      </c>
      <c r="G3" s="284">
        <v>43827</v>
      </c>
      <c r="H3" s="284">
        <v>237450</v>
      </c>
      <c r="I3" s="284">
        <v>90</v>
      </c>
      <c r="J3" s="284">
        <v>3</v>
      </c>
      <c r="K3" t="s">
        <v>81</v>
      </c>
    </row>
    <row r="4" spans="1:16">
      <c r="A4" s="2" t="str">
        <f t="shared" si="0"/>
        <v>721982</v>
      </c>
      <c r="B4" t="s">
        <v>80</v>
      </c>
      <c r="C4">
        <v>72</v>
      </c>
      <c r="D4">
        <v>1030</v>
      </c>
      <c r="E4" t="s">
        <v>81</v>
      </c>
      <c r="F4" s="283">
        <v>1982</v>
      </c>
      <c r="G4" s="284">
        <v>44741</v>
      </c>
      <c r="H4" s="284">
        <v>245971</v>
      </c>
      <c r="I4" s="284">
        <v>186</v>
      </c>
      <c r="J4" s="284">
        <v>7</v>
      </c>
      <c r="K4" t="s">
        <v>81</v>
      </c>
    </row>
    <row r="5" spans="1:16">
      <c r="A5" s="2" t="str">
        <f t="shared" si="0"/>
        <v>721983</v>
      </c>
      <c r="B5" t="s">
        <v>80</v>
      </c>
      <c r="C5">
        <v>72</v>
      </c>
      <c r="D5">
        <v>1030</v>
      </c>
      <c r="E5" t="s">
        <v>81</v>
      </c>
      <c r="F5" s="283">
        <v>1983</v>
      </c>
      <c r="G5" s="284">
        <v>45356</v>
      </c>
      <c r="H5" s="284">
        <v>254292</v>
      </c>
      <c r="I5" s="284">
        <v>374</v>
      </c>
      <c r="J5" s="284">
        <v>13</v>
      </c>
      <c r="K5" t="s">
        <v>81</v>
      </c>
    </row>
    <row r="6" spans="1:16">
      <c r="A6" s="2" t="str">
        <f t="shared" si="0"/>
        <v>721984</v>
      </c>
      <c r="B6" t="s">
        <v>80</v>
      </c>
      <c r="C6">
        <v>72</v>
      </c>
      <c r="D6">
        <v>1030</v>
      </c>
      <c r="E6" t="s">
        <v>81</v>
      </c>
      <c r="F6" s="283">
        <v>1984</v>
      </c>
      <c r="G6" s="284">
        <v>45704</v>
      </c>
      <c r="H6" s="284">
        <v>262579</v>
      </c>
      <c r="I6" s="284">
        <v>734</v>
      </c>
      <c r="J6" s="284">
        <v>25</v>
      </c>
      <c r="K6" t="s">
        <v>81</v>
      </c>
    </row>
    <row r="7" spans="1:16">
      <c r="A7" s="2" t="str">
        <f t="shared" si="0"/>
        <v>721985</v>
      </c>
      <c r="B7" t="s">
        <v>80</v>
      </c>
      <c r="C7">
        <v>72</v>
      </c>
      <c r="D7">
        <v>1030</v>
      </c>
      <c r="E7" t="s">
        <v>81</v>
      </c>
      <c r="F7" s="283">
        <v>1985</v>
      </c>
      <c r="G7" s="284">
        <v>45843</v>
      </c>
      <c r="H7" s="284">
        <v>270872</v>
      </c>
      <c r="I7" s="284">
        <v>1398</v>
      </c>
      <c r="J7" s="284">
        <v>46</v>
      </c>
      <c r="K7" t="s">
        <v>81</v>
      </c>
    </row>
    <row r="8" spans="1:16">
      <c r="A8" s="2" t="str">
        <f t="shared" si="0"/>
        <v>721986</v>
      </c>
      <c r="B8" t="s">
        <v>80</v>
      </c>
      <c r="C8">
        <v>72</v>
      </c>
      <c r="D8">
        <v>1030</v>
      </c>
      <c r="E8" t="s">
        <v>81</v>
      </c>
      <c r="F8" s="283">
        <v>1986</v>
      </c>
      <c r="G8" s="284">
        <v>45927</v>
      </c>
      <c r="H8" s="284">
        <v>280230</v>
      </c>
      <c r="I8" s="284">
        <v>2612</v>
      </c>
      <c r="J8" s="284">
        <v>83</v>
      </c>
      <c r="K8" t="s">
        <v>81</v>
      </c>
    </row>
    <row r="9" spans="1:16">
      <c r="A9" s="2" t="str">
        <f t="shared" si="0"/>
        <v>721987</v>
      </c>
      <c r="B9" t="s">
        <v>80</v>
      </c>
      <c r="C9">
        <v>72</v>
      </c>
      <c r="D9">
        <v>1030</v>
      </c>
      <c r="E9" t="s">
        <v>81</v>
      </c>
      <c r="F9" s="283">
        <v>1987</v>
      </c>
      <c r="G9" s="284">
        <v>46070</v>
      </c>
      <c r="H9" s="284">
        <v>290045</v>
      </c>
      <c r="I9" s="284">
        <v>4698</v>
      </c>
      <c r="J9" s="284">
        <v>145</v>
      </c>
      <c r="K9" t="s">
        <v>81</v>
      </c>
    </row>
    <row r="10" spans="1:16">
      <c r="A10" s="2" t="str">
        <f t="shared" si="0"/>
        <v>721988</v>
      </c>
      <c r="B10" t="s">
        <v>80</v>
      </c>
      <c r="C10">
        <v>72</v>
      </c>
      <c r="D10">
        <v>1030</v>
      </c>
      <c r="E10" t="s">
        <v>81</v>
      </c>
      <c r="F10" s="283">
        <v>1988</v>
      </c>
      <c r="G10" s="284">
        <v>46205</v>
      </c>
      <c r="H10" s="284">
        <v>300427</v>
      </c>
      <c r="I10" s="284">
        <v>8101</v>
      </c>
      <c r="J10" s="284">
        <v>242</v>
      </c>
      <c r="K10" t="s">
        <v>81</v>
      </c>
    </row>
    <row r="11" spans="1:16">
      <c r="A11" s="2" t="str">
        <f t="shared" si="0"/>
        <v>721989</v>
      </c>
      <c r="B11" t="s">
        <v>80</v>
      </c>
      <c r="C11">
        <v>72</v>
      </c>
      <c r="D11">
        <v>1030</v>
      </c>
      <c r="E11" t="s">
        <v>81</v>
      </c>
      <c r="F11" s="283">
        <v>1989</v>
      </c>
      <c r="G11" s="284">
        <v>46241</v>
      </c>
      <c r="H11" s="284">
        <v>311468</v>
      </c>
      <c r="I11" s="284">
        <v>13326</v>
      </c>
      <c r="J11" s="284">
        <v>386</v>
      </c>
      <c r="K11" t="s">
        <v>81</v>
      </c>
    </row>
    <row r="12" spans="1:16">
      <c r="A12" s="2" t="str">
        <f t="shared" si="0"/>
        <v>721990</v>
      </c>
      <c r="B12" t="s">
        <v>80</v>
      </c>
      <c r="C12">
        <v>72</v>
      </c>
      <c r="D12">
        <v>1030</v>
      </c>
      <c r="E12" t="s">
        <v>81</v>
      </c>
      <c r="F12" s="283">
        <v>1990</v>
      </c>
      <c r="G12" s="284">
        <v>46140</v>
      </c>
      <c r="H12" s="284">
        <v>323170</v>
      </c>
      <c r="I12" s="284">
        <v>20826</v>
      </c>
      <c r="J12" s="284">
        <v>582</v>
      </c>
      <c r="K12" t="s">
        <v>81</v>
      </c>
    </row>
    <row r="13" spans="1:16">
      <c r="A13" s="2" t="str">
        <f t="shared" si="0"/>
        <v>721991</v>
      </c>
      <c r="B13" t="s">
        <v>80</v>
      </c>
      <c r="C13">
        <v>72</v>
      </c>
      <c r="D13">
        <v>1030</v>
      </c>
      <c r="E13" t="s">
        <v>81</v>
      </c>
      <c r="F13" s="283">
        <v>1991</v>
      </c>
      <c r="G13" s="284">
        <v>46037</v>
      </c>
      <c r="H13" s="284">
        <v>335473</v>
      </c>
      <c r="I13" s="284">
        <v>30676</v>
      </c>
      <c r="J13" s="284">
        <v>830</v>
      </c>
      <c r="K13" t="s">
        <v>81</v>
      </c>
    </row>
    <row r="14" spans="1:16">
      <c r="A14" s="2" t="str">
        <f t="shared" si="0"/>
        <v>721992</v>
      </c>
      <c r="B14" t="s">
        <v>80</v>
      </c>
      <c r="C14">
        <v>72</v>
      </c>
      <c r="D14">
        <v>1030</v>
      </c>
      <c r="E14" t="s">
        <v>81</v>
      </c>
      <c r="F14" s="283">
        <v>1992</v>
      </c>
      <c r="G14" s="284">
        <v>46072</v>
      </c>
      <c r="H14" s="284">
        <v>348294</v>
      </c>
      <c r="I14" s="284">
        <v>42934</v>
      </c>
      <c r="J14" s="284">
        <v>1131</v>
      </c>
      <c r="K14" t="s">
        <v>81</v>
      </c>
    </row>
    <row r="15" spans="1:16">
      <c r="A15" s="2" t="str">
        <f t="shared" si="0"/>
        <v>721993</v>
      </c>
      <c r="B15" t="s">
        <v>80</v>
      </c>
      <c r="C15">
        <v>72</v>
      </c>
      <c r="D15">
        <v>1030</v>
      </c>
      <c r="E15" t="s">
        <v>81</v>
      </c>
      <c r="F15" s="283">
        <v>1993</v>
      </c>
      <c r="G15" s="284">
        <v>46254</v>
      </c>
      <c r="H15" s="284">
        <v>361512</v>
      </c>
      <c r="I15" s="284">
        <v>57047</v>
      </c>
      <c r="J15" s="284">
        <v>1474</v>
      </c>
      <c r="K15" t="s">
        <v>81</v>
      </c>
    </row>
    <row r="16" spans="1:16">
      <c r="A16" s="2" t="str">
        <f t="shared" si="0"/>
        <v>721994</v>
      </c>
      <c r="B16" t="s">
        <v>80</v>
      </c>
      <c r="C16">
        <v>72</v>
      </c>
      <c r="D16">
        <v>1030</v>
      </c>
      <c r="E16" t="s">
        <v>81</v>
      </c>
      <c r="F16" s="283">
        <v>1994</v>
      </c>
      <c r="G16" s="284">
        <v>46456</v>
      </c>
      <c r="H16" s="284">
        <v>374984</v>
      </c>
      <c r="I16" s="284">
        <v>72095</v>
      </c>
      <c r="J16" s="284">
        <v>1836</v>
      </c>
      <c r="K16" t="s">
        <v>81</v>
      </c>
    </row>
    <row r="17" spans="1:11">
      <c r="A17" s="2" t="str">
        <f t="shared" si="0"/>
        <v>721995</v>
      </c>
      <c r="B17" t="s">
        <v>80</v>
      </c>
      <c r="C17">
        <v>72</v>
      </c>
      <c r="D17">
        <v>1030</v>
      </c>
      <c r="E17" t="s">
        <v>81</v>
      </c>
      <c r="F17" s="283">
        <v>1995</v>
      </c>
      <c r="G17" s="284">
        <v>46635</v>
      </c>
      <c r="H17" s="284">
        <v>388561</v>
      </c>
      <c r="I17" s="284">
        <v>87020</v>
      </c>
      <c r="J17" s="284">
        <v>2194</v>
      </c>
      <c r="K17" t="s">
        <v>81</v>
      </c>
    </row>
    <row r="18" spans="1:11">
      <c r="A18" s="2" t="str">
        <f t="shared" si="0"/>
        <v>721996</v>
      </c>
      <c r="B18" t="s">
        <v>80</v>
      </c>
      <c r="C18">
        <v>72</v>
      </c>
      <c r="D18">
        <v>1030</v>
      </c>
      <c r="E18" t="s">
        <v>81</v>
      </c>
      <c r="F18" s="283">
        <v>1996</v>
      </c>
      <c r="G18" s="284">
        <v>46766</v>
      </c>
      <c r="H18" s="284">
        <v>402125</v>
      </c>
      <c r="I18" s="284">
        <v>100693</v>
      </c>
      <c r="J18" s="284">
        <v>2523</v>
      </c>
      <c r="K18" t="s">
        <v>81</v>
      </c>
    </row>
    <row r="19" spans="1:11">
      <c r="A19" s="2" t="str">
        <f t="shared" si="0"/>
        <v>721997</v>
      </c>
      <c r="B19" t="s">
        <v>80</v>
      </c>
      <c r="C19">
        <v>72</v>
      </c>
      <c r="D19">
        <v>1030</v>
      </c>
      <c r="E19" t="s">
        <v>81</v>
      </c>
      <c r="F19" s="283">
        <v>1997</v>
      </c>
      <c r="G19" s="284">
        <v>46832</v>
      </c>
      <c r="H19" s="284">
        <v>415484</v>
      </c>
      <c r="I19" s="284">
        <v>112538</v>
      </c>
      <c r="J19" s="284">
        <v>2810</v>
      </c>
      <c r="K19" t="s">
        <v>81</v>
      </c>
    </row>
    <row r="20" spans="1:11">
      <c r="A20" s="2" t="str">
        <f t="shared" si="0"/>
        <v>721998</v>
      </c>
      <c r="B20" t="s">
        <v>80</v>
      </c>
      <c r="C20">
        <v>72</v>
      </c>
      <c r="D20">
        <v>1030</v>
      </c>
      <c r="E20" t="s">
        <v>81</v>
      </c>
      <c r="F20" s="283">
        <v>1998</v>
      </c>
      <c r="G20" s="284">
        <v>46774</v>
      </c>
      <c r="H20" s="284">
        <v>428220</v>
      </c>
      <c r="I20" s="284">
        <v>121889</v>
      </c>
      <c r="J20" s="284">
        <v>3037</v>
      </c>
      <c r="K20" t="s">
        <v>81</v>
      </c>
    </row>
    <row r="21" spans="1:11">
      <c r="A21" s="2" t="str">
        <f t="shared" si="0"/>
        <v>721999</v>
      </c>
      <c r="B21" t="s">
        <v>80</v>
      </c>
      <c r="C21">
        <v>72</v>
      </c>
      <c r="D21">
        <v>1030</v>
      </c>
      <c r="E21" t="s">
        <v>81</v>
      </c>
      <c r="F21" s="283">
        <v>1999</v>
      </c>
      <c r="G21" s="284">
        <v>46583</v>
      </c>
      <c r="H21" s="284">
        <v>439936</v>
      </c>
      <c r="I21" s="284">
        <v>128878</v>
      </c>
      <c r="J21" s="284">
        <v>3201</v>
      </c>
      <c r="K21" t="s">
        <v>81</v>
      </c>
    </row>
    <row r="22" spans="1:11">
      <c r="A22" s="2" t="str">
        <f t="shared" si="0"/>
        <v>722000</v>
      </c>
      <c r="B22" t="s">
        <v>80</v>
      </c>
      <c r="C22">
        <v>72</v>
      </c>
      <c r="D22">
        <v>1030</v>
      </c>
      <c r="E22" t="s">
        <v>81</v>
      </c>
      <c r="F22" s="283">
        <v>2000</v>
      </c>
      <c r="G22" s="284">
        <v>46328</v>
      </c>
      <c r="H22" s="284">
        <v>450438</v>
      </c>
      <c r="I22" s="284">
        <v>133789</v>
      </c>
      <c r="J22" s="284">
        <v>3092</v>
      </c>
      <c r="K22" t="s">
        <v>81</v>
      </c>
    </row>
    <row r="23" spans="1:11">
      <c r="A23" s="2" t="str">
        <f t="shared" si="0"/>
        <v>722001</v>
      </c>
      <c r="B23" t="s">
        <v>80</v>
      </c>
      <c r="C23">
        <v>72</v>
      </c>
      <c r="D23">
        <v>1030</v>
      </c>
      <c r="E23" t="s">
        <v>81</v>
      </c>
      <c r="F23" s="283">
        <v>2001</v>
      </c>
      <c r="G23" s="284">
        <v>46075</v>
      </c>
      <c r="H23" s="284">
        <v>459726</v>
      </c>
      <c r="I23" s="284">
        <v>136803</v>
      </c>
      <c r="J23" s="284">
        <v>2926</v>
      </c>
      <c r="K23" t="s">
        <v>81</v>
      </c>
    </row>
    <row r="24" spans="1:11">
      <c r="A24" s="2" t="str">
        <f t="shared" si="0"/>
        <v>722002</v>
      </c>
      <c r="B24" t="s">
        <v>80</v>
      </c>
      <c r="C24">
        <v>72</v>
      </c>
      <c r="D24">
        <v>1030</v>
      </c>
      <c r="E24" t="s">
        <v>81</v>
      </c>
      <c r="F24" s="283">
        <v>2002</v>
      </c>
      <c r="G24" s="284">
        <v>45925</v>
      </c>
      <c r="H24" s="284">
        <v>468075</v>
      </c>
      <c r="I24" s="284">
        <v>138272</v>
      </c>
      <c r="J24" s="284">
        <v>2695</v>
      </c>
      <c r="K24" t="s">
        <v>81</v>
      </c>
    </row>
    <row r="25" spans="1:11">
      <c r="A25" s="2" t="str">
        <f t="shared" si="0"/>
        <v>722003</v>
      </c>
      <c r="B25" t="s">
        <v>80</v>
      </c>
      <c r="C25">
        <v>72</v>
      </c>
      <c r="D25">
        <v>1030</v>
      </c>
      <c r="E25" t="s">
        <v>81</v>
      </c>
      <c r="F25" s="283">
        <v>2003</v>
      </c>
      <c r="G25" s="284">
        <v>45925</v>
      </c>
      <c r="H25" s="284">
        <v>476179</v>
      </c>
      <c r="I25" s="284">
        <v>138923</v>
      </c>
      <c r="J25" s="284">
        <v>2431</v>
      </c>
      <c r="K25" t="s">
        <v>81</v>
      </c>
    </row>
    <row r="26" spans="1:11">
      <c r="A26" s="2" t="str">
        <f t="shared" si="0"/>
        <v>722004</v>
      </c>
      <c r="B26" t="s">
        <v>80</v>
      </c>
      <c r="C26">
        <v>72</v>
      </c>
      <c r="D26">
        <v>1030</v>
      </c>
      <c r="E26" t="s">
        <v>81</v>
      </c>
      <c r="F26" s="283">
        <v>2004</v>
      </c>
      <c r="G26" s="284">
        <v>46051</v>
      </c>
      <c r="H26" s="284">
        <v>484962</v>
      </c>
      <c r="I26" s="284">
        <v>139694</v>
      </c>
      <c r="J26" s="284">
        <v>2140</v>
      </c>
      <c r="K26" t="s">
        <v>81</v>
      </c>
    </row>
    <row r="27" spans="1:11">
      <c r="A27" s="2" t="str">
        <f t="shared" si="0"/>
        <v>722005</v>
      </c>
      <c r="B27" t="s">
        <v>80</v>
      </c>
      <c r="C27">
        <v>72</v>
      </c>
      <c r="D27">
        <v>1030</v>
      </c>
      <c r="E27" t="s">
        <v>81</v>
      </c>
      <c r="F27" s="283">
        <v>2005</v>
      </c>
      <c r="G27" s="284">
        <v>46329</v>
      </c>
      <c r="H27" s="284">
        <v>495103</v>
      </c>
      <c r="I27" s="284">
        <v>141340</v>
      </c>
      <c r="J27" s="284">
        <v>1411</v>
      </c>
      <c r="K27" t="s">
        <v>81</v>
      </c>
    </row>
    <row r="28" spans="1:11">
      <c r="A28" s="2" t="str">
        <f t="shared" si="0"/>
        <v>722006</v>
      </c>
      <c r="B28" t="s">
        <v>80</v>
      </c>
      <c r="C28">
        <v>72</v>
      </c>
      <c r="D28">
        <v>1030</v>
      </c>
      <c r="E28" t="s">
        <v>81</v>
      </c>
      <c r="F28" s="283">
        <v>2006</v>
      </c>
      <c r="G28" s="284">
        <v>46730</v>
      </c>
      <c r="H28" s="284">
        <v>506018</v>
      </c>
      <c r="I28" s="284">
        <v>143486</v>
      </c>
      <c r="J28" s="284">
        <v>1085</v>
      </c>
      <c r="K28" t="s">
        <v>81</v>
      </c>
    </row>
    <row r="29" spans="1:11">
      <c r="A29" s="2" t="str">
        <f t="shared" si="0"/>
        <v>722007</v>
      </c>
      <c r="B29" t="s">
        <v>80</v>
      </c>
      <c r="C29">
        <v>72</v>
      </c>
      <c r="D29">
        <v>1030</v>
      </c>
      <c r="E29" t="s">
        <v>81</v>
      </c>
      <c r="F29" s="283">
        <v>2007</v>
      </c>
      <c r="G29" s="284">
        <v>47139</v>
      </c>
      <c r="H29" s="284">
        <v>517171</v>
      </c>
      <c r="I29" s="284">
        <v>145735</v>
      </c>
      <c r="J29" s="284">
        <v>1190</v>
      </c>
      <c r="K29" t="s">
        <v>81</v>
      </c>
    </row>
    <row r="30" spans="1:11">
      <c r="A30" s="2" t="str">
        <f t="shared" si="0"/>
        <v>722008</v>
      </c>
      <c r="B30" t="s">
        <v>80</v>
      </c>
      <c r="C30">
        <v>72</v>
      </c>
      <c r="D30">
        <v>1030</v>
      </c>
      <c r="E30" t="s">
        <v>81</v>
      </c>
      <c r="F30" s="283">
        <v>2008</v>
      </c>
      <c r="G30" s="284">
        <v>47506</v>
      </c>
      <c r="H30" s="284">
        <v>528104</v>
      </c>
      <c r="I30" s="284">
        <v>147721</v>
      </c>
      <c r="J30" s="284">
        <v>1115</v>
      </c>
      <c r="K30" t="s">
        <v>81</v>
      </c>
    </row>
    <row r="31" spans="1:11">
      <c r="A31" s="2" t="str">
        <f t="shared" si="0"/>
        <v>722009</v>
      </c>
      <c r="B31" t="s">
        <v>80</v>
      </c>
      <c r="C31">
        <v>72</v>
      </c>
      <c r="D31">
        <v>1030</v>
      </c>
      <c r="E31" t="s">
        <v>81</v>
      </c>
      <c r="F31" s="283">
        <v>2009</v>
      </c>
      <c r="G31" s="284">
        <v>47811</v>
      </c>
      <c r="H31" s="284">
        <v>539333</v>
      </c>
      <c r="I31" s="284">
        <v>149820</v>
      </c>
      <c r="J31" s="284">
        <v>860</v>
      </c>
      <c r="K31" t="s">
        <v>81</v>
      </c>
    </row>
    <row r="32" spans="1:11">
      <c r="A32" s="2" t="str">
        <f t="shared" si="0"/>
        <v>722010</v>
      </c>
      <c r="B32" t="s">
        <v>80</v>
      </c>
      <c r="C32">
        <v>72</v>
      </c>
      <c r="D32">
        <v>1030</v>
      </c>
      <c r="E32" t="s">
        <v>81</v>
      </c>
      <c r="F32" s="283">
        <v>2010</v>
      </c>
      <c r="G32" s="284">
        <v>48098</v>
      </c>
      <c r="H32" s="284">
        <v>550931</v>
      </c>
      <c r="I32" s="284">
        <v>152416</v>
      </c>
      <c r="J32" s="284">
        <v>576</v>
      </c>
      <c r="K32" t="s">
        <v>81</v>
      </c>
    </row>
    <row r="33" spans="1:11">
      <c r="A33" s="2" t="str">
        <f t="shared" si="0"/>
        <v>722011</v>
      </c>
      <c r="B33" t="s">
        <v>80</v>
      </c>
      <c r="C33">
        <v>72</v>
      </c>
      <c r="D33">
        <v>1030</v>
      </c>
      <c r="E33" t="s">
        <v>81</v>
      </c>
      <c r="F33" s="283">
        <v>2011</v>
      </c>
      <c r="G33" s="284">
        <v>51983</v>
      </c>
      <c r="H33" s="284">
        <v>562395</v>
      </c>
      <c r="I33" s="284">
        <v>154868</v>
      </c>
      <c r="J33" s="284">
        <v>849</v>
      </c>
      <c r="K33" t="s">
        <v>81</v>
      </c>
    </row>
    <row r="34" spans="1:11">
      <c r="A34" s="2" t="str">
        <f t="shared" si="0"/>
        <v>722012</v>
      </c>
      <c r="B34" t="s">
        <v>80</v>
      </c>
      <c r="C34">
        <v>72</v>
      </c>
      <c r="D34">
        <v>1030</v>
      </c>
      <c r="E34" t="s">
        <v>81</v>
      </c>
      <c r="F34" s="283">
        <v>2012</v>
      </c>
      <c r="G34" s="284">
        <v>51994</v>
      </c>
      <c r="H34" s="284">
        <v>573824</v>
      </c>
      <c r="I34" s="284">
        <v>157356</v>
      </c>
      <c r="J34" s="284">
        <v>590</v>
      </c>
      <c r="K34" t="s">
        <v>81</v>
      </c>
    </row>
    <row r="35" spans="1:11">
      <c r="A35" s="2" t="str">
        <f t="shared" si="0"/>
        <v>722013</v>
      </c>
      <c r="B35" t="s">
        <v>80</v>
      </c>
      <c r="C35">
        <v>72</v>
      </c>
      <c r="D35">
        <v>1030</v>
      </c>
      <c r="E35" t="s">
        <v>81</v>
      </c>
      <c r="F35" s="283">
        <v>2013</v>
      </c>
      <c r="G35" s="284">
        <v>51904</v>
      </c>
      <c r="H35" s="284">
        <v>585251</v>
      </c>
      <c r="I35" s="284">
        <v>159646</v>
      </c>
      <c r="J35" s="284">
        <v>374</v>
      </c>
      <c r="K35" t="s">
        <v>81</v>
      </c>
    </row>
    <row r="36" spans="1:11">
      <c r="A36" s="2" t="str">
        <f t="shared" si="0"/>
        <v>722014</v>
      </c>
      <c r="B36" t="s">
        <v>80</v>
      </c>
      <c r="C36">
        <v>72</v>
      </c>
      <c r="D36">
        <v>1030</v>
      </c>
      <c r="E36" t="s">
        <v>81</v>
      </c>
      <c r="F36" s="283">
        <v>2014</v>
      </c>
      <c r="G36" s="284">
        <v>51719</v>
      </c>
      <c r="H36" s="284">
        <v>596392</v>
      </c>
      <c r="I36" s="284">
        <v>161398</v>
      </c>
      <c r="J36" s="284">
        <v>435</v>
      </c>
      <c r="K36" t="s">
        <v>81</v>
      </c>
    </row>
    <row r="37" spans="1:11">
      <c r="A37" s="2" t="str">
        <f t="shared" si="0"/>
        <v>722015</v>
      </c>
      <c r="B37" t="s">
        <v>80</v>
      </c>
      <c r="C37">
        <v>72</v>
      </c>
      <c r="D37">
        <v>1030</v>
      </c>
      <c r="E37" t="s">
        <v>81</v>
      </c>
      <c r="F37" s="283">
        <v>2015</v>
      </c>
      <c r="G37" s="284">
        <v>51415</v>
      </c>
      <c r="H37" s="284">
        <v>607256</v>
      </c>
      <c r="I37" s="284">
        <v>162747</v>
      </c>
      <c r="J37" s="284">
        <v>320</v>
      </c>
      <c r="K37" t="s">
        <v>81</v>
      </c>
    </row>
    <row r="38" spans="1:11">
      <c r="A38" s="2" t="str">
        <f t="shared" si="0"/>
        <v>1201980</v>
      </c>
      <c r="B38" t="s">
        <v>82</v>
      </c>
      <c r="C38">
        <v>120</v>
      </c>
      <c r="D38">
        <v>1045</v>
      </c>
      <c r="E38" t="s">
        <v>83</v>
      </c>
      <c r="F38" s="283">
        <v>1980</v>
      </c>
      <c r="G38" s="284">
        <v>406978</v>
      </c>
      <c r="H38" s="284">
        <v>1972200</v>
      </c>
      <c r="I38" s="284">
        <v>778</v>
      </c>
      <c r="J38" s="284">
        <v>35</v>
      </c>
      <c r="K38" t="s">
        <v>83</v>
      </c>
    </row>
    <row r="39" spans="1:11">
      <c r="A39" s="2" t="str">
        <f t="shared" si="0"/>
        <v>1201981</v>
      </c>
      <c r="B39" t="s">
        <v>82</v>
      </c>
      <c r="C39">
        <v>120</v>
      </c>
      <c r="D39">
        <v>1045</v>
      </c>
      <c r="E39" t="s">
        <v>83</v>
      </c>
      <c r="F39" s="283">
        <v>1981</v>
      </c>
      <c r="G39" s="284">
        <v>421517</v>
      </c>
      <c r="H39" s="284">
        <v>2030920</v>
      </c>
      <c r="I39" s="284">
        <v>1375</v>
      </c>
      <c r="J39" s="284">
        <v>62</v>
      </c>
      <c r="K39" t="s">
        <v>83</v>
      </c>
    </row>
    <row r="40" spans="1:11">
      <c r="A40" s="2" t="str">
        <f t="shared" si="0"/>
        <v>1201982</v>
      </c>
      <c r="B40" t="s">
        <v>82</v>
      </c>
      <c r="C40">
        <v>120</v>
      </c>
      <c r="D40">
        <v>1045</v>
      </c>
      <c r="E40" t="s">
        <v>83</v>
      </c>
      <c r="F40" s="283">
        <v>1982</v>
      </c>
      <c r="G40" s="284">
        <v>435344</v>
      </c>
      <c r="H40" s="284">
        <v>2088630</v>
      </c>
      <c r="I40" s="284">
        <v>2359</v>
      </c>
      <c r="J40" s="284">
        <v>107</v>
      </c>
      <c r="K40" t="s">
        <v>83</v>
      </c>
    </row>
    <row r="41" spans="1:11">
      <c r="A41" s="2" t="str">
        <f t="shared" si="0"/>
        <v>1201983</v>
      </c>
      <c r="B41" t="s">
        <v>82</v>
      </c>
      <c r="C41">
        <v>120</v>
      </c>
      <c r="D41">
        <v>1045</v>
      </c>
      <c r="E41" t="s">
        <v>83</v>
      </c>
      <c r="F41" s="283">
        <v>1983</v>
      </c>
      <c r="G41" s="284">
        <v>447658</v>
      </c>
      <c r="H41" s="284">
        <v>2145550</v>
      </c>
      <c r="I41" s="284">
        <v>3904</v>
      </c>
      <c r="J41" s="284">
        <v>176</v>
      </c>
      <c r="K41" t="s">
        <v>83</v>
      </c>
    </row>
    <row r="42" spans="1:11">
      <c r="A42" s="2" t="str">
        <f t="shared" si="0"/>
        <v>1201984</v>
      </c>
      <c r="B42" t="s">
        <v>82</v>
      </c>
      <c r="C42">
        <v>120</v>
      </c>
      <c r="D42">
        <v>1045</v>
      </c>
      <c r="E42" t="s">
        <v>83</v>
      </c>
      <c r="F42" s="283">
        <v>1984</v>
      </c>
      <c r="G42" s="284">
        <v>459318</v>
      </c>
      <c r="H42" s="284">
        <v>2201750</v>
      </c>
      <c r="I42" s="284">
        <v>6264</v>
      </c>
      <c r="J42" s="284">
        <v>280</v>
      </c>
      <c r="K42" t="s">
        <v>83</v>
      </c>
    </row>
    <row r="43" spans="1:11">
      <c r="A43" s="2" t="str">
        <f t="shared" si="0"/>
        <v>1201985</v>
      </c>
      <c r="B43" t="s">
        <v>82</v>
      </c>
      <c r="C43">
        <v>120</v>
      </c>
      <c r="D43">
        <v>1045</v>
      </c>
      <c r="E43" t="s">
        <v>83</v>
      </c>
      <c r="F43" s="283">
        <v>1985</v>
      </c>
      <c r="G43" s="284">
        <v>470493</v>
      </c>
      <c r="H43" s="284">
        <v>2257620</v>
      </c>
      <c r="I43" s="284">
        <v>9766</v>
      </c>
      <c r="J43" s="284">
        <v>434</v>
      </c>
      <c r="K43" t="s">
        <v>83</v>
      </c>
    </row>
    <row r="44" spans="1:11">
      <c r="A44" s="2" t="str">
        <f t="shared" si="0"/>
        <v>1201986</v>
      </c>
      <c r="B44" t="s">
        <v>82</v>
      </c>
      <c r="C44">
        <v>120</v>
      </c>
      <c r="D44">
        <v>1045</v>
      </c>
      <c r="E44" t="s">
        <v>83</v>
      </c>
      <c r="F44" s="283">
        <v>1986</v>
      </c>
      <c r="G44" s="284">
        <v>482701</v>
      </c>
      <c r="H44" s="284">
        <v>2323690</v>
      </c>
      <c r="I44" s="284">
        <v>14753</v>
      </c>
      <c r="J44" s="284">
        <v>650</v>
      </c>
      <c r="K44" t="s">
        <v>83</v>
      </c>
    </row>
    <row r="45" spans="1:11">
      <c r="A45" s="2" t="str">
        <f t="shared" si="0"/>
        <v>1201987</v>
      </c>
      <c r="B45" t="s">
        <v>82</v>
      </c>
      <c r="C45">
        <v>120</v>
      </c>
      <c r="D45">
        <v>1045</v>
      </c>
      <c r="E45" t="s">
        <v>83</v>
      </c>
      <c r="F45" s="283">
        <v>1987</v>
      </c>
      <c r="G45" s="284">
        <v>496122</v>
      </c>
      <c r="H45" s="284">
        <v>2392510</v>
      </c>
      <c r="I45" s="284">
        <v>21612</v>
      </c>
      <c r="J45" s="284">
        <v>944</v>
      </c>
      <c r="K45" t="s">
        <v>83</v>
      </c>
    </row>
    <row r="46" spans="1:11">
      <c r="A46" s="2" t="str">
        <f t="shared" si="0"/>
        <v>1201988</v>
      </c>
      <c r="B46" t="s">
        <v>82</v>
      </c>
      <c r="C46">
        <v>120</v>
      </c>
      <c r="D46">
        <v>1045</v>
      </c>
      <c r="E46" t="s">
        <v>83</v>
      </c>
      <c r="F46" s="283">
        <v>1988</v>
      </c>
      <c r="G46" s="284">
        <v>508468</v>
      </c>
      <c r="H46" s="284">
        <v>2464040</v>
      </c>
      <c r="I46" s="284">
        <v>30643</v>
      </c>
      <c r="J46" s="284">
        <v>1323</v>
      </c>
      <c r="K46" t="s">
        <v>83</v>
      </c>
    </row>
    <row r="47" spans="1:11">
      <c r="A47" s="2" t="str">
        <f t="shared" si="0"/>
        <v>1201989</v>
      </c>
      <c r="B47" t="s">
        <v>82</v>
      </c>
      <c r="C47">
        <v>120</v>
      </c>
      <c r="D47">
        <v>1045</v>
      </c>
      <c r="E47" t="s">
        <v>83</v>
      </c>
      <c r="F47" s="283">
        <v>1989</v>
      </c>
      <c r="G47" s="284">
        <v>518983</v>
      </c>
      <c r="H47" s="284">
        <v>2538250</v>
      </c>
      <c r="I47" s="284">
        <v>42116</v>
      </c>
      <c r="J47" s="284">
        <v>1790</v>
      </c>
      <c r="K47" t="s">
        <v>83</v>
      </c>
    </row>
    <row r="48" spans="1:11">
      <c r="A48" s="2" t="str">
        <f t="shared" si="0"/>
        <v>1201990</v>
      </c>
      <c r="B48" t="s">
        <v>82</v>
      </c>
      <c r="C48">
        <v>120</v>
      </c>
      <c r="D48">
        <v>1045</v>
      </c>
      <c r="E48" t="s">
        <v>83</v>
      </c>
      <c r="F48" s="283">
        <v>1990</v>
      </c>
      <c r="G48" s="284">
        <v>528223</v>
      </c>
      <c r="H48" s="284">
        <v>2615070</v>
      </c>
      <c r="I48" s="284">
        <v>56070</v>
      </c>
      <c r="J48" s="284">
        <v>2340</v>
      </c>
      <c r="K48" t="s">
        <v>83</v>
      </c>
    </row>
    <row r="49" spans="1:11">
      <c r="A49" s="2" t="str">
        <f t="shared" si="0"/>
        <v>1201991</v>
      </c>
      <c r="B49" t="s">
        <v>82</v>
      </c>
      <c r="C49">
        <v>120</v>
      </c>
      <c r="D49">
        <v>1045</v>
      </c>
      <c r="E49" t="s">
        <v>83</v>
      </c>
      <c r="F49" s="283">
        <v>1991</v>
      </c>
      <c r="G49" s="284">
        <v>537427</v>
      </c>
      <c r="H49" s="284">
        <v>2694690</v>
      </c>
      <c r="I49" s="284">
        <v>72302</v>
      </c>
      <c r="J49" s="284">
        <v>2960</v>
      </c>
      <c r="K49" t="s">
        <v>83</v>
      </c>
    </row>
    <row r="50" spans="1:11">
      <c r="A50" s="2" t="str">
        <f t="shared" si="0"/>
        <v>1201992</v>
      </c>
      <c r="B50" t="s">
        <v>82</v>
      </c>
      <c r="C50">
        <v>120</v>
      </c>
      <c r="D50">
        <v>1045</v>
      </c>
      <c r="E50" t="s">
        <v>83</v>
      </c>
      <c r="F50" s="283">
        <v>1992</v>
      </c>
      <c r="G50" s="284">
        <v>547560</v>
      </c>
      <c r="H50" s="284">
        <v>2777440</v>
      </c>
      <c r="I50" s="284">
        <v>90368</v>
      </c>
      <c r="J50" s="284">
        <v>3632</v>
      </c>
      <c r="K50" t="s">
        <v>83</v>
      </c>
    </row>
    <row r="51" spans="1:11">
      <c r="A51" s="2" t="str">
        <f t="shared" si="0"/>
        <v>1201993</v>
      </c>
      <c r="B51" t="s">
        <v>82</v>
      </c>
      <c r="C51">
        <v>120</v>
      </c>
      <c r="D51">
        <v>1045</v>
      </c>
      <c r="E51" t="s">
        <v>83</v>
      </c>
      <c r="F51" s="283">
        <v>1993</v>
      </c>
      <c r="G51" s="284">
        <v>557897</v>
      </c>
      <c r="H51" s="284">
        <v>2863660</v>
      </c>
      <c r="I51" s="284">
        <v>109637</v>
      </c>
      <c r="J51" s="284">
        <v>4327</v>
      </c>
      <c r="K51" t="s">
        <v>83</v>
      </c>
    </row>
    <row r="52" spans="1:11">
      <c r="A52" s="2" t="str">
        <f t="shared" si="0"/>
        <v>1201994</v>
      </c>
      <c r="B52" t="s">
        <v>82</v>
      </c>
      <c r="C52">
        <v>120</v>
      </c>
      <c r="D52">
        <v>1045</v>
      </c>
      <c r="E52" t="s">
        <v>83</v>
      </c>
      <c r="F52" s="283">
        <v>1994</v>
      </c>
      <c r="G52" s="284">
        <v>567874</v>
      </c>
      <c r="H52" s="284">
        <v>2953760</v>
      </c>
      <c r="I52" s="284">
        <v>129423</v>
      </c>
      <c r="J52" s="284">
        <v>5015</v>
      </c>
      <c r="K52" t="s">
        <v>83</v>
      </c>
    </row>
    <row r="53" spans="1:11">
      <c r="A53" s="2" t="str">
        <f t="shared" si="0"/>
        <v>1201995</v>
      </c>
      <c r="B53" t="s">
        <v>82</v>
      </c>
      <c r="C53">
        <v>120</v>
      </c>
      <c r="D53">
        <v>1045</v>
      </c>
      <c r="E53" t="s">
        <v>83</v>
      </c>
      <c r="F53" s="283">
        <v>1995</v>
      </c>
      <c r="G53" s="284">
        <v>578036</v>
      </c>
      <c r="H53" s="284">
        <v>3047930</v>
      </c>
      <c r="I53" s="284">
        <v>148910</v>
      </c>
      <c r="J53" s="284">
        <v>5667</v>
      </c>
      <c r="K53" t="s">
        <v>83</v>
      </c>
    </row>
    <row r="54" spans="1:11">
      <c r="A54" s="2" t="str">
        <f t="shared" si="0"/>
        <v>1201996</v>
      </c>
      <c r="B54" t="s">
        <v>82</v>
      </c>
      <c r="C54">
        <v>120</v>
      </c>
      <c r="D54">
        <v>1045</v>
      </c>
      <c r="E54" t="s">
        <v>83</v>
      </c>
      <c r="F54" s="283">
        <v>1996</v>
      </c>
      <c r="G54" s="284">
        <v>588796</v>
      </c>
      <c r="H54" s="284">
        <v>3146170</v>
      </c>
      <c r="I54" s="284">
        <v>167367</v>
      </c>
      <c r="J54" s="284">
        <v>6260</v>
      </c>
      <c r="K54" t="s">
        <v>83</v>
      </c>
    </row>
    <row r="55" spans="1:11">
      <c r="A55" s="2" t="str">
        <f t="shared" si="0"/>
        <v>1201997</v>
      </c>
      <c r="B55" t="s">
        <v>82</v>
      </c>
      <c r="C55">
        <v>120</v>
      </c>
      <c r="D55">
        <v>1045</v>
      </c>
      <c r="E55" t="s">
        <v>83</v>
      </c>
      <c r="F55" s="283">
        <v>1997</v>
      </c>
      <c r="G55" s="284">
        <v>600870</v>
      </c>
      <c r="H55" s="284">
        <v>3248060</v>
      </c>
      <c r="I55" s="284">
        <v>184306</v>
      </c>
      <c r="J55" s="284">
        <v>6791</v>
      </c>
      <c r="K55" t="s">
        <v>83</v>
      </c>
    </row>
    <row r="56" spans="1:11">
      <c r="A56" s="2" t="str">
        <f t="shared" si="0"/>
        <v>1201998</v>
      </c>
      <c r="B56" t="s">
        <v>82</v>
      </c>
      <c r="C56">
        <v>120</v>
      </c>
      <c r="D56">
        <v>1045</v>
      </c>
      <c r="E56" t="s">
        <v>83</v>
      </c>
      <c r="F56" s="283">
        <v>1998</v>
      </c>
      <c r="G56" s="284">
        <v>614569</v>
      </c>
      <c r="H56" s="284">
        <v>3352920</v>
      </c>
      <c r="I56" s="284">
        <v>199279</v>
      </c>
      <c r="J56" s="284">
        <v>7253</v>
      </c>
      <c r="K56" t="s">
        <v>83</v>
      </c>
    </row>
    <row r="57" spans="1:11">
      <c r="A57" s="2" t="str">
        <f t="shared" si="0"/>
        <v>1201999</v>
      </c>
      <c r="B57" t="s">
        <v>82</v>
      </c>
      <c r="C57">
        <v>120</v>
      </c>
      <c r="D57">
        <v>1045</v>
      </c>
      <c r="E57" t="s">
        <v>83</v>
      </c>
      <c r="F57" s="283">
        <v>1999</v>
      </c>
      <c r="G57" s="284">
        <v>629365</v>
      </c>
      <c r="H57" s="284">
        <v>3460470</v>
      </c>
      <c r="I57" s="284">
        <v>212134</v>
      </c>
      <c r="J57" s="284">
        <v>7642</v>
      </c>
      <c r="K57" t="s">
        <v>83</v>
      </c>
    </row>
    <row r="58" spans="1:11">
      <c r="A58" s="2" t="str">
        <f t="shared" si="0"/>
        <v>1202000</v>
      </c>
      <c r="B58" t="s">
        <v>82</v>
      </c>
      <c r="C58">
        <v>120</v>
      </c>
      <c r="D58">
        <v>1045</v>
      </c>
      <c r="E58" t="s">
        <v>83</v>
      </c>
      <c r="F58" s="283">
        <v>2000</v>
      </c>
      <c r="G58" s="284">
        <v>644877</v>
      </c>
      <c r="H58" s="284">
        <v>3570490</v>
      </c>
      <c r="I58" s="284">
        <v>222849</v>
      </c>
      <c r="J58" s="284">
        <v>7952</v>
      </c>
      <c r="K58" t="s">
        <v>83</v>
      </c>
    </row>
    <row r="59" spans="1:11">
      <c r="A59" s="2" t="str">
        <f t="shared" si="0"/>
        <v>1202001</v>
      </c>
      <c r="B59" t="s">
        <v>82</v>
      </c>
      <c r="C59">
        <v>120</v>
      </c>
      <c r="D59">
        <v>1045</v>
      </c>
      <c r="E59" t="s">
        <v>83</v>
      </c>
      <c r="F59" s="283">
        <v>2001</v>
      </c>
      <c r="G59" s="284">
        <v>660306</v>
      </c>
      <c r="H59" s="284">
        <v>3683410</v>
      </c>
      <c r="I59" s="284">
        <v>231484</v>
      </c>
      <c r="J59" s="284">
        <v>8174</v>
      </c>
      <c r="K59" t="s">
        <v>83</v>
      </c>
    </row>
    <row r="60" spans="1:11">
      <c r="A60" s="2" t="str">
        <f t="shared" si="0"/>
        <v>1202002</v>
      </c>
      <c r="B60" t="s">
        <v>82</v>
      </c>
      <c r="C60">
        <v>120</v>
      </c>
      <c r="D60">
        <v>1045</v>
      </c>
      <c r="E60" t="s">
        <v>83</v>
      </c>
      <c r="F60" s="283">
        <v>2002</v>
      </c>
      <c r="G60" s="284">
        <v>675327</v>
      </c>
      <c r="H60" s="284">
        <v>3799780</v>
      </c>
      <c r="I60" s="284">
        <v>238224</v>
      </c>
      <c r="J60" s="284">
        <v>8197</v>
      </c>
      <c r="K60" t="s">
        <v>83</v>
      </c>
    </row>
    <row r="61" spans="1:11">
      <c r="A61" s="2" t="str">
        <f t="shared" si="0"/>
        <v>1202003</v>
      </c>
      <c r="B61" t="s">
        <v>82</v>
      </c>
      <c r="C61">
        <v>120</v>
      </c>
      <c r="D61">
        <v>1045</v>
      </c>
      <c r="E61" t="s">
        <v>83</v>
      </c>
      <c r="F61" s="283">
        <v>2003</v>
      </c>
      <c r="G61" s="284">
        <v>690307</v>
      </c>
      <c r="H61" s="284">
        <v>3919290</v>
      </c>
      <c r="I61" s="284">
        <v>243282</v>
      </c>
      <c r="J61" s="284">
        <v>8149</v>
      </c>
      <c r="K61" t="s">
        <v>83</v>
      </c>
    </row>
    <row r="62" spans="1:11">
      <c r="A62" s="2" t="str">
        <f t="shared" si="0"/>
        <v>1202004</v>
      </c>
      <c r="B62" t="s">
        <v>82</v>
      </c>
      <c r="C62">
        <v>120</v>
      </c>
      <c r="D62">
        <v>1045</v>
      </c>
      <c r="E62" t="s">
        <v>83</v>
      </c>
      <c r="F62" s="283">
        <v>2004</v>
      </c>
      <c r="G62" s="284">
        <v>704788</v>
      </c>
      <c r="H62" s="284">
        <v>4041680</v>
      </c>
      <c r="I62" s="284">
        <v>247210</v>
      </c>
      <c r="J62" s="284">
        <v>8021</v>
      </c>
      <c r="K62" t="s">
        <v>83</v>
      </c>
    </row>
    <row r="63" spans="1:11">
      <c r="A63" s="2" t="str">
        <f t="shared" si="0"/>
        <v>1202005</v>
      </c>
      <c r="B63" t="s">
        <v>82</v>
      </c>
      <c r="C63">
        <v>120</v>
      </c>
      <c r="D63">
        <v>1045</v>
      </c>
      <c r="E63" t="s">
        <v>83</v>
      </c>
      <c r="F63" s="283">
        <v>2005</v>
      </c>
      <c r="G63" s="284">
        <v>718728</v>
      </c>
      <c r="H63" s="284">
        <v>4167830</v>
      </c>
      <c r="I63" s="284">
        <v>251536</v>
      </c>
      <c r="J63" s="284">
        <v>8076</v>
      </c>
      <c r="K63" t="s">
        <v>83</v>
      </c>
    </row>
    <row r="64" spans="1:11">
      <c r="A64" s="2" t="str">
        <f t="shared" si="0"/>
        <v>1202006</v>
      </c>
      <c r="B64" t="s">
        <v>82</v>
      </c>
      <c r="C64">
        <v>120</v>
      </c>
      <c r="D64">
        <v>1045</v>
      </c>
      <c r="E64" t="s">
        <v>83</v>
      </c>
      <c r="F64" s="283">
        <v>2006</v>
      </c>
      <c r="G64" s="284">
        <v>731923</v>
      </c>
      <c r="H64" s="284">
        <v>4296840</v>
      </c>
      <c r="I64" s="284">
        <v>255695</v>
      </c>
      <c r="J64" s="284">
        <v>7744</v>
      </c>
      <c r="K64" t="s">
        <v>83</v>
      </c>
    </row>
    <row r="65" spans="1:11">
      <c r="A65" s="2" t="str">
        <f t="shared" si="0"/>
        <v>1202007</v>
      </c>
      <c r="B65" t="s">
        <v>82</v>
      </c>
      <c r="C65">
        <v>120</v>
      </c>
      <c r="D65">
        <v>1045</v>
      </c>
      <c r="E65" t="s">
        <v>83</v>
      </c>
      <c r="F65" s="283">
        <v>2007</v>
      </c>
      <c r="G65" s="284">
        <v>744542</v>
      </c>
      <c r="H65" s="284">
        <v>4428250</v>
      </c>
      <c r="I65" s="284">
        <v>259136</v>
      </c>
      <c r="J65" s="284">
        <v>7649</v>
      </c>
      <c r="K65" t="s">
        <v>83</v>
      </c>
    </row>
    <row r="66" spans="1:11">
      <c r="A66" s="2" t="str">
        <f t="shared" si="0"/>
        <v>1202008</v>
      </c>
      <c r="B66" t="s">
        <v>82</v>
      </c>
      <c r="C66">
        <v>120</v>
      </c>
      <c r="D66">
        <v>1045</v>
      </c>
      <c r="E66" t="s">
        <v>83</v>
      </c>
      <c r="F66" s="283">
        <v>2008</v>
      </c>
      <c r="G66" s="284">
        <v>756898</v>
      </c>
      <c r="H66" s="284">
        <v>4563720</v>
      </c>
      <c r="I66" s="284">
        <v>263517</v>
      </c>
      <c r="J66" s="284">
        <v>7155</v>
      </c>
      <c r="K66" t="s">
        <v>83</v>
      </c>
    </row>
    <row r="67" spans="1:11">
      <c r="A67" s="2" t="str">
        <f t="shared" si="0"/>
        <v>1202009</v>
      </c>
      <c r="B67" t="s">
        <v>82</v>
      </c>
      <c r="C67">
        <v>120</v>
      </c>
      <c r="D67">
        <v>1045</v>
      </c>
      <c r="E67" t="s">
        <v>83</v>
      </c>
      <c r="F67" s="283">
        <v>2009</v>
      </c>
      <c r="G67" s="284">
        <v>768528</v>
      </c>
      <c r="H67" s="284">
        <v>4702450</v>
      </c>
      <c r="I67" s="284">
        <v>268473</v>
      </c>
      <c r="J67" s="284">
        <v>6870</v>
      </c>
      <c r="K67" t="s">
        <v>83</v>
      </c>
    </row>
    <row r="68" spans="1:11">
      <c r="A68" s="2" t="str">
        <f t="shared" ref="A68:A133" si="1">C68&amp;F68</f>
        <v>1202010</v>
      </c>
      <c r="B68" t="s">
        <v>82</v>
      </c>
      <c r="C68">
        <v>120</v>
      </c>
      <c r="D68">
        <v>1045</v>
      </c>
      <c r="E68" t="s">
        <v>83</v>
      </c>
      <c r="F68" s="283">
        <v>2010</v>
      </c>
      <c r="G68" s="284">
        <v>779512</v>
      </c>
      <c r="H68" s="284">
        <v>4843820</v>
      </c>
      <c r="I68" s="284">
        <v>273376</v>
      </c>
      <c r="J68" s="284">
        <v>5349</v>
      </c>
      <c r="K68" t="s">
        <v>83</v>
      </c>
    </row>
    <row r="69" spans="1:11">
      <c r="A69" s="2" t="str">
        <f t="shared" si="1"/>
        <v>1202011</v>
      </c>
      <c r="B69" t="s">
        <v>82</v>
      </c>
      <c r="C69">
        <v>120</v>
      </c>
      <c r="D69">
        <v>1045</v>
      </c>
      <c r="E69" t="s">
        <v>83</v>
      </c>
      <c r="F69" s="283">
        <v>2011</v>
      </c>
      <c r="G69" s="284">
        <v>789742</v>
      </c>
      <c r="H69" s="284">
        <v>4987400</v>
      </c>
      <c r="I69" s="284">
        <v>277902</v>
      </c>
      <c r="J69" s="284">
        <v>5669</v>
      </c>
      <c r="K69" t="s">
        <v>83</v>
      </c>
    </row>
    <row r="70" spans="1:11">
      <c r="A70" s="2" t="str">
        <f t="shared" si="1"/>
        <v>1202012</v>
      </c>
      <c r="B70" t="s">
        <v>82</v>
      </c>
      <c r="C70">
        <v>120</v>
      </c>
      <c r="D70">
        <v>1045</v>
      </c>
      <c r="E70" t="s">
        <v>83</v>
      </c>
      <c r="F70" s="283">
        <v>2012</v>
      </c>
      <c r="G70" s="284">
        <v>799710</v>
      </c>
      <c r="H70" s="284">
        <v>5134260</v>
      </c>
      <c r="I70" s="284">
        <v>282688</v>
      </c>
      <c r="J70" s="284">
        <v>5417</v>
      </c>
      <c r="K70" t="s">
        <v>83</v>
      </c>
    </row>
    <row r="71" spans="1:11">
      <c r="A71" s="2" t="str">
        <f t="shared" si="1"/>
        <v>1202013</v>
      </c>
      <c r="B71" t="s">
        <v>82</v>
      </c>
      <c r="C71">
        <v>120</v>
      </c>
      <c r="D71">
        <v>1045</v>
      </c>
      <c r="E71" t="s">
        <v>83</v>
      </c>
      <c r="F71" s="283">
        <v>2013</v>
      </c>
      <c r="G71" s="284">
        <v>809935</v>
      </c>
      <c r="H71" s="284">
        <v>5286620</v>
      </c>
      <c r="I71" s="284">
        <v>289192</v>
      </c>
      <c r="J71" s="284">
        <v>4679</v>
      </c>
      <c r="K71" t="s">
        <v>83</v>
      </c>
    </row>
    <row r="72" spans="1:11">
      <c r="A72" s="2" t="str">
        <f t="shared" si="1"/>
        <v>1202014</v>
      </c>
      <c r="B72" t="s">
        <v>82</v>
      </c>
      <c r="C72">
        <v>120</v>
      </c>
      <c r="D72">
        <v>1045</v>
      </c>
      <c r="E72" t="s">
        <v>83</v>
      </c>
      <c r="F72" s="283">
        <v>2014</v>
      </c>
      <c r="G72" s="284">
        <v>820233</v>
      </c>
      <c r="H72" s="284">
        <v>5442000</v>
      </c>
      <c r="I72" s="284">
        <v>294601</v>
      </c>
      <c r="J72" s="284">
        <v>4433</v>
      </c>
      <c r="K72" t="s">
        <v>83</v>
      </c>
    </row>
    <row r="73" spans="1:11">
      <c r="A73" s="2" t="str">
        <f t="shared" si="1"/>
        <v>1202015</v>
      </c>
      <c r="B73" t="s">
        <v>82</v>
      </c>
      <c r="C73">
        <v>120</v>
      </c>
      <c r="D73">
        <v>1045</v>
      </c>
      <c r="E73" t="s">
        <v>83</v>
      </c>
      <c r="F73" s="283">
        <v>2015</v>
      </c>
      <c r="G73" s="284">
        <v>830284</v>
      </c>
      <c r="H73" s="284">
        <v>5600730</v>
      </c>
      <c r="I73" s="284">
        <v>298824</v>
      </c>
      <c r="J73" s="284">
        <v>3196</v>
      </c>
      <c r="K73" t="s">
        <v>83</v>
      </c>
    </row>
    <row r="74" spans="1:11">
      <c r="A74" s="2" t="str">
        <f t="shared" si="1"/>
        <v>1401980</v>
      </c>
      <c r="B74" t="s">
        <v>84</v>
      </c>
      <c r="C74">
        <v>140</v>
      </c>
      <c r="D74">
        <v>1070</v>
      </c>
      <c r="E74" t="s">
        <v>85</v>
      </c>
      <c r="F74" s="283">
        <v>1980</v>
      </c>
      <c r="G74" s="284">
        <v>95211</v>
      </c>
      <c r="H74" s="284">
        <v>523793</v>
      </c>
      <c r="I74" s="284">
        <v>654</v>
      </c>
      <c r="J74" s="284">
        <v>27</v>
      </c>
      <c r="K74" t="s">
        <v>85</v>
      </c>
    </row>
    <row r="75" spans="1:11">
      <c r="A75" s="2" t="str">
        <f t="shared" si="1"/>
        <v>1401981</v>
      </c>
      <c r="B75" t="s">
        <v>84</v>
      </c>
      <c r="C75">
        <v>140</v>
      </c>
      <c r="D75">
        <v>1070</v>
      </c>
      <c r="E75" t="s">
        <v>85</v>
      </c>
      <c r="F75" s="283">
        <v>1981</v>
      </c>
      <c r="G75" s="284">
        <v>98410</v>
      </c>
      <c r="H75" s="284">
        <v>541832</v>
      </c>
      <c r="I75" s="284">
        <v>1140</v>
      </c>
      <c r="J75" s="284">
        <v>46</v>
      </c>
      <c r="K75" t="s">
        <v>85</v>
      </c>
    </row>
    <row r="76" spans="1:11">
      <c r="A76" s="2" t="str">
        <f t="shared" si="1"/>
        <v>1401982</v>
      </c>
      <c r="B76" t="s">
        <v>84</v>
      </c>
      <c r="C76">
        <v>140</v>
      </c>
      <c r="D76">
        <v>1070</v>
      </c>
      <c r="E76" t="s">
        <v>85</v>
      </c>
      <c r="F76" s="283">
        <v>1982</v>
      </c>
      <c r="G76" s="284">
        <v>101866</v>
      </c>
      <c r="H76" s="284">
        <v>560103</v>
      </c>
      <c r="I76" s="284">
        <v>1917</v>
      </c>
      <c r="J76" s="284">
        <v>77</v>
      </c>
      <c r="K76" t="s">
        <v>85</v>
      </c>
    </row>
    <row r="77" spans="1:11">
      <c r="A77" s="2" t="str">
        <f t="shared" si="1"/>
        <v>1401983</v>
      </c>
      <c r="B77" t="s">
        <v>84</v>
      </c>
      <c r="C77">
        <v>140</v>
      </c>
      <c r="D77">
        <v>1070</v>
      </c>
      <c r="E77" t="s">
        <v>85</v>
      </c>
      <c r="F77" s="283">
        <v>1983</v>
      </c>
      <c r="G77" s="284">
        <v>105202</v>
      </c>
      <c r="H77" s="284">
        <v>577290</v>
      </c>
      <c r="I77" s="284">
        <v>3095</v>
      </c>
      <c r="J77" s="284">
        <v>123</v>
      </c>
      <c r="K77" t="s">
        <v>85</v>
      </c>
    </row>
    <row r="78" spans="1:11">
      <c r="A78" s="2" t="str">
        <f t="shared" si="1"/>
        <v>1401984</v>
      </c>
      <c r="B78" t="s">
        <v>84</v>
      </c>
      <c r="C78">
        <v>140</v>
      </c>
      <c r="D78">
        <v>1070</v>
      </c>
      <c r="E78" t="s">
        <v>85</v>
      </c>
      <c r="F78" s="283">
        <v>1984</v>
      </c>
      <c r="G78" s="284">
        <v>108116</v>
      </c>
      <c r="H78" s="284">
        <v>592135</v>
      </c>
      <c r="I78" s="284">
        <v>4807</v>
      </c>
      <c r="J78" s="284">
        <v>190</v>
      </c>
      <c r="K78" t="s">
        <v>85</v>
      </c>
    </row>
    <row r="79" spans="1:11">
      <c r="A79" s="2" t="str">
        <f t="shared" si="1"/>
        <v>1401985</v>
      </c>
      <c r="B79" t="s">
        <v>84</v>
      </c>
      <c r="C79">
        <v>140</v>
      </c>
      <c r="D79">
        <v>1070</v>
      </c>
      <c r="E79" t="s">
        <v>85</v>
      </c>
      <c r="F79" s="283">
        <v>1985</v>
      </c>
      <c r="G79" s="284">
        <v>110436</v>
      </c>
      <c r="H79" s="284">
        <v>604071</v>
      </c>
      <c r="I79" s="284">
        <v>7116</v>
      </c>
      <c r="J79" s="284">
        <v>279</v>
      </c>
      <c r="K79" t="s">
        <v>85</v>
      </c>
    </row>
    <row r="80" spans="1:11">
      <c r="A80" s="2" t="str">
        <f t="shared" si="1"/>
        <v>1401986</v>
      </c>
      <c r="B80" t="s">
        <v>84</v>
      </c>
      <c r="C80">
        <v>140</v>
      </c>
      <c r="D80">
        <v>1070</v>
      </c>
      <c r="E80" t="s">
        <v>85</v>
      </c>
      <c r="F80" s="283">
        <v>1986</v>
      </c>
      <c r="G80" s="284">
        <v>112350</v>
      </c>
      <c r="H80" s="284">
        <v>615222</v>
      </c>
      <c r="I80" s="284">
        <v>10108</v>
      </c>
      <c r="J80" s="284">
        <v>392</v>
      </c>
      <c r="K80" t="s">
        <v>85</v>
      </c>
    </row>
    <row r="81" spans="1:11">
      <c r="A81" s="2" t="str">
        <f t="shared" si="1"/>
        <v>1401987</v>
      </c>
      <c r="B81" t="s">
        <v>84</v>
      </c>
      <c r="C81">
        <v>140</v>
      </c>
      <c r="D81">
        <v>1070</v>
      </c>
      <c r="E81" t="s">
        <v>85</v>
      </c>
      <c r="F81" s="283">
        <v>1987</v>
      </c>
      <c r="G81" s="284">
        <v>114049</v>
      </c>
      <c r="H81" s="284">
        <v>625742</v>
      </c>
      <c r="I81" s="284">
        <v>13845</v>
      </c>
      <c r="J81" s="284">
        <v>531</v>
      </c>
      <c r="K81" t="s">
        <v>85</v>
      </c>
    </row>
    <row r="82" spans="1:11">
      <c r="A82" s="2" t="str">
        <f t="shared" si="1"/>
        <v>1401988</v>
      </c>
      <c r="B82" t="s">
        <v>84</v>
      </c>
      <c r="C82">
        <v>140</v>
      </c>
      <c r="D82">
        <v>1070</v>
      </c>
      <c r="E82" t="s">
        <v>85</v>
      </c>
      <c r="F82" s="283">
        <v>1988</v>
      </c>
      <c r="G82" s="284">
        <v>115426</v>
      </c>
      <c r="H82" s="284">
        <v>637736</v>
      </c>
      <c r="I82" s="284">
        <v>18392</v>
      </c>
      <c r="J82" s="284">
        <v>695</v>
      </c>
      <c r="K82" t="s">
        <v>85</v>
      </c>
    </row>
    <row r="83" spans="1:11">
      <c r="A83" s="2" t="str">
        <f t="shared" si="1"/>
        <v>1401989</v>
      </c>
      <c r="B83" t="s">
        <v>84</v>
      </c>
      <c r="C83">
        <v>140</v>
      </c>
      <c r="D83">
        <v>1070</v>
      </c>
      <c r="E83" t="s">
        <v>85</v>
      </c>
      <c r="F83" s="283">
        <v>1989</v>
      </c>
      <c r="G83" s="284">
        <v>116700</v>
      </c>
      <c r="H83" s="284">
        <v>652635</v>
      </c>
      <c r="I83" s="284">
        <v>23871</v>
      </c>
      <c r="J83" s="284">
        <v>886</v>
      </c>
      <c r="K83" t="s">
        <v>85</v>
      </c>
    </row>
    <row r="84" spans="1:11">
      <c r="A84" s="2" t="str">
        <f t="shared" si="1"/>
        <v>1401990</v>
      </c>
      <c r="B84" t="s">
        <v>84</v>
      </c>
      <c r="C84">
        <v>140</v>
      </c>
      <c r="D84">
        <v>1070</v>
      </c>
      <c r="E84" t="s">
        <v>85</v>
      </c>
      <c r="F84" s="283">
        <v>1990</v>
      </c>
      <c r="G84" s="284">
        <v>118264</v>
      </c>
      <c r="H84" s="284">
        <v>670711</v>
      </c>
      <c r="I84" s="284">
        <v>30291</v>
      </c>
      <c r="J84" s="284">
        <v>1103</v>
      </c>
      <c r="K84" t="s">
        <v>85</v>
      </c>
    </row>
    <row r="85" spans="1:11">
      <c r="A85" s="2" t="str">
        <f t="shared" si="1"/>
        <v>1401991</v>
      </c>
      <c r="B85" t="s">
        <v>84</v>
      </c>
      <c r="C85">
        <v>140</v>
      </c>
      <c r="D85">
        <v>1070</v>
      </c>
      <c r="E85" t="s">
        <v>85</v>
      </c>
      <c r="F85" s="283">
        <v>1991</v>
      </c>
      <c r="G85" s="284">
        <v>120402</v>
      </c>
      <c r="H85" s="284">
        <v>691266</v>
      </c>
      <c r="I85" s="284">
        <v>37528</v>
      </c>
      <c r="J85" s="284">
        <v>1343</v>
      </c>
      <c r="K85" t="s">
        <v>85</v>
      </c>
    </row>
    <row r="86" spans="1:11">
      <c r="A86" s="2" t="str">
        <f t="shared" si="1"/>
        <v>1401992</v>
      </c>
      <c r="B86" t="s">
        <v>84</v>
      </c>
      <c r="C86">
        <v>140</v>
      </c>
      <c r="D86">
        <v>1070</v>
      </c>
      <c r="E86" t="s">
        <v>85</v>
      </c>
      <c r="F86" s="283">
        <v>1992</v>
      </c>
      <c r="G86" s="284">
        <v>123221</v>
      </c>
      <c r="H86" s="284">
        <v>713096</v>
      </c>
      <c r="I86" s="284">
        <v>45515</v>
      </c>
      <c r="J86" s="284">
        <v>1610</v>
      </c>
      <c r="K86" t="s">
        <v>85</v>
      </c>
    </row>
    <row r="87" spans="1:11">
      <c r="A87" s="2" t="str">
        <f t="shared" si="1"/>
        <v>1401993</v>
      </c>
      <c r="B87" t="s">
        <v>84</v>
      </c>
      <c r="C87">
        <v>140</v>
      </c>
      <c r="D87">
        <v>1070</v>
      </c>
      <c r="E87" t="s">
        <v>85</v>
      </c>
      <c r="F87" s="283">
        <v>1993</v>
      </c>
      <c r="G87" s="284">
        <v>126482</v>
      </c>
      <c r="H87" s="284">
        <v>735201</v>
      </c>
      <c r="I87" s="284">
        <v>53877</v>
      </c>
      <c r="J87" s="284">
        <v>1891</v>
      </c>
      <c r="K87" t="s">
        <v>85</v>
      </c>
    </row>
    <row r="88" spans="1:11">
      <c r="A88" s="2" t="str">
        <f t="shared" si="1"/>
        <v>1401994</v>
      </c>
      <c r="B88" t="s">
        <v>84</v>
      </c>
      <c r="C88">
        <v>140</v>
      </c>
      <c r="D88">
        <v>1070</v>
      </c>
      <c r="E88" t="s">
        <v>85</v>
      </c>
      <c r="F88" s="283">
        <v>1994</v>
      </c>
      <c r="G88" s="284">
        <v>129844</v>
      </c>
      <c r="H88" s="284">
        <v>757346</v>
      </c>
      <c r="I88" s="284">
        <v>62239</v>
      </c>
      <c r="J88" s="284">
        <v>2170</v>
      </c>
      <c r="K88" t="s">
        <v>85</v>
      </c>
    </row>
    <row r="89" spans="1:11">
      <c r="A89" s="2" t="str">
        <f t="shared" si="1"/>
        <v>1401995</v>
      </c>
      <c r="B89" t="s">
        <v>84</v>
      </c>
      <c r="C89">
        <v>140</v>
      </c>
      <c r="D89">
        <v>1070</v>
      </c>
      <c r="E89" t="s">
        <v>85</v>
      </c>
      <c r="F89" s="283">
        <v>1995</v>
      </c>
      <c r="G89" s="284">
        <v>133165</v>
      </c>
      <c r="H89" s="284">
        <v>779205</v>
      </c>
      <c r="I89" s="284">
        <v>70059</v>
      </c>
      <c r="J89" s="284">
        <v>2428</v>
      </c>
      <c r="K89" t="s">
        <v>85</v>
      </c>
    </row>
    <row r="90" spans="1:11">
      <c r="A90" s="2" t="str">
        <f t="shared" si="1"/>
        <v>1401996</v>
      </c>
      <c r="B90" t="s">
        <v>84</v>
      </c>
      <c r="C90">
        <v>140</v>
      </c>
      <c r="D90">
        <v>1070</v>
      </c>
      <c r="E90" t="s">
        <v>85</v>
      </c>
      <c r="F90" s="283">
        <v>1996</v>
      </c>
      <c r="G90" s="284">
        <v>136318</v>
      </c>
      <c r="H90" s="284">
        <v>801040</v>
      </c>
      <c r="I90" s="284">
        <v>76964</v>
      </c>
      <c r="J90" s="284">
        <v>2650</v>
      </c>
      <c r="K90" t="s">
        <v>85</v>
      </c>
    </row>
    <row r="91" spans="1:11">
      <c r="A91" s="2" t="str">
        <f t="shared" si="1"/>
        <v>1401997</v>
      </c>
      <c r="B91" t="s">
        <v>84</v>
      </c>
      <c r="C91">
        <v>140</v>
      </c>
      <c r="D91">
        <v>1070</v>
      </c>
      <c r="E91" t="s">
        <v>85</v>
      </c>
      <c r="F91" s="283">
        <v>1997</v>
      </c>
      <c r="G91" s="284">
        <v>139229</v>
      </c>
      <c r="H91" s="284">
        <v>822820</v>
      </c>
      <c r="I91" s="284">
        <v>82321</v>
      </c>
      <c r="J91" s="284">
        <v>2811</v>
      </c>
      <c r="K91" t="s">
        <v>85</v>
      </c>
    </row>
    <row r="92" spans="1:11">
      <c r="A92" s="2" t="str">
        <f t="shared" si="1"/>
        <v>1401998</v>
      </c>
      <c r="B92" t="s">
        <v>84</v>
      </c>
      <c r="C92">
        <v>140</v>
      </c>
      <c r="D92">
        <v>1070</v>
      </c>
      <c r="E92" t="s">
        <v>85</v>
      </c>
      <c r="F92" s="283">
        <v>1998</v>
      </c>
      <c r="G92" s="284">
        <v>141823</v>
      </c>
      <c r="H92" s="284">
        <v>844120</v>
      </c>
      <c r="I92" s="284">
        <v>86219</v>
      </c>
      <c r="J92" s="284">
        <v>2922</v>
      </c>
      <c r="K92" t="s">
        <v>85</v>
      </c>
    </row>
    <row r="93" spans="1:11">
      <c r="A93" s="2" t="str">
        <f t="shared" si="1"/>
        <v>1401999</v>
      </c>
      <c r="B93" t="s">
        <v>84</v>
      </c>
      <c r="C93">
        <v>140</v>
      </c>
      <c r="D93">
        <v>1070</v>
      </c>
      <c r="E93" t="s">
        <v>85</v>
      </c>
      <c r="F93" s="283">
        <v>1999</v>
      </c>
      <c r="G93" s="284">
        <v>144064</v>
      </c>
      <c r="H93" s="284">
        <v>864762</v>
      </c>
      <c r="I93" s="284">
        <v>88375</v>
      </c>
      <c r="J93" s="284">
        <v>2967</v>
      </c>
      <c r="K93" t="s">
        <v>85</v>
      </c>
    </row>
    <row r="94" spans="1:11">
      <c r="A94" s="2" t="str">
        <f t="shared" si="1"/>
        <v>1402000</v>
      </c>
      <c r="B94" t="s">
        <v>84</v>
      </c>
      <c r="C94">
        <v>140</v>
      </c>
      <c r="D94">
        <v>1070</v>
      </c>
      <c r="E94" t="s">
        <v>85</v>
      </c>
      <c r="F94" s="283">
        <v>2000</v>
      </c>
      <c r="G94" s="284">
        <v>145858</v>
      </c>
      <c r="H94" s="284">
        <v>883531</v>
      </c>
      <c r="I94" s="284">
        <v>88684</v>
      </c>
      <c r="J94" s="284">
        <v>2944</v>
      </c>
      <c r="K94" t="s">
        <v>85</v>
      </c>
    </row>
    <row r="95" spans="1:11">
      <c r="A95" s="2" t="str">
        <f t="shared" si="1"/>
        <v>1402001</v>
      </c>
      <c r="B95" t="s">
        <v>84</v>
      </c>
      <c r="C95">
        <v>140</v>
      </c>
      <c r="D95">
        <v>1070</v>
      </c>
      <c r="E95" t="s">
        <v>85</v>
      </c>
      <c r="F95" s="283">
        <v>2001</v>
      </c>
      <c r="G95" s="284">
        <v>147152</v>
      </c>
      <c r="H95" s="284">
        <v>901147</v>
      </c>
      <c r="I95" s="284">
        <v>87531</v>
      </c>
      <c r="J95" s="284">
        <v>2869</v>
      </c>
      <c r="K95" t="s">
        <v>85</v>
      </c>
    </row>
    <row r="96" spans="1:11">
      <c r="A96" s="2" t="str">
        <f t="shared" si="1"/>
        <v>1402002</v>
      </c>
      <c r="B96" t="s">
        <v>84</v>
      </c>
      <c r="C96">
        <v>140</v>
      </c>
      <c r="D96">
        <v>1070</v>
      </c>
      <c r="E96" t="s">
        <v>85</v>
      </c>
      <c r="F96" s="283">
        <v>2002</v>
      </c>
      <c r="G96" s="284">
        <v>148120</v>
      </c>
      <c r="H96" s="284">
        <v>918338</v>
      </c>
      <c r="I96" s="284">
        <v>85202</v>
      </c>
      <c r="J96" s="284">
        <v>2754</v>
      </c>
      <c r="K96" t="s">
        <v>85</v>
      </c>
    </row>
    <row r="97" spans="1:11">
      <c r="A97" s="2" t="str">
        <f t="shared" si="1"/>
        <v>1402003</v>
      </c>
      <c r="B97" t="s">
        <v>84</v>
      </c>
      <c r="C97">
        <v>140</v>
      </c>
      <c r="D97">
        <v>1070</v>
      </c>
      <c r="E97" t="s">
        <v>85</v>
      </c>
      <c r="F97" s="283">
        <v>2003</v>
      </c>
      <c r="G97" s="284">
        <v>148736</v>
      </c>
      <c r="H97" s="284">
        <v>936032</v>
      </c>
      <c r="I97" s="284">
        <v>82030</v>
      </c>
      <c r="J97" s="284">
        <v>2603</v>
      </c>
      <c r="K97" t="s">
        <v>85</v>
      </c>
    </row>
    <row r="98" spans="1:11">
      <c r="A98" s="2" t="str">
        <f t="shared" si="1"/>
        <v>1402004</v>
      </c>
      <c r="B98" t="s">
        <v>84</v>
      </c>
      <c r="C98">
        <v>140</v>
      </c>
      <c r="D98">
        <v>1070</v>
      </c>
      <c r="E98" t="s">
        <v>85</v>
      </c>
      <c r="F98" s="283">
        <v>2004</v>
      </c>
      <c r="G98" s="284">
        <v>148970</v>
      </c>
      <c r="H98" s="284">
        <v>954946</v>
      </c>
      <c r="I98" s="284">
        <v>78394</v>
      </c>
      <c r="J98" s="284">
        <v>2412</v>
      </c>
      <c r="K98" t="s">
        <v>85</v>
      </c>
    </row>
    <row r="99" spans="1:11">
      <c r="A99" s="2" t="str">
        <f t="shared" si="1"/>
        <v>1402005</v>
      </c>
      <c r="B99" t="s">
        <v>84</v>
      </c>
      <c r="C99">
        <v>140</v>
      </c>
      <c r="D99">
        <v>1070</v>
      </c>
      <c r="E99" t="s">
        <v>85</v>
      </c>
      <c r="F99" s="283">
        <v>2005</v>
      </c>
      <c r="G99" s="284">
        <v>149190</v>
      </c>
      <c r="H99" s="284">
        <v>976433</v>
      </c>
      <c r="I99" s="284">
        <v>74699</v>
      </c>
      <c r="J99" s="284">
        <v>2205</v>
      </c>
      <c r="K99" t="s">
        <v>85</v>
      </c>
    </row>
    <row r="100" spans="1:11">
      <c r="A100" s="2" t="str">
        <f t="shared" si="1"/>
        <v>1402006</v>
      </c>
      <c r="B100" t="s">
        <v>84</v>
      </c>
      <c r="C100">
        <v>140</v>
      </c>
      <c r="D100">
        <v>1070</v>
      </c>
      <c r="E100" t="s">
        <v>85</v>
      </c>
      <c r="F100" s="283">
        <v>2006</v>
      </c>
      <c r="G100" s="284">
        <v>149530</v>
      </c>
      <c r="H100" s="284">
        <v>998921</v>
      </c>
      <c r="I100" s="284">
        <v>71193</v>
      </c>
      <c r="J100" s="284">
        <v>1901</v>
      </c>
      <c r="K100" t="s">
        <v>85</v>
      </c>
    </row>
    <row r="101" spans="1:11">
      <c r="A101" s="2" t="str">
        <f t="shared" si="1"/>
        <v>1402007</v>
      </c>
      <c r="B101" t="s">
        <v>84</v>
      </c>
      <c r="C101">
        <v>140</v>
      </c>
      <c r="D101">
        <v>1070</v>
      </c>
      <c r="E101" t="s">
        <v>85</v>
      </c>
      <c r="F101" s="283">
        <v>2007</v>
      </c>
      <c r="G101" s="284">
        <v>150172</v>
      </c>
      <c r="H101" s="284">
        <v>1023000</v>
      </c>
      <c r="I101" s="284">
        <v>68016</v>
      </c>
      <c r="J101" s="284">
        <v>1742</v>
      </c>
      <c r="K101" t="s">
        <v>85</v>
      </c>
    </row>
    <row r="102" spans="1:11">
      <c r="A102" s="2" t="str">
        <f t="shared" si="1"/>
        <v>1402008</v>
      </c>
      <c r="B102" t="s">
        <v>84</v>
      </c>
      <c r="C102">
        <v>140</v>
      </c>
      <c r="D102">
        <v>1070</v>
      </c>
      <c r="E102" t="s">
        <v>85</v>
      </c>
      <c r="F102" s="283">
        <v>2008</v>
      </c>
      <c r="G102" s="284">
        <v>151284</v>
      </c>
      <c r="H102" s="284">
        <v>1048680</v>
      </c>
      <c r="I102" s="284">
        <v>65574</v>
      </c>
      <c r="J102" s="284">
        <v>1585</v>
      </c>
      <c r="K102" t="s">
        <v>85</v>
      </c>
    </row>
    <row r="103" spans="1:11">
      <c r="A103" s="2" t="str">
        <f t="shared" si="1"/>
        <v>1402009</v>
      </c>
      <c r="B103" t="s">
        <v>84</v>
      </c>
      <c r="C103">
        <v>140</v>
      </c>
      <c r="D103">
        <v>1070</v>
      </c>
      <c r="E103" t="s">
        <v>85</v>
      </c>
      <c r="F103" s="283">
        <v>2009</v>
      </c>
      <c r="G103" s="284">
        <v>152944</v>
      </c>
      <c r="H103" s="284">
        <v>1076160</v>
      </c>
      <c r="I103" s="284">
        <v>63878</v>
      </c>
      <c r="J103" s="284">
        <v>1412</v>
      </c>
      <c r="K103" t="s">
        <v>85</v>
      </c>
    </row>
    <row r="104" spans="1:11">
      <c r="A104" s="2" t="str">
        <f t="shared" si="1"/>
        <v>1402010</v>
      </c>
      <c r="B104" t="s">
        <v>84</v>
      </c>
      <c r="C104">
        <v>140</v>
      </c>
      <c r="D104">
        <v>1070</v>
      </c>
      <c r="E104" t="s">
        <v>85</v>
      </c>
      <c r="F104" s="283">
        <v>2010</v>
      </c>
      <c r="G104" s="284">
        <v>154976</v>
      </c>
      <c r="H104" s="284">
        <v>1104270</v>
      </c>
      <c r="I104" s="284">
        <v>62069</v>
      </c>
      <c r="J104" s="284">
        <v>1353</v>
      </c>
      <c r="K104" t="s">
        <v>85</v>
      </c>
    </row>
    <row r="105" spans="1:11">
      <c r="A105" s="2" t="str">
        <f t="shared" si="1"/>
        <v>1402011</v>
      </c>
      <c r="B105" t="s">
        <v>84</v>
      </c>
      <c r="C105">
        <v>140</v>
      </c>
      <c r="D105">
        <v>1070</v>
      </c>
      <c r="E105" t="s">
        <v>85</v>
      </c>
      <c r="F105" s="283">
        <v>2011</v>
      </c>
      <c r="G105" s="284">
        <v>157031</v>
      </c>
      <c r="H105" s="284">
        <v>1133320</v>
      </c>
      <c r="I105" s="284">
        <v>60361</v>
      </c>
      <c r="J105" s="284">
        <v>1198</v>
      </c>
      <c r="K105" t="s">
        <v>85</v>
      </c>
    </row>
    <row r="106" spans="1:11">
      <c r="A106" s="2" t="str">
        <f t="shared" si="1"/>
        <v>1402012</v>
      </c>
      <c r="B106" t="s">
        <v>84</v>
      </c>
      <c r="C106">
        <v>140</v>
      </c>
      <c r="D106">
        <v>1070</v>
      </c>
      <c r="E106" t="s">
        <v>85</v>
      </c>
      <c r="F106" s="283">
        <v>2012</v>
      </c>
      <c r="G106" s="284">
        <v>158937</v>
      </c>
      <c r="H106" s="284">
        <v>1163190</v>
      </c>
      <c r="I106" s="284">
        <v>58683</v>
      </c>
      <c r="J106" s="284">
        <v>1097</v>
      </c>
      <c r="K106" t="s">
        <v>85</v>
      </c>
    </row>
    <row r="107" spans="1:11">
      <c r="A107" s="2" t="str">
        <f t="shared" si="1"/>
        <v>1402013</v>
      </c>
      <c r="B107" t="s">
        <v>84</v>
      </c>
      <c r="C107">
        <v>140</v>
      </c>
      <c r="D107">
        <v>1070</v>
      </c>
      <c r="E107" t="s">
        <v>85</v>
      </c>
      <c r="F107" s="283">
        <v>2013</v>
      </c>
      <c r="G107" s="284">
        <v>160566</v>
      </c>
      <c r="H107" s="284">
        <v>1193820</v>
      </c>
      <c r="I107" s="284">
        <v>57068</v>
      </c>
      <c r="J107" s="284">
        <v>1197</v>
      </c>
      <c r="K107" t="s">
        <v>85</v>
      </c>
    </row>
    <row r="108" spans="1:11">
      <c r="A108" s="2" t="str">
        <f t="shared" si="1"/>
        <v>1402014</v>
      </c>
      <c r="B108" t="s">
        <v>84</v>
      </c>
      <c r="C108">
        <v>140</v>
      </c>
      <c r="D108">
        <v>1070</v>
      </c>
      <c r="E108" t="s">
        <v>85</v>
      </c>
      <c r="F108" s="283">
        <v>2014</v>
      </c>
      <c r="G108" s="284">
        <v>162057</v>
      </c>
      <c r="H108" s="284">
        <v>1225120</v>
      </c>
      <c r="I108" s="284">
        <v>55578</v>
      </c>
      <c r="J108" s="284">
        <v>911</v>
      </c>
      <c r="K108" t="s">
        <v>85</v>
      </c>
    </row>
    <row r="109" spans="1:11">
      <c r="A109" s="2" t="str">
        <f t="shared" si="1"/>
        <v>1402015</v>
      </c>
      <c r="B109" t="s">
        <v>84</v>
      </c>
      <c r="C109">
        <v>140</v>
      </c>
      <c r="D109">
        <v>1070</v>
      </c>
      <c r="E109" t="s">
        <v>85</v>
      </c>
      <c r="F109" s="283">
        <v>2015</v>
      </c>
      <c r="G109" s="284">
        <v>163433</v>
      </c>
      <c r="H109" s="284">
        <v>1257310</v>
      </c>
      <c r="I109" s="284">
        <v>54576</v>
      </c>
      <c r="J109" s="284">
        <v>702</v>
      </c>
      <c r="K109" t="s">
        <v>85</v>
      </c>
    </row>
    <row r="110" spans="1:11">
      <c r="A110" s="2" t="str">
        <f t="shared" si="1"/>
        <v>3841980</v>
      </c>
      <c r="B110" t="s">
        <v>86</v>
      </c>
      <c r="C110">
        <v>384</v>
      </c>
      <c r="D110">
        <v>1115</v>
      </c>
      <c r="E110" t="s">
        <v>149</v>
      </c>
      <c r="F110" s="283">
        <v>1980</v>
      </c>
      <c r="G110" s="284">
        <v>403586</v>
      </c>
      <c r="H110" s="284">
        <v>1947630</v>
      </c>
      <c r="I110" s="284">
        <v>2067.64</v>
      </c>
      <c r="J110" s="284">
        <v>72.982900000000001</v>
      </c>
      <c r="K110" t="s">
        <v>149</v>
      </c>
    </row>
    <row r="111" spans="1:11">
      <c r="A111" s="2" t="str">
        <f t="shared" si="1"/>
        <v>3841981</v>
      </c>
      <c r="B111" t="s">
        <v>86</v>
      </c>
      <c r="C111">
        <v>384</v>
      </c>
      <c r="D111">
        <v>1115</v>
      </c>
      <c r="E111" t="s">
        <v>149</v>
      </c>
      <c r="F111" s="283">
        <v>1981</v>
      </c>
      <c r="G111" s="284">
        <v>417009</v>
      </c>
      <c r="H111" s="284">
        <v>2035460</v>
      </c>
      <c r="I111" s="284">
        <v>3727</v>
      </c>
      <c r="J111" s="284">
        <v>131.03800000000001</v>
      </c>
      <c r="K111" t="s">
        <v>149</v>
      </c>
    </row>
    <row r="112" spans="1:11">
      <c r="A112" s="2" t="str">
        <f t="shared" si="1"/>
        <v>3841982</v>
      </c>
      <c r="B112" t="s">
        <v>86</v>
      </c>
      <c r="C112">
        <v>384</v>
      </c>
      <c r="D112">
        <v>1115</v>
      </c>
      <c r="E112" t="s">
        <v>149</v>
      </c>
      <c r="F112" s="283">
        <v>1982</v>
      </c>
      <c r="G112" s="284">
        <v>431155</v>
      </c>
      <c r="H112" s="284">
        <v>2122380</v>
      </c>
      <c r="I112" s="284">
        <v>6367</v>
      </c>
      <c r="J112" s="284">
        <v>218.15700000000001</v>
      </c>
      <c r="K112" t="s">
        <v>149</v>
      </c>
    </row>
    <row r="113" spans="1:11">
      <c r="A113" s="2" t="str">
        <f t="shared" si="1"/>
        <v>3841983</v>
      </c>
      <c r="B113" t="s">
        <v>86</v>
      </c>
      <c r="C113">
        <v>384</v>
      </c>
      <c r="D113">
        <v>1115</v>
      </c>
      <c r="E113" t="s">
        <v>149</v>
      </c>
      <c r="F113" s="283">
        <v>1983</v>
      </c>
      <c r="G113" s="284">
        <v>444998</v>
      </c>
      <c r="H113" s="284">
        <v>2207740</v>
      </c>
      <c r="I113" s="284">
        <v>10338</v>
      </c>
      <c r="J113" s="284">
        <v>346.32</v>
      </c>
      <c r="K113" t="s">
        <v>149</v>
      </c>
    </row>
    <row r="114" spans="1:11">
      <c r="A114" s="2" t="str">
        <f t="shared" si="1"/>
        <v>3841984</v>
      </c>
      <c r="B114" t="s">
        <v>86</v>
      </c>
      <c r="C114">
        <v>384</v>
      </c>
      <c r="D114">
        <v>1115</v>
      </c>
      <c r="E114" t="s">
        <v>149</v>
      </c>
      <c r="F114" s="283">
        <v>1984</v>
      </c>
      <c r="G114" s="284">
        <v>457903</v>
      </c>
      <c r="H114" s="284">
        <v>2290770</v>
      </c>
      <c r="I114" s="284">
        <v>16002</v>
      </c>
      <c r="J114" s="284">
        <v>527.65700000000004</v>
      </c>
      <c r="K114" t="s">
        <v>149</v>
      </c>
    </row>
    <row r="115" spans="1:11">
      <c r="A115" s="2" t="str">
        <f t="shared" si="1"/>
        <v>3841985</v>
      </c>
      <c r="B115" t="s">
        <v>86</v>
      </c>
      <c r="C115">
        <v>384</v>
      </c>
      <c r="D115">
        <v>1115</v>
      </c>
      <c r="E115" t="s">
        <v>149</v>
      </c>
      <c r="F115" s="283">
        <v>1985</v>
      </c>
      <c r="G115" s="284">
        <v>468539</v>
      </c>
      <c r="H115" s="284">
        <v>2370040</v>
      </c>
      <c r="I115" s="284">
        <v>23487</v>
      </c>
      <c r="J115" s="284">
        <v>761</v>
      </c>
      <c r="K115" t="s">
        <v>149</v>
      </c>
    </row>
    <row r="116" spans="1:11">
      <c r="A116" s="2" t="str">
        <f t="shared" si="1"/>
        <v>3841986</v>
      </c>
      <c r="B116" t="s">
        <v>86</v>
      </c>
      <c r="C116">
        <v>384</v>
      </c>
      <c r="D116">
        <v>1115</v>
      </c>
      <c r="E116" t="s">
        <v>149</v>
      </c>
      <c r="F116" s="283">
        <v>1986</v>
      </c>
      <c r="G116" s="284">
        <v>477362</v>
      </c>
      <c r="H116" s="284">
        <v>2450630</v>
      </c>
      <c r="I116" s="284">
        <v>33210</v>
      </c>
      <c r="J116" s="284">
        <v>1060</v>
      </c>
      <c r="K116" t="s">
        <v>149</v>
      </c>
    </row>
    <row r="117" spans="1:11">
      <c r="A117" s="2" t="str">
        <f t="shared" si="1"/>
        <v>3841987</v>
      </c>
      <c r="B117" t="s">
        <v>86</v>
      </c>
      <c r="C117">
        <v>384</v>
      </c>
      <c r="D117">
        <v>1115</v>
      </c>
      <c r="E117" t="s">
        <v>149</v>
      </c>
      <c r="F117" s="283">
        <v>1987</v>
      </c>
      <c r="G117" s="284">
        <v>486586</v>
      </c>
      <c r="H117" s="284">
        <v>2534250</v>
      </c>
      <c r="I117" s="284">
        <v>44974</v>
      </c>
      <c r="J117" s="284">
        <v>1419</v>
      </c>
      <c r="K117" t="s">
        <v>149</v>
      </c>
    </row>
    <row r="118" spans="1:11">
      <c r="A118" s="2" t="str">
        <f t="shared" si="1"/>
        <v>3841988</v>
      </c>
      <c r="B118" t="s">
        <v>86</v>
      </c>
      <c r="C118">
        <v>384</v>
      </c>
      <c r="D118">
        <v>1115</v>
      </c>
      <c r="E118" t="s">
        <v>149</v>
      </c>
      <c r="F118" s="283">
        <v>1988</v>
      </c>
      <c r="G118" s="284">
        <v>495725</v>
      </c>
      <c r="H118" s="284">
        <v>2621570</v>
      </c>
      <c r="I118" s="284">
        <v>58826</v>
      </c>
      <c r="J118" s="284">
        <v>1845</v>
      </c>
      <c r="K118" t="s">
        <v>149</v>
      </c>
    </row>
    <row r="119" spans="1:11">
      <c r="A119" s="2" t="str">
        <f t="shared" si="1"/>
        <v>3841989</v>
      </c>
      <c r="B119" t="s">
        <v>86</v>
      </c>
      <c r="C119">
        <v>384</v>
      </c>
      <c r="D119">
        <v>1115</v>
      </c>
      <c r="E119" t="s">
        <v>149</v>
      </c>
      <c r="F119" s="283">
        <v>1989</v>
      </c>
      <c r="G119" s="284">
        <v>504439</v>
      </c>
      <c r="H119" s="284">
        <v>2713000</v>
      </c>
      <c r="I119" s="284">
        <v>74362</v>
      </c>
      <c r="J119" s="284">
        <v>2320</v>
      </c>
      <c r="K119" t="s">
        <v>149</v>
      </c>
    </row>
    <row r="120" spans="1:11">
      <c r="A120" s="2" t="str">
        <f t="shared" si="1"/>
        <v>3841990</v>
      </c>
      <c r="B120" t="s">
        <v>86</v>
      </c>
      <c r="C120">
        <v>384</v>
      </c>
      <c r="D120">
        <v>1115</v>
      </c>
      <c r="E120" t="s">
        <v>149</v>
      </c>
      <c r="F120" s="283">
        <v>1990</v>
      </c>
      <c r="G120" s="284">
        <v>513317</v>
      </c>
      <c r="H120" s="284">
        <v>2810310</v>
      </c>
      <c r="I120" s="284">
        <v>91677</v>
      </c>
      <c r="J120" s="284">
        <v>2861</v>
      </c>
      <c r="K120" t="s">
        <v>149</v>
      </c>
    </row>
    <row r="121" spans="1:11">
      <c r="A121" s="2" t="str">
        <f t="shared" si="1"/>
        <v>3841991</v>
      </c>
      <c r="B121" t="s">
        <v>86</v>
      </c>
      <c r="C121">
        <v>384</v>
      </c>
      <c r="D121">
        <v>1115</v>
      </c>
      <c r="E121" t="s">
        <v>149</v>
      </c>
      <c r="F121" s="283">
        <v>1991</v>
      </c>
      <c r="G121" s="284">
        <v>522867</v>
      </c>
      <c r="H121" s="284">
        <v>2911770</v>
      </c>
      <c r="I121" s="284">
        <v>110517</v>
      </c>
      <c r="J121" s="284">
        <v>3458</v>
      </c>
      <c r="K121" t="s">
        <v>149</v>
      </c>
    </row>
    <row r="122" spans="1:11">
      <c r="A122" s="2" t="str">
        <f t="shared" si="1"/>
        <v>3841992</v>
      </c>
      <c r="B122" t="s">
        <v>86</v>
      </c>
      <c r="C122">
        <v>384</v>
      </c>
      <c r="D122">
        <v>1115</v>
      </c>
      <c r="E122" t="s">
        <v>149</v>
      </c>
      <c r="F122" s="283">
        <v>1992</v>
      </c>
      <c r="G122" s="284">
        <v>533706</v>
      </c>
      <c r="H122" s="284">
        <v>3016830</v>
      </c>
      <c r="I122" s="284">
        <v>130715</v>
      </c>
      <c r="J122" s="284">
        <v>4114</v>
      </c>
      <c r="K122" t="s">
        <v>149</v>
      </c>
    </row>
    <row r="123" spans="1:11">
      <c r="A123" s="2" t="str">
        <f t="shared" si="1"/>
        <v>3841993</v>
      </c>
      <c r="B123" t="s">
        <v>86</v>
      </c>
      <c r="C123">
        <v>384</v>
      </c>
      <c r="D123">
        <v>1115</v>
      </c>
      <c r="E123" t="s">
        <v>149</v>
      </c>
      <c r="F123" s="283">
        <v>1993</v>
      </c>
      <c r="G123" s="284">
        <v>546337</v>
      </c>
      <c r="H123" s="284">
        <v>3124310</v>
      </c>
      <c r="I123" s="284">
        <v>151425</v>
      </c>
      <c r="J123" s="284">
        <v>4798</v>
      </c>
      <c r="K123" t="s">
        <v>149</v>
      </c>
    </row>
    <row r="124" spans="1:11">
      <c r="A124" s="2" t="str">
        <f t="shared" si="1"/>
        <v>3841994</v>
      </c>
      <c r="B124" t="s">
        <v>86</v>
      </c>
      <c r="C124">
        <v>384</v>
      </c>
      <c r="D124">
        <v>1115</v>
      </c>
      <c r="E124" t="s">
        <v>149</v>
      </c>
      <c r="F124" s="283">
        <v>1994</v>
      </c>
      <c r="G124" s="284">
        <v>559430</v>
      </c>
      <c r="H124" s="284">
        <v>3232560</v>
      </c>
      <c r="I124" s="284">
        <v>172445</v>
      </c>
      <c r="J124" s="284">
        <v>5496</v>
      </c>
      <c r="K124" t="s">
        <v>149</v>
      </c>
    </row>
    <row r="125" spans="1:11">
      <c r="A125" s="2" t="str">
        <f t="shared" si="1"/>
        <v>3841995</v>
      </c>
      <c r="B125" t="s">
        <v>86</v>
      </c>
      <c r="C125">
        <v>384</v>
      </c>
      <c r="D125">
        <v>1115</v>
      </c>
      <c r="E125" t="s">
        <v>149</v>
      </c>
      <c r="F125" s="283">
        <v>1995</v>
      </c>
      <c r="G125" s="284">
        <v>572956</v>
      </c>
      <c r="H125" s="284">
        <v>3344600</v>
      </c>
      <c r="I125" s="284">
        <v>192450</v>
      </c>
      <c r="J125" s="284">
        <v>6155</v>
      </c>
      <c r="K125" t="s">
        <v>149</v>
      </c>
    </row>
    <row r="126" spans="1:11">
      <c r="A126" s="2" t="str">
        <f t="shared" si="1"/>
        <v>3841996</v>
      </c>
      <c r="B126" t="s">
        <v>86</v>
      </c>
      <c r="C126">
        <v>384</v>
      </c>
      <c r="D126">
        <v>1115</v>
      </c>
      <c r="E126" t="s">
        <v>149</v>
      </c>
      <c r="F126" s="283">
        <v>1996</v>
      </c>
      <c r="G126" s="284">
        <v>586752</v>
      </c>
      <c r="H126" s="284">
        <v>3455200</v>
      </c>
      <c r="I126" s="284">
        <v>210594</v>
      </c>
      <c r="J126" s="284">
        <v>6755</v>
      </c>
      <c r="K126" t="s">
        <v>149</v>
      </c>
    </row>
    <row r="127" spans="1:11">
      <c r="A127" s="2" t="str">
        <f t="shared" si="1"/>
        <v>3841997</v>
      </c>
      <c r="B127" t="s">
        <v>86</v>
      </c>
      <c r="C127">
        <v>384</v>
      </c>
      <c r="D127">
        <v>1115</v>
      </c>
      <c r="E127" t="s">
        <v>149</v>
      </c>
      <c r="F127" s="283">
        <v>1997</v>
      </c>
      <c r="G127" s="284">
        <v>599324</v>
      </c>
      <c r="H127" s="284">
        <v>3564250</v>
      </c>
      <c r="I127" s="284">
        <v>226114</v>
      </c>
      <c r="J127" s="284">
        <v>7241</v>
      </c>
      <c r="K127" t="s">
        <v>149</v>
      </c>
    </row>
    <row r="128" spans="1:11">
      <c r="A128" s="2" t="str">
        <f t="shared" si="1"/>
        <v>3841998</v>
      </c>
      <c r="B128" t="s">
        <v>86</v>
      </c>
      <c r="C128">
        <v>384</v>
      </c>
      <c r="D128">
        <v>1115</v>
      </c>
      <c r="E128" t="s">
        <v>149</v>
      </c>
      <c r="F128" s="283">
        <v>1998</v>
      </c>
      <c r="G128" s="284">
        <v>610774</v>
      </c>
      <c r="H128" s="284">
        <v>3667660</v>
      </c>
      <c r="I128" s="284">
        <v>237976</v>
      </c>
      <c r="J128" s="284">
        <v>7595</v>
      </c>
      <c r="K128" t="s">
        <v>149</v>
      </c>
    </row>
    <row r="129" spans="1:11">
      <c r="A129" s="2" t="str">
        <f t="shared" si="1"/>
        <v>3841999</v>
      </c>
      <c r="B129" t="s">
        <v>86</v>
      </c>
      <c r="C129">
        <v>384</v>
      </c>
      <c r="D129">
        <v>1115</v>
      </c>
      <c r="E129" t="s">
        <v>149</v>
      </c>
      <c r="F129" s="283">
        <v>1999</v>
      </c>
      <c r="G129" s="284">
        <v>620262</v>
      </c>
      <c r="H129" s="284">
        <v>3763850</v>
      </c>
      <c r="I129" s="284">
        <v>245924</v>
      </c>
      <c r="J129" s="284">
        <v>7797</v>
      </c>
      <c r="K129" t="s">
        <v>149</v>
      </c>
    </row>
    <row r="130" spans="1:11">
      <c r="A130" s="2" t="str">
        <f t="shared" si="1"/>
        <v>3842000</v>
      </c>
      <c r="B130" t="s">
        <v>86</v>
      </c>
      <c r="C130">
        <v>384</v>
      </c>
      <c r="D130">
        <v>1115</v>
      </c>
      <c r="E130" t="s">
        <v>149</v>
      </c>
      <c r="F130" s="283">
        <v>2000</v>
      </c>
      <c r="G130" s="284">
        <v>628216</v>
      </c>
      <c r="H130" s="284">
        <v>3844990</v>
      </c>
      <c r="I130" s="284">
        <v>249280</v>
      </c>
      <c r="J130" s="284">
        <v>7850</v>
      </c>
      <c r="K130" t="s">
        <v>149</v>
      </c>
    </row>
    <row r="131" spans="1:11">
      <c r="A131" s="2" t="str">
        <f t="shared" si="1"/>
        <v>3842001</v>
      </c>
      <c r="B131" t="s">
        <v>86</v>
      </c>
      <c r="C131">
        <v>384</v>
      </c>
      <c r="D131">
        <v>1115</v>
      </c>
      <c r="E131" t="s">
        <v>149</v>
      </c>
      <c r="F131" s="283">
        <v>2001</v>
      </c>
      <c r="G131" s="284">
        <v>633328</v>
      </c>
      <c r="H131" s="284">
        <v>3916900</v>
      </c>
      <c r="I131" s="284">
        <v>248928</v>
      </c>
      <c r="J131" s="284">
        <v>7710</v>
      </c>
      <c r="K131" t="s">
        <v>149</v>
      </c>
    </row>
    <row r="132" spans="1:11">
      <c r="A132" s="2" t="str">
        <f t="shared" si="1"/>
        <v>3842002</v>
      </c>
      <c r="B132" t="s">
        <v>86</v>
      </c>
      <c r="C132">
        <v>384</v>
      </c>
      <c r="D132">
        <v>1115</v>
      </c>
      <c r="E132" t="s">
        <v>149</v>
      </c>
      <c r="F132" s="283">
        <v>2002</v>
      </c>
      <c r="G132" s="284">
        <v>638400</v>
      </c>
      <c r="H132" s="284">
        <v>3986530</v>
      </c>
      <c r="I132" s="284">
        <v>246050</v>
      </c>
      <c r="J132" s="284">
        <v>7489</v>
      </c>
      <c r="K132" t="s">
        <v>149</v>
      </c>
    </row>
    <row r="133" spans="1:11">
      <c r="A133" s="2" t="str">
        <f t="shared" si="1"/>
        <v>3842003</v>
      </c>
      <c r="B133" t="s">
        <v>86</v>
      </c>
      <c r="C133">
        <v>384</v>
      </c>
      <c r="D133">
        <v>1115</v>
      </c>
      <c r="E133" t="s">
        <v>149</v>
      </c>
      <c r="F133" s="283">
        <v>2003</v>
      </c>
      <c r="G133" s="284">
        <v>652251</v>
      </c>
      <c r="H133" s="284">
        <v>4058930</v>
      </c>
      <c r="I133" s="284">
        <v>240807</v>
      </c>
      <c r="J133" s="284">
        <v>7277</v>
      </c>
      <c r="K133" t="s">
        <v>149</v>
      </c>
    </row>
    <row r="134" spans="1:11">
      <c r="A134" s="2" t="str">
        <f t="shared" ref="A134:A199" si="2">C134&amp;F134</f>
        <v>3842004</v>
      </c>
      <c r="B134" t="s">
        <v>86</v>
      </c>
      <c r="C134">
        <v>384</v>
      </c>
      <c r="D134">
        <v>1115</v>
      </c>
      <c r="E134" t="s">
        <v>149</v>
      </c>
      <c r="F134" s="283">
        <v>2004</v>
      </c>
      <c r="G134" s="284">
        <v>667103</v>
      </c>
      <c r="H134" s="284">
        <v>4135270</v>
      </c>
      <c r="I134" s="284">
        <v>234174</v>
      </c>
      <c r="J134" s="284">
        <v>6997</v>
      </c>
      <c r="K134" t="s">
        <v>149</v>
      </c>
    </row>
    <row r="135" spans="1:11">
      <c r="A135" s="2" t="str">
        <f t="shared" si="2"/>
        <v>3842005</v>
      </c>
      <c r="B135" t="s">
        <v>86</v>
      </c>
      <c r="C135">
        <v>384</v>
      </c>
      <c r="D135">
        <v>1115</v>
      </c>
      <c r="E135" t="s">
        <v>149</v>
      </c>
      <c r="F135" s="283">
        <v>2005</v>
      </c>
      <c r="G135" s="284">
        <v>683336</v>
      </c>
      <c r="H135" s="284">
        <v>4219310</v>
      </c>
      <c r="I135" s="284">
        <v>227628</v>
      </c>
      <c r="J135" s="284">
        <v>6513</v>
      </c>
      <c r="K135" t="s">
        <v>149</v>
      </c>
    </row>
    <row r="136" spans="1:11">
      <c r="A136" s="2" t="str">
        <f t="shared" si="2"/>
        <v>3842006</v>
      </c>
      <c r="B136" t="s">
        <v>86</v>
      </c>
      <c r="C136">
        <v>384</v>
      </c>
      <c r="D136">
        <v>1115</v>
      </c>
      <c r="E136" t="s">
        <v>149</v>
      </c>
      <c r="F136" s="283">
        <v>2006</v>
      </c>
      <c r="G136" s="284">
        <v>700671</v>
      </c>
      <c r="H136" s="284">
        <v>4308780</v>
      </c>
      <c r="I136" s="284">
        <v>222336</v>
      </c>
      <c r="J136" s="284">
        <v>6421</v>
      </c>
      <c r="K136" t="s">
        <v>149</v>
      </c>
    </row>
    <row r="137" spans="1:11">
      <c r="A137" s="2" t="str">
        <f t="shared" si="2"/>
        <v>3842007</v>
      </c>
      <c r="B137" t="s">
        <v>86</v>
      </c>
      <c r="C137">
        <v>384</v>
      </c>
      <c r="D137">
        <v>1115</v>
      </c>
      <c r="E137" t="s">
        <v>149</v>
      </c>
      <c r="F137" s="283">
        <v>2007</v>
      </c>
      <c r="G137" s="284">
        <v>718831</v>
      </c>
      <c r="H137" s="284">
        <v>4403210</v>
      </c>
      <c r="I137" s="284">
        <v>217774</v>
      </c>
      <c r="J137" s="284">
        <v>5829</v>
      </c>
      <c r="K137" t="s">
        <v>149</v>
      </c>
    </row>
    <row r="138" spans="1:11">
      <c r="A138" s="2" t="str">
        <f t="shared" si="2"/>
        <v>3842008</v>
      </c>
      <c r="B138" t="s">
        <v>86</v>
      </c>
      <c r="C138">
        <v>384</v>
      </c>
      <c r="D138">
        <v>1115</v>
      </c>
      <c r="E138" t="s">
        <v>149</v>
      </c>
      <c r="F138" s="283">
        <v>2008</v>
      </c>
      <c r="G138" s="284">
        <v>738121</v>
      </c>
      <c r="H138" s="284">
        <v>4505160</v>
      </c>
      <c r="I138" s="284">
        <v>214200</v>
      </c>
      <c r="J138" s="284">
        <v>5006</v>
      </c>
      <c r="K138" t="s">
        <v>149</v>
      </c>
    </row>
    <row r="139" spans="1:11">
      <c r="A139" s="2" t="str">
        <f t="shared" si="2"/>
        <v>3842009</v>
      </c>
      <c r="B139" t="s">
        <v>86</v>
      </c>
      <c r="C139">
        <v>384</v>
      </c>
      <c r="D139">
        <v>1115</v>
      </c>
      <c r="E139" t="s">
        <v>149</v>
      </c>
      <c r="F139" s="283">
        <v>2009</v>
      </c>
      <c r="G139" s="284">
        <v>758805</v>
      </c>
      <c r="H139" s="284">
        <v>4615050</v>
      </c>
      <c r="I139" s="284">
        <v>211739</v>
      </c>
      <c r="J139" s="284">
        <v>4599</v>
      </c>
      <c r="K139" t="s">
        <v>149</v>
      </c>
    </row>
    <row r="140" spans="1:11">
      <c r="A140" s="2" t="str">
        <f t="shared" si="2"/>
        <v>3842010</v>
      </c>
      <c r="B140" t="s">
        <v>86</v>
      </c>
      <c r="C140">
        <v>384</v>
      </c>
      <c r="D140">
        <v>1115</v>
      </c>
      <c r="E140" t="s">
        <v>149</v>
      </c>
      <c r="F140" s="283">
        <v>2010</v>
      </c>
      <c r="G140" s="284">
        <v>781205</v>
      </c>
      <c r="H140" s="284">
        <v>4741780</v>
      </c>
      <c r="I140" s="284">
        <v>210808</v>
      </c>
      <c r="J140" s="284">
        <v>3852</v>
      </c>
      <c r="K140" t="s">
        <v>149</v>
      </c>
    </row>
    <row r="141" spans="1:11">
      <c r="A141" s="2" t="str">
        <f t="shared" si="2"/>
        <v>3842011</v>
      </c>
      <c r="B141" t="s">
        <v>86</v>
      </c>
      <c r="C141">
        <v>384</v>
      </c>
      <c r="D141">
        <v>1115</v>
      </c>
      <c r="E141" t="s">
        <v>149</v>
      </c>
      <c r="F141" s="283">
        <v>2011</v>
      </c>
      <c r="G141" s="284">
        <v>805992</v>
      </c>
      <c r="H141" s="284">
        <v>4883900</v>
      </c>
      <c r="I141" s="284">
        <v>212535</v>
      </c>
      <c r="J141" s="284">
        <v>4212</v>
      </c>
      <c r="K141" t="s">
        <v>149</v>
      </c>
    </row>
    <row r="142" spans="1:11">
      <c r="A142" s="2" t="str">
        <f t="shared" si="2"/>
        <v>3842012</v>
      </c>
      <c r="B142" t="s">
        <v>86</v>
      </c>
      <c r="C142">
        <v>384</v>
      </c>
      <c r="D142">
        <v>1115</v>
      </c>
      <c r="E142" t="s">
        <v>149</v>
      </c>
      <c r="F142" s="283">
        <v>2012</v>
      </c>
      <c r="G142" s="284">
        <v>833007</v>
      </c>
      <c r="H142" s="284">
        <v>5037860</v>
      </c>
      <c r="I142" s="284">
        <v>213224</v>
      </c>
      <c r="J142" s="284">
        <v>3737</v>
      </c>
      <c r="K142" t="s">
        <v>149</v>
      </c>
    </row>
    <row r="143" spans="1:11">
      <c r="A143" s="2" t="str">
        <f t="shared" si="2"/>
        <v>3842013</v>
      </c>
      <c r="B143" t="s">
        <v>86</v>
      </c>
      <c r="C143">
        <v>384</v>
      </c>
      <c r="D143">
        <v>1115</v>
      </c>
      <c r="E143" t="s">
        <v>149</v>
      </c>
      <c r="F143" s="283">
        <v>2013</v>
      </c>
      <c r="G143" s="284">
        <v>861186</v>
      </c>
      <c r="H143" s="284">
        <v>5192050</v>
      </c>
      <c r="I143" s="284">
        <v>212749</v>
      </c>
      <c r="J143" s="284">
        <v>3322</v>
      </c>
      <c r="K143" t="s">
        <v>149</v>
      </c>
    </row>
    <row r="144" spans="1:11">
      <c r="A144" s="2" t="str">
        <f t="shared" si="2"/>
        <v>3842014</v>
      </c>
      <c r="B144" t="s">
        <v>86</v>
      </c>
      <c r="C144">
        <v>384</v>
      </c>
      <c r="D144">
        <v>1115</v>
      </c>
      <c r="E144" t="s">
        <v>149</v>
      </c>
      <c r="F144" s="283">
        <v>2014</v>
      </c>
      <c r="G144" s="284">
        <v>889551</v>
      </c>
      <c r="H144" s="284">
        <v>5346540</v>
      </c>
      <c r="I144" s="284">
        <v>211807</v>
      </c>
      <c r="J144" s="284">
        <v>3112</v>
      </c>
      <c r="K144" t="s">
        <v>149</v>
      </c>
    </row>
    <row r="145" spans="1:11">
      <c r="A145" s="2" t="str">
        <f t="shared" si="2"/>
        <v>3842015</v>
      </c>
      <c r="B145" t="s">
        <v>86</v>
      </c>
      <c r="C145">
        <v>384</v>
      </c>
      <c r="D145">
        <v>1115</v>
      </c>
      <c r="E145" t="s">
        <v>149</v>
      </c>
      <c r="F145" s="283">
        <v>2015</v>
      </c>
      <c r="G145" s="284">
        <v>905511</v>
      </c>
      <c r="H145" s="284">
        <v>5501270</v>
      </c>
      <c r="I145" s="284">
        <v>210777</v>
      </c>
      <c r="J145" s="284">
        <v>2703</v>
      </c>
      <c r="K145" t="s">
        <v>149</v>
      </c>
    </row>
    <row r="146" spans="1:11">
      <c r="A146" s="2" t="str">
        <f t="shared" si="2"/>
        <v>2661980</v>
      </c>
      <c r="B146" t="s">
        <v>87</v>
      </c>
      <c r="C146">
        <v>266</v>
      </c>
      <c r="D146">
        <v>1160</v>
      </c>
      <c r="E146" t="s">
        <v>88</v>
      </c>
      <c r="F146" s="283">
        <v>1980</v>
      </c>
      <c r="G146" s="284">
        <v>30133</v>
      </c>
      <c r="H146" s="284">
        <v>180190</v>
      </c>
      <c r="I146" s="284">
        <v>115</v>
      </c>
      <c r="J146" s="284">
        <v>4</v>
      </c>
      <c r="K146" t="s">
        <v>88</v>
      </c>
    </row>
    <row r="147" spans="1:11">
      <c r="A147" s="2" t="str">
        <f t="shared" si="2"/>
        <v>2661981</v>
      </c>
      <c r="B147" t="s">
        <v>87</v>
      </c>
      <c r="C147">
        <v>266</v>
      </c>
      <c r="D147">
        <v>1160</v>
      </c>
      <c r="E147" t="s">
        <v>88</v>
      </c>
      <c r="F147" s="283">
        <v>1981</v>
      </c>
      <c r="G147" s="284">
        <v>30814</v>
      </c>
      <c r="H147" s="284">
        <v>183590</v>
      </c>
      <c r="I147" s="284">
        <v>170</v>
      </c>
      <c r="J147" s="284">
        <v>5</v>
      </c>
      <c r="K147" t="s">
        <v>88</v>
      </c>
    </row>
    <row r="148" spans="1:11">
      <c r="A148" s="2" t="str">
        <f t="shared" si="2"/>
        <v>2661982</v>
      </c>
      <c r="B148" t="s">
        <v>87</v>
      </c>
      <c r="C148">
        <v>266</v>
      </c>
      <c r="D148">
        <v>1160</v>
      </c>
      <c r="E148" t="s">
        <v>88</v>
      </c>
      <c r="F148" s="283">
        <v>1982</v>
      </c>
      <c r="G148" s="284">
        <v>31567</v>
      </c>
      <c r="H148" s="284">
        <v>187004</v>
      </c>
      <c r="I148" s="284">
        <v>245</v>
      </c>
      <c r="J148" s="284">
        <v>8</v>
      </c>
      <c r="K148" t="s">
        <v>88</v>
      </c>
    </row>
    <row r="149" spans="1:11">
      <c r="A149" s="2" t="str">
        <f t="shared" si="2"/>
        <v>2661983</v>
      </c>
      <c r="B149" t="s">
        <v>87</v>
      </c>
      <c r="C149">
        <v>266</v>
      </c>
      <c r="D149">
        <v>1160</v>
      </c>
      <c r="E149" t="s">
        <v>88</v>
      </c>
      <c r="F149" s="283">
        <v>1983</v>
      </c>
      <c r="G149" s="284">
        <v>32237</v>
      </c>
      <c r="H149" s="284">
        <v>190468</v>
      </c>
      <c r="I149" s="284">
        <v>340</v>
      </c>
      <c r="J149" s="284">
        <v>10</v>
      </c>
      <c r="K149" t="s">
        <v>88</v>
      </c>
    </row>
    <row r="150" spans="1:11">
      <c r="A150" s="2" t="str">
        <f t="shared" si="2"/>
        <v>2661984</v>
      </c>
      <c r="B150" t="s">
        <v>87</v>
      </c>
      <c r="C150">
        <v>266</v>
      </c>
      <c r="D150">
        <v>1160</v>
      </c>
      <c r="E150" t="s">
        <v>88</v>
      </c>
      <c r="F150" s="283">
        <v>1984</v>
      </c>
      <c r="G150" s="284">
        <v>32843</v>
      </c>
      <c r="H150" s="284">
        <v>194025</v>
      </c>
      <c r="I150" s="284">
        <v>465</v>
      </c>
      <c r="J150" s="284">
        <v>14</v>
      </c>
      <c r="K150" t="s">
        <v>88</v>
      </c>
    </row>
    <row r="151" spans="1:11">
      <c r="A151" s="2" t="str">
        <f t="shared" si="2"/>
        <v>2661985</v>
      </c>
      <c r="B151" t="s">
        <v>87</v>
      </c>
      <c r="C151">
        <v>266</v>
      </c>
      <c r="D151">
        <v>1160</v>
      </c>
      <c r="E151" t="s">
        <v>88</v>
      </c>
      <c r="F151" s="283">
        <v>1985</v>
      </c>
      <c r="G151" s="284">
        <v>33413</v>
      </c>
      <c r="H151" s="284">
        <v>197712</v>
      </c>
      <c r="I151" s="284">
        <v>627</v>
      </c>
      <c r="J151" s="284">
        <v>19</v>
      </c>
      <c r="K151" t="s">
        <v>88</v>
      </c>
    </row>
    <row r="152" spans="1:11">
      <c r="A152" s="2" t="str">
        <f t="shared" si="2"/>
        <v>2661986</v>
      </c>
      <c r="B152" t="s">
        <v>87</v>
      </c>
      <c r="C152">
        <v>266</v>
      </c>
      <c r="D152">
        <v>1160</v>
      </c>
      <c r="E152" t="s">
        <v>88</v>
      </c>
      <c r="F152" s="283">
        <v>1986</v>
      </c>
      <c r="G152" s="284">
        <v>34155</v>
      </c>
      <c r="H152" s="284">
        <v>203149</v>
      </c>
      <c r="I152" s="284">
        <v>843</v>
      </c>
      <c r="J152" s="284">
        <v>26</v>
      </c>
      <c r="K152" t="s">
        <v>88</v>
      </c>
    </row>
    <row r="153" spans="1:11">
      <c r="A153" s="2" t="str">
        <f t="shared" si="2"/>
        <v>2661987</v>
      </c>
      <c r="B153" t="s">
        <v>87</v>
      </c>
      <c r="C153">
        <v>266</v>
      </c>
      <c r="D153">
        <v>1160</v>
      </c>
      <c r="E153" t="s">
        <v>88</v>
      </c>
      <c r="F153" s="283">
        <v>1987</v>
      </c>
      <c r="G153" s="284">
        <v>35091</v>
      </c>
      <c r="H153" s="284">
        <v>208862</v>
      </c>
      <c r="I153" s="284">
        <v>1131</v>
      </c>
      <c r="J153" s="284">
        <v>34</v>
      </c>
      <c r="K153" t="s">
        <v>88</v>
      </c>
    </row>
    <row r="154" spans="1:11">
      <c r="A154" s="2" t="str">
        <f t="shared" si="2"/>
        <v>2661988</v>
      </c>
      <c r="B154" t="s">
        <v>87</v>
      </c>
      <c r="C154">
        <v>266</v>
      </c>
      <c r="D154">
        <v>1160</v>
      </c>
      <c r="E154" t="s">
        <v>88</v>
      </c>
      <c r="F154" s="283">
        <v>1988</v>
      </c>
      <c r="G154" s="284">
        <v>35985</v>
      </c>
      <c r="H154" s="284">
        <v>214814</v>
      </c>
      <c r="I154" s="284">
        <v>1522</v>
      </c>
      <c r="J154" s="284">
        <v>46</v>
      </c>
      <c r="K154" t="s">
        <v>88</v>
      </c>
    </row>
    <row r="155" spans="1:11">
      <c r="A155" s="2" t="str">
        <f t="shared" si="2"/>
        <v>2661989</v>
      </c>
      <c r="B155" t="s">
        <v>87</v>
      </c>
      <c r="C155">
        <v>266</v>
      </c>
      <c r="D155">
        <v>1160</v>
      </c>
      <c r="E155" t="s">
        <v>88</v>
      </c>
      <c r="F155" s="283">
        <v>1989</v>
      </c>
      <c r="G155" s="284">
        <v>36788</v>
      </c>
      <c r="H155" s="284">
        <v>220956</v>
      </c>
      <c r="I155" s="284">
        <v>2053</v>
      </c>
      <c r="J155" s="284">
        <v>62</v>
      </c>
      <c r="K155" t="s">
        <v>88</v>
      </c>
    </row>
    <row r="156" spans="1:11">
      <c r="A156" s="2" t="str">
        <f t="shared" si="2"/>
        <v>2661990</v>
      </c>
      <c r="B156" t="s">
        <v>87</v>
      </c>
      <c r="C156">
        <v>266</v>
      </c>
      <c r="D156">
        <v>1160</v>
      </c>
      <c r="E156" t="s">
        <v>88</v>
      </c>
      <c r="F156" s="283">
        <v>1990</v>
      </c>
      <c r="G156" s="284">
        <v>37527</v>
      </c>
      <c r="H156" s="284">
        <v>227242</v>
      </c>
      <c r="I156" s="284">
        <v>2764</v>
      </c>
      <c r="J156" s="284">
        <v>84</v>
      </c>
      <c r="K156" t="s">
        <v>88</v>
      </c>
    </row>
    <row r="157" spans="1:11">
      <c r="A157" s="2" t="str">
        <f t="shared" si="2"/>
        <v>2661991</v>
      </c>
      <c r="B157" t="s">
        <v>87</v>
      </c>
      <c r="C157">
        <v>266</v>
      </c>
      <c r="D157">
        <v>1160</v>
      </c>
      <c r="E157" t="s">
        <v>88</v>
      </c>
      <c r="F157" s="283">
        <v>1991</v>
      </c>
      <c r="G157" s="284">
        <v>38264</v>
      </c>
      <c r="H157" s="284">
        <v>233647</v>
      </c>
      <c r="I157" s="284">
        <v>3694</v>
      </c>
      <c r="J157" s="284">
        <v>111</v>
      </c>
      <c r="K157" t="s">
        <v>88</v>
      </c>
    </row>
    <row r="158" spans="1:11">
      <c r="A158" s="2" t="str">
        <f t="shared" si="2"/>
        <v>2661992</v>
      </c>
      <c r="B158" t="s">
        <v>87</v>
      </c>
      <c r="C158">
        <v>266</v>
      </c>
      <c r="D158">
        <v>1160</v>
      </c>
      <c r="E158" t="s">
        <v>88</v>
      </c>
      <c r="F158" s="283">
        <v>1992</v>
      </c>
      <c r="G158" s="284">
        <v>39038</v>
      </c>
      <c r="H158" s="284">
        <v>240177</v>
      </c>
      <c r="I158" s="284">
        <v>4878</v>
      </c>
      <c r="J158" s="284">
        <v>145</v>
      </c>
      <c r="K158" t="s">
        <v>88</v>
      </c>
    </row>
    <row r="159" spans="1:11">
      <c r="A159" s="2" t="str">
        <f t="shared" si="2"/>
        <v>2661993</v>
      </c>
      <c r="B159" t="s">
        <v>87</v>
      </c>
      <c r="C159">
        <v>266</v>
      </c>
      <c r="D159">
        <v>1160</v>
      </c>
      <c r="E159" t="s">
        <v>88</v>
      </c>
      <c r="F159" s="283">
        <v>1993</v>
      </c>
      <c r="G159" s="284">
        <v>39795</v>
      </c>
      <c r="H159" s="284">
        <v>246890</v>
      </c>
      <c r="I159" s="284">
        <v>6320</v>
      </c>
      <c r="J159" s="284">
        <v>186</v>
      </c>
      <c r="K159" t="s">
        <v>88</v>
      </c>
    </row>
    <row r="160" spans="1:11">
      <c r="A160" s="2" t="str">
        <f t="shared" si="2"/>
        <v>2661994</v>
      </c>
      <c r="B160" t="s">
        <v>87</v>
      </c>
      <c r="C160">
        <v>266</v>
      </c>
      <c r="D160">
        <v>1160</v>
      </c>
      <c r="E160" t="s">
        <v>88</v>
      </c>
      <c r="F160" s="283">
        <v>1994</v>
      </c>
      <c r="G160" s="284">
        <v>40502</v>
      </c>
      <c r="H160" s="284">
        <v>253893</v>
      </c>
      <c r="I160" s="284">
        <v>8048</v>
      </c>
      <c r="J160" s="284">
        <v>235</v>
      </c>
      <c r="K160" t="s">
        <v>88</v>
      </c>
    </row>
    <row r="161" spans="1:11">
      <c r="A161" s="2" t="str">
        <f t="shared" si="2"/>
        <v>2661995</v>
      </c>
      <c r="B161" t="s">
        <v>87</v>
      </c>
      <c r="C161">
        <v>266</v>
      </c>
      <c r="D161">
        <v>1160</v>
      </c>
      <c r="E161" t="s">
        <v>88</v>
      </c>
      <c r="F161" s="283">
        <v>1995</v>
      </c>
      <c r="G161" s="284">
        <v>41181</v>
      </c>
      <c r="H161" s="284">
        <v>261247</v>
      </c>
      <c r="I161" s="284">
        <v>10039</v>
      </c>
      <c r="J161" s="284">
        <v>289</v>
      </c>
      <c r="K161" t="s">
        <v>88</v>
      </c>
    </row>
    <row r="162" spans="1:11">
      <c r="A162" s="2" t="str">
        <f t="shared" si="2"/>
        <v>2661996</v>
      </c>
      <c r="B162" t="s">
        <v>87</v>
      </c>
      <c r="C162">
        <v>266</v>
      </c>
      <c r="D162">
        <v>1160</v>
      </c>
      <c r="E162" t="s">
        <v>88</v>
      </c>
      <c r="F162" s="283">
        <v>1996</v>
      </c>
      <c r="G162" s="284">
        <v>41841</v>
      </c>
      <c r="H162" s="284">
        <v>268999</v>
      </c>
      <c r="I162" s="284">
        <v>12220</v>
      </c>
      <c r="J162" s="284">
        <v>346</v>
      </c>
      <c r="K162" t="s">
        <v>88</v>
      </c>
    </row>
    <row r="163" spans="1:11">
      <c r="A163" s="2" t="str">
        <f t="shared" si="2"/>
        <v>2661997</v>
      </c>
      <c r="B163" t="s">
        <v>87</v>
      </c>
      <c r="C163">
        <v>266</v>
      </c>
      <c r="D163">
        <v>1160</v>
      </c>
      <c r="E163" t="s">
        <v>88</v>
      </c>
      <c r="F163" s="283">
        <v>1997</v>
      </c>
      <c r="G163" s="284">
        <v>42510</v>
      </c>
      <c r="H163" s="284">
        <v>277127</v>
      </c>
      <c r="I163" s="284">
        <v>14520</v>
      </c>
      <c r="J163" s="284">
        <v>404</v>
      </c>
      <c r="K163" t="s">
        <v>88</v>
      </c>
    </row>
    <row r="164" spans="1:11">
      <c r="A164" s="2" t="str">
        <f t="shared" si="2"/>
        <v>2661998</v>
      </c>
      <c r="B164" t="s">
        <v>87</v>
      </c>
      <c r="C164">
        <v>266</v>
      </c>
      <c r="D164">
        <v>1160</v>
      </c>
      <c r="E164" t="s">
        <v>88</v>
      </c>
      <c r="F164" s="283">
        <v>1998</v>
      </c>
      <c r="G164" s="284">
        <v>43150</v>
      </c>
      <c r="H164" s="284">
        <v>285552</v>
      </c>
      <c r="I164" s="284">
        <v>16844</v>
      </c>
      <c r="J164" s="284">
        <v>461</v>
      </c>
      <c r="K164" t="s">
        <v>88</v>
      </c>
    </row>
    <row r="165" spans="1:11">
      <c r="A165" s="2" t="str">
        <f t="shared" si="2"/>
        <v>2661999</v>
      </c>
      <c r="B165" t="s">
        <v>87</v>
      </c>
      <c r="C165">
        <v>266</v>
      </c>
      <c r="D165">
        <v>1160</v>
      </c>
      <c r="E165" t="s">
        <v>88</v>
      </c>
      <c r="F165" s="283">
        <v>1999</v>
      </c>
      <c r="G165" s="284">
        <v>43691</v>
      </c>
      <c r="H165" s="284">
        <v>294201</v>
      </c>
      <c r="I165" s="284">
        <v>19085</v>
      </c>
      <c r="J165" s="284">
        <v>513</v>
      </c>
      <c r="K165" t="s">
        <v>88</v>
      </c>
    </row>
    <row r="166" spans="1:11">
      <c r="A166" s="2" t="str">
        <f t="shared" si="2"/>
        <v>2662000</v>
      </c>
      <c r="B166" t="s">
        <v>87</v>
      </c>
      <c r="C166">
        <v>266</v>
      </c>
      <c r="D166">
        <v>1160</v>
      </c>
      <c r="E166" t="s">
        <v>88</v>
      </c>
      <c r="F166" s="283">
        <v>2000</v>
      </c>
      <c r="G166" s="284">
        <v>44189</v>
      </c>
      <c r="H166" s="284">
        <v>303013</v>
      </c>
      <c r="I166" s="284">
        <v>21141</v>
      </c>
      <c r="J166" s="284">
        <v>559</v>
      </c>
      <c r="K166" t="s">
        <v>88</v>
      </c>
    </row>
    <row r="167" spans="1:11">
      <c r="A167" s="2" t="str">
        <f t="shared" si="2"/>
        <v>2662001</v>
      </c>
      <c r="B167" t="s">
        <v>87</v>
      </c>
      <c r="C167">
        <v>266</v>
      </c>
      <c r="D167">
        <v>1160</v>
      </c>
      <c r="E167" t="s">
        <v>88</v>
      </c>
      <c r="F167" s="283">
        <v>2001</v>
      </c>
      <c r="G167" s="284">
        <v>44690</v>
      </c>
      <c r="H167" s="284">
        <v>312034</v>
      </c>
      <c r="I167" s="284">
        <v>22928</v>
      </c>
      <c r="J167" s="284">
        <v>596</v>
      </c>
      <c r="K167" t="s">
        <v>88</v>
      </c>
    </row>
    <row r="168" spans="1:11">
      <c r="A168" s="2" t="str">
        <f t="shared" si="2"/>
        <v>2662002</v>
      </c>
      <c r="B168" t="s">
        <v>87</v>
      </c>
      <c r="C168">
        <v>266</v>
      </c>
      <c r="D168">
        <v>1160</v>
      </c>
      <c r="E168" t="s">
        <v>88</v>
      </c>
      <c r="F168" s="283">
        <v>2002</v>
      </c>
      <c r="G168" s="284">
        <v>45304</v>
      </c>
      <c r="H168" s="284">
        <v>321344</v>
      </c>
      <c r="I168" s="284">
        <v>24373</v>
      </c>
      <c r="J168" s="284">
        <v>624</v>
      </c>
      <c r="K168" t="s">
        <v>88</v>
      </c>
    </row>
    <row r="169" spans="1:11">
      <c r="A169" s="2" t="str">
        <f t="shared" si="2"/>
        <v>2662003</v>
      </c>
      <c r="B169" t="s">
        <v>87</v>
      </c>
      <c r="C169">
        <v>266</v>
      </c>
      <c r="D169">
        <v>1160</v>
      </c>
      <c r="E169" t="s">
        <v>88</v>
      </c>
      <c r="F169" s="283">
        <v>2003</v>
      </c>
      <c r="G169" s="284">
        <v>46086</v>
      </c>
      <c r="H169" s="284">
        <v>330929</v>
      </c>
      <c r="I169" s="284">
        <v>25490</v>
      </c>
      <c r="J169" s="284">
        <v>643</v>
      </c>
      <c r="K169" t="s">
        <v>88</v>
      </c>
    </row>
    <row r="170" spans="1:11">
      <c r="A170" s="2" t="str">
        <f t="shared" si="2"/>
        <v>2662004</v>
      </c>
      <c r="B170" t="s">
        <v>87</v>
      </c>
      <c r="C170">
        <v>266</v>
      </c>
      <c r="D170">
        <v>1160</v>
      </c>
      <c r="E170" t="s">
        <v>88</v>
      </c>
      <c r="F170" s="283">
        <v>2004</v>
      </c>
      <c r="G170" s="284">
        <v>46950</v>
      </c>
      <c r="H170" s="284">
        <v>340750</v>
      </c>
      <c r="I170" s="284">
        <v>26294</v>
      </c>
      <c r="J170" s="284">
        <v>650</v>
      </c>
      <c r="K170" t="s">
        <v>88</v>
      </c>
    </row>
    <row r="171" spans="1:11">
      <c r="A171" s="2" t="str">
        <f t="shared" si="2"/>
        <v>2662005</v>
      </c>
      <c r="B171" t="s">
        <v>87</v>
      </c>
      <c r="C171">
        <v>266</v>
      </c>
      <c r="D171">
        <v>1160</v>
      </c>
      <c r="E171" t="s">
        <v>88</v>
      </c>
      <c r="F171" s="283">
        <v>2005</v>
      </c>
      <c r="G171" s="284">
        <v>47868</v>
      </c>
      <c r="H171" s="284">
        <v>350933</v>
      </c>
      <c r="I171" s="284">
        <v>26884</v>
      </c>
      <c r="J171" s="284">
        <v>653</v>
      </c>
      <c r="K171" t="s">
        <v>88</v>
      </c>
    </row>
    <row r="172" spans="1:11">
      <c r="A172" s="2" t="str">
        <f t="shared" si="2"/>
        <v>2662006</v>
      </c>
      <c r="B172" t="s">
        <v>87</v>
      </c>
      <c r="C172">
        <v>266</v>
      </c>
      <c r="D172">
        <v>1160</v>
      </c>
      <c r="E172" t="s">
        <v>88</v>
      </c>
      <c r="F172" s="283">
        <v>2006</v>
      </c>
      <c r="G172" s="284">
        <v>48763</v>
      </c>
      <c r="H172" s="284">
        <v>361502</v>
      </c>
      <c r="I172" s="284">
        <v>27297</v>
      </c>
      <c r="J172" s="284">
        <v>653</v>
      </c>
      <c r="K172" t="s">
        <v>88</v>
      </c>
    </row>
    <row r="173" spans="1:11">
      <c r="A173" s="2" t="str">
        <f t="shared" si="2"/>
        <v>2662007</v>
      </c>
      <c r="B173" t="s">
        <v>87</v>
      </c>
      <c r="C173">
        <v>266</v>
      </c>
      <c r="D173">
        <v>1160</v>
      </c>
      <c r="E173" t="s">
        <v>88</v>
      </c>
      <c r="F173" s="283">
        <v>2007</v>
      </c>
      <c r="G173" s="284">
        <v>49631</v>
      </c>
      <c r="H173" s="284">
        <v>372205</v>
      </c>
      <c r="I173" s="284">
        <v>27302</v>
      </c>
      <c r="J173" s="284">
        <v>605</v>
      </c>
      <c r="K173" t="s">
        <v>88</v>
      </c>
    </row>
    <row r="174" spans="1:11">
      <c r="A174" s="2" t="str">
        <f t="shared" si="2"/>
        <v>2662008</v>
      </c>
      <c r="B174" t="s">
        <v>87</v>
      </c>
      <c r="C174">
        <v>266</v>
      </c>
      <c r="D174">
        <v>1160</v>
      </c>
      <c r="E174" t="s">
        <v>88</v>
      </c>
      <c r="F174" s="283">
        <v>2008</v>
      </c>
      <c r="G174" s="284">
        <v>50548</v>
      </c>
      <c r="H174" s="284">
        <v>383009</v>
      </c>
      <c r="I174" s="284">
        <v>27063</v>
      </c>
      <c r="J174" s="284">
        <v>557</v>
      </c>
      <c r="K174" t="s">
        <v>88</v>
      </c>
    </row>
    <row r="175" spans="1:11">
      <c r="A175" s="2" t="str">
        <f t="shared" si="2"/>
        <v>2662009</v>
      </c>
      <c r="B175" t="s">
        <v>87</v>
      </c>
      <c r="C175">
        <v>266</v>
      </c>
      <c r="D175">
        <v>1160</v>
      </c>
      <c r="E175" t="s">
        <v>88</v>
      </c>
      <c r="F175" s="283">
        <v>2009</v>
      </c>
      <c r="G175" s="284">
        <v>51524</v>
      </c>
      <c r="H175" s="284">
        <v>393932</v>
      </c>
      <c r="I175" s="284">
        <v>26646</v>
      </c>
      <c r="J175" s="284">
        <v>520</v>
      </c>
      <c r="K175" t="s">
        <v>88</v>
      </c>
    </row>
    <row r="176" spans="1:11">
      <c r="A176" s="2" t="str">
        <f t="shared" si="2"/>
        <v>2662010</v>
      </c>
      <c r="B176" t="s">
        <v>87</v>
      </c>
      <c r="C176">
        <v>266</v>
      </c>
      <c r="D176">
        <v>1160</v>
      </c>
      <c r="E176" t="s">
        <v>88</v>
      </c>
      <c r="F176" s="283">
        <v>2010</v>
      </c>
      <c r="G176" s="284">
        <v>52504</v>
      </c>
      <c r="H176" s="284">
        <v>405037</v>
      </c>
      <c r="I176" s="284">
        <v>26102</v>
      </c>
      <c r="J176" s="284">
        <v>484</v>
      </c>
      <c r="K176" t="s">
        <v>88</v>
      </c>
    </row>
    <row r="177" spans="1:11">
      <c r="A177" s="2" t="str">
        <f t="shared" si="2"/>
        <v>2662011</v>
      </c>
      <c r="B177" t="s">
        <v>87</v>
      </c>
      <c r="C177">
        <v>266</v>
      </c>
      <c r="D177">
        <v>1160</v>
      </c>
      <c r="E177" t="s">
        <v>88</v>
      </c>
      <c r="F177" s="283">
        <v>2011</v>
      </c>
      <c r="G177" s="284">
        <v>53382</v>
      </c>
      <c r="H177" s="284">
        <v>416274</v>
      </c>
      <c r="I177" s="284">
        <v>25494</v>
      </c>
      <c r="J177" s="284">
        <v>426</v>
      </c>
      <c r="K177" t="s">
        <v>88</v>
      </c>
    </row>
    <row r="178" spans="1:11">
      <c r="A178" s="2" t="str">
        <f t="shared" si="2"/>
        <v>2662012</v>
      </c>
      <c r="B178" t="s">
        <v>87</v>
      </c>
      <c r="C178">
        <v>266</v>
      </c>
      <c r="D178">
        <v>1160</v>
      </c>
      <c r="E178" t="s">
        <v>88</v>
      </c>
      <c r="F178" s="283">
        <v>2012</v>
      </c>
      <c r="G178" s="284">
        <v>54105</v>
      </c>
      <c r="H178" s="284">
        <v>427758</v>
      </c>
      <c r="I178" s="284">
        <v>24958</v>
      </c>
      <c r="J178" s="284">
        <v>350</v>
      </c>
      <c r="K178" t="s">
        <v>88</v>
      </c>
    </row>
    <row r="179" spans="1:11">
      <c r="A179" s="2" t="str">
        <f t="shared" si="2"/>
        <v>2662013</v>
      </c>
      <c r="B179" t="s">
        <v>87</v>
      </c>
      <c r="C179">
        <v>266</v>
      </c>
      <c r="D179">
        <v>1160</v>
      </c>
      <c r="E179" t="s">
        <v>88</v>
      </c>
      <c r="F179" s="283">
        <v>2013</v>
      </c>
      <c r="G179" s="284">
        <v>54635</v>
      </c>
      <c r="H179" s="284">
        <v>439688</v>
      </c>
      <c r="I179" s="284">
        <v>24714</v>
      </c>
      <c r="J179" s="284">
        <v>243</v>
      </c>
      <c r="K179" t="s">
        <v>88</v>
      </c>
    </row>
    <row r="180" spans="1:11">
      <c r="A180" s="2" t="str">
        <f t="shared" si="2"/>
        <v>2662014</v>
      </c>
      <c r="B180" t="s">
        <v>87</v>
      </c>
      <c r="C180">
        <v>266</v>
      </c>
      <c r="D180">
        <v>1160</v>
      </c>
      <c r="E180" t="s">
        <v>88</v>
      </c>
      <c r="F180" s="283">
        <v>2014</v>
      </c>
      <c r="G180" s="284">
        <v>54952</v>
      </c>
      <c r="H180" s="284">
        <v>451851</v>
      </c>
      <c r="I180" s="284">
        <v>24602</v>
      </c>
      <c r="J180" s="284">
        <v>222</v>
      </c>
      <c r="K180" t="s">
        <v>88</v>
      </c>
    </row>
    <row r="181" spans="1:11">
      <c r="A181" s="2" t="str">
        <f t="shared" si="2"/>
        <v>2662015</v>
      </c>
      <c r="B181" t="s">
        <v>87</v>
      </c>
      <c r="C181">
        <v>266</v>
      </c>
      <c r="D181">
        <v>1160</v>
      </c>
      <c r="E181" t="s">
        <v>88</v>
      </c>
      <c r="F181" s="283">
        <v>2015</v>
      </c>
      <c r="G181" s="284">
        <v>55142</v>
      </c>
      <c r="H181" s="284">
        <v>463953</v>
      </c>
      <c r="I181" s="284">
        <v>24408</v>
      </c>
      <c r="J181" s="284">
        <v>153</v>
      </c>
      <c r="K181" t="s">
        <v>88</v>
      </c>
    </row>
    <row r="182" spans="1:11">
      <c r="A182" s="2" t="str">
        <f t="shared" si="2"/>
        <v>4041980</v>
      </c>
      <c r="B182" t="s">
        <v>89</v>
      </c>
      <c r="C182">
        <v>404</v>
      </c>
      <c r="D182">
        <v>1220</v>
      </c>
      <c r="E182" t="s">
        <v>90</v>
      </c>
      <c r="F182" s="283">
        <v>1980</v>
      </c>
      <c r="G182" s="284">
        <v>700317</v>
      </c>
      <c r="H182" s="284">
        <v>3421610</v>
      </c>
      <c r="I182" s="284">
        <v>3889.56</v>
      </c>
      <c r="J182" s="284">
        <v>209.178</v>
      </c>
      <c r="K182" t="s">
        <v>90</v>
      </c>
    </row>
    <row r="183" spans="1:11">
      <c r="A183" s="2" t="str">
        <f t="shared" si="2"/>
        <v>4041981</v>
      </c>
      <c r="B183" t="s">
        <v>89</v>
      </c>
      <c r="C183">
        <v>404</v>
      </c>
      <c r="D183">
        <v>1220</v>
      </c>
      <c r="E183" t="s">
        <v>90</v>
      </c>
      <c r="F183" s="283">
        <v>1981</v>
      </c>
      <c r="G183" s="284">
        <v>724929</v>
      </c>
      <c r="H183" s="284">
        <v>3574250</v>
      </c>
      <c r="I183" s="284">
        <v>6572.2</v>
      </c>
      <c r="J183" s="284">
        <v>348.46800000000002</v>
      </c>
      <c r="K183" t="s">
        <v>90</v>
      </c>
    </row>
    <row r="184" spans="1:11">
      <c r="A184" s="2" t="str">
        <f t="shared" si="2"/>
        <v>4041982</v>
      </c>
      <c r="B184" t="s">
        <v>89</v>
      </c>
      <c r="C184">
        <v>404</v>
      </c>
      <c r="D184">
        <v>1220</v>
      </c>
      <c r="E184" t="s">
        <v>90</v>
      </c>
      <c r="F184" s="283">
        <v>1982</v>
      </c>
      <c r="G184" s="284">
        <v>749361</v>
      </c>
      <c r="H184" s="284">
        <v>3725370</v>
      </c>
      <c r="I184" s="284">
        <v>10941.9</v>
      </c>
      <c r="J184" s="284">
        <v>573.26499999999999</v>
      </c>
      <c r="K184" t="s">
        <v>90</v>
      </c>
    </row>
    <row r="185" spans="1:11">
      <c r="A185" s="2" t="str">
        <f t="shared" si="2"/>
        <v>4041983</v>
      </c>
      <c r="B185" t="s">
        <v>89</v>
      </c>
      <c r="C185">
        <v>404</v>
      </c>
      <c r="D185">
        <v>1220</v>
      </c>
      <c r="E185" t="s">
        <v>90</v>
      </c>
      <c r="F185" s="283">
        <v>1983</v>
      </c>
      <c r="G185" s="284">
        <v>773080</v>
      </c>
      <c r="H185" s="284">
        <v>3875420</v>
      </c>
      <c r="I185" s="284">
        <v>17826</v>
      </c>
      <c r="J185" s="284">
        <v>922.17</v>
      </c>
      <c r="K185" t="s">
        <v>90</v>
      </c>
    </row>
    <row r="186" spans="1:11">
      <c r="A186" s="2" t="str">
        <f t="shared" si="2"/>
        <v>4041984</v>
      </c>
      <c r="B186" t="s">
        <v>89</v>
      </c>
      <c r="C186">
        <v>404</v>
      </c>
      <c r="D186">
        <v>1220</v>
      </c>
      <c r="E186" t="s">
        <v>90</v>
      </c>
      <c r="F186" s="283">
        <v>1984</v>
      </c>
      <c r="G186" s="284">
        <v>794784</v>
      </c>
      <c r="H186" s="284">
        <v>4024740</v>
      </c>
      <c r="I186" s="284">
        <v>31660</v>
      </c>
      <c r="J186" s="284">
        <v>1602.76</v>
      </c>
      <c r="K186" t="s">
        <v>90</v>
      </c>
    </row>
    <row r="187" spans="1:11">
      <c r="A187" s="2" t="str">
        <f t="shared" si="2"/>
        <v>4041985</v>
      </c>
      <c r="B187" t="s">
        <v>89</v>
      </c>
      <c r="C187">
        <v>404</v>
      </c>
      <c r="D187">
        <v>1220</v>
      </c>
      <c r="E187" t="s">
        <v>90</v>
      </c>
      <c r="F187" s="283">
        <v>1985</v>
      </c>
      <c r="G187" s="284">
        <v>815267</v>
      </c>
      <c r="H187" s="284">
        <v>4174100</v>
      </c>
      <c r="I187" s="284">
        <v>52179</v>
      </c>
      <c r="J187" s="284">
        <v>2564</v>
      </c>
      <c r="K187" t="s">
        <v>90</v>
      </c>
    </row>
    <row r="188" spans="1:11">
      <c r="A188" s="2" t="str">
        <f t="shared" si="2"/>
        <v>4041986</v>
      </c>
      <c r="B188" t="s">
        <v>89</v>
      </c>
      <c r="C188">
        <v>404</v>
      </c>
      <c r="D188">
        <v>1220</v>
      </c>
      <c r="E188" t="s">
        <v>90</v>
      </c>
      <c r="F188" s="283">
        <v>1986</v>
      </c>
      <c r="G188" s="284">
        <v>835612</v>
      </c>
      <c r="H188" s="284">
        <v>4318890</v>
      </c>
      <c r="I188" s="284">
        <v>81579</v>
      </c>
      <c r="J188" s="284">
        <v>3928</v>
      </c>
      <c r="K188" t="s">
        <v>90</v>
      </c>
    </row>
    <row r="189" spans="1:11">
      <c r="A189" s="2" t="str">
        <f t="shared" si="2"/>
        <v>4041987</v>
      </c>
      <c r="B189" t="s">
        <v>89</v>
      </c>
      <c r="C189">
        <v>404</v>
      </c>
      <c r="D189">
        <v>1220</v>
      </c>
      <c r="E189" t="s">
        <v>90</v>
      </c>
      <c r="F189" s="283">
        <v>1987</v>
      </c>
      <c r="G189" s="284">
        <v>855466</v>
      </c>
      <c r="H189" s="284">
        <v>4470800</v>
      </c>
      <c r="I189" s="284">
        <v>122437</v>
      </c>
      <c r="J189" s="284">
        <v>5805</v>
      </c>
      <c r="K189" t="s">
        <v>90</v>
      </c>
    </row>
    <row r="190" spans="1:11">
      <c r="A190" s="2" t="str">
        <f t="shared" si="2"/>
        <v>4041988</v>
      </c>
      <c r="B190" t="s">
        <v>89</v>
      </c>
      <c r="C190">
        <v>404</v>
      </c>
      <c r="D190">
        <v>1220</v>
      </c>
      <c r="E190" t="s">
        <v>90</v>
      </c>
      <c r="F190" s="283">
        <v>1988</v>
      </c>
      <c r="G190" s="284">
        <v>873013</v>
      </c>
      <c r="H190" s="284">
        <v>4630210</v>
      </c>
      <c r="I190" s="284">
        <v>177643</v>
      </c>
      <c r="J190" s="284">
        <v>8309</v>
      </c>
      <c r="K190" t="s">
        <v>90</v>
      </c>
    </row>
    <row r="191" spans="1:11">
      <c r="A191" s="2" t="str">
        <f t="shared" si="2"/>
        <v>4041989</v>
      </c>
      <c r="B191" t="s">
        <v>89</v>
      </c>
      <c r="C191">
        <v>404</v>
      </c>
      <c r="D191">
        <v>1220</v>
      </c>
      <c r="E191" t="s">
        <v>90</v>
      </c>
      <c r="F191" s="283">
        <v>1989</v>
      </c>
      <c r="G191" s="284">
        <v>886319</v>
      </c>
      <c r="H191" s="284">
        <v>4797490</v>
      </c>
      <c r="I191" s="284">
        <v>248609</v>
      </c>
      <c r="J191" s="284">
        <v>11406</v>
      </c>
      <c r="K191" t="s">
        <v>90</v>
      </c>
    </row>
    <row r="192" spans="1:11">
      <c r="A192" s="2" t="str">
        <f t="shared" si="2"/>
        <v>4041990</v>
      </c>
      <c r="B192" t="s">
        <v>89</v>
      </c>
      <c r="C192">
        <v>404</v>
      </c>
      <c r="D192">
        <v>1220</v>
      </c>
      <c r="E192" t="s">
        <v>90</v>
      </c>
      <c r="F192" s="283">
        <v>1990</v>
      </c>
      <c r="G192" s="284">
        <v>897235</v>
      </c>
      <c r="H192" s="284">
        <v>4972660</v>
      </c>
      <c r="I192" s="284">
        <v>335864</v>
      </c>
      <c r="J192" s="284">
        <v>15077</v>
      </c>
      <c r="K192" t="s">
        <v>90</v>
      </c>
    </row>
    <row r="193" spans="1:11">
      <c r="A193" s="2" t="str">
        <f t="shared" si="2"/>
        <v>4041991</v>
      </c>
      <c r="B193" t="s">
        <v>89</v>
      </c>
      <c r="C193">
        <v>404</v>
      </c>
      <c r="D193">
        <v>1220</v>
      </c>
      <c r="E193" t="s">
        <v>90</v>
      </c>
      <c r="F193" s="283">
        <v>1991</v>
      </c>
      <c r="G193" s="284">
        <v>906732</v>
      </c>
      <c r="H193" s="284">
        <v>5155250</v>
      </c>
      <c r="I193" s="284">
        <v>434966</v>
      </c>
      <c r="J193" s="284">
        <v>18989</v>
      </c>
      <c r="K193" t="s">
        <v>90</v>
      </c>
    </row>
    <row r="194" spans="1:11">
      <c r="A194" s="2" t="str">
        <f t="shared" si="2"/>
        <v>4041992</v>
      </c>
      <c r="B194" t="s">
        <v>89</v>
      </c>
      <c r="C194">
        <v>404</v>
      </c>
      <c r="D194">
        <v>1220</v>
      </c>
      <c r="E194" t="s">
        <v>90</v>
      </c>
      <c r="F194" s="283">
        <v>1992</v>
      </c>
      <c r="G194" s="284">
        <v>919337</v>
      </c>
      <c r="H194" s="284">
        <v>5344550</v>
      </c>
      <c r="I194" s="284">
        <v>540372</v>
      </c>
      <c r="J194" s="284">
        <v>23012</v>
      </c>
      <c r="K194" t="s">
        <v>90</v>
      </c>
    </row>
    <row r="195" spans="1:11">
      <c r="A195" s="2" t="str">
        <f t="shared" si="2"/>
        <v>4041993</v>
      </c>
      <c r="B195" t="s">
        <v>89</v>
      </c>
      <c r="C195">
        <v>404</v>
      </c>
      <c r="D195">
        <v>1220</v>
      </c>
      <c r="E195" t="s">
        <v>90</v>
      </c>
      <c r="F195" s="283">
        <v>1993</v>
      </c>
      <c r="G195" s="284">
        <v>936160</v>
      </c>
      <c r="H195" s="284">
        <v>5538950</v>
      </c>
      <c r="I195" s="284">
        <v>643537</v>
      </c>
      <c r="J195" s="284">
        <v>26880</v>
      </c>
      <c r="K195" t="s">
        <v>90</v>
      </c>
    </row>
    <row r="196" spans="1:11">
      <c r="A196" s="2" t="str">
        <f t="shared" si="2"/>
        <v>4041994</v>
      </c>
      <c r="B196" t="s">
        <v>89</v>
      </c>
      <c r="C196">
        <v>404</v>
      </c>
      <c r="D196">
        <v>1220</v>
      </c>
      <c r="E196" t="s">
        <v>90</v>
      </c>
      <c r="F196" s="283">
        <v>1994</v>
      </c>
      <c r="G196" s="284">
        <v>955959</v>
      </c>
      <c r="H196" s="284">
        <v>5736090</v>
      </c>
      <c r="I196" s="284">
        <v>735359</v>
      </c>
      <c r="J196" s="284">
        <v>30311</v>
      </c>
      <c r="K196" t="s">
        <v>90</v>
      </c>
    </row>
    <row r="197" spans="1:11">
      <c r="A197" s="2" t="str">
        <f t="shared" si="2"/>
        <v>4041995</v>
      </c>
      <c r="B197" t="s">
        <v>89</v>
      </c>
      <c r="C197">
        <v>404</v>
      </c>
      <c r="D197">
        <v>1220</v>
      </c>
      <c r="E197" t="s">
        <v>90</v>
      </c>
      <c r="F197" s="283">
        <v>1995</v>
      </c>
      <c r="G197" s="284">
        <v>976656</v>
      </c>
      <c r="H197" s="284">
        <v>5934350</v>
      </c>
      <c r="I197" s="284">
        <v>808069</v>
      </c>
      <c r="J197" s="284">
        <v>32990</v>
      </c>
      <c r="K197" t="s">
        <v>90</v>
      </c>
    </row>
    <row r="198" spans="1:11">
      <c r="A198" s="2" t="str">
        <f t="shared" si="2"/>
        <v>4041996</v>
      </c>
      <c r="B198" t="s">
        <v>89</v>
      </c>
      <c r="C198">
        <v>404</v>
      </c>
      <c r="D198">
        <v>1220</v>
      </c>
      <c r="E198" t="s">
        <v>90</v>
      </c>
      <c r="F198" s="283">
        <v>1996</v>
      </c>
      <c r="G198" s="284">
        <v>997945</v>
      </c>
      <c r="H198" s="284">
        <v>6133780</v>
      </c>
      <c r="I198" s="284">
        <v>856527</v>
      </c>
      <c r="J198" s="284">
        <v>34706</v>
      </c>
      <c r="K198" t="s">
        <v>90</v>
      </c>
    </row>
    <row r="199" spans="1:11">
      <c r="A199" s="2" t="str">
        <f t="shared" si="2"/>
        <v>4041997</v>
      </c>
      <c r="B199" t="s">
        <v>89</v>
      </c>
      <c r="C199">
        <v>404</v>
      </c>
      <c r="D199">
        <v>1220</v>
      </c>
      <c r="E199" t="s">
        <v>90</v>
      </c>
      <c r="F199" s="283">
        <v>1997</v>
      </c>
      <c r="G199" s="284">
        <v>1020760</v>
      </c>
      <c r="H199" s="284">
        <v>6334090</v>
      </c>
      <c r="I199" s="284">
        <v>878811</v>
      </c>
      <c r="J199" s="284">
        <v>35412</v>
      </c>
      <c r="K199" t="s">
        <v>90</v>
      </c>
    </row>
    <row r="200" spans="1:11">
      <c r="A200" s="2" t="str">
        <f t="shared" ref="A200:A265" si="3">C200&amp;F200</f>
        <v>4041998</v>
      </c>
      <c r="B200" t="s">
        <v>89</v>
      </c>
      <c r="C200">
        <v>404</v>
      </c>
      <c r="D200">
        <v>1220</v>
      </c>
      <c r="E200" t="s">
        <v>90</v>
      </c>
      <c r="F200" s="283">
        <v>1998</v>
      </c>
      <c r="G200" s="284">
        <v>1044090</v>
      </c>
      <c r="H200" s="284">
        <v>6534620</v>
      </c>
      <c r="I200" s="284">
        <v>877618</v>
      </c>
      <c r="J200" s="284">
        <v>35185</v>
      </c>
      <c r="K200" t="s">
        <v>90</v>
      </c>
    </row>
    <row r="201" spans="1:11">
      <c r="A201" s="2" t="str">
        <f t="shared" si="3"/>
        <v>4041999</v>
      </c>
      <c r="B201" t="s">
        <v>89</v>
      </c>
      <c r="C201">
        <v>404</v>
      </c>
      <c r="D201">
        <v>1220</v>
      </c>
      <c r="E201" t="s">
        <v>90</v>
      </c>
      <c r="F201" s="283">
        <v>1999</v>
      </c>
      <c r="G201" s="284">
        <v>1068620</v>
      </c>
      <c r="H201" s="284">
        <v>6734220</v>
      </c>
      <c r="I201" s="284">
        <v>857832</v>
      </c>
      <c r="J201" s="284">
        <v>34264</v>
      </c>
      <c r="K201" t="s">
        <v>90</v>
      </c>
    </row>
    <row r="202" spans="1:11">
      <c r="A202" s="2" t="str">
        <f t="shared" si="3"/>
        <v>4042000</v>
      </c>
      <c r="B202" t="s">
        <v>89</v>
      </c>
      <c r="C202">
        <v>404</v>
      </c>
      <c r="D202">
        <v>1220</v>
      </c>
      <c r="E202" t="s">
        <v>90</v>
      </c>
      <c r="F202" s="283">
        <v>2000</v>
      </c>
      <c r="G202" s="284">
        <v>1094940</v>
      </c>
      <c r="H202" s="284">
        <v>6941370</v>
      </c>
      <c r="I202" s="284">
        <v>826134</v>
      </c>
      <c r="J202" s="284">
        <v>32797</v>
      </c>
      <c r="K202" t="s">
        <v>90</v>
      </c>
    </row>
    <row r="203" spans="1:11">
      <c r="A203" s="2" t="str">
        <f t="shared" si="3"/>
        <v>4042001</v>
      </c>
      <c r="B203" t="s">
        <v>89</v>
      </c>
      <c r="C203">
        <v>404</v>
      </c>
      <c r="D203">
        <v>1220</v>
      </c>
      <c r="E203" t="s">
        <v>90</v>
      </c>
      <c r="F203" s="283">
        <v>2001</v>
      </c>
      <c r="G203" s="284">
        <v>1121610</v>
      </c>
      <c r="H203" s="284">
        <v>7150790</v>
      </c>
      <c r="I203" s="284">
        <v>787915</v>
      </c>
      <c r="J203" s="284">
        <v>30992</v>
      </c>
      <c r="K203" t="s">
        <v>90</v>
      </c>
    </row>
    <row r="204" spans="1:11">
      <c r="A204" s="2" t="str">
        <f t="shared" si="3"/>
        <v>4042002</v>
      </c>
      <c r="B204" t="s">
        <v>89</v>
      </c>
      <c r="C204">
        <v>404</v>
      </c>
      <c r="D204">
        <v>1220</v>
      </c>
      <c r="E204" t="s">
        <v>90</v>
      </c>
      <c r="F204" s="283">
        <v>2002</v>
      </c>
      <c r="G204" s="284">
        <v>1148180</v>
      </c>
      <c r="H204" s="284">
        <v>7363190</v>
      </c>
      <c r="I204" s="284">
        <v>746363</v>
      </c>
      <c r="J204" s="284">
        <v>28900</v>
      </c>
      <c r="K204" t="s">
        <v>90</v>
      </c>
    </row>
    <row r="205" spans="1:11">
      <c r="A205" s="2" t="str">
        <f t="shared" si="3"/>
        <v>4042003</v>
      </c>
      <c r="B205" t="s">
        <v>89</v>
      </c>
      <c r="C205">
        <v>404</v>
      </c>
      <c r="D205">
        <v>1220</v>
      </c>
      <c r="E205" t="s">
        <v>90</v>
      </c>
      <c r="F205" s="283">
        <v>2003</v>
      </c>
      <c r="G205" s="284">
        <v>1175230</v>
      </c>
      <c r="H205" s="284">
        <v>7578790</v>
      </c>
      <c r="I205" s="284">
        <v>705740</v>
      </c>
      <c r="J205" s="284">
        <v>26757</v>
      </c>
      <c r="K205" t="s">
        <v>90</v>
      </c>
    </row>
    <row r="206" spans="1:11">
      <c r="A206" s="2" t="str">
        <f t="shared" si="3"/>
        <v>4042004</v>
      </c>
      <c r="B206" t="s">
        <v>89</v>
      </c>
      <c r="C206">
        <v>404</v>
      </c>
      <c r="D206">
        <v>1220</v>
      </c>
      <c r="E206" t="s">
        <v>90</v>
      </c>
      <c r="F206" s="283">
        <v>2004</v>
      </c>
      <c r="G206" s="284">
        <v>1196280</v>
      </c>
      <c r="H206" s="284">
        <v>7797780</v>
      </c>
      <c r="I206" s="284">
        <v>668577</v>
      </c>
      <c r="J206" s="284">
        <v>24235</v>
      </c>
      <c r="K206" t="s">
        <v>90</v>
      </c>
    </row>
    <row r="207" spans="1:11">
      <c r="A207" s="2" t="str">
        <f t="shared" si="3"/>
        <v>4042005</v>
      </c>
      <c r="B207" t="s">
        <v>89</v>
      </c>
      <c r="C207">
        <v>404</v>
      </c>
      <c r="D207">
        <v>1220</v>
      </c>
      <c r="E207" t="s">
        <v>90</v>
      </c>
      <c r="F207" s="283">
        <v>2005</v>
      </c>
      <c r="G207" s="284">
        <v>1217090</v>
      </c>
      <c r="H207" s="284">
        <v>8023680</v>
      </c>
      <c r="I207" s="284">
        <v>640384</v>
      </c>
      <c r="J207" s="284">
        <v>20575</v>
      </c>
      <c r="K207" t="s">
        <v>90</v>
      </c>
    </row>
    <row r="208" spans="1:11">
      <c r="A208" s="2" t="str">
        <f t="shared" si="3"/>
        <v>4042006</v>
      </c>
      <c r="B208" t="s">
        <v>89</v>
      </c>
      <c r="C208">
        <v>404</v>
      </c>
      <c r="D208">
        <v>1220</v>
      </c>
      <c r="E208" t="s">
        <v>90</v>
      </c>
      <c r="F208" s="283">
        <v>2006</v>
      </c>
      <c r="G208" s="284">
        <v>1238410</v>
      </c>
      <c r="H208" s="284">
        <v>8256410</v>
      </c>
      <c r="I208" s="284">
        <v>623234</v>
      </c>
      <c r="J208" s="284">
        <v>17643</v>
      </c>
      <c r="K208" t="s">
        <v>90</v>
      </c>
    </row>
    <row r="209" spans="1:11">
      <c r="A209" s="2" t="str">
        <f t="shared" si="3"/>
        <v>4042007</v>
      </c>
      <c r="B209" t="s">
        <v>89</v>
      </c>
      <c r="C209">
        <v>404</v>
      </c>
      <c r="D209">
        <v>1220</v>
      </c>
      <c r="E209" t="s">
        <v>90</v>
      </c>
      <c r="F209" s="283">
        <v>2007</v>
      </c>
      <c r="G209" s="284">
        <v>1259820</v>
      </c>
      <c r="H209" s="284">
        <v>8498790</v>
      </c>
      <c r="I209" s="284">
        <v>621101</v>
      </c>
      <c r="J209" s="284">
        <v>15633</v>
      </c>
      <c r="K209" t="s">
        <v>90</v>
      </c>
    </row>
    <row r="210" spans="1:11">
      <c r="A210" s="2" t="str">
        <f t="shared" si="3"/>
        <v>4042008</v>
      </c>
      <c r="B210" t="s">
        <v>89</v>
      </c>
      <c r="C210">
        <v>404</v>
      </c>
      <c r="D210">
        <v>1220</v>
      </c>
      <c r="E210" t="s">
        <v>90</v>
      </c>
      <c r="F210" s="283">
        <v>2008</v>
      </c>
      <c r="G210" s="284">
        <v>1281200</v>
      </c>
      <c r="H210" s="284">
        <v>8748100</v>
      </c>
      <c r="I210" s="284">
        <v>625186</v>
      </c>
      <c r="J210" s="284">
        <v>11419</v>
      </c>
      <c r="K210" t="s">
        <v>90</v>
      </c>
    </row>
    <row r="211" spans="1:11">
      <c r="A211" s="2" t="str">
        <f t="shared" si="3"/>
        <v>4042009</v>
      </c>
      <c r="B211" t="s">
        <v>89</v>
      </c>
      <c r="C211">
        <v>404</v>
      </c>
      <c r="D211">
        <v>1220</v>
      </c>
      <c r="E211" t="s">
        <v>90</v>
      </c>
      <c r="F211" s="283">
        <v>2009</v>
      </c>
      <c r="G211" s="284">
        <v>1302950</v>
      </c>
      <c r="H211" s="284">
        <v>9006410</v>
      </c>
      <c r="I211" s="284">
        <v>636605</v>
      </c>
      <c r="J211" s="284">
        <v>10663</v>
      </c>
      <c r="K211" t="s">
        <v>90</v>
      </c>
    </row>
    <row r="212" spans="1:11">
      <c r="A212" s="2" t="str">
        <f t="shared" si="3"/>
        <v>4042010</v>
      </c>
      <c r="B212" t="s">
        <v>89</v>
      </c>
      <c r="C212">
        <v>404</v>
      </c>
      <c r="D212">
        <v>1220</v>
      </c>
      <c r="E212" t="s">
        <v>90</v>
      </c>
      <c r="F212" s="283">
        <v>2010</v>
      </c>
      <c r="G212" s="284">
        <v>1317250</v>
      </c>
      <c r="H212" s="284">
        <v>9275150</v>
      </c>
      <c r="I212" s="284">
        <v>651330</v>
      </c>
      <c r="J212" s="284">
        <v>8918</v>
      </c>
      <c r="K212" t="s">
        <v>90</v>
      </c>
    </row>
    <row r="213" spans="1:11">
      <c r="A213" s="2" t="str">
        <f t="shared" si="3"/>
        <v>4042011</v>
      </c>
      <c r="B213" t="s">
        <v>89</v>
      </c>
      <c r="C213">
        <v>404</v>
      </c>
      <c r="D213">
        <v>1220</v>
      </c>
      <c r="E213" t="s">
        <v>90</v>
      </c>
      <c r="F213" s="283">
        <v>2011</v>
      </c>
      <c r="G213" s="284">
        <v>1330960</v>
      </c>
      <c r="H213" s="284">
        <v>9552840</v>
      </c>
      <c r="I213" s="284">
        <v>669441</v>
      </c>
      <c r="J213" s="284">
        <v>6494</v>
      </c>
      <c r="K213" t="s">
        <v>90</v>
      </c>
    </row>
    <row r="214" spans="1:11">
      <c r="A214" s="2" t="str">
        <f t="shared" si="3"/>
        <v>4042012</v>
      </c>
      <c r="B214" t="s">
        <v>89</v>
      </c>
      <c r="C214">
        <v>404</v>
      </c>
      <c r="D214">
        <v>1220</v>
      </c>
      <c r="E214" t="s">
        <v>90</v>
      </c>
      <c r="F214" s="283">
        <v>2012</v>
      </c>
      <c r="G214" s="284">
        <v>1343330</v>
      </c>
      <c r="H214" s="284">
        <v>9842460</v>
      </c>
      <c r="I214" s="284">
        <v>692067</v>
      </c>
      <c r="J214" s="284">
        <v>8311</v>
      </c>
      <c r="K214" t="s">
        <v>90</v>
      </c>
    </row>
    <row r="215" spans="1:11">
      <c r="A215" s="2" t="str">
        <f t="shared" si="3"/>
        <v>4042013</v>
      </c>
      <c r="B215" t="s">
        <v>89</v>
      </c>
      <c r="C215">
        <v>404</v>
      </c>
      <c r="D215">
        <v>1220</v>
      </c>
      <c r="E215" t="s">
        <v>90</v>
      </c>
      <c r="F215" s="283">
        <v>2013</v>
      </c>
      <c r="G215" s="284">
        <v>1355530</v>
      </c>
      <c r="H215" s="284">
        <v>10140700</v>
      </c>
      <c r="I215" s="284">
        <v>715484</v>
      </c>
      <c r="J215" s="284">
        <v>9229</v>
      </c>
      <c r="K215" t="s">
        <v>90</v>
      </c>
    </row>
    <row r="216" spans="1:11">
      <c r="A216" s="2" t="str">
        <f t="shared" si="3"/>
        <v>4042014</v>
      </c>
      <c r="B216" t="s">
        <v>89</v>
      </c>
      <c r="C216">
        <v>404</v>
      </c>
      <c r="D216">
        <v>1220</v>
      </c>
      <c r="E216" t="s">
        <v>90</v>
      </c>
      <c r="F216" s="283">
        <v>2014</v>
      </c>
      <c r="G216" s="284">
        <v>1365420</v>
      </c>
      <c r="H216" s="284">
        <v>10445400</v>
      </c>
      <c r="I216" s="284">
        <v>737509</v>
      </c>
      <c r="J216" s="284">
        <v>7809</v>
      </c>
      <c r="K216" t="s">
        <v>90</v>
      </c>
    </row>
    <row r="217" spans="1:11">
      <c r="A217" s="2" t="str">
        <f t="shared" si="3"/>
        <v>4042015</v>
      </c>
      <c r="B217" t="s">
        <v>89</v>
      </c>
      <c r="C217">
        <v>404</v>
      </c>
      <c r="D217">
        <v>1220</v>
      </c>
      <c r="E217" t="s">
        <v>90</v>
      </c>
      <c r="F217" s="283">
        <v>2015</v>
      </c>
      <c r="G217" s="284">
        <v>1383810</v>
      </c>
      <c r="H217" s="284">
        <v>10757500</v>
      </c>
      <c r="I217" s="284">
        <v>757465</v>
      </c>
      <c r="J217" s="284">
        <v>5815</v>
      </c>
      <c r="K217" t="s">
        <v>90</v>
      </c>
    </row>
    <row r="218" spans="1:11">
      <c r="A218" s="2" t="str">
        <f t="shared" si="3"/>
        <v>4261980</v>
      </c>
      <c r="B218" t="s">
        <v>91</v>
      </c>
      <c r="C218">
        <v>426</v>
      </c>
      <c r="D218">
        <v>1230</v>
      </c>
      <c r="E218" t="s">
        <v>92</v>
      </c>
      <c r="F218" s="283">
        <v>1980</v>
      </c>
      <c r="G218" s="284">
        <v>50366</v>
      </c>
      <c r="H218" s="284">
        <v>298115</v>
      </c>
      <c r="I218" s="284">
        <v>106</v>
      </c>
      <c r="J218" s="284">
        <v>4</v>
      </c>
      <c r="K218" t="s">
        <v>92</v>
      </c>
    </row>
    <row r="219" spans="1:11">
      <c r="A219" s="2" t="str">
        <f t="shared" si="3"/>
        <v>4261981</v>
      </c>
      <c r="B219" t="s">
        <v>91</v>
      </c>
      <c r="C219">
        <v>426</v>
      </c>
      <c r="D219">
        <v>1230</v>
      </c>
      <c r="E219" t="s">
        <v>92</v>
      </c>
      <c r="F219" s="283">
        <v>1981</v>
      </c>
      <c r="G219" s="284">
        <v>50975</v>
      </c>
      <c r="H219" s="284">
        <v>304440</v>
      </c>
      <c r="I219" s="284">
        <v>154</v>
      </c>
      <c r="J219" s="284">
        <v>5</v>
      </c>
      <c r="K219" t="s">
        <v>92</v>
      </c>
    </row>
    <row r="220" spans="1:11">
      <c r="A220" s="2" t="str">
        <f t="shared" si="3"/>
        <v>4261982</v>
      </c>
      <c r="B220" t="s">
        <v>91</v>
      </c>
      <c r="C220">
        <v>426</v>
      </c>
      <c r="D220">
        <v>1230</v>
      </c>
      <c r="E220" t="s">
        <v>92</v>
      </c>
      <c r="F220" s="283">
        <v>1982</v>
      </c>
      <c r="G220" s="284">
        <v>51549</v>
      </c>
      <c r="H220" s="284">
        <v>310237</v>
      </c>
      <c r="I220" s="284">
        <v>223</v>
      </c>
      <c r="J220" s="284">
        <v>8</v>
      </c>
      <c r="K220" t="s">
        <v>92</v>
      </c>
    </row>
    <row r="221" spans="1:11">
      <c r="A221" s="2" t="str">
        <f t="shared" si="3"/>
        <v>4261983</v>
      </c>
      <c r="B221" t="s">
        <v>91</v>
      </c>
      <c r="C221">
        <v>426</v>
      </c>
      <c r="D221">
        <v>1230</v>
      </c>
      <c r="E221" t="s">
        <v>92</v>
      </c>
      <c r="F221" s="283">
        <v>1983</v>
      </c>
      <c r="G221" s="284">
        <v>52059</v>
      </c>
      <c r="H221" s="284">
        <v>315374</v>
      </c>
      <c r="I221" s="284">
        <v>353</v>
      </c>
      <c r="J221" s="284">
        <v>12</v>
      </c>
      <c r="K221" t="s">
        <v>92</v>
      </c>
    </row>
    <row r="222" spans="1:11">
      <c r="A222" s="2" t="str">
        <f t="shared" si="3"/>
        <v>4261984</v>
      </c>
      <c r="B222" t="s">
        <v>91</v>
      </c>
      <c r="C222">
        <v>426</v>
      </c>
      <c r="D222">
        <v>1230</v>
      </c>
      <c r="E222" t="s">
        <v>92</v>
      </c>
      <c r="F222" s="283">
        <v>1984</v>
      </c>
      <c r="G222" s="284">
        <v>52442</v>
      </c>
      <c r="H222" s="284">
        <v>319489</v>
      </c>
      <c r="I222" s="284">
        <v>577</v>
      </c>
      <c r="J222" s="284">
        <v>20</v>
      </c>
      <c r="K222" t="s">
        <v>92</v>
      </c>
    </row>
    <row r="223" spans="1:11">
      <c r="A223" s="2" t="str">
        <f t="shared" si="3"/>
        <v>4261985</v>
      </c>
      <c r="B223" t="s">
        <v>91</v>
      </c>
      <c r="C223">
        <v>426</v>
      </c>
      <c r="D223">
        <v>1230</v>
      </c>
      <c r="E223" t="s">
        <v>92</v>
      </c>
      <c r="F223" s="283">
        <v>1985</v>
      </c>
      <c r="G223" s="284">
        <v>52537</v>
      </c>
      <c r="H223" s="284">
        <v>321558</v>
      </c>
      <c r="I223" s="284">
        <v>933</v>
      </c>
      <c r="J223" s="284">
        <v>32</v>
      </c>
      <c r="K223" t="s">
        <v>92</v>
      </c>
    </row>
    <row r="224" spans="1:11">
      <c r="A224" s="2" t="str">
        <f t="shared" si="3"/>
        <v>4261986</v>
      </c>
      <c r="B224" t="s">
        <v>91</v>
      </c>
      <c r="C224">
        <v>426</v>
      </c>
      <c r="D224">
        <v>1230</v>
      </c>
      <c r="E224" t="s">
        <v>92</v>
      </c>
      <c r="F224" s="283">
        <v>1986</v>
      </c>
      <c r="G224" s="284">
        <v>52403</v>
      </c>
      <c r="H224" s="284">
        <v>323954</v>
      </c>
      <c r="I224" s="284">
        <v>1475</v>
      </c>
      <c r="J224" s="284">
        <v>50</v>
      </c>
      <c r="K224" t="s">
        <v>92</v>
      </c>
    </row>
    <row r="225" spans="1:11">
      <c r="A225" s="2" t="str">
        <f t="shared" si="3"/>
        <v>4261987</v>
      </c>
      <c r="B225" t="s">
        <v>91</v>
      </c>
      <c r="C225">
        <v>426</v>
      </c>
      <c r="D225">
        <v>1230</v>
      </c>
      <c r="E225" t="s">
        <v>92</v>
      </c>
      <c r="F225" s="283">
        <v>1987</v>
      </c>
      <c r="G225" s="284">
        <v>52155</v>
      </c>
      <c r="H225" s="284">
        <v>326528</v>
      </c>
      <c r="I225" s="284">
        <v>2279</v>
      </c>
      <c r="J225" s="284">
        <v>75</v>
      </c>
      <c r="K225" t="s">
        <v>92</v>
      </c>
    </row>
    <row r="226" spans="1:11">
      <c r="A226" s="2" t="str">
        <f t="shared" si="3"/>
        <v>4261988</v>
      </c>
      <c r="B226" t="s">
        <v>91</v>
      </c>
      <c r="C226">
        <v>426</v>
      </c>
      <c r="D226">
        <v>1230</v>
      </c>
      <c r="E226" t="s">
        <v>92</v>
      </c>
      <c r="F226" s="283">
        <v>1988</v>
      </c>
      <c r="G226" s="284">
        <v>51785</v>
      </c>
      <c r="H226" s="284">
        <v>330119</v>
      </c>
      <c r="I226" s="284">
        <v>3489</v>
      </c>
      <c r="J226" s="284">
        <v>113</v>
      </c>
      <c r="K226" t="s">
        <v>92</v>
      </c>
    </row>
    <row r="227" spans="1:11">
      <c r="A227" s="2" t="str">
        <f t="shared" si="3"/>
        <v>4261989</v>
      </c>
      <c r="B227" t="s">
        <v>91</v>
      </c>
      <c r="C227">
        <v>426</v>
      </c>
      <c r="D227">
        <v>1230</v>
      </c>
      <c r="E227" t="s">
        <v>92</v>
      </c>
      <c r="F227" s="283">
        <v>1989</v>
      </c>
      <c r="G227" s="284">
        <v>51478</v>
      </c>
      <c r="H227" s="284">
        <v>335267</v>
      </c>
      <c r="I227" s="284">
        <v>5264</v>
      </c>
      <c r="J227" s="284">
        <v>166</v>
      </c>
      <c r="K227" t="s">
        <v>92</v>
      </c>
    </row>
    <row r="228" spans="1:11">
      <c r="A228" s="2" t="str">
        <f t="shared" si="3"/>
        <v>4261990</v>
      </c>
      <c r="B228" t="s">
        <v>91</v>
      </c>
      <c r="C228">
        <v>426</v>
      </c>
      <c r="D228">
        <v>1230</v>
      </c>
      <c r="E228" t="s">
        <v>92</v>
      </c>
      <c r="F228" s="283">
        <v>1990</v>
      </c>
      <c r="G228" s="284">
        <v>51416</v>
      </c>
      <c r="H228" s="284">
        <v>342750</v>
      </c>
      <c r="I228" s="284">
        <v>7887</v>
      </c>
      <c r="J228" s="284">
        <v>243</v>
      </c>
      <c r="K228" t="s">
        <v>92</v>
      </c>
    </row>
    <row r="229" spans="1:11">
      <c r="A229" s="2" t="str">
        <f t="shared" si="3"/>
        <v>4261991</v>
      </c>
      <c r="B229" t="s">
        <v>91</v>
      </c>
      <c r="C229">
        <v>426</v>
      </c>
      <c r="D229">
        <v>1230</v>
      </c>
      <c r="E229" t="s">
        <v>92</v>
      </c>
      <c r="F229" s="283">
        <v>1991</v>
      </c>
      <c r="G229" s="284">
        <v>51690</v>
      </c>
      <c r="H229" s="284">
        <v>351552</v>
      </c>
      <c r="I229" s="284">
        <v>11738</v>
      </c>
      <c r="J229" s="284">
        <v>355</v>
      </c>
      <c r="K229" t="s">
        <v>92</v>
      </c>
    </row>
    <row r="230" spans="1:11">
      <c r="A230" s="2" t="str">
        <f t="shared" si="3"/>
        <v>4261992</v>
      </c>
      <c r="B230" t="s">
        <v>91</v>
      </c>
      <c r="C230">
        <v>426</v>
      </c>
      <c r="D230">
        <v>1230</v>
      </c>
      <c r="E230" t="s">
        <v>92</v>
      </c>
      <c r="F230" s="283">
        <v>1992</v>
      </c>
      <c r="G230" s="284">
        <v>52213</v>
      </c>
      <c r="H230" s="284">
        <v>361085</v>
      </c>
      <c r="I230" s="284">
        <v>17368</v>
      </c>
      <c r="J230" s="284">
        <v>518</v>
      </c>
      <c r="K230" t="s">
        <v>92</v>
      </c>
    </row>
    <row r="231" spans="1:11">
      <c r="A231" s="2" t="str">
        <f t="shared" si="3"/>
        <v>4261993</v>
      </c>
      <c r="B231" t="s">
        <v>91</v>
      </c>
      <c r="C231">
        <v>426</v>
      </c>
      <c r="D231">
        <v>1230</v>
      </c>
      <c r="E231" t="s">
        <v>92</v>
      </c>
      <c r="F231" s="283">
        <v>1993</v>
      </c>
      <c r="G231" s="284">
        <v>52869</v>
      </c>
      <c r="H231" s="284">
        <v>370790</v>
      </c>
      <c r="I231" s="284">
        <v>25231</v>
      </c>
      <c r="J231" s="284">
        <v>743</v>
      </c>
      <c r="K231" t="s">
        <v>92</v>
      </c>
    </row>
    <row r="232" spans="1:11">
      <c r="A232" s="2" t="str">
        <f t="shared" si="3"/>
        <v>4261994</v>
      </c>
      <c r="B232" t="s">
        <v>91</v>
      </c>
      <c r="C232">
        <v>426</v>
      </c>
      <c r="D232">
        <v>1230</v>
      </c>
      <c r="E232" t="s">
        <v>92</v>
      </c>
      <c r="F232" s="283">
        <v>1994</v>
      </c>
      <c r="G232" s="284">
        <v>53577</v>
      </c>
      <c r="H232" s="284">
        <v>380368</v>
      </c>
      <c r="I232" s="284">
        <v>35493</v>
      </c>
      <c r="J232" s="284">
        <v>1034</v>
      </c>
      <c r="K232" t="s">
        <v>92</v>
      </c>
    </row>
    <row r="233" spans="1:11">
      <c r="A233" s="2" t="str">
        <f t="shared" si="3"/>
        <v>4261995</v>
      </c>
      <c r="B233" t="s">
        <v>91</v>
      </c>
      <c r="C233">
        <v>426</v>
      </c>
      <c r="D233">
        <v>1230</v>
      </c>
      <c r="E233" t="s">
        <v>92</v>
      </c>
      <c r="F233" s="283">
        <v>1995</v>
      </c>
      <c r="G233" s="284">
        <v>54220</v>
      </c>
      <c r="H233" s="284">
        <v>389352</v>
      </c>
      <c r="I233" s="284">
        <v>46986</v>
      </c>
      <c r="J233" s="284">
        <v>1347</v>
      </c>
      <c r="K233" t="s">
        <v>92</v>
      </c>
    </row>
    <row r="234" spans="1:11">
      <c r="A234" s="2" t="str">
        <f t="shared" si="3"/>
        <v>4261996</v>
      </c>
      <c r="B234" t="s">
        <v>91</v>
      </c>
      <c r="C234">
        <v>426</v>
      </c>
      <c r="D234">
        <v>1230</v>
      </c>
      <c r="E234" t="s">
        <v>92</v>
      </c>
      <c r="F234" s="283">
        <v>1996</v>
      </c>
      <c r="G234" s="284">
        <v>54689</v>
      </c>
      <c r="H234" s="284">
        <v>397802</v>
      </c>
      <c r="I234" s="284">
        <v>58208</v>
      </c>
      <c r="J234" s="284">
        <v>1638</v>
      </c>
      <c r="K234" t="s">
        <v>92</v>
      </c>
    </row>
    <row r="235" spans="1:11">
      <c r="A235" s="2" t="str">
        <f t="shared" si="3"/>
        <v>4261997</v>
      </c>
      <c r="B235" t="s">
        <v>91</v>
      </c>
      <c r="C235">
        <v>426</v>
      </c>
      <c r="D235">
        <v>1230</v>
      </c>
      <c r="E235" t="s">
        <v>92</v>
      </c>
      <c r="F235" s="283">
        <v>1997</v>
      </c>
      <c r="G235" s="284">
        <v>54927</v>
      </c>
      <c r="H235" s="284">
        <v>405724</v>
      </c>
      <c r="I235" s="284">
        <v>68503</v>
      </c>
      <c r="J235" s="284">
        <v>1895</v>
      </c>
      <c r="K235" t="s">
        <v>92</v>
      </c>
    </row>
    <row r="236" spans="1:11">
      <c r="A236" s="2" t="str">
        <f t="shared" si="3"/>
        <v>4261998</v>
      </c>
      <c r="B236" t="s">
        <v>91</v>
      </c>
      <c r="C236">
        <v>426</v>
      </c>
      <c r="D236">
        <v>1230</v>
      </c>
      <c r="E236" t="s">
        <v>92</v>
      </c>
      <c r="F236" s="283">
        <v>1998</v>
      </c>
      <c r="G236" s="284">
        <v>54829</v>
      </c>
      <c r="H236" s="284">
        <v>413191</v>
      </c>
      <c r="I236" s="284">
        <v>78091</v>
      </c>
      <c r="J236" s="284">
        <v>2123</v>
      </c>
      <c r="K236" t="s">
        <v>92</v>
      </c>
    </row>
    <row r="237" spans="1:11">
      <c r="A237" s="2" t="str">
        <f t="shared" si="3"/>
        <v>4261999</v>
      </c>
      <c r="B237" t="s">
        <v>91</v>
      </c>
      <c r="C237">
        <v>426</v>
      </c>
      <c r="D237">
        <v>1230</v>
      </c>
      <c r="E237" t="s">
        <v>92</v>
      </c>
      <c r="F237" s="283">
        <v>1999</v>
      </c>
      <c r="G237" s="284">
        <v>54437</v>
      </c>
      <c r="H237" s="284">
        <v>420254</v>
      </c>
      <c r="I237" s="284">
        <v>86795</v>
      </c>
      <c r="J237" s="284">
        <v>2311</v>
      </c>
      <c r="K237" t="s">
        <v>92</v>
      </c>
    </row>
    <row r="238" spans="1:11">
      <c r="A238" s="2" t="str">
        <f t="shared" si="3"/>
        <v>4262000</v>
      </c>
      <c r="B238" t="s">
        <v>91</v>
      </c>
      <c r="C238">
        <v>426</v>
      </c>
      <c r="D238">
        <v>1230</v>
      </c>
      <c r="E238" t="s">
        <v>92</v>
      </c>
      <c r="F238" s="283">
        <v>2000</v>
      </c>
      <c r="G238" s="284">
        <v>53892</v>
      </c>
      <c r="H238" s="284">
        <v>426982</v>
      </c>
      <c r="I238" s="284">
        <v>94569</v>
      </c>
      <c r="J238" s="284">
        <v>2461</v>
      </c>
      <c r="K238" t="s">
        <v>92</v>
      </c>
    </row>
    <row r="239" spans="1:11">
      <c r="A239" s="2" t="str">
        <f t="shared" si="3"/>
        <v>4262001</v>
      </c>
      <c r="B239" t="s">
        <v>91</v>
      </c>
      <c r="C239">
        <v>426</v>
      </c>
      <c r="D239">
        <v>1230</v>
      </c>
      <c r="E239" t="s">
        <v>92</v>
      </c>
      <c r="F239" s="283">
        <v>2001</v>
      </c>
      <c r="G239" s="284">
        <v>53308</v>
      </c>
      <c r="H239" s="284">
        <v>433197</v>
      </c>
      <c r="I239" s="284">
        <v>101414</v>
      </c>
      <c r="J239" s="284">
        <v>2578</v>
      </c>
      <c r="K239" t="s">
        <v>92</v>
      </c>
    </row>
    <row r="240" spans="1:11">
      <c r="A240" s="2" t="str">
        <f t="shared" si="3"/>
        <v>4262002</v>
      </c>
      <c r="B240" t="s">
        <v>91</v>
      </c>
      <c r="C240">
        <v>426</v>
      </c>
      <c r="D240">
        <v>1230</v>
      </c>
      <c r="E240" t="s">
        <v>92</v>
      </c>
      <c r="F240" s="283">
        <v>2002</v>
      </c>
      <c r="G240" s="284">
        <v>52840</v>
      </c>
      <c r="H240" s="284">
        <v>438852</v>
      </c>
      <c r="I240" s="284">
        <v>107130</v>
      </c>
      <c r="J240" s="284">
        <v>2663</v>
      </c>
      <c r="K240" t="s">
        <v>92</v>
      </c>
    </row>
    <row r="241" spans="1:11">
      <c r="A241" s="2" t="str">
        <f t="shared" si="3"/>
        <v>4262003</v>
      </c>
      <c r="B241" t="s">
        <v>91</v>
      </c>
      <c r="C241">
        <v>426</v>
      </c>
      <c r="D241">
        <v>1230</v>
      </c>
      <c r="E241" t="s">
        <v>92</v>
      </c>
      <c r="F241" s="283">
        <v>2003</v>
      </c>
      <c r="G241" s="284">
        <v>52444</v>
      </c>
      <c r="H241" s="284">
        <v>443981</v>
      </c>
      <c r="I241" s="284">
        <v>111666</v>
      </c>
      <c r="J241" s="284">
        <v>2716</v>
      </c>
      <c r="K241" t="s">
        <v>92</v>
      </c>
    </row>
    <row r="242" spans="1:11">
      <c r="A242" s="2" t="str">
        <f t="shared" si="3"/>
        <v>4262004</v>
      </c>
      <c r="B242" t="s">
        <v>91</v>
      </c>
      <c r="C242">
        <v>426</v>
      </c>
      <c r="D242">
        <v>1230</v>
      </c>
      <c r="E242" t="s">
        <v>92</v>
      </c>
      <c r="F242" s="283">
        <v>2004</v>
      </c>
      <c r="G242" s="284">
        <v>52096</v>
      </c>
      <c r="H242" s="284">
        <v>448711</v>
      </c>
      <c r="I242" s="284">
        <v>115241</v>
      </c>
      <c r="J242" s="284">
        <v>2707</v>
      </c>
      <c r="K242" t="s">
        <v>92</v>
      </c>
    </row>
    <row r="243" spans="1:11">
      <c r="A243" s="2" t="str">
        <f t="shared" si="3"/>
        <v>4262005</v>
      </c>
      <c r="B243" t="s">
        <v>91</v>
      </c>
      <c r="C243">
        <v>426</v>
      </c>
      <c r="D243">
        <v>1230</v>
      </c>
      <c r="E243" t="s">
        <v>92</v>
      </c>
      <c r="F243" s="283">
        <v>2005</v>
      </c>
      <c r="G243" s="284">
        <v>51904</v>
      </c>
      <c r="H243" s="284">
        <v>453263</v>
      </c>
      <c r="I243" s="284">
        <v>118105</v>
      </c>
      <c r="J243" s="284">
        <v>2671</v>
      </c>
      <c r="K243" t="s">
        <v>92</v>
      </c>
    </row>
    <row r="244" spans="1:11">
      <c r="A244" s="2" t="str">
        <f t="shared" si="3"/>
        <v>4262006</v>
      </c>
      <c r="B244" t="s">
        <v>91</v>
      </c>
      <c r="C244">
        <v>426</v>
      </c>
      <c r="D244">
        <v>1230</v>
      </c>
      <c r="E244" t="s">
        <v>92</v>
      </c>
      <c r="F244" s="283">
        <v>2006</v>
      </c>
      <c r="G244" s="284">
        <v>51930</v>
      </c>
      <c r="H244" s="284">
        <v>458470</v>
      </c>
      <c r="I244" s="284">
        <v>120648</v>
      </c>
      <c r="J244" s="284">
        <v>2514</v>
      </c>
      <c r="K244" t="s">
        <v>92</v>
      </c>
    </row>
    <row r="245" spans="1:11">
      <c r="A245" s="2" t="str">
        <f t="shared" si="3"/>
        <v>4262007</v>
      </c>
      <c r="B245" t="s">
        <v>91</v>
      </c>
      <c r="C245">
        <v>426</v>
      </c>
      <c r="D245">
        <v>1230</v>
      </c>
      <c r="E245" t="s">
        <v>92</v>
      </c>
      <c r="F245" s="283">
        <v>2007</v>
      </c>
      <c r="G245" s="284">
        <v>52290</v>
      </c>
      <c r="H245" s="284">
        <v>464270</v>
      </c>
      <c r="I245" s="284">
        <v>123188</v>
      </c>
      <c r="J245" s="284">
        <v>2113</v>
      </c>
      <c r="K245" t="s">
        <v>92</v>
      </c>
    </row>
    <row r="246" spans="1:11">
      <c r="A246" s="2" t="str">
        <f t="shared" si="3"/>
        <v>4262008</v>
      </c>
      <c r="B246" t="s">
        <v>91</v>
      </c>
      <c r="C246">
        <v>426</v>
      </c>
      <c r="D246">
        <v>1230</v>
      </c>
      <c r="E246" t="s">
        <v>92</v>
      </c>
      <c r="F246" s="283">
        <v>2008</v>
      </c>
      <c r="G246" s="284">
        <v>52889</v>
      </c>
      <c r="H246" s="284">
        <v>471245</v>
      </c>
      <c r="I246" s="284">
        <v>125888</v>
      </c>
      <c r="J246" s="284">
        <v>2161</v>
      </c>
      <c r="K246" t="s">
        <v>92</v>
      </c>
    </row>
    <row r="247" spans="1:11">
      <c r="A247" s="2" t="str">
        <f t="shared" si="3"/>
        <v>4262009</v>
      </c>
      <c r="B247" t="s">
        <v>91</v>
      </c>
      <c r="C247">
        <v>426</v>
      </c>
      <c r="D247">
        <v>1230</v>
      </c>
      <c r="E247" t="s">
        <v>92</v>
      </c>
      <c r="F247" s="283">
        <v>2009</v>
      </c>
      <c r="G247" s="284">
        <v>53669</v>
      </c>
      <c r="H247" s="284">
        <v>479364</v>
      </c>
      <c r="I247" s="284">
        <v>128137</v>
      </c>
      <c r="J247" s="284">
        <v>1791</v>
      </c>
      <c r="K247" t="s">
        <v>92</v>
      </c>
    </row>
    <row r="248" spans="1:11">
      <c r="A248" s="2" t="str">
        <f t="shared" si="3"/>
        <v>4262010</v>
      </c>
      <c r="B248" t="s">
        <v>91</v>
      </c>
      <c r="C248">
        <v>426</v>
      </c>
      <c r="D248">
        <v>1230</v>
      </c>
      <c r="E248" t="s">
        <v>92</v>
      </c>
      <c r="F248" s="283">
        <v>2010</v>
      </c>
      <c r="G248" s="284">
        <v>54556</v>
      </c>
      <c r="H248" s="284">
        <v>489080</v>
      </c>
      <c r="I248" s="284">
        <v>130872</v>
      </c>
      <c r="J248" s="284">
        <v>1533</v>
      </c>
      <c r="K248" t="s">
        <v>92</v>
      </c>
    </row>
    <row r="249" spans="1:11">
      <c r="A249" s="2" t="str">
        <f t="shared" si="3"/>
        <v>4262011</v>
      </c>
      <c r="B249" t="s">
        <v>91</v>
      </c>
      <c r="C249">
        <v>426</v>
      </c>
      <c r="D249">
        <v>1230</v>
      </c>
      <c r="E249" t="s">
        <v>92</v>
      </c>
      <c r="F249" s="283">
        <v>2011</v>
      </c>
      <c r="G249" s="284">
        <v>55471</v>
      </c>
      <c r="H249" s="284">
        <v>499817</v>
      </c>
      <c r="I249" s="284">
        <v>133880</v>
      </c>
      <c r="J249" s="284">
        <v>949</v>
      </c>
      <c r="K249" t="s">
        <v>92</v>
      </c>
    </row>
    <row r="250" spans="1:11">
      <c r="A250" s="2" t="str">
        <f t="shared" si="3"/>
        <v>4262012</v>
      </c>
      <c r="B250" t="s">
        <v>91</v>
      </c>
      <c r="C250">
        <v>426</v>
      </c>
      <c r="D250">
        <v>1230</v>
      </c>
      <c r="E250" t="s">
        <v>92</v>
      </c>
      <c r="F250" s="283">
        <v>2012</v>
      </c>
      <c r="G250" s="284">
        <v>56268</v>
      </c>
      <c r="H250" s="284">
        <v>510608</v>
      </c>
      <c r="I250" s="284">
        <v>136653</v>
      </c>
      <c r="J250" s="284">
        <v>1296</v>
      </c>
      <c r="K250" t="s">
        <v>92</v>
      </c>
    </row>
    <row r="251" spans="1:11">
      <c r="A251" s="2" t="str">
        <f t="shared" si="3"/>
        <v>4262013</v>
      </c>
      <c r="B251" t="s">
        <v>91</v>
      </c>
      <c r="C251">
        <v>426</v>
      </c>
      <c r="D251">
        <v>1230</v>
      </c>
      <c r="E251" t="s">
        <v>92</v>
      </c>
      <c r="F251" s="283">
        <v>2013</v>
      </c>
      <c r="G251" s="284">
        <v>56797</v>
      </c>
      <c r="H251" s="284">
        <v>521480</v>
      </c>
      <c r="I251" s="284">
        <v>139429</v>
      </c>
      <c r="J251" s="284">
        <v>1234</v>
      </c>
      <c r="K251" t="s">
        <v>92</v>
      </c>
    </row>
    <row r="252" spans="1:11">
      <c r="A252" s="2" t="str">
        <f t="shared" si="3"/>
        <v>4262014</v>
      </c>
      <c r="B252" t="s">
        <v>91</v>
      </c>
      <c r="C252">
        <v>426</v>
      </c>
      <c r="D252">
        <v>1230</v>
      </c>
      <c r="E252" t="s">
        <v>92</v>
      </c>
      <c r="F252" s="283">
        <v>2014</v>
      </c>
      <c r="G252" s="284">
        <v>57158</v>
      </c>
      <c r="H252" s="284">
        <v>532216</v>
      </c>
      <c r="I252" s="284">
        <v>142073</v>
      </c>
      <c r="J252" s="284">
        <v>1069</v>
      </c>
      <c r="K252" t="s">
        <v>92</v>
      </c>
    </row>
    <row r="253" spans="1:11">
      <c r="A253" s="2" t="str">
        <f t="shared" si="3"/>
        <v>4262015</v>
      </c>
      <c r="B253" t="s">
        <v>91</v>
      </c>
      <c r="C253">
        <v>426</v>
      </c>
      <c r="D253">
        <v>1230</v>
      </c>
      <c r="E253" t="s">
        <v>92</v>
      </c>
      <c r="F253" s="283">
        <v>2015</v>
      </c>
      <c r="G253" s="284">
        <v>57373</v>
      </c>
      <c r="H253" s="284">
        <v>542656</v>
      </c>
      <c r="I253" s="284">
        <v>144429</v>
      </c>
      <c r="J253" s="284">
        <v>1031</v>
      </c>
      <c r="K253" t="s">
        <v>92</v>
      </c>
    </row>
    <row r="254" spans="1:11">
      <c r="A254" s="2" t="str">
        <f t="shared" si="3"/>
        <v>4541980</v>
      </c>
      <c r="B254" t="s">
        <v>93</v>
      </c>
      <c r="C254">
        <v>454</v>
      </c>
      <c r="D254">
        <v>1270</v>
      </c>
      <c r="E254" t="s">
        <v>94</v>
      </c>
      <c r="F254" s="283">
        <v>1980</v>
      </c>
      <c r="G254" s="284">
        <v>306447</v>
      </c>
      <c r="H254" s="284">
        <v>1322150</v>
      </c>
      <c r="I254" s="284">
        <v>6230</v>
      </c>
      <c r="J254" s="284">
        <v>306</v>
      </c>
      <c r="K254" t="s">
        <v>94</v>
      </c>
    </row>
    <row r="255" spans="1:11">
      <c r="A255" s="2" t="str">
        <f t="shared" si="3"/>
        <v>4541981</v>
      </c>
      <c r="B255" t="s">
        <v>93</v>
      </c>
      <c r="C255">
        <v>454</v>
      </c>
      <c r="D255">
        <v>1270</v>
      </c>
      <c r="E255" t="s">
        <v>94</v>
      </c>
      <c r="F255" s="283">
        <v>1981</v>
      </c>
      <c r="G255" s="284">
        <v>314865</v>
      </c>
      <c r="H255" s="284">
        <v>1362950</v>
      </c>
      <c r="I255" s="284">
        <v>9351</v>
      </c>
      <c r="J255" s="284">
        <v>457</v>
      </c>
      <c r="K255" t="s">
        <v>94</v>
      </c>
    </row>
    <row r="256" spans="1:11">
      <c r="A256" s="2" t="str">
        <f t="shared" si="3"/>
        <v>4541982</v>
      </c>
      <c r="B256" t="s">
        <v>93</v>
      </c>
      <c r="C256">
        <v>454</v>
      </c>
      <c r="D256">
        <v>1270</v>
      </c>
      <c r="E256" t="s">
        <v>94</v>
      </c>
      <c r="F256" s="283">
        <v>1982</v>
      </c>
      <c r="G256" s="284">
        <v>323796</v>
      </c>
      <c r="H256" s="284">
        <v>1403340</v>
      </c>
      <c r="I256" s="284">
        <v>13858</v>
      </c>
      <c r="J256" s="284">
        <v>675</v>
      </c>
      <c r="K256" t="s">
        <v>94</v>
      </c>
    </row>
    <row r="257" spans="1:11">
      <c r="A257" s="2" t="str">
        <f t="shared" si="3"/>
        <v>4541983</v>
      </c>
      <c r="B257" t="s">
        <v>93</v>
      </c>
      <c r="C257">
        <v>454</v>
      </c>
      <c r="D257">
        <v>1270</v>
      </c>
      <c r="E257" t="s">
        <v>94</v>
      </c>
      <c r="F257" s="283">
        <v>1983</v>
      </c>
      <c r="G257" s="284">
        <v>332458</v>
      </c>
      <c r="H257" s="284">
        <v>1447320</v>
      </c>
      <c r="I257" s="284">
        <v>20329</v>
      </c>
      <c r="J257" s="284">
        <v>984</v>
      </c>
      <c r="K257" t="s">
        <v>94</v>
      </c>
    </row>
    <row r="258" spans="1:11">
      <c r="A258" s="2" t="str">
        <f t="shared" si="3"/>
        <v>4541984</v>
      </c>
      <c r="B258" t="s">
        <v>93</v>
      </c>
      <c r="C258">
        <v>454</v>
      </c>
      <c r="D258">
        <v>1270</v>
      </c>
      <c r="E258" t="s">
        <v>94</v>
      </c>
      <c r="F258" s="283">
        <v>1984</v>
      </c>
      <c r="G258" s="284">
        <v>340403</v>
      </c>
      <c r="H258" s="284">
        <v>1491680</v>
      </c>
      <c r="I258" s="284">
        <v>29377</v>
      </c>
      <c r="J258" s="284">
        <v>1409</v>
      </c>
      <c r="K258" t="s">
        <v>94</v>
      </c>
    </row>
    <row r="259" spans="1:11">
      <c r="A259" s="2" t="str">
        <f t="shared" si="3"/>
        <v>4541985</v>
      </c>
      <c r="B259" t="s">
        <v>93</v>
      </c>
      <c r="C259">
        <v>454</v>
      </c>
      <c r="D259">
        <v>1270</v>
      </c>
      <c r="E259" t="s">
        <v>94</v>
      </c>
      <c r="F259" s="283">
        <v>1985</v>
      </c>
      <c r="G259" s="284">
        <v>354186</v>
      </c>
      <c r="H259" s="284">
        <v>1591260</v>
      </c>
      <c r="I259" s="284">
        <v>42938</v>
      </c>
      <c r="J259" s="284">
        <v>1998</v>
      </c>
      <c r="K259" t="s">
        <v>94</v>
      </c>
    </row>
    <row r="260" spans="1:11">
      <c r="A260" s="2" t="str">
        <f t="shared" si="3"/>
        <v>4541986</v>
      </c>
      <c r="B260" t="s">
        <v>93</v>
      </c>
      <c r="C260">
        <v>454</v>
      </c>
      <c r="D260">
        <v>1270</v>
      </c>
      <c r="E260" t="s">
        <v>94</v>
      </c>
      <c r="F260" s="283">
        <v>1986</v>
      </c>
      <c r="G260" s="284">
        <v>377519</v>
      </c>
      <c r="H260" s="284">
        <v>1721920</v>
      </c>
      <c r="I260" s="284">
        <v>62474</v>
      </c>
      <c r="J260" s="284">
        <v>2858</v>
      </c>
      <c r="K260" t="s">
        <v>94</v>
      </c>
    </row>
    <row r="261" spans="1:11">
      <c r="A261" s="2" t="str">
        <f t="shared" si="3"/>
        <v>4541987</v>
      </c>
      <c r="B261" t="s">
        <v>93</v>
      </c>
      <c r="C261">
        <v>454</v>
      </c>
      <c r="D261">
        <v>1270</v>
      </c>
      <c r="E261" t="s">
        <v>94</v>
      </c>
      <c r="F261" s="283">
        <v>1987</v>
      </c>
      <c r="G261" s="284">
        <v>405153</v>
      </c>
      <c r="H261" s="284">
        <v>1865370</v>
      </c>
      <c r="I261" s="284">
        <v>89593</v>
      </c>
      <c r="J261" s="284">
        <v>4048</v>
      </c>
      <c r="K261" t="s">
        <v>94</v>
      </c>
    </row>
    <row r="262" spans="1:11">
      <c r="A262" s="2" t="str">
        <f t="shared" si="3"/>
        <v>4541988</v>
      </c>
      <c r="B262" t="s">
        <v>93</v>
      </c>
      <c r="C262">
        <v>454</v>
      </c>
      <c r="D262">
        <v>1270</v>
      </c>
      <c r="E262" t="s">
        <v>94</v>
      </c>
      <c r="F262" s="283">
        <v>1988</v>
      </c>
      <c r="G262" s="284">
        <v>430476</v>
      </c>
      <c r="H262" s="284">
        <v>1994800</v>
      </c>
      <c r="I262" s="284">
        <v>124789</v>
      </c>
      <c r="J262" s="284">
        <v>5594</v>
      </c>
      <c r="K262" t="s">
        <v>94</v>
      </c>
    </row>
    <row r="263" spans="1:11">
      <c r="A263" s="2" t="str">
        <f t="shared" si="3"/>
        <v>4541989</v>
      </c>
      <c r="B263" t="s">
        <v>93</v>
      </c>
      <c r="C263">
        <v>454</v>
      </c>
      <c r="D263">
        <v>1270</v>
      </c>
      <c r="E263" t="s">
        <v>94</v>
      </c>
      <c r="F263" s="283">
        <v>1989</v>
      </c>
      <c r="G263" s="284">
        <v>446888</v>
      </c>
      <c r="H263" s="284">
        <v>2086060</v>
      </c>
      <c r="I263" s="284">
        <v>166493</v>
      </c>
      <c r="J263" s="284">
        <v>7419</v>
      </c>
      <c r="K263" t="s">
        <v>94</v>
      </c>
    </row>
    <row r="264" spans="1:11">
      <c r="A264" s="2" t="str">
        <f t="shared" si="3"/>
        <v>4541990</v>
      </c>
      <c r="B264" t="s">
        <v>93</v>
      </c>
      <c r="C264">
        <v>454</v>
      </c>
      <c r="D264">
        <v>1270</v>
      </c>
      <c r="E264" t="s">
        <v>94</v>
      </c>
      <c r="F264" s="283">
        <v>1990</v>
      </c>
      <c r="G264" s="284">
        <v>452321</v>
      </c>
      <c r="H264" s="284">
        <v>2129630</v>
      </c>
      <c r="I264" s="284">
        <v>211068</v>
      </c>
      <c r="J264" s="284">
        <v>9350</v>
      </c>
      <c r="K264" t="s">
        <v>94</v>
      </c>
    </row>
    <row r="265" spans="1:11">
      <c r="A265" s="2" t="str">
        <f t="shared" si="3"/>
        <v>4541991</v>
      </c>
      <c r="B265" t="s">
        <v>93</v>
      </c>
      <c r="C265">
        <v>454</v>
      </c>
      <c r="D265">
        <v>1270</v>
      </c>
      <c r="E265" t="s">
        <v>94</v>
      </c>
      <c r="F265" s="283">
        <v>1991</v>
      </c>
      <c r="G265" s="284">
        <v>449011</v>
      </c>
      <c r="H265" s="284">
        <v>2132930</v>
      </c>
      <c r="I265" s="284">
        <v>252105</v>
      </c>
      <c r="J265" s="284">
        <v>11063</v>
      </c>
      <c r="K265" t="s">
        <v>94</v>
      </c>
    </row>
    <row r="266" spans="1:11">
      <c r="A266" s="2" t="str">
        <f t="shared" ref="A266:A331" si="4">C266&amp;F266</f>
        <v>4541992</v>
      </c>
      <c r="B266" t="s">
        <v>93</v>
      </c>
      <c r="C266">
        <v>454</v>
      </c>
      <c r="D266">
        <v>1270</v>
      </c>
      <c r="E266" t="s">
        <v>94</v>
      </c>
      <c r="F266" s="283">
        <v>1992</v>
      </c>
      <c r="G266" s="284">
        <v>442225</v>
      </c>
      <c r="H266" s="284">
        <v>2118400</v>
      </c>
      <c r="I266" s="284">
        <v>288838</v>
      </c>
      <c r="J266" s="284">
        <v>12583</v>
      </c>
      <c r="K266" t="s">
        <v>94</v>
      </c>
    </row>
    <row r="267" spans="1:11">
      <c r="A267" s="2" t="str">
        <f t="shared" si="4"/>
        <v>4541993</v>
      </c>
      <c r="B267" t="s">
        <v>93</v>
      </c>
      <c r="C267">
        <v>454</v>
      </c>
      <c r="D267">
        <v>1270</v>
      </c>
      <c r="E267" t="s">
        <v>94</v>
      </c>
      <c r="F267" s="283">
        <v>1993</v>
      </c>
      <c r="G267" s="284">
        <v>436949</v>
      </c>
      <c r="H267" s="284">
        <v>2110060</v>
      </c>
      <c r="I267" s="284">
        <v>321573</v>
      </c>
      <c r="J267" s="284">
        <v>13901</v>
      </c>
      <c r="K267" t="s">
        <v>94</v>
      </c>
    </row>
    <row r="268" spans="1:11">
      <c r="A268" s="2" t="str">
        <f t="shared" si="4"/>
        <v>4541994</v>
      </c>
      <c r="B268" t="s">
        <v>93</v>
      </c>
      <c r="C268">
        <v>454</v>
      </c>
      <c r="D268">
        <v>1270</v>
      </c>
      <c r="E268" t="s">
        <v>94</v>
      </c>
      <c r="F268" s="283">
        <v>1994</v>
      </c>
      <c r="G268" s="284">
        <v>436079</v>
      </c>
      <c r="H268" s="284">
        <v>2118450</v>
      </c>
      <c r="I268" s="284">
        <v>351475</v>
      </c>
      <c r="J268" s="284">
        <v>15111</v>
      </c>
      <c r="K268" t="s">
        <v>94</v>
      </c>
    </row>
    <row r="269" spans="1:11">
      <c r="A269" s="2" t="str">
        <f t="shared" si="4"/>
        <v>4541995</v>
      </c>
      <c r="B269" t="s">
        <v>93</v>
      </c>
      <c r="C269">
        <v>454</v>
      </c>
      <c r="D269">
        <v>1270</v>
      </c>
      <c r="E269" t="s">
        <v>94</v>
      </c>
      <c r="F269" s="283">
        <v>1995</v>
      </c>
      <c r="G269" s="284">
        <v>442294</v>
      </c>
      <c r="H269" s="284">
        <v>2169980</v>
      </c>
      <c r="I269" s="284">
        <v>382073</v>
      </c>
      <c r="J269" s="284">
        <v>16228</v>
      </c>
      <c r="K269" t="s">
        <v>94</v>
      </c>
    </row>
    <row r="270" spans="1:11">
      <c r="A270" s="2" t="str">
        <f t="shared" si="4"/>
        <v>4541996</v>
      </c>
      <c r="B270" t="s">
        <v>93</v>
      </c>
      <c r="C270">
        <v>454</v>
      </c>
      <c r="D270">
        <v>1270</v>
      </c>
      <c r="E270" t="s">
        <v>94</v>
      </c>
      <c r="F270" s="283">
        <v>1996</v>
      </c>
      <c r="G270" s="284">
        <v>452827</v>
      </c>
      <c r="H270" s="284">
        <v>2223550</v>
      </c>
      <c r="I270" s="284">
        <v>408801</v>
      </c>
      <c r="J270" s="284">
        <v>17323</v>
      </c>
      <c r="K270" t="s">
        <v>94</v>
      </c>
    </row>
    <row r="271" spans="1:11">
      <c r="A271" s="2" t="str">
        <f t="shared" si="4"/>
        <v>4541997</v>
      </c>
      <c r="B271" t="s">
        <v>93</v>
      </c>
      <c r="C271">
        <v>454</v>
      </c>
      <c r="D271">
        <v>1270</v>
      </c>
      <c r="E271" t="s">
        <v>94</v>
      </c>
      <c r="F271" s="283">
        <v>1997</v>
      </c>
      <c r="G271" s="284">
        <v>462467</v>
      </c>
      <c r="H271" s="284">
        <v>2277530</v>
      </c>
      <c r="I271" s="284">
        <v>430775</v>
      </c>
      <c r="J271" s="284">
        <v>18149</v>
      </c>
      <c r="K271" t="s">
        <v>94</v>
      </c>
    </row>
    <row r="272" spans="1:11">
      <c r="A272" s="2" t="str">
        <f t="shared" si="4"/>
        <v>4541998</v>
      </c>
      <c r="B272" t="s">
        <v>93</v>
      </c>
      <c r="C272">
        <v>454</v>
      </c>
      <c r="D272">
        <v>1270</v>
      </c>
      <c r="E272" t="s">
        <v>94</v>
      </c>
      <c r="F272" s="283">
        <v>1998</v>
      </c>
      <c r="G272" s="284">
        <v>470623</v>
      </c>
      <c r="H272" s="284">
        <v>2331130</v>
      </c>
      <c r="I272" s="284">
        <v>448058</v>
      </c>
      <c r="J272" s="284">
        <v>18723</v>
      </c>
      <c r="K272" t="s">
        <v>94</v>
      </c>
    </row>
    <row r="273" spans="1:11">
      <c r="A273" s="2" t="str">
        <f t="shared" si="4"/>
        <v>4541999</v>
      </c>
      <c r="B273" t="s">
        <v>93</v>
      </c>
      <c r="C273">
        <v>454</v>
      </c>
      <c r="D273">
        <v>1270</v>
      </c>
      <c r="E273" t="s">
        <v>94</v>
      </c>
      <c r="F273" s="283">
        <v>1999</v>
      </c>
      <c r="G273" s="284">
        <v>478455</v>
      </c>
      <c r="H273" s="284">
        <v>2385310</v>
      </c>
      <c r="I273" s="284">
        <v>460274</v>
      </c>
      <c r="J273" s="284">
        <v>19046</v>
      </c>
      <c r="K273" t="s">
        <v>94</v>
      </c>
    </row>
    <row r="274" spans="1:11">
      <c r="A274" s="2" t="str">
        <f t="shared" si="4"/>
        <v>4542000</v>
      </c>
      <c r="B274" t="s">
        <v>93</v>
      </c>
      <c r="C274">
        <v>454</v>
      </c>
      <c r="D274">
        <v>1270</v>
      </c>
      <c r="E274" t="s">
        <v>94</v>
      </c>
      <c r="F274" s="283">
        <v>2000</v>
      </c>
      <c r="G274">
        <v>486223</v>
      </c>
      <c r="H274">
        <v>2441410</v>
      </c>
      <c r="I274">
        <v>467809</v>
      </c>
      <c r="J274">
        <v>19156</v>
      </c>
      <c r="K274" t="s">
        <v>94</v>
      </c>
    </row>
    <row r="275" spans="1:11">
      <c r="A275" s="2" t="str">
        <f t="shared" si="4"/>
        <v>4542001</v>
      </c>
      <c r="B275" t="s">
        <v>93</v>
      </c>
      <c r="C275">
        <v>454</v>
      </c>
      <c r="D275">
        <v>1270</v>
      </c>
      <c r="E275" t="s">
        <v>94</v>
      </c>
      <c r="F275" s="283">
        <v>2001</v>
      </c>
      <c r="G275">
        <v>494151</v>
      </c>
      <c r="H275">
        <v>2504640</v>
      </c>
      <c r="I275">
        <v>471389</v>
      </c>
      <c r="J275">
        <v>19053</v>
      </c>
      <c r="K275" t="s">
        <v>94</v>
      </c>
    </row>
    <row r="276" spans="1:11">
      <c r="A276" s="2" t="str">
        <f t="shared" si="4"/>
        <v>4542002</v>
      </c>
      <c r="B276" t="s">
        <v>93</v>
      </c>
      <c r="C276">
        <v>454</v>
      </c>
      <c r="D276">
        <v>1270</v>
      </c>
      <c r="E276" t="s">
        <v>94</v>
      </c>
      <c r="F276" s="283">
        <v>2002</v>
      </c>
      <c r="G276" s="284">
        <v>502845</v>
      </c>
      <c r="H276" s="284">
        <v>2576780</v>
      </c>
      <c r="I276" s="284">
        <v>471842</v>
      </c>
      <c r="J276" s="284">
        <v>18728</v>
      </c>
      <c r="K276" t="s">
        <v>94</v>
      </c>
    </row>
    <row r="277" spans="1:11">
      <c r="A277" s="2" t="str">
        <f t="shared" si="4"/>
        <v>4542003</v>
      </c>
      <c r="B277" t="s">
        <v>93</v>
      </c>
      <c r="C277">
        <v>454</v>
      </c>
      <c r="D277">
        <v>1270</v>
      </c>
      <c r="E277" t="s">
        <v>94</v>
      </c>
      <c r="F277" s="283">
        <v>2003</v>
      </c>
      <c r="G277" s="284">
        <v>512948</v>
      </c>
      <c r="H277" s="284">
        <v>2657370</v>
      </c>
      <c r="I277" s="284">
        <v>469431</v>
      </c>
      <c r="J277" s="284">
        <v>18287</v>
      </c>
      <c r="K277" t="s">
        <v>94</v>
      </c>
    </row>
    <row r="278" spans="1:11">
      <c r="A278" s="2" t="str">
        <f t="shared" si="4"/>
        <v>4542004</v>
      </c>
      <c r="B278" t="s">
        <v>93</v>
      </c>
      <c r="C278">
        <v>454</v>
      </c>
      <c r="D278">
        <v>1270</v>
      </c>
      <c r="E278" t="s">
        <v>94</v>
      </c>
      <c r="F278" s="283">
        <v>2004</v>
      </c>
      <c r="G278" s="284">
        <v>524487</v>
      </c>
      <c r="H278" s="284">
        <v>2743870</v>
      </c>
      <c r="I278" s="284">
        <v>464996</v>
      </c>
      <c r="J278" s="284">
        <v>17686</v>
      </c>
      <c r="K278" t="s">
        <v>94</v>
      </c>
    </row>
    <row r="279" spans="1:11">
      <c r="A279" s="2" t="str">
        <f t="shared" si="4"/>
        <v>4542005</v>
      </c>
      <c r="B279" t="s">
        <v>93</v>
      </c>
      <c r="C279">
        <v>454</v>
      </c>
      <c r="D279">
        <v>1270</v>
      </c>
      <c r="E279" t="s">
        <v>94</v>
      </c>
      <c r="F279" s="283">
        <v>2005</v>
      </c>
      <c r="G279" s="284">
        <v>536793</v>
      </c>
      <c r="H279" s="284">
        <v>2834730</v>
      </c>
      <c r="I279" s="284">
        <v>459654</v>
      </c>
      <c r="J279" s="284">
        <v>16888</v>
      </c>
      <c r="K279" t="s">
        <v>94</v>
      </c>
    </row>
    <row r="280" spans="1:11">
      <c r="A280" s="2" t="str">
        <f t="shared" si="4"/>
        <v>4542006</v>
      </c>
      <c r="B280" t="s">
        <v>93</v>
      </c>
      <c r="C280">
        <v>454</v>
      </c>
      <c r="D280">
        <v>1270</v>
      </c>
      <c r="E280" t="s">
        <v>94</v>
      </c>
      <c r="F280" s="283">
        <v>2006</v>
      </c>
      <c r="G280" s="284">
        <v>549271</v>
      </c>
      <c r="H280" s="284">
        <v>2929100</v>
      </c>
      <c r="I280" s="284">
        <v>454282</v>
      </c>
      <c r="J280" s="284">
        <v>15874</v>
      </c>
      <c r="K280" t="s">
        <v>94</v>
      </c>
    </row>
    <row r="281" spans="1:11">
      <c r="A281" s="2" t="str">
        <f t="shared" si="4"/>
        <v>4542007</v>
      </c>
      <c r="B281" t="s">
        <v>93</v>
      </c>
      <c r="C281">
        <v>454</v>
      </c>
      <c r="D281">
        <v>1270</v>
      </c>
      <c r="E281" t="s">
        <v>94</v>
      </c>
      <c r="F281" s="283">
        <v>2007</v>
      </c>
      <c r="G281" s="284">
        <v>561560</v>
      </c>
      <c r="H281" s="284">
        <v>3027690</v>
      </c>
      <c r="I281" s="284">
        <v>450450</v>
      </c>
      <c r="J281" s="284">
        <v>14968</v>
      </c>
      <c r="K281" t="s">
        <v>94</v>
      </c>
    </row>
    <row r="282" spans="1:11">
      <c r="A282" s="2" t="str">
        <f t="shared" si="4"/>
        <v>4542008</v>
      </c>
      <c r="B282" t="s">
        <v>93</v>
      </c>
      <c r="C282">
        <v>454</v>
      </c>
      <c r="D282">
        <v>1270</v>
      </c>
      <c r="E282" t="s">
        <v>94</v>
      </c>
      <c r="F282" s="283">
        <v>2008</v>
      </c>
      <c r="G282" s="284">
        <v>572726</v>
      </c>
      <c r="H282" s="284">
        <v>3131700</v>
      </c>
      <c r="I282" s="284">
        <v>448472</v>
      </c>
      <c r="J282" s="284">
        <v>12913</v>
      </c>
      <c r="K282" t="s">
        <v>94</v>
      </c>
    </row>
    <row r="283" spans="1:11">
      <c r="A283" s="2" t="str">
        <f t="shared" si="4"/>
        <v>4542009</v>
      </c>
      <c r="B283" t="s">
        <v>93</v>
      </c>
      <c r="C283">
        <v>454</v>
      </c>
      <c r="D283">
        <v>1270</v>
      </c>
      <c r="E283" t="s">
        <v>94</v>
      </c>
      <c r="F283" s="283">
        <v>2009</v>
      </c>
      <c r="G283" s="284">
        <v>582704</v>
      </c>
      <c r="H283" s="284">
        <v>3242290</v>
      </c>
      <c r="I283" s="284">
        <v>448154</v>
      </c>
      <c r="J283" s="284">
        <v>12004</v>
      </c>
      <c r="K283" t="s">
        <v>94</v>
      </c>
    </row>
    <row r="284" spans="1:11">
      <c r="A284" s="2" t="str">
        <f t="shared" si="4"/>
        <v>4542010</v>
      </c>
      <c r="B284" t="s">
        <v>93</v>
      </c>
      <c r="C284">
        <v>454</v>
      </c>
      <c r="D284">
        <v>1270</v>
      </c>
      <c r="E284" t="s">
        <v>94</v>
      </c>
      <c r="F284" s="283">
        <v>2010</v>
      </c>
      <c r="G284" s="284">
        <v>592306</v>
      </c>
      <c r="H284" s="284">
        <v>3360260</v>
      </c>
      <c r="I284" s="284">
        <v>448912</v>
      </c>
      <c r="J284" s="284">
        <v>11505</v>
      </c>
      <c r="K284" t="s">
        <v>94</v>
      </c>
    </row>
    <row r="285" spans="1:11">
      <c r="A285" s="2" t="str">
        <f t="shared" si="4"/>
        <v>4542011</v>
      </c>
      <c r="B285" t="s">
        <v>93</v>
      </c>
      <c r="C285">
        <v>454</v>
      </c>
      <c r="D285">
        <v>1270</v>
      </c>
      <c r="E285" t="s">
        <v>94</v>
      </c>
      <c r="F285" s="283">
        <v>2011</v>
      </c>
      <c r="G285" s="284">
        <v>602135</v>
      </c>
      <c r="H285" s="284">
        <v>3484870</v>
      </c>
      <c r="I285" s="284">
        <v>449678</v>
      </c>
      <c r="J285" s="284">
        <v>8911</v>
      </c>
      <c r="K285" t="s">
        <v>94</v>
      </c>
    </row>
    <row r="286" spans="1:11">
      <c r="A286" s="2" t="str">
        <f t="shared" si="4"/>
        <v>4542012</v>
      </c>
      <c r="B286" t="s">
        <v>93</v>
      </c>
      <c r="C286">
        <v>454</v>
      </c>
      <c r="D286">
        <v>1270</v>
      </c>
      <c r="E286" t="s">
        <v>94</v>
      </c>
      <c r="F286" s="283">
        <v>2012</v>
      </c>
      <c r="G286" s="284">
        <v>613252</v>
      </c>
      <c r="H286" s="284">
        <v>3615140</v>
      </c>
      <c r="I286" s="284">
        <v>449854</v>
      </c>
      <c r="J286" s="284">
        <v>7223</v>
      </c>
      <c r="K286" t="s">
        <v>94</v>
      </c>
    </row>
    <row r="287" spans="1:11">
      <c r="A287" s="2" t="str">
        <f t="shared" si="4"/>
        <v>4542013</v>
      </c>
      <c r="B287" t="s">
        <v>93</v>
      </c>
      <c r="C287">
        <v>454</v>
      </c>
      <c r="D287">
        <v>1270</v>
      </c>
      <c r="E287" t="s">
        <v>94</v>
      </c>
      <c r="F287" s="283">
        <v>2013</v>
      </c>
      <c r="G287" s="284">
        <v>625916</v>
      </c>
      <c r="H287" s="284">
        <v>3750680</v>
      </c>
      <c r="I287" s="284">
        <v>450300</v>
      </c>
      <c r="J287" s="284">
        <v>5858</v>
      </c>
      <c r="K287" t="s">
        <v>94</v>
      </c>
    </row>
    <row r="288" spans="1:11">
      <c r="A288" s="2" t="str">
        <f t="shared" si="4"/>
        <v>4542014</v>
      </c>
      <c r="B288" t="s">
        <v>93</v>
      </c>
      <c r="C288">
        <v>454</v>
      </c>
      <c r="D288">
        <v>1270</v>
      </c>
      <c r="E288" t="s">
        <v>94</v>
      </c>
      <c r="F288" s="283">
        <v>2014</v>
      </c>
      <c r="G288" s="284">
        <v>639285</v>
      </c>
      <c r="H288" s="284">
        <v>3890120</v>
      </c>
      <c r="I288" s="284">
        <v>450385</v>
      </c>
      <c r="J288" s="284">
        <v>5016</v>
      </c>
      <c r="K288" t="s">
        <v>94</v>
      </c>
    </row>
    <row r="289" spans="1:11">
      <c r="A289" s="2" t="str">
        <f t="shared" si="4"/>
        <v>4542015</v>
      </c>
      <c r="B289" t="s">
        <v>93</v>
      </c>
      <c r="C289">
        <v>454</v>
      </c>
      <c r="D289">
        <v>1270</v>
      </c>
      <c r="E289" t="s">
        <v>94</v>
      </c>
      <c r="F289" s="283">
        <v>2015</v>
      </c>
      <c r="G289" s="284">
        <v>653014</v>
      </c>
      <c r="H289" s="284">
        <v>4032110</v>
      </c>
      <c r="I289" s="284">
        <v>449233</v>
      </c>
      <c r="J289" s="284">
        <v>3519</v>
      </c>
      <c r="K289" t="s">
        <v>94</v>
      </c>
    </row>
    <row r="290" spans="1:11">
      <c r="A290" s="2" t="str">
        <f t="shared" si="4"/>
        <v>5081980</v>
      </c>
      <c r="B290" t="s">
        <v>95</v>
      </c>
      <c r="C290">
        <v>508</v>
      </c>
      <c r="D290">
        <v>1320</v>
      </c>
      <c r="E290" t="s">
        <v>96</v>
      </c>
      <c r="F290" s="283">
        <v>1980</v>
      </c>
      <c r="G290" s="284">
        <v>537772</v>
      </c>
      <c r="H290" s="284">
        <v>2498350</v>
      </c>
      <c r="I290" s="284">
        <v>1692</v>
      </c>
      <c r="J290" s="284">
        <v>75</v>
      </c>
      <c r="K290" t="s">
        <v>96</v>
      </c>
    </row>
    <row r="291" spans="1:11">
      <c r="A291" s="2" t="str">
        <f t="shared" si="4"/>
        <v>5081981</v>
      </c>
      <c r="B291" t="s">
        <v>95</v>
      </c>
      <c r="C291">
        <v>508</v>
      </c>
      <c r="D291">
        <v>1320</v>
      </c>
      <c r="E291" t="s">
        <v>96</v>
      </c>
      <c r="F291" s="283">
        <v>1981</v>
      </c>
      <c r="G291" s="284">
        <v>547559</v>
      </c>
      <c r="H291" s="284">
        <v>2542470</v>
      </c>
      <c r="I291" s="284">
        <v>2254</v>
      </c>
      <c r="J291" s="284">
        <v>99</v>
      </c>
      <c r="K291" t="s">
        <v>96</v>
      </c>
    </row>
    <row r="292" spans="1:11">
      <c r="A292" s="2" t="str">
        <f t="shared" si="4"/>
        <v>5081982</v>
      </c>
      <c r="B292" t="s">
        <v>95</v>
      </c>
      <c r="C292">
        <v>508</v>
      </c>
      <c r="D292">
        <v>1320</v>
      </c>
      <c r="E292" t="s">
        <v>96</v>
      </c>
      <c r="F292" s="283">
        <v>1982</v>
      </c>
      <c r="G292" s="284">
        <v>554940</v>
      </c>
      <c r="H292" s="284">
        <v>2577550</v>
      </c>
      <c r="I292" s="284">
        <v>2972</v>
      </c>
      <c r="J292" s="284">
        <v>130</v>
      </c>
      <c r="K292" t="s">
        <v>96</v>
      </c>
    </row>
    <row r="293" spans="1:11">
      <c r="A293" s="2" t="str">
        <f t="shared" si="4"/>
        <v>5081983</v>
      </c>
      <c r="B293" t="s">
        <v>95</v>
      </c>
      <c r="C293">
        <v>508</v>
      </c>
      <c r="D293">
        <v>1320</v>
      </c>
      <c r="E293" t="s">
        <v>96</v>
      </c>
      <c r="F293" s="283">
        <v>1983</v>
      </c>
      <c r="G293" s="284">
        <v>559971</v>
      </c>
      <c r="H293" s="284">
        <v>2604530</v>
      </c>
      <c r="I293" s="284">
        <v>3908</v>
      </c>
      <c r="J293" s="284">
        <v>171</v>
      </c>
      <c r="K293" t="s">
        <v>96</v>
      </c>
    </row>
    <row r="294" spans="1:11">
      <c r="A294" s="2" t="str">
        <f t="shared" si="4"/>
        <v>5081984</v>
      </c>
      <c r="B294" t="s">
        <v>95</v>
      </c>
      <c r="C294">
        <v>508</v>
      </c>
      <c r="D294">
        <v>1320</v>
      </c>
      <c r="E294" t="s">
        <v>96</v>
      </c>
      <c r="F294" s="283">
        <v>1984</v>
      </c>
      <c r="G294" s="284">
        <v>562636</v>
      </c>
      <c r="H294" s="284">
        <v>2618690</v>
      </c>
      <c r="I294" s="284">
        <v>5423</v>
      </c>
      <c r="J294" s="284">
        <v>243</v>
      </c>
      <c r="K294" t="s">
        <v>96</v>
      </c>
    </row>
    <row r="295" spans="1:11">
      <c r="A295" s="2" t="str">
        <f t="shared" si="4"/>
        <v>5081985</v>
      </c>
      <c r="B295" t="s">
        <v>95</v>
      </c>
      <c r="C295">
        <v>508</v>
      </c>
      <c r="D295">
        <v>1320</v>
      </c>
      <c r="E295" t="s">
        <v>96</v>
      </c>
      <c r="F295" s="283">
        <v>1985</v>
      </c>
      <c r="G295" s="284">
        <v>559318</v>
      </c>
      <c r="H295" s="284">
        <v>2597560</v>
      </c>
      <c r="I295" s="284">
        <v>7655</v>
      </c>
      <c r="J295" s="284">
        <v>350</v>
      </c>
      <c r="K295" t="s">
        <v>96</v>
      </c>
    </row>
    <row r="296" spans="1:11">
      <c r="A296" s="2" t="str">
        <f t="shared" si="4"/>
        <v>5081986</v>
      </c>
      <c r="B296" t="s">
        <v>95</v>
      </c>
      <c r="C296">
        <v>508</v>
      </c>
      <c r="D296">
        <v>1320</v>
      </c>
      <c r="E296" t="s">
        <v>96</v>
      </c>
      <c r="F296" s="283">
        <v>1986</v>
      </c>
      <c r="G296" s="284">
        <v>550908</v>
      </c>
      <c r="H296" s="284">
        <v>2570480</v>
      </c>
      <c r="I296" s="284">
        <v>10685</v>
      </c>
      <c r="J296" s="284">
        <v>492</v>
      </c>
      <c r="K296" t="s">
        <v>96</v>
      </c>
    </row>
    <row r="297" spans="1:11">
      <c r="A297" s="2" t="str">
        <f t="shared" si="4"/>
        <v>5081987</v>
      </c>
      <c r="B297" t="s">
        <v>95</v>
      </c>
      <c r="C297">
        <v>508</v>
      </c>
      <c r="D297">
        <v>1320</v>
      </c>
      <c r="E297" t="s">
        <v>96</v>
      </c>
      <c r="F297" s="283">
        <v>1987</v>
      </c>
      <c r="G297" s="284">
        <v>541585</v>
      </c>
      <c r="H297" s="284">
        <v>2539820</v>
      </c>
      <c r="I297" s="284">
        <v>14737</v>
      </c>
      <c r="J297" s="284">
        <v>679</v>
      </c>
      <c r="K297" t="s">
        <v>96</v>
      </c>
    </row>
    <row r="298" spans="1:11">
      <c r="A298" s="2" t="str">
        <f t="shared" si="4"/>
        <v>5081988</v>
      </c>
      <c r="B298" t="s">
        <v>95</v>
      </c>
      <c r="C298">
        <v>508</v>
      </c>
      <c r="D298">
        <v>1320</v>
      </c>
      <c r="E298" t="s">
        <v>96</v>
      </c>
      <c r="F298" s="283">
        <v>1988</v>
      </c>
      <c r="G298" s="284">
        <v>534660</v>
      </c>
      <c r="H298" s="284">
        <v>2530940</v>
      </c>
      <c r="I298" s="284">
        <v>19947</v>
      </c>
      <c r="J298" s="284">
        <v>913</v>
      </c>
      <c r="K298" t="s">
        <v>96</v>
      </c>
    </row>
    <row r="299" spans="1:11">
      <c r="A299" s="2" t="str">
        <f t="shared" si="4"/>
        <v>5081989</v>
      </c>
      <c r="B299" t="s">
        <v>95</v>
      </c>
      <c r="C299">
        <v>508</v>
      </c>
      <c r="D299">
        <v>1320</v>
      </c>
      <c r="E299" t="s">
        <v>96</v>
      </c>
      <c r="F299" s="283">
        <v>1989</v>
      </c>
      <c r="G299" s="284">
        <v>537134</v>
      </c>
      <c r="H299" s="284">
        <v>2573870</v>
      </c>
      <c r="I299" s="284">
        <v>26864</v>
      </c>
      <c r="J299" s="284">
        <v>1213</v>
      </c>
      <c r="K299" t="s">
        <v>96</v>
      </c>
    </row>
    <row r="300" spans="1:11">
      <c r="A300" s="2" t="str">
        <f t="shared" si="4"/>
        <v>5081990</v>
      </c>
      <c r="B300" t="s">
        <v>95</v>
      </c>
      <c r="C300">
        <v>508</v>
      </c>
      <c r="D300">
        <v>1320</v>
      </c>
      <c r="E300" t="s">
        <v>96</v>
      </c>
      <c r="F300" s="283">
        <v>1990</v>
      </c>
      <c r="G300" s="284">
        <v>553568</v>
      </c>
      <c r="H300" s="284">
        <v>2677930</v>
      </c>
      <c r="I300" s="284">
        <v>36102</v>
      </c>
      <c r="J300" s="284">
        <v>1605</v>
      </c>
      <c r="K300" t="s">
        <v>96</v>
      </c>
    </row>
    <row r="301" spans="1:11">
      <c r="A301" s="2" t="str">
        <f t="shared" si="4"/>
        <v>5081991</v>
      </c>
      <c r="B301" t="s">
        <v>95</v>
      </c>
      <c r="C301">
        <v>508</v>
      </c>
      <c r="D301">
        <v>1320</v>
      </c>
      <c r="E301" t="s">
        <v>96</v>
      </c>
      <c r="F301" s="283">
        <v>1991</v>
      </c>
      <c r="G301" s="284">
        <v>583710</v>
      </c>
      <c r="H301" s="284">
        <v>2828380</v>
      </c>
      <c r="I301" s="284">
        <v>48377</v>
      </c>
      <c r="J301" s="284">
        <v>2131</v>
      </c>
      <c r="K301" t="s">
        <v>96</v>
      </c>
    </row>
    <row r="302" spans="1:11">
      <c r="A302" s="2" t="str">
        <f t="shared" si="4"/>
        <v>5081992</v>
      </c>
      <c r="B302" t="s">
        <v>95</v>
      </c>
      <c r="C302">
        <v>508</v>
      </c>
      <c r="D302">
        <v>1320</v>
      </c>
      <c r="E302" t="s">
        <v>96</v>
      </c>
      <c r="F302" s="283">
        <v>1992</v>
      </c>
      <c r="G302" s="284">
        <v>622152</v>
      </c>
      <c r="H302" s="284">
        <v>2998670</v>
      </c>
      <c r="I302" s="284">
        <v>64436</v>
      </c>
      <c r="J302" s="284">
        <v>2832</v>
      </c>
      <c r="K302" t="s">
        <v>96</v>
      </c>
    </row>
    <row r="303" spans="1:11">
      <c r="A303" s="2" t="str">
        <f t="shared" si="4"/>
        <v>5081993</v>
      </c>
      <c r="B303" t="s">
        <v>95</v>
      </c>
      <c r="C303">
        <v>508</v>
      </c>
      <c r="D303">
        <v>1320</v>
      </c>
      <c r="E303" t="s">
        <v>96</v>
      </c>
      <c r="F303" s="283">
        <v>1993</v>
      </c>
      <c r="G303" s="284">
        <v>661473</v>
      </c>
      <c r="H303" s="284">
        <v>3162420</v>
      </c>
      <c r="I303" s="284">
        <v>84484</v>
      </c>
      <c r="J303" s="284">
        <v>3718</v>
      </c>
      <c r="K303" t="s">
        <v>96</v>
      </c>
    </row>
    <row r="304" spans="1:11">
      <c r="A304" s="2" t="str">
        <f t="shared" si="4"/>
        <v>5081994</v>
      </c>
      <c r="B304" t="s">
        <v>95</v>
      </c>
      <c r="C304">
        <v>508</v>
      </c>
      <c r="D304">
        <v>1320</v>
      </c>
      <c r="E304" t="s">
        <v>96</v>
      </c>
      <c r="F304" s="283">
        <v>1994</v>
      </c>
      <c r="G304" s="284">
        <v>696262</v>
      </c>
      <c r="H304" s="284">
        <v>3309190</v>
      </c>
      <c r="I304" s="284">
        <v>108809</v>
      </c>
      <c r="J304" s="284">
        <v>4784</v>
      </c>
      <c r="K304" t="s">
        <v>96</v>
      </c>
    </row>
    <row r="305" spans="1:11">
      <c r="A305" s="2" t="str">
        <f t="shared" si="4"/>
        <v>5081995</v>
      </c>
      <c r="B305" t="s">
        <v>95</v>
      </c>
      <c r="C305">
        <v>508</v>
      </c>
      <c r="D305">
        <v>1320</v>
      </c>
      <c r="E305" t="s">
        <v>96</v>
      </c>
      <c r="F305" s="283">
        <v>1995</v>
      </c>
      <c r="G305" s="284">
        <v>722745</v>
      </c>
      <c r="H305" s="284">
        <v>3415470</v>
      </c>
      <c r="I305" s="284">
        <v>136689</v>
      </c>
      <c r="J305" s="284">
        <v>5999</v>
      </c>
      <c r="K305" t="s">
        <v>96</v>
      </c>
    </row>
    <row r="306" spans="1:11">
      <c r="A306" s="2" t="str">
        <f t="shared" si="4"/>
        <v>5081996</v>
      </c>
      <c r="B306" t="s">
        <v>95</v>
      </c>
      <c r="C306">
        <v>508</v>
      </c>
      <c r="D306">
        <v>1320</v>
      </c>
      <c r="E306" t="s">
        <v>96</v>
      </c>
      <c r="F306" s="283">
        <v>1996</v>
      </c>
      <c r="G306" s="284">
        <v>740873</v>
      </c>
      <c r="H306" s="284">
        <v>3511200</v>
      </c>
      <c r="I306" s="284">
        <v>168661</v>
      </c>
      <c r="J306" s="284">
        <v>7317</v>
      </c>
      <c r="K306" t="s">
        <v>96</v>
      </c>
    </row>
    <row r="307" spans="1:11">
      <c r="A307" s="2" t="str">
        <f t="shared" si="4"/>
        <v>5081997</v>
      </c>
      <c r="B307" t="s">
        <v>95</v>
      </c>
      <c r="C307">
        <v>508</v>
      </c>
      <c r="D307">
        <v>1320</v>
      </c>
      <c r="E307" t="s">
        <v>96</v>
      </c>
      <c r="F307" s="283">
        <v>1997</v>
      </c>
      <c r="G307" s="284">
        <v>755556</v>
      </c>
      <c r="H307" s="284">
        <v>3602940</v>
      </c>
      <c r="I307" s="284">
        <v>204340</v>
      </c>
      <c r="J307" s="284">
        <v>8725</v>
      </c>
      <c r="K307" t="s">
        <v>96</v>
      </c>
    </row>
    <row r="308" spans="1:11">
      <c r="A308" s="2" t="str">
        <f t="shared" si="4"/>
        <v>5081998</v>
      </c>
      <c r="B308" t="s">
        <v>95</v>
      </c>
      <c r="C308">
        <v>508</v>
      </c>
      <c r="D308">
        <v>1320</v>
      </c>
      <c r="E308" t="s">
        <v>96</v>
      </c>
      <c r="F308" s="283">
        <v>1998</v>
      </c>
      <c r="G308" s="284">
        <v>767015</v>
      </c>
      <c r="H308" s="284">
        <v>3694310</v>
      </c>
      <c r="I308" s="284">
        <v>243799</v>
      </c>
      <c r="J308" s="284">
        <v>10259</v>
      </c>
      <c r="K308" t="s">
        <v>96</v>
      </c>
    </row>
    <row r="309" spans="1:11">
      <c r="A309" s="2" t="str">
        <f t="shared" si="4"/>
        <v>5081999</v>
      </c>
      <c r="B309" t="s">
        <v>95</v>
      </c>
      <c r="C309">
        <v>508</v>
      </c>
      <c r="D309">
        <v>1320</v>
      </c>
      <c r="E309" t="s">
        <v>96</v>
      </c>
      <c r="F309" s="283">
        <v>1999</v>
      </c>
      <c r="G309" s="284">
        <v>777764</v>
      </c>
      <c r="H309" s="284">
        <v>3784550</v>
      </c>
      <c r="I309" s="284">
        <v>285646</v>
      </c>
      <c r="J309" s="284">
        <v>11807</v>
      </c>
      <c r="K309" t="s">
        <v>96</v>
      </c>
    </row>
    <row r="310" spans="1:11">
      <c r="A310" s="2" t="str">
        <f t="shared" si="4"/>
        <v>5082000</v>
      </c>
      <c r="B310" t="s">
        <v>95</v>
      </c>
      <c r="C310">
        <v>508</v>
      </c>
      <c r="D310">
        <v>1320</v>
      </c>
      <c r="E310" t="s">
        <v>96</v>
      </c>
      <c r="F310" s="283">
        <v>2000</v>
      </c>
      <c r="G310" s="284">
        <v>790493</v>
      </c>
      <c r="H310" s="284">
        <v>3874720</v>
      </c>
      <c r="I310" s="284">
        <v>328085</v>
      </c>
      <c r="J310" s="284">
        <v>13345</v>
      </c>
      <c r="K310" t="s">
        <v>96</v>
      </c>
    </row>
    <row r="311" spans="1:11">
      <c r="A311" s="2" t="str">
        <f t="shared" si="4"/>
        <v>5082001</v>
      </c>
      <c r="B311" t="s">
        <v>95</v>
      </c>
      <c r="C311">
        <v>508</v>
      </c>
      <c r="D311">
        <v>1320</v>
      </c>
      <c r="E311" t="s">
        <v>96</v>
      </c>
      <c r="F311" s="283">
        <v>2001</v>
      </c>
      <c r="G311" s="284">
        <v>802479</v>
      </c>
      <c r="H311" s="284">
        <v>3965810</v>
      </c>
      <c r="I311" s="284">
        <v>370308</v>
      </c>
      <c r="J311" s="284">
        <v>14797</v>
      </c>
      <c r="K311" t="s">
        <v>96</v>
      </c>
    </row>
    <row r="312" spans="1:11">
      <c r="A312" s="2" t="str">
        <f t="shared" si="4"/>
        <v>5082002</v>
      </c>
      <c r="B312" t="s">
        <v>95</v>
      </c>
      <c r="C312">
        <v>508</v>
      </c>
      <c r="D312">
        <v>1320</v>
      </c>
      <c r="E312" t="s">
        <v>96</v>
      </c>
      <c r="F312" s="283">
        <v>2002</v>
      </c>
      <c r="G312" s="284">
        <v>814259</v>
      </c>
      <c r="H312" s="284">
        <v>4058990</v>
      </c>
      <c r="I312" s="284">
        <v>411220</v>
      </c>
      <c r="J312" s="284">
        <v>16096</v>
      </c>
      <c r="K312" t="s">
        <v>96</v>
      </c>
    </row>
    <row r="313" spans="1:11">
      <c r="A313" s="2" t="str">
        <f t="shared" si="4"/>
        <v>5082003</v>
      </c>
      <c r="B313" t="s">
        <v>95</v>
      </c>
      <c r="C313">
        <v>508</v>
      </c>
      <c r="D313">
        <v>1320</v>
      </c>
      <c r="E313" t="s">
        <v>96</v>
      </c>
      <c r="F313" s="283">
        <v>2003</v>
      </c>
      <c r="G313" s="284">
        <v>826871</v>
      </c>
      <c r="H313" s="284">
        <v>4157570</v>
      </c>
      <c r="I313" s="284">
        <v>449509</v>
      </c>
      <c r="J313" s="284">
        <v>17134</v>
      </c>
      <c r="K313" t="s">
        <v>96</v>
      </c>
    </row>
    <row r="314" spans="1:11">
      <c r="A314" s="2" t="str">
        <f t="shared" si="4"/>
        <v>5082004</v>
      </c>
      <c r="B314" t="s">
        <v>95</v>
      </c>
      <c r="C314">
        <v>508</v>
      </c>
      <c r="D314">
        <v>1320</v>
      </c>
      <c r="E314" t="s">
        <v>96</v>
      </c>
      <c r="F314" s="283">
        <v>2004</v>
      </c>
      <c r="G314" s="284">
        <v>840505</v>
      </c>
      <c r="H314" s="284">
        <v>4264970</v>
      </c>
      <c r="I314" s="284">
        <v>484401</v>
      </c>
      <c r="J314" s="284">
        <v>17908</v>
      </c>
      <c r="K314" t="s">
        <v>96</v>
      </c>
    </row>
    <row r="315" spans="1:11">
      <c r="A315" s="2" t="str">
        <f t="shared" si="4"/>
        <v>5082005</v>
      </c>
      <c r="B315" t="s">
        <v>95</v>
      </c>
      <c r="C315">
        <v>508</v>
      </c>
      <c r="D315">
        <v>1320</v>
      </c>
      <c r="E315" t="s">
        <v>96</v>
      </c>
      <c r="F315" s="283">
        <v>2005</v>
      </c>
      <c r="G315" s="284">
        <v>855884</v>
      </c>
      <c r="H315" s="284">
        <v>4380660</v>
      </c>
      <c r="I315" s="284">
        <v>516170</v>
      </c>
      <c r="J315" s="284">
        <v>18410</v>
      </c>
      <c r="K315" t="s">
        <v>96</v>
      </c>
    </row>
    <row r="316" spans="1:11">
      <c r="A316" s="2" t="str">
        <f t="shared" si="4"/>
        <v>5082006</v>
      </c>
      <c r="B316" t="s">
        <v>95</v>
      </c>
      <c r="C316">
        <v>508</v>
      </c>
      <c r="D316">
        <v>1320</v>
      </c>
      <c r="E316" t="s">
        <v>96</v>
      </c>
      <c r="F316" s="283">
        <v>2006</v>
      </c>
      <c r="G316" s="284">
        <v>872889</v>
      </c>
      <c r="H316" s="284">
        <v>4504430</v>
      </c>
      <c r="I316" s="284">
        <v>544433</v>
      </c>
      <c r="J316" s="284">
        <v>20623</v>
      </c>
      <c r="K316" t="s">
        <v>96</v>
      </c>
    </row>
    <row r="317" spans="1:11">
      <c r="A317" s="2" t="str">
        <f t="shared" si="4"/>
        <v>5082007</v>
      </c>
      <c r="B317" t="s">
        <v>95</v>
      </c>
      <c r="C317">
        <v>508</v>
      </c>
      <c r="D317">
        <v>1320</v>
      </c>
      <c r="E317" t="s">
        <v>96</v>
      </c>
      <c r="F317" s="283">
        <v>2007</v>
      </c>
      <c r="G317" s="284">
        <v>892426</v>
      </c>
      <c r="H317" s="284">
        <v>4638440</v>
      </c>
      <c r="I317" s="284">
        <v>571293</v>
      </c>
      <c r="J317" s="284">
        <v>19416</v>
      </c>
      <c r="K317" t="s">
        <v>96</v>
      </c>
    </row>
    <row r="318" spans="1:11">
      <c r="A318" s="2" t="str">
        <f t="shared" si="4"/>
        <v>5082008</v>
      </c>
      <c r="B318" t="s">
        <v>95</v>
      </c>
      <c r="C318">
        <v>508</v>
      </c>
      <c r="D318">
        <v>1320</v>
      </c>
      <c r="E318" t="s">
        <v>96</v>
      </c>
      <c r="F318" s="283">
        <v>2008</v>
      </c>
      <c r="G318" s="284">
        <v>911976</v>
      </c>
      <c r="H318" s="284">
        <v>4784130</v>
      </c>
      <c r="I318" s="284">
        <v>598891</v>
      </c>
      <c r="J318" s="284">
        <v>21415</v>
      </c>
      <c r="K318" t="s">
        <v>96</v>
      </c>
    </row>
    <row r="319" spans="1:11">
      <c r="A319" s="2" t="str">
        <f t="shared" si="4"/>
        <v>5082009</v>
      </c>
      <c r="B319" t="s">
        <v>95</v>
      </c>
      <c r="C319">
        <v>508</v>
      </c>
      <c r="D319">
        <v>1320</v>
      </c>
      <c r="E319" t="s">
        <v>96</v>
      </c>
      <c r="F319" s="283">
        <v>2009</v>
      </c>
      <c r="G319" s="284">
        <v>933662</v>
      </c>
      <c r="H319" s="284">
        <v>4937840</v>
      </c>
      <c r="I319" s="284">
        <v>625218</v>
      </c>
      <c r="J319" s="284">
        <v>19667</v>
      </c>
      <c r="K319" t="s">
        <v>96</v>
      </c>
    </row>
    <row r="320" spans="1:11">
      <c r="A320" s="2" t="str">
        <f t="shared" si="4"/>
        <v>5082010</v>
      </c>
      <c r="B320" t="s">
        <v>95</v>
      </c>
      <c r="C320">
        <v>508</v>
      </c>
      <c r="D320">
        <v>1320</v>
      </c>
      <c r="E320" t="s">
        <v>96</v>
      </c>
      <c r="F320" s="283">
        <v>2010</v>
      </c>
      <c r="G320" s="284">
        <v>956598</v>
      </c>
      <c r="H320" s="284">
        <v>5096340</v>
      </c>
      <c r="I320" s="284">
        <v>647966</v>
      </c>
      <c r="J320" s="284">
        <v>22769</v>
      </c>
      <c r="K320" t="s">
        <v>96</v>
      </c>
    </row>
    <row r="321" spans="1:11">
      <c r="A321" s="2" t="str">
        <f t="shared" si="4"/>
        <v>5082011</v>
      </c>
      <c r="B321" t="s">
        <v>95</v>
      </c>
      <c r="C321">
        <v>508</v>
      </c>
      <c r="D321">
        <v>1320</v>
      </c>
      <c r="E321" t="s">
        <v>96</v>
      </c>
      <c r="F321" s="283">
        <v>2011</v>
      </c>
      <c r="G321" s="284">
        <v>976960</v>
      </c>
      <c r="H321" s="284">
        <v>5258920</v>
      </c>
      <c r="I321" s="284">
        <v>668170</v>
      </c>
      <c r="J321" s="284">
        <v>19233</v>
      </c>
      <c r="K321" t="s">
        <v>96</v>
      </c>
    </row>
    <row r="322" spans="1:11">
      <c r="A322" s="2" t="str">
        <f t="shared" si="4"/>
        <v>5082012</v>
      </c>
      <c r="B322" t="s">
        <v>95</v>
      </c>
      <c r="C322">
        <v>508</v>
      </c>
      <c r="D322">
        <v>1320</v>
      </c>
      <c r="E322" t="s">
        <v>96</v>
      </c>
      <c r="F322" s="283">
        <v>2012</v>
      </c>
      <c r="G322" s="284">
        <v>996807</v>
      </c>
      <c r="H322" s="284">
        <v>5423920</v>
      </c>
      <c r="I322" s="284">
        <v>685557</v>
      </c>
      <c r="J322" s="284">
        <v>13006</v>
      </c>
      <c r="K322" t="s">
        <v>96</v>
      </c>
    </row>
    <row r="323" spans="1:11">
      <c r="A323" s="2" t="str">
        <f t="shared" si="4"/>
        <v>5082013</v>
      </c>
      <c r="B323" t="s">
        <v>95</v>
      </c>
      <c r="C323">
        <v>508</v>
      </c>
      <c r="D323">
        <v>1320</v>
      </c>
      <c r="E323" t="s">
        <v>96</v>
      </c>
      <c r="F323" s="283">
        <v>2013</v>
      </c>
      <c r="G323" s="284">
        <v>1016290</v>
      </c>
      <c r="H323" s="284">
        <v>5590640</v>
      </c>
      <c r="I323" s="284">
        <v>700185</v>
      </c>
      <c r="J323" s="284">
        <v>9884</v>
      </c>
      <c r="K323" t="s">
        <v>96</v>
      </c>
    </row>
    <row r="324" spans="1:11">
      <c r="A324" s="2" t="str">
        <f t="shared" si="4"/>
        <v>5082014</v>
      </c>
      <c r="B324" t="s">
        <v>95</v>
      </c>
      <c r="C324">
        <v>508</v>
      </c>
      <c r="D324">
        <v>1320</v>
      </c>
      <c r="E324" t="s">
        <v>96</v>
      </c>
      <c r="F324" s="283">
        <v>2014</v>
      </c>
      <c r="G324" s="284">
        <v>1035600</v>
      </c>
      <c r="H324" s="284">
        <v>5764110</v>
      </c>
      <c r="I324" s="284">
        <v>714686</v>
      </c>
      <c r="J324" s="284">
        <v>6386</v>
      </c>
      <c r="K324" t="s">
        <v>96</v>
      </c>
    </row>
    <row r="325" spans="1:11">
      <c r="A325" s="2" t="str">
        <f t="shared" si="4"/>
        <v>5082015</v>
      </c>
      <c r="B325" t="s">
        <v>95</v>
      </c>
      <c r="C325">
        <v>508</v>
      </c>
      <c r="D325">
        <v>1320</v>
      </c>
      <c r="E325" t="s">
        <v>96</v>
      </c>
      <c r="F325" s="283">
        <v>2015</v>
      </c>
      <c r="G325" s="284">
        <v>1054660</v>
      </c>
      <c r="H325" s="284">
        <v>5945000</v>
      </c>
      <c r="I325" s="284">
        <v>728972</v>
      </c>
      <c r="J325" s="284">
        <v>4907</v>
      </c>
      <c r="K325" t="s">
        <v>96</v>
      </c>
    </row>
    <row r="326" spans="1:11">
      <c r="A326" s="2" t="str">
        <f t="shared" si="4"/>
        <v>5161980</v>
      </c>
      <c r="B326" t="s">
        <v>97</v>
      </c>
      <c r="C326">
        <v>516</v>
      </c>
      <c r="D326">
        <v>1325</v>
      </c>
      <c r="E326" t="s">
        <v>98</v>
      </c>
      <c r="F326" s="283">
        <v>1980</v>
      </c>
      <c r="G326" s="284">
        <v>39760</v>
      </c>
      <c r="H326" s="284">
        <v>206236</v>
      </c>
      <c r="I326" s="284">
        <v>24</v>
      </c>
      <c r="J326" s="284">
        <v>0.9355</v>
      </c>
      <c r="K326" t="s">
        <v>98</v>
      </c>
    </row>
    <row r="327" spans="1:11">
      <c r="A327" s="2" t="str">
        <f t="shared" si="4"/>
        <v>5161981</v>
      </c>
      <c r="B327" t="s">
        <v>97</v>
      </c>
      <c r="C327">
        <v>516</v>
      </c>
      <c r="D327">
        <v>1325</v>
      </c>
      <c r="E327" t="s">
        <v>98</v>
      </c>
      <c r="F327" s="283">
        <v>1981</v>
      </c>
      <c r="G327" s="284">
        <v>39899</v>
      </c>
      <c r="H327" s="284">
        <v>211710</v>
      </c>
      <c r="I327" s="284">
        <v>45</v>
      </c>
      <c r="J327" s="284">
        <v>2</v>
      </c>
      <c r="K327" t="s">
        <v>98</v>
      </c>
    </row>
    <row r="328" spans="1:11">
      <c r="A328" s="2" t="str">
        <f t="shared" si="4"/>
        <v>5161982</v>
      </c>
      <c r="B328" t="s">
        <v>97</v>
      </c>
      <c r="C328">
        <v>516</v>
      </c>
      <c r="D328">
        <v>1325</v>
      </c>
      <c r="E328" t="s">
        <v>98</v>
      </c>
      <c r="F328" s="283">
        <v>1982</v>
      </c>
      <c r="G328" s="284">
        <v>40215</v>
      </c>
      <c r="H328" s="284">
        <v>217595</v>
      </c>
      <c r="I328" s="284">
        <v>77</v>
      </c>
      <c r="J328" s="284">
        <v>3</v>
      </c>
      <c r="K328" t="s">
        <v>98</v>
      </c>
    </row>
    <row r="329" spans="1:11">
      <c r="A329" s="2" t="str">
        <f t="shared" si="4"/>
        <v>5161983</v>
      </c>
      <c r="B329" t="s">
        <v>97</v>
      </c>
      <c r="C329">
        <v>516</v>
      </c>
      <c r="D329">
        <v>1325</v>
      </c>
      <c r="E329" t="s">
        <v>98</v>
      </c>
      <c r="F329" s="283">
        <v>1983</v>
      </c>
      <c r="G329" s="284">
        <v>40655</v>
      </c>
      <c r="H329" s="284">
        <v>224890</v>
      </c>
      <c r="I329" s="284">
        <v>133</v>
      </c>
      <c r="J329" s="284">
        <v>5</v>
      </c>
      <c r="K329" t="s">
        <v>98</v>
      </c>
    </row>
    <row r="330" spans="1:11">
      <c r="A330" s="2" t="str">
        <f t="shared" si="4"/>
        <v>5161984</v>
      </c>
      <c r="B330" t="s">
        <v>97</v>
      </c>
      <c r="C330">
        <v>516</v>
      </c>
      <c r="D330">
        <v>1325</v>
      </c>
      <c r="E330" t="s">
        <v>98</v>
      </c>
      <c r="F330" s="283">
        <v>1984</v>
      </c>
      <c r="G330" s="284">
        <v>41258</v>
      </c>
      <c r="H330" s="284">
        <v>233848</v>
      </c>
      <c r="I330" s="284">
        <v>227</v>
      </c>
      <c r="J330" s="284">
        <v>8</v>
      </c>
      <c r="K330" t="s">
        <v>98</v>
      </c>
    </row>
    <row r="331" spans="1:11">
      <c r="A331" s="2" t="str">
        <f t="shared" si="4"/>
        <v>5161985</v>
      </c>
      <c r="B331" t="s">
        <v>97</v>
      </c>
      <c r="C331">
        <v>516</v>
      </c>
      <c r="D331">
        <v>1325</v>
      </c>
      <c r="E331" t="s">
        <v>98</v>
      </c>
      <c r="F331" s="283">
        <v>1985</v>
      </c>
      <c r="G331" s="284">
        <v>42259</v>
      </c>
      <c r="H331" s="284">
        <v>246280</v>
      </c>
      <c r="I331" s="284">
        <v>385</v>
      </c>
      <c r="J331" s="284">
        <v>13</v>
      </c>
      <c r="K331" t="s">
        <v>98</v>
      </c>
    </row>
    <row r="332" spans="1:11">
      <c r="A332" s="2" t="str">
        <f t="shared" ref="A332:A396" si="5">C332&amp;F332</f>
        <v>5161986</v>
      </c>
      <c r="B332" t="s">
        <v>97</v>
      </c>
      <c r="C332">
        <v>516</v>
      </c>
      <c r="D332">
        <v>1325</v>
      </c>
      <c r="E332" t="s">
        <v>98</v>
      </c>
      <c r="F332" s="283">
        <v>1986</v>
      </c>
      <c r="G332" s="284">
        <v>43883</v>
      </c>
      <c r="H332" s="284">
        <v>262382</v>
      </c>
      <c r="I332" s="284">
        <v>653</v>
      </c>
      <c r="J332" s="284">
        <v>22</v>
      </c>
      <c r="K332" t="s">
        <v>98</v>
      </c>
    </row>
    <row r="333" spans="1:11">
      <c r="A333" s="2" t="str">
        <f t="shared" si="5"/>
        <v>5161987</v>
      </c>
      <c r="B333" t="s">
        <v>97</v>
      </c>
      <c r="C333">
        <v>516</v>
      </c>
      <c r="D333">
        <v>1325</v>
      </c>
      <c r="E333" t="s">
        <v>98</v>
      </c>
      <c r="F333" s="283">
        <v>1987</v>
      </c>
      <c r="G333" s="284">
        <v>45899</v>
      </c>
      <c r="H333" s="284">
        <v>279852</v>
      </c>
      <c r="I333" s="284">
        <v>1110</v>
      </c>
      <c r="J333" s="284">
        <v>36</v>
      </c>
      <c r="K333" t="s">
        <v>98</v>
      </c>
    </row>
    <row r="334" spans="1:11">
      <c r="A334" s="2" t="str">
        <f t="shared" si="5"/>
        <v>5161988</v>
      </c>
      <c r="B334" t="s">
        <v>97</v>
      </c>
      <c r="C334">
        <v>516</v>
      </c>
      <c r="D334">
        <v>1325</v>
      </c>
      <c r="E334" t="s">
        <v>98</v>
      </c>
      <c r="F334" s="283">
        <v>1988</v>
      </c>
      <c r="G334" s="284">
        <v>47884</v>
      </c>
      <c r="H334" s="284">
        <v>297161</v>
      </c>
      <c r="I334" s="284">
        <v>1872</v>
      </c>
      <c r="J334" s="284">
        <v>60</v>
      </c>
      <c r="K334" t="s">
        <v>98</v>
      </c>
    </row>
    <row r="335" spans="1:11">
      <c r="A335" s="2" t="str">
        <f t="shared" si="5"/>
        <v>5161989</v>
      </c>
      <c r="B335" t="s">
        <v>97</v>
      </c>
      <c r="C335">
        <v>516</v>
      </c>
      <c r="D335">
        <v>1325</v>
      </c>
      <c r="E335" t="s">
        <v>98</v>
      </c>
      <c r="F335" s="283">
        <v>1989</v>
      </c>
      <c r="G335" s="284">
        <v>49587</v>
      </c>
      <c r="H335" s="284">
        <v>313521</v>
      </c>
      <c r="I335" s="284">
        <v>3126</v>
      </c>
      <c r="J335" s="284">
        <v>98</v>
      </c>
      <c r="K335" t="s">
        <v>98</v>
      </c>
    </row>
    <row r="336" spans="1:11">
      <c r="A336" s="2" t="str">
        <f t="shared" si="5"/>
        <v>5161990</v>
      </c>
      <c r="B336" t="s">
        <v>97</v>
      </c>
      <c r="C336">
        <v>516</v>
      </c>
      <c r="D336">
        <v>1325</v>
      </c>
      <c r="E336" t="s">
        <v>98</v>
      </c>
      <c r="F336" s="283">
        <v>1990</v>
      </c>
      <c r="G336" s="284">
        <v>50807</v>
      </c>
      <c r="H336" s="284">
        <v>327231</v>
      </c>
      <c r="I336" s="284">
        <v>5138</v>
      </c>
      <c r="J336" s="284">
        <v>158</v>
      </c>
      <c r="K336" t="s">
        <v>98</v>
      </c>
    </row>
    <row r="337" spans="1:11">
      <c r="A337" s="2" t="str">
        <f t="shared" si="5"/>
        <v>5161991</v>
      </c>
      <c r="B337" t="s">
        <v>97</v>
      </c>
      <c r="C337">
        <v>516</v>
      </c>
      <c r="D337">
        <v>1325</v>
      </c>
      <c r="E337" t="s">
        <v>98</v>
      </c>
      <c r="F337" s="283">
        <v>1991</v>
      </c>
      <c r="G337" s="284">
        <v>51663</v>
      </c>
      <c r="H337" s="284">
        <v>340220</v>
      </c>
      <c r="I337" s="284">
        <v>8247</v>
      </c>
      <c r="J337" s="284">
        <v>247</v>
      </c>
      <c r="K337" t="s">
        <v>98</v>
      </c>
    </row>
    <row r="338" spans="1:11">
      <c r="A338" s="2" t="str">
        <f t="shared" si="5"/>
        <v>5161992</v>
      </c>
      <c r="B338" t="s">
        <v>97</v>
      </c>
      <c r="C338">
        <v>516</v>
      </c>
      <c r="D338">
        <v>1325</v>
      </c>
      <c r="E338" t="s">
        <v>98</v>
      </c>
      <c r="F338" s="283">
        <v>1992</v>
      </c>
      <c r="G338" s="284">
        <v>52390</v>
      </c>
      <c r="H338" s="284">
        <v>352961</v>
      </c>
      <c r="I338" s="284">
        <v>12982</v>
      </c>
      <c r="J338" s="284">
        <v>380</v>
      </c>
      <c r="K338" t="s">
        <v>98</v>
      </c>
    </row>
    <row r="339" spans="1:11">
      <c r="A339" s="2" t="str">
        <f t="shared" si="5"/>
        <v>5161993</v>
      </c>
      <c r="B339" t="s">
        <v>97</v>
      </c>
      <c r="C339">
        <v>516</v>
      </c>
      <c r="D339">
        <v>1325</v>
      </c>
      <c r="E339" t="s">
        <v>98</v>
      </c>
      <c r="F339" s="283">
        <v>1993</v>
      </c>
      <c r="G339" s="284">
        <v>52978</v>
      </c>
      <c r="H339" s="284">
        <v>365851</v>
      </c>
      <c r="I339" s="284">
        <v>19896</v>
      </c>
      <c r="J339" s="284">
        <v>567</v>
      </c>
      <c r="K339" t="s">
        <v>98</v>
      </c>
    </row>
    <row r="340" spans="1:11">
      <c r="A340" s="2" t="str">
        <f t="shared" si="5"/>
        <v>5161994</v>
      </c>
      <c r="B340" t="s">
        <v>97</v>
      </c>
      <c r="C340">
        <v>516</v>
      </c>
      <c r="D340">
        <v>1325</v>
      </c>
      <c r="E340" t="s">
        <v>98</v>
      </c>
      <c r="F340" s="283">
        <v>1994</v>
      </c>
      <c r="G340" s="284">
        <v>53459</v>
      </c>
      <c r="H340" s="284">
        <v>378934</v>
      </c>
      <c r="I340" s="284">
        <v>29323</v>
      </c>
      <c r="J340" s="284">
        <v>812</v>
      </c>
      <c r="K340" t="s">
        <v>98</v>
      </c>
    </row>
    <row r="341" spans="1:11">
      <c r="A341" s="2" t="str">
        <f t="shared" si="5"/>
        <v>5161995</v>
      </c>
      <c r="B341" t="s">
        <v>97</v>
      </c>
      <c r="C341">
        <v>516</v>
      </c>
      <c r="D341">
        <v>1325</v>
      </c>
      <c r="E341" t="s">
        <v>98</v>
      </c>
      <c r="F341" s="283">
        <v>1995</v>
      </c>
      <c r="G341" s="284">
        <v>53959</v>
      </c>
      <c r="H341" s="284">
        <v>393330</v>
      </c>
      <c r="I341" s="284">
        <v>40795</v>
      </c>
      <c r="J341" s="284">
        <v>1093</v>
      </c>
      <c r="K341" t="s">
        <v>98</v>
      </c>
    </row>
    <row r="342" spans="1:11">
      <c r="A342" s="2" t="str">
        <f t="shared" si="5"/>
        <v>5161996</v>
      </c>
      <c r="B342" t="s">
        <v>97</v>
      </c>
      <c r="C342">
        <v>516</v>
      </c>
      <c r="D342">
        <v>1325</v>
      </c>
      <c r="E342" t="s">
        <v>98</v>
      </c>
      <c r="F342" s="283">
        <v>1996</v>
      </c>
      <c r="G342" s="284">
        <v>54503</v>
      </c>
      <c r="H342" s="284">
        <v>407881</v>
      </c>
      <c r="I342" s="284">
        <v>53302</v>
      </c>
      <c r="J342" s="284">
        <v>1386</v>
      </c>
      <c r="K342" t="s">
        <v>98</v>
      </c>
    </row>
    <row r="343" spans="1:11">
      <c r="A343" s="2" t="str">
        <f t="shared" si="5"/>
        <v>5161997</v>
      </c>
      <c r="B343" t="s">
        <v>97</v>
      </c>
      <c r="C343">
        <v>516</v>
      </c>
      <c r="D343">
        <v>1325</v>
      </c>
      <c r="E343" t="s">
        <v>98</v>
      </c>
      <c r="F343" s="283">
        <v>1997</v>
      </c>
      <c r="G343" s="284">
        <v>55036</v>
      </c>
      <c r="H343" s="284">
        <v>422353</v>
      </c>
      <c r="I343" s="284">
        <v>65234</v>
      </c>
      <c r="J343" s="284">
        <v>1650</v>
      </c>
      <c r="K343" t="s">
        <v>98</v>
      </c>
    </row>
    <row r="344" spans="1:11">
      <c r="A344" s="2" t="str">
        <f t="shared" si="5"/>
        <v>5161998</v>
      </c>
      <c r="B344" t="s">
        <v>97</v>
      </c>
      <c r="C344">
        <v>516</v>
      </c>
      <c r="D344">
        <v>1325</v>
      </c>
      <c r="E344" t="s">
        <v>98</v>
      </c>
      <c r="F344" s="283">
        <v>1998</v>
      </c>
      <c r="G344" s="284">
        <v>55455</v>
      </c>
      <c r="H344" s="284">
        <v>435751</v>
      </c>
      <c r="I344" s="284">
        <v>75638</v>
      </c>
      <c r="J344" s="284">
        <v>1874</v>
      </c>
      <c r="K344" t="s">
        <v>98</v>
      </c>
    </row>
    <row r="345" spans="1:11">
      <c r="A345" s="2" t="str">
        <f t="shared" si="5"/>
        <v>5161999</v>
      </c>
      <c r="B345" t="s">
        <v>97</v>
      </c>
      <c r="C345">
        <v>516</v>
      </c>
      <c r="D345">
        <v>1325</v>
      </c>
      <c r="E345" t="s">
        <v>98</v>
      </c>
      <c r="F345" s="283">
        <v>1999</v>
      </c>
      <c r="G345" s="284">
        <v>55714</v>
      </c>
      <c r="H345" s="284">
        <v>446936</v>
      </c>
      <c r="I345" s="284">
        <v>83641</v>
      </c>
      <c r="J345" s="284">
        <v>2048</v>
      </c>
      <c r="K345" t="s">
        <v>98</v>
      </c>
    </row>
    <row r="346" spans="1:11">
      <c r="A346" s="2" t="str">
        <f t="shared" si="5"/>
        <v>5162000</v>
      </c>
      <c r="B346" t="s">
        <v>97</v>
      </c>
      <c r="C346">
        <v>516</v>
      </c>
      <c r="D346">
        <v>1325</v>
      </c>
      <c r="E346" t="s">
        <v>98</v>
      </c>
      <c r="F346" s="283">
        <v>2000</v>
      </c>
      <c r="G346" s="284">
        <v>55766</v>
      </c>
      <c r="H346" s="284">
        <v>455629</v>
      </c>
      <c r="I346" s="284">
        <v>89287</v>
      </c>
      <c r="J346" s="284">
        <v>2172</v>
      </c>
      <c r="K346" t="s">
        <v>98</v>
      </c>
    </row>
    <row r="347" spans="1:11">
      <c r="A347" s="2" t="str">
        <f t="shared" si="5"/>
        <v>5162001</v>
      </c>
      <c r="B347" t="s">
        <v>97</v>
      </c>
      <c r="C347">
        <v>516</v>
      </c>
      <c r="D347">
        <v>1325</v>
      </c>
      <c r="E347" t="s">
        <v>98</v>
      </c>
      <c r="F347" s="283">
        <v>2001</v>
      </c>
      <c r="G347" s="284">
        <v>55632</v>
      </c>
      <c r="H347" s="284">
        <v>462407</v>
      </c>
      <c r="I347" s="284">
        <v>92649</v>
      </c>
      <c r="J347" s="284">
        <v>2240</v>
      </c>
      <c r="K347" t="s">
        <v>98</v>
      </c>
    </row>
    <row r="348" spans="1:11">
      <c r="A348" s="2" t="str">
        <f t="shared" si="5"/>
        <v>5162002</v>
      </c>
      <c r="B348" t="s">
        <v>97</v>
      </c>
      <c r="C348">
        <v>516</v>
      </c>
      <c r="D348">
        <v>1325</v>
      </c>
      <c r="E348" t="s">
        <v>98</v>
      </c>
      <c r="F348" s="283">
        <v>2002</v>
      </c>
      <c r="G348" s="284">
        <v>55481</v>
      </c>
      <c r="H348" s="284">
        <v>468483</v>
      </c>
      <c r="I348" s="284">
        <v>94069</v>
      </c>
      <c r="J348" s="284">
        <v>2261</v>
      </c>
      <c r="K348" t="s">
        <v>98</v>
      </c>
    </row>
    <row r="349" spans="1:11">
      <c r="A349" s="2" t="str">
        <f t="shared" si="5"/>
        <v>5162003</v>
      </c>
      <c r="B349" t="s">
        <v>97</v>
      </c>
      <c r="C349">
        <v>516</v>
      </c>
      <c r="D349">
        <v>1325</v>
      </c>
      <c r="E349" t="s">
        <v>98</v>
      </c>
      <c r="F349" s="283">
        <v>2003</v>
      </c>
      <c r="G349" s="284">
        <v>55345</v>
      </c>
      <c r="H349" s="284">
        <v>474665</v>
      </c>
      <c r="I349" s="284">
        <v>94124</v>
      </c>
      <c r="J349" s="284">
        <v>2237</v>
      </c>
      <c r="K349" t="s">
        <v>98</v>
      </c>
    </row>
    <row r="350" spans="1:11">
      <c r="A350" s="2" t="str">
        <f t="shared" si="5"/>
        <v>5162004</v>
      </c>
      <c r="B350" t="s">
        <v>97</v>
      </c>
      <c r="C350">
        <v>516</v>
      </c>
      <c r="D350">
        <v>1325</v>
      </c>
      <c r="E350" t="s">
        <v>98</v>
      </c>
      <c r="F350" s="283">
        <v>2004</v>
      </c>
      <c r="G350" s="284">
        <v>55258</v>
      </c>
      <c r="H350" s="284">
        <v>481089</v>
      </c>
      <c r="I350" s="284">
        <v>93234</v>
      </c>
      <c r="J350" s="284">
        <v>2101</v>
      </c>
      <c r="K350" t="s">
        <v>98</v>
      </c>
    </row>
    <row r="351" spans="1:11">
      <c r="A351" s="2" t="str">
        <f t="shared" si="5"/>
        <v>5162005</v>
      </c>
      <c r="B351" t="s">
        <v>97</v>
      </c>
      <c r="C351">
        <v>516</v>
      </c>
      <c r="D351">
        <v>1325</v>
      </c>
      <c r="E351" t="s">
        <v>98</v>
      </c>
      <c r="F351" s="283">
        <v>2005</v>
      </c>
      <c r="G351" s="284">
        <v>55349</v>
      </c>
      <c r="H351" s="284">
        <v>488719</v>
      </c>
      <c r="I351" s="284">
        <v>92328</v>
      </c>
      <c r="J351" s="284">
        <v>1676</v>
      </c>
      <c r="K351" t="s">
        <v>98</v>
      </c>
    </row>
    <row r="352" spans="1:11">
      <c r="A352" s="2" t="str">
        <f t="shared" si="5"/>
        <v>5162006</v>
      </c>
      <c r="B352" t="s">
        <v>97</v>
      </c>
      <c r="C352">
        <v>516</v>
      </c>
      <c r="D352">
        <v>1325</v>
      </c>
      <c r="E352" t="s">
        <v>98</v>
      </c>
      <c r="F352" s="283">
        <v>2006</v>
      </c>
      <c r="G352" s="284">
        <v>55726</v>
      </c>
      <c r="H352" s="284">
        <v>497193</v>
      </c>
      <c r="I352" s="284">
        <v>91658</v>
      </c>
      <c r="J352" s="284">
        <v>1388</v>
      </c>
      <c r="K352" t="s">
        <v>98</v>
      </c>
    </row>
    <row r="353" spans="1:11">
      <c r="A353" s="2" t="str">
        <f t="shared" si="5"/>
        <v>5162007</v>
      </c>
      <c r="B353" t="s">
        <v>97</v>
      </c>
      <c r="C353">
        <v>516</v>
      </c>
      <c r="D353">
        <v>1325</v>
      </c>
      <c r="E353" t="s">
        <v>98</v>
      </c>
      <c r="F353" s="283">
        <v>2007</v>
      </c>
      <c r="G353" s="284">
        <v>56486</v>
      </c>
      <c r="H353" s="284">
        <v>505942</v>
      </c>
      <c r="I353" s="284">
        <v>90987</v>
      </c>
      <c r="J353" s="284">
        <v>1121</v>
      </c>
      <c r="K353" t="s">
        <v>98</v>
      </c>
    </row>
    <row r="354" spans="1:11">
      <c r="A354" s="2" t="str">
        <f t="shared" si="5"/>
        <v>5162008</v>
      </c>
      <c r="B354" t="s">
        <v>97</v>
      </c>
      <c r="C354">
        <v>516</v>
      </c>
      <c r="D354">
        <v>1325</v>
      </c>
      <c r="E354" t="s">
        <v>98</v>
      </c>
      <c r="F354" s="283">
        <v>2008</v>
      </c>
      <c r="G354" s="284">
        <v>57531</v>
      </c>
      <c r="H354" s="284">
        <v>516754</v>
      </c>
      <c r="I354" s="284">
        <v>91492</v>
      </c>
      <c r="J354" s="284">
        <v>1203</v>
      </c>
      <c r="K354" t="s">
        <v>98</v>
      </c>
    </row>
    <row r="355" spans="1:11">
      <c r="A355" s="2" t="str">
        <f t="shared" si="5"/>
        <v>5162009</v>
      </c>
      <c r="B355" t="s">
        <v>97</v>
      </c>
      <c r="C355">
        <v>516</v>
      </c>
      <c r="D355">
        <v>1325</v>
      </c>
      <c r="E355" t="s">
        <v>98</v>
      </c>
      <c r="F355" s="283">
        <v>2009</v>
      </c>
      <c r="G355" s="284">
        <v>58893</v>
      </c>
      <c r="H355" s="284">
        <v>528049</v>
      </c>
      <c r="I355" s="284">
        <v>91805</v>
      </c>
      <c r="J355" s="284">
        <v>1371</v>
      </c>
      <c r="K355" t="s">
        <v>98</v>
      </c>
    </row>
    <row r="356" spans="1:11">
      <c r="A356" s="2" t="str">
        <f t="shared" si="5"/>
        <v>5162010</v>
      </c>
      <c r="B356" t="s">
        <v>97</v>
      </c>
      <c r="C356">
        <v>516</v>
      </c>
      <c r="D356">
        <v>1325</v>
      </c>
      <c r="E356" t="s">
        <v>98</v>
      </c>
      <c r="F356" s="283">
        <v>2010</v>
      </c>
      <c r="G356" s="284">
        <v>60470</v>
      </c>
      <c r="H356" s="284">
        <v>541589</v>
      </c>
      <c r="I356" s="284">
        <v>92358</v>
      </c>
      <c r="J356" s="284">
        <v>1173</v>
      </c>
      <c r="K356" t="s">
        <v>98</v>
      </c>
    </row>
    <row r="357" spans="1:11">
      <c r="A357" s="2" t="str">
        <f t="shared" si="5"/>
        <v>5162011</v>
      </c>
      <c r="B357" t="s">
        <v>97</v>
      </c>
      <c r="C357">
        <v>516</v>
      </c>
      <c r="D357">
        <v>1325</v>
      </c>
      <c r="E357" t="s">
        <v>98</v>
      </c>
      <c r="F357" s="283">
        <v>2011</v>
      </c>
      <c r="G357" s="284">
        <v>62223</v>
      </c>
      <c r="H357" s="284">
        <v>555928</v>
      </c>
      <c r="I357" s="284">
        <v>93433</v>
      </c>
      <c r="J357" s="284">
        <v>872</v>
      </c>
      <c r="K357" t="s">
        <v>98</v>
      </c>
    </row>
    <row r="358" spans="1:11">
      <c r="A358" s="2" t="str">
        <f t="shared" si="5"/>
        <v>5162012</v>
      </c>
      <c r="B358" t="s">
        <v>97</v>
      </c>
      <c r="C358">
        <v>516</v>
      </c>
      <c r="D358">
        <v>1325</v>
      </c>
      <c r="E358" t="s">
        <v>98</v>
      </c>
      <c r="F358" s="283">
        <v>2012</v>
      </c>
      <c r="G358" s="284">
        <v>64039</v>
      </c>
      <c r="H358" s="284">
        <v>570716</v>
      </c>
      <c r="I358" s="284">
        <v>94554</v>
      </c>
      <c r="J358" s="284">
        <v>857</v>
      </c>
      <c r="K358" t="s">
        <v>98</v>
      </c>
    </row>
    <row r="359" spans="1:11">
      <c r="A359" s="2" t="str">
        <f t="shared" si="5"/>
        <v>5162013</v>
      </c>
      <c r="B359" t="s">
        <v>97</v>
      </c>
      <c r="C359">
        <v>516</v>
      </c>
      <c r="D359">
        <v>1325</v>
      </c>
      <c r="E359" t="s">
        <v>98</v>
      </c>
      <c r="F359" s="283">
        <v>2013</v>
      </c>
      <c r="G359" s="284">
        <v>65532</v>
      </c>
      <c r="H359" s="284">
        <v>585429</v>
      </c>
      <c r="I359" s="284">
        <v>95659</v>
      </c>
      <c r="J359" s="284">
        <v>593</v>
      </c>
      <c r="K359" t="s">
        <v>98</v>
      </c>
    </row>
    <row r="360" spans="1:11">
      <c r="A360" s="2" t="str">
        <f t="shared" si="5"/>
        <v>5162014</v>
      </c>
      <c r="B360" t="s">
        <v>97</v>
      </c>
      <c r="C360">
        <v>516</v>
      </c>
      <c r="D360">
        <v>1325</v>
      </c>
      <c r="E360" t="s">
        <v>98</v>
      </c>
      <c r="F360" s="283">
        <v>2014</v>
      </c>
      <c r="G360" s="284">
        <v>66424</v>
      </c>
      <c r="H360" s="284">
        <v>599864</v>
      </c>
      <c r="I360" s="284">
        <v>96685</v>
      </c>
      <c r="J360" s="284">
        <v>339</v>
      </c>
      <c r="K360" t="s">
        <v>98</v>
      </c>
    </row>
    <row r="361" spans="1:11">
      <c r="A361" s="2" t="str">
        <f t="shared" si="5"/>
        <v>5162015</v>
      </c>
      <c r="B361" t="s">
        <v>97</v>
      </c>
      <c r="C361">
        <v>516</v>
      </c>
      <c r="D361">
        <v>1325</v>
      </c>
      <c r="E361" t="s">
        <v>98</v>
      </c>
      <c r="F361" s="283">
        <v>2015</v>
      </c>
      <c r="G361" s="284">
        <v>66882</v>
      </c>
      <c r="H361" s="284">
        <v>613726</v>
      </c>
      <c r="I361" s="284">
        <v>97462</v>
      </c>
      <c r="J361" s="284">
        <v>289</v>
      </c>
      <c r="K361" t="s">
        <v>98</v>
      </c>
    </row>
    <row r="362" spans="1:11">
      <c r="A362" s="2" t="str">
        <f t="shared" si="5"/>
        <v>6461980</v>
      </c>
      <c r="B362" t="s">
        <v>99</v>
      </c>
      <c r="C362">
        <v>646</v>
      </c>
      <c r="D362">
        <v>1370</v>
      </c>
      <c r="E362" t="s">
        <v>100</v>
      </c>
      <c r="F362" s="283">
        <v>1980</v>
      </c>
      <c r="G362" s="284">
        <v>230023</v>
      </c>
      <c r="H362" s="284">
        <v>1130350</v>
      </c>
      <c r="I362" s="284">
        <v>2130</v>
      </c>
      <c r="J362" s="284">
        <v>103</v>
      </c>
      <c r="K362" t="s">
        <v>100</v>
      </c>
    </row>
    <row r="363" spans="1:11">
      <c r="A363" s="2" t="str">
        <f t="shared" si="5"/>
        <v>6461981</v>
      </c>
      <c r="B363" t="s">
        <v>99</v>
      </c>
      <c r="C363">
        <v>646</v>
      </c>
      <c r="D363">
        <v>1370</v>
      </c>
      <c r="E363" t="s">
        <v>100</v>
      </c>
      <c r="F363" s="283">
        <v>1981</v>
      </c>
      <c r="G363" s="284">
        <v>237931</v>
      </c>
      <c r="H363" s="284">
        <v>1164500</v>
      </c>
      <c r="I363" s="284">
        <v>4714</v>
      </c>
      <c r="J363" s="284">
        <v>226</v>
      </c>
      <c r="K363" t="s">
        <v>100</v>
      </c>
    </row>
    <row r="364" spans="1:11">
      <c r="A364" s="2" t="str">
        <f t="shared" si="5"/>
        <v>6461982</v>
      </c>
      <c r="B364" t="s">
        <v>99</v>
      </c>
      <c r="C364">
        <v>646</v>
      </c>
      <c r="D364">
        <v>1370</v>
      </c>
      <c r="E364" t="s">
        <v>100</v>
      </c>
      <c r="F364" s="283">
        <v>1982</v>
      </c>
      <c r="G364" s="284">
        <v>245920</v>
      </c>
      <c r="H364" s="284">
        <v>1198190</v>
      </c>
      <c r="I364" s="284">
        <v>9097</v>
      </c>
      <c r="J364" s="284">
        <v>432</v>
      </c>
      <c r="K364" t="s">
        <v>100</v>
      </c>
    </row>
    <row r="365" spans="1:11">
      <c r="A365" s="2" t="str">
        <f t="shared" si="5"/>
        <v>6461983</v>
      </c>
      <c r="B365" t="s">
        <v>99</v>
      </c>
      <c r="C365">
        <v>646</v>
      </c>
      <c r="D365">
        <v>1370</v>
      </c>
      <c r="E365" t="s">
        <v>100</v>
      </c>
      <c r="F365" s="283">
        <v>1983</v>
      </c>
      <c r="G365" s="284">
        <v>252981</v>
      </c>
      <c r="H365" s="284">
        <v>1232810</v>
      </c>
      <c r="I365" s="284">
        <v>15292</v>
      </c>
      <c r="J365" s="284">
        <v>711</v>
      </c>
      <c r="K365" t="s">
        <v>100</v>
      </c>
    </row>
    <row r="366" spans="1:11">
      <c r="A366" s="2" t="str">
        <f t="shared" si="5"/>
        <v>6461984</v>
      </c>
      <c r="B366" t="s">
        <v>99</v>
      </c>
      <c r="C366">
        <v>646</v>
      </c>
      <c r="D366">
        <v>1370</v>
      </c>
      <c r="E366" t="s">
        <v>100</v>
      </c>
      <c r="F366" s="283">
        <v>1984</v>
      </c>
      <c r="G366" s="284">
        <v>258781</v>
      </c>
      <c r="H366" s="284">
        <v>1269780</v>
      </c>
      <c r="I366" s="284">
        <v>23062</v>
      </c>
      <c r="J366" s="284">
        <v>1043</v>
      </c>
      <c r="K366" t="s">
        <v>100</v>
      </c>
    </row>
    <row r="367" spans="1:11">
      <c r="A367" s="2" t="str">
        <f t="shared" si="5"/>
        <v>6461985</v>
      </c>
      <c r="B367" t="s">
        <v>99</v>
      </c>
      <c r="C367">
        <v>646</v>
      </c>
      <c r="D367">
        <v>1370</v>
      </c>
      <c r="E367" t="s">
        <v>100</v>
      </c>
      <c r="F367" s="283">
        <v>1985</v>
      </c>
      <c r="G367" s="284">
        <v>265200</v>
      </c>
      <c r="H367" s="284">
        <v>1309750</v>
      </c>
      <c r="I367" s="284">
        <v>31907</v>
      </c>
      <c r="J367" s="284">
        <v>1408</v>
      </c>
      <c r="K367" t="s">
        <v>100</v>
      </c>
    </row>
    <row r="368" spans="1:11">
      <c r="A368" s="2" t="str">
        <f t="shared" si="5"/>
        <v>6461986</v>
      </c>
      <c r="B368" t="s">
        <v>99</v>
      </c>
      <c r="C368">
        <v>646</v>
      </c>
      <c r="D368">
        <v>1370</v>
      </c>
      <c r="E368" t="s">
        <v>100</v>
      </c>
      <c r="F368" s="283">
        <v>1986</v>
      </c>
      <c r="G368" s="284">
        <v>272386</v>
      </c>
      <c r="H368" s="284">
        <v>1350090</v>
      </c>
      <c r="I368" s="284">
        <v>41515</v>
      </c>
      <c r="J368" s="284">
        <v>1798</v>
      </c>
      <c r="K368" t="s">
        <v>100</v>
      </c>
    </row>
    <row r="369" spans="1:11">
      <c r="A369" s="2" t="str">
        <f t="shared" si="5"/>
        <v>6461987</v>
      </c>
      <c r="B369" t="s">
        <v>99</v>
      </c>
      <c r="C369">
        <v>646</v>
      </c>
      <c r="D369">
        <v>1370</v>
      </c>
      <c r="E369" t="s">
        <v>100</v>
      </c>
      <c r="F369" s="283">
        <v>1987</v>
      </c>
      <c r="G369" s="284">
        <v>279978</v>
      </c>
      <c r="H369" s="284">
        <v>1394220</v>
      </c>
      <c r="I369" s="284">
        <v>51639</v>
      </c>
      <c r="J369" s="284">
        <v>2209</v>
      </c>
      <c r="K369" t="s">
        <v>100</v>
      </c>
    </row>
    <row r="370" spans="1:11">
      <c r="A370" s="2" t="str">
        <f t="shared" si="5"/>
        <v>6461988</v>
      </c>
      <c r="B370" t="s">
        <v>99</v>
      </c>
      <c r="C370">
        <v>646</v>
      </c>
      <c r="D370">
        <v>1370</v>
      </c>
      <c r="E370" t="s">
        <v>100</v>
      </c>
      <c r="F370" s="283">
        <v>1988</v>
      </c>
      <c r="G370" s="284">
        <v>283188</v>
      </c>
      <c r="H370" s="284">
        <v>1435020</v>
      </c>
      <c r="I370" s="284">
        <v>62104</v>
      </c>
      <c r="J370" s="284">
        <v>2609</v>
      </c>
      <c r="K370" t="s">
        <v>100</v>
      </c>
    </row>
    <row r="371" spans="1:11">
      <c r="A371" s="2" t="str">
        <f t="shared" si="5"/>
        <v>6461989</v>
      </c>
      <c r="B371" t="s">
        <v>99</v>
      </c>
      <c r="C371">
        <v>646</v>
      </c>
      <c r="D371">
        <v>1370</v>
      </c>
      <c r="E371" t="s">
        <v>100</v>
      </c>
      <c r="F371" s="283">
        <v>1989</v>
      </c>
      <c r="G371" s="284">
        <v>280542</v>
      </c>
      <c r="H371" s="284">
        <v>1476360</v>
      </c>
      <c r="I371" s="284">
        <v>72572</v>
      </c>
      <c r="J371" s="284">
        <v>2936</v>
      </c>
      <c r="K371" t="s">
        <v>100</v>
      </c>
    </row>
    <row r="372" spans="1:11">
      <c r="A372" s="2" t="str">
        <f t="shared" si="5"/>
        <v>6461990</v>
      </c>
      <c r="B372" t="s">
        <v>99</v>
      </c>
      <c r="C372">
        <v>646</v>
      </c>
      <c r="D372">
        <v>1370</v>
      </c>
      <c r="E372" t="s">
        <v>100</v>
      </c>
      <c r="F372" s="283">
        <v>1990</v>
      </c>
      <c r="G372" s="284">
        <v>271395</v>
      </c>
      <c r="H372" s="284">
        <v>1456220</v>
      </c>
      <c r="I372" s="284">
        <v>79809</v>
      </c>
      <c r="J372" s="284">
        <v>3164</v>
      </c>
      <c r="K372" t="s">
        <v>100</v>
      </c>
    </row>
    <row r="373" spans="1:11">
      <c r="A373" s="2" t="str">
        <f t="shared" si="5"/>
        <v>6461991</v>
      </c>
      <c r="B373" t="s">
        <v>99</v>
      </c>
      <c r="C373">
        <v>646</v>
      </c>
      <c r="D373">
        <v>1370</v>
      </c>
      <c r="E373" t="s">
        <v>100</v>
      </c>
      <c r="F373" s="283">
        <v>1991</v>
      </c>
      <c r="G373" s="284">
        <v>253806</v>
      </c>
      <c r="H373" s="284">
        <v>1407590</v>
      </c>
      <c r="I373" s="284">
        <v>85706</v>
      </c>
      <c r="J373" s="284">
        <v>3303</v>
      </c>
      <c r="K373" t="s">
        <v>100</v>
      </c>
    </row>
    <row r="374" spans="1:11">
      <c r="A374" s="2" t="str">
        <f t="shared" si="5"/>
        <v>6461992</v>
      </c>
      <c r="B374" t="s">
        <v>99</v>
      </c>
      <c r="C374">
        <v>646</v>
      </c>
      <c r="D374">
        <v>1370</v>
      </c>
      <c r="E374" t="s">
        <v>100</v>
      </c>
      <c r="F374" s="283">
        <v>1992</v>
      </c>
      <c r="G374" s="284">
        <v>233169</v>
      </c>
      <c r="H374" s="284">
        <v>1345890</v>
      </c>
      <c r="I374" s="284">
        <v>88048</v>
      </c>
      <c r="J374" s="284">
        <v>3251</v>
      </c>
      <c r="K374" t="s">
        <v>100</v>
      </c>
    </row>
    <row r="375" spans="1:11">
      <c r="A375" s="2" t="str">
        <f t="shared" si="5"/>
        <v>6461993</v>
      </c>
      <c r="B375" t="s">
        <v>99</v>
      </c>
      <c r="C375">
        <v>646</v>
      </c>
      <c r="D375">
        <v>1370</v>
      </c>
      <c r="E375" t="s">
        <v>100</v>
      </c>
      <c r="F375" s="283">
        <v>1993</v>
      </c>
      <c r="G375" s="284">
        <v>216824</v>
      </c>
      <c r="H375" s="284">
        <v>1299850</v>
      </c>
      <c r="I375" s="284">
        <v>88552</v>
      </c>
      <c r="J375" s="284">
        <v>3159</v>
      </c>
      <c r="K375" t="s">
        <v>100</v>
      </c>
    </row>
    <row r="376" spans="1:11">
      <c r="A376" s="2" t="str">
        <f t="shared" si="5"/>
        <v>6461994</v>
      </c>
      <c r="B376" t="s">
        <v>99</v>
      </c>
      <c r="C376">
        <v>646</v>
      </c>
      <c r="D376">
        <v>1370</v>
      </c>
      <c r="E376" t="s">
        <v>100</v>
      </c>
      <c r="F376" s="283">
        <v>1994</v>
      </c>
      <c r="G376" s="284">
        <v>208896</v>
      </c>
      <c r="H376" s="284">
        <v>1292790</v>
      </c>
      <c r="I376" s="284">
        <v>89592</v>
      </c>
      <c r="J376" s="284">
        <v>3129</v>
      </c>
      <c r="K376" t="s">
        <v>100</v>
      </c>
    </row>
    <row r="377" spans="1:11">
      <c r="A377" s="2" t="str">
        <f t="shared" si="5"/>
        <v>6461995</v>
      </c>
      <c r="B377" t="s">
        <v>99</v>
      </c>
      <c r="C377">
        <v>646</v>
      </c>
      <c r="D377">
        <v>1370</v>
      </c>
      <c r="E377" t="s">
        <v>100</v>
      </c>
      <c r="F377" s="283">
        <v>1995</v>
      </c>
      <c r="G377" s="284">
        <v>207435</v>
      </c>
      <c r="H377" s="284">
        <v>1337730</v>
      </c>
      <c r="I377" s="284">
        <v>92012</v>
      </c>
      <c r="J377" s="284">
        <v>3120</v>
      </c>
      <c r="K377" t="s">
        <v>100</v>
      </c>
    </row>
    <row r="378" spans="1:11">
      <c r="A378" s="2" t="str">
        <f t="shared" si="5"/>
        <v>6461996</v>
      </c>
      <c r="B378" t="s">
        <v>99</v>
      </c>
      <c r="C378">
        <v>646</v>
      </c>
      <c r="D378">
        <v>1370</v>
      </c>
      <c r="E378" t="s">
        <v>100</v>
      </c>
      <c r="F378" s="283">
        <v>1996</v>
      </c>
      <c r="G378" s="284">
        <v>218564</v>
      </c>
      <c r="H378" s="284">
        <v>1421910</v>
      </c>
      <c r="I378" s="284">
        <v>96167</v>
      </c>
      <c r="J378" s="284">
        <v>3276</v>
      </c>
      <c r="K378" t="s">
        <v>100</v>
      </c>
    </row>
    <row r="379" spans="1:11">
      <c r="A379" s="2" t="str">
        <f t="shared" si="5"/>
        <v>6461997</v>
      </c>
      <c r="B379" t="s">
        <v>99</v>
      </c>
      <c r="C379">
        <v>646</v>
      </c>
      <c r="D379">
        <v>1370</v>
      </c>
      <c r="E379" t="s">
        <v>100</v>
      </c>
      <c r="F379" s="283">
        <v>1997</v>
      </c>
      <c r="G379" s="284">
        <v>234838</v>
      </c>
      <c r="H379" s="284">
        <v>1529020</v>
      </c>
      <c r="I379" s="284">
        <v>99732</v>
      </c>
      <c r="J379" s="284">
        <v>3403</v>
      </c>
      <c r="K379" t="s">
        <v>100</v>
      </c>
    </row>
    <row r="380" spans="1:11">
      <c r="A380" s="2" t="str">
        <f t="shared" si="5"/>
        <v>6461998</v>
      </c>
      <c r="B380" t="s">
        <v>99</v>
      </c>
      <c r="C380">
        <v>646</v>
      </c>
      <c r="D380">
        <v>1370</v>
      </c>
      <c r="E380" t="s">
        <v>100</v>
      </c>
      <c r="F380" s="283">
        <v>1998</v>
      </c>
      <c r="G380" s="284">
        <v>253233</v>
      </c>
      <c r="H380" s="284">
        <v>1637600</v>
      </c>
      <c r="I380" s="284">
        <v>101925</v>
      </c>
      <c r="J380" s="284">
        <v>3518</v>
      </c>
      <c r="K380" t="s">
        <v>100</v>
      </c>
    </row>
    <row r="381" spans="1:11">
      <c r="A381" s="2" t="str">
        <f t="shared" si="5"/>
        <v>6461999</v>
      </c>
      <c r="B381" t="s">
        <v>99</v>
      </c>
      <c r="C381">
        <v>646</v>
      </c>
      <c r="D381">
        <v>1370</v>
      </c>
      <c r="E381" t="s">
        <v>100</v>
      </c>
      <c r="F381" s="283">
        <v>1999</v>
      </c>
      <c r="G381" s="284">
        <v>271854</v>
      </c>
      <c r="H381" s="284">
        <v>1737730</v>
      </c>
      <c r="I381" s="284">
        <v>102372</v>
      </c>
      <c r="J381" s="284">
        <v>3587</v>
      </c>
      <c r="K381" t="s">
        <v>100</v>
      </c>
    </row>
    <row r="382" spans="1:11">
      <c r="A382" s="2" t="str">
        <f t="shared" si="5"/>
        <v>6462000</v>
      </c>
      <c r="B382" t="s">
        <v>99</v>
      </c>
      <c r="C382">
        <v>646</v>
      </c>
      <c r="D382">
        <v>1370</v>
      </c>
      <c r="E382" t="s">
        <v>100</v>
      </c>
      <c r="F382" s="283">
        <v>2000</v>
      </c>
      <c r="G382" s="284">
        <v>289224</v>
      </c>
      <c r="H382" s="284">
        <v>1811070</v>
      </c>
      <c r="I382" s="284">
        <v>100458</v>
      </c>
      <c r="J382" s="284">
        <v>3594</v>
      </c>
      <c r="K382" t="s">
        <v>100</v>
      </c>
    </row>
    <row r="383" spans="1:11">
      <c r="A383" s="2" t="str">
        <f t="shared" si="5"/>
        <v>6462001</v>
      </c>
      <c r="B383" t="s">
        <v>99</v>
      </c>
      <c r="C383">
        <v>646</v>
      </c>
      <c r="D383">
        <v>1370</v>
      </c>
      <c r="E383" t="s">
        <v>100</v>
      </c>
      <c r="F383" s="283">
        <v>2001</v>
      </c>
      <c r="G383" s="284">
        <v>303392</v>
      </c>
      <c r="H383" s="284">
        <v>1882440</v>
      </c>
      <c r="I383" s="284">
        <v>97346</v>
      </c>
      <c r="J383" s="284">
        <v>3511</v>
      </c>
      <c r="K383" t="s">
        <v>100</v>
      </c>
    </row>
    <row r="384" spans="1:11">
      <c r="A384" s="2" t="str">
        <f t="shared" si="5"/>
        <v>6462002</v>
      </c>
      <c r="B384" t="s">
        <v>99</v>
      </c>
      <c r="C384">
        <v>646</v>
      </c>
      <c r="D384">
        <v>1370</v>
      </c>
      <c r="E384" t="s">
        <v>100</v>
      </c>
      <c r="F384" s="283">
        <v>2002</v>
      </c>
      <c r="G384" s="284">
        <v>317964</v>
      </c>
      <c r="H384" s="284">
        <v>1948300</v>
      </c>
      <c r="I384" s="284">
        <v>93754</v>
      </c>
      <c r="J384" s="284">
        <v>3413</v>
      </c>
      <c r="K384" t="s">
        <v>100</v>
      </c>
    </row>
    <row r="385" spans="1:11">
      <c r="A385" s="2" t="str">
        <f t="shared" si="5"/>
        <v>6462003</v>
      </c>
      <c r="B385" t="s">
        <v>99</v>
      </c>
      <c r="C385">
        <v>646</v>
      </c>
      <c r="D385">
        <v>1370</v>
      </c>
      <c r="E385" t="s">
        <v>100</v>
      </c>
      <c r="F385" s="283">
        <v>2003</v>
      </c>
      <c r="G385" s="284">
        <v>333078</v>
      </c>
      <c r="H385" s="284">
        <v>2010180</v>
      </c>
      <c r="I385" s="284">
        <v>90088</v>
      </c>
      <c r="J385" s="284">
        <v>3306</v>
      </c>
      <c r="K385" t="s">
        <v>100</v>
      </c>
    </row>
    <row r="386" spans="1:11">
      <c r="A386" s="2" t="str">
        <f t="shared" si="5"/>
        <v>6462004</v>
      </c>
      <c r="B386" t="s">
        <v>99</v>
      </c>
      <c r="C386">
        <v>646</v>
      </c>
      <c r="D386">
        <v>1370</v>
      </c>
      <c r="E386" t="s">
        <v>100</v>
      </c>
      <c r="F386" s="283">
        <v>2004</v>
      </c>
      <c r="G386" s="284">
        <v>348226</v>
      </c>
      <c r="H386" s="284">
        <v>2062870</v>
      </c>
      <c r="I386" s="284">
        <v>86545</v>
      </c>
      <c r="J386" s="284">
        <v>2776</v>
      </c>
      <c r="K386" t="s">
        <v>100</v>
      </c>
    </row>
    <row r="387" spans="1:11">
      <c r="A387" s="2" t="str">
        <f t="shared" si="5"/>
        <v>6462005</v>
      </c>
      <c r="B387" t="s">
        <v>99</v>
      </c>
      <c r="C387">
        <v>646</v>
      </c>
      <c r="D387">
        <v>1370</v>
      </c>
      <c r="E387" t="s">
        <v>100</v>
      </c>
      <c r="F387" s="283">
        <v>2005</v>
      </c>
      <c r="G387" s="284">
        <v>365142</v>
      </c>
      <c r="H387" s="284">
        <v>2109930</v>
      </c>
      <c r="I387" s="284">
        <v>84399</v>
      </c>
      <c r="J387" s="284">
        <v>2547</v>
      </c>
      <c r="K387" t="s">
        <v>100</v>
      </c>
    </row>
    <row r="388" spans="1:11">
      <c r="A388" s="2" t="str">
        <f t="shared" si="5"/>
        <v>6462006</v>
      </c>
      <c r="B388" t="s">
        <v>99</v>
      </c>
      <c r="C388">
        <v>646</v>
      </c>
      <c r="D388">
        <v>1370</v>
      </c>
      <c r="E388" t="s">
        <v>100</v>
      </c>
      <c r="F388" s="283">
        <v>2006</v>
      </c>
      <c r="G388" s="284">
        <v>361573</v>
      </c>
      <c r="H388" s="284">
        <v>2148180</v>
      </c>
      <c r="I388" s="284">
        <v>83550</v>
      </c>
      <c r="J388" s="284">
        <v>2226</v>
      </c>
      <c r="K388" t="s">
        <v>100</v>
      </c>
    </row>
    <row r="389" spans="1:11">
      <c r="A389" s="2" t="str">
        <f t="shared" si="5"/>
        <v>6462007</v>
      </c>
      <c r="B389" t="s">
        <v>99</v>
      </c>
      <c r="C389">
        <v>646</v>
      </c>
      <c r="D389">
        <v>1370</v>
      </c>
      <c r="E389" t="s">
        <v>100</v>
      </c>
      <c r="F389" s="283">
        <v>2007</v>
      </c>
      <c r="G389" s="284">
        <v>357377</v>
      </c>
      <c r="H389" s="284">
        <v>2180000</v>
      </c>
      <c r="I389" s="284">
        <v>83640</v>
      </c>
      <c r="J389" s="284">
        <v>1869</v>
      </c>
      <c r="K389" t="s">
        <v>100</v>
      </c>
    </row>
    <row r="390" spans="1:11">
      <c r="A390" s="2" t="str">
        <f t="shared" si="5"/>
        <v>6462008</v>
      </c>
      <c r="B390" t="s">
        <v>99</v>
      </c>
      <c r="C390">
        <v>646</v>
      </c>
      <c r="D390">
        <v>1370</v>
      </c>
      <c r="E390" t="s">
        <v>100</v>
      </c>
      <c r="F390" s="283">
        <v>2008</v>
      </c>
      <c r="G390" s="284">
        <v>352093</v>
      </c>
      <c r="H390" s="284">
        <v>2208990</v>
      </c>
      <c r="I390" s="284">
        <v>83969</v>
      </c>
      <c r="J390" s="284">
        <v>1567</v>
      </c>
      <c r="K390" t="s">
        <v>100</v>
      </c>
    </row>
    <row r="391" spans="1:11">
      <c r="A391" s="2" t="str">
        <f t="shared" si="5"/>
        <v>6462009</v>
      </c>
      <c r="B391" t="s">
        <v>99</v>
      </c>
      <c r="C391">
        <v>646</v>
      </c>
      <c r="D391">
        <v>1370</v>
      </c>
      <c r="E391" t="s">
        <v>100</v>
      </c>
      <c r="F391" s="283">
        <v>2009</v>
      </c>
      <c r="G391" s="284">
        <v>345597</v>
      </c>
      <c r="H391" s="284">
        <v>2239350</v>
      </c>
      <c r="I391" s="284">
        <v>84149</v>
      </c>
      <c r="J391" s="284">
        <v>1444</v>
      </c>
      <c r="K391" t="s">
        <v>100</v>
      </c>
    </row>
    <row r="392" spans="1:11">
      <c r="A392" s="2" t="str">
        <f t="shared" si="5"/>
        <v>6462010</v>
      </c>
      <c r="B392" t="s">
        <v>99</v>
      </c>
      <c r="C392">
        <v>646</v>
      </c>
      <c r="D392">
        <v>1370</v>
      </c>
      <c r="E392" t="s">
        <v>100</v>
      </c>
      <c r="F392" s="283">
        <v>2010</v>
      </c>
      <c r="G392" s="284">
        <v>337149</v>
      </c>
      <c r="H392" s="284">
        <v>2273780</v>
      </c>
      <c r="I392" s="284">
        <v>84573</v>
      </c>
      <c r="J392" s="284">
        <v>1305</v>
      </c>
      <c r="K392" t="s">
        <v>100</v>
      </c>
    </row>
    <row r="393" spans="1:11">
      <c r="A393" s="2" t="str">
        <f t="shared" si="5"/>
        <v>6462011</v>
      </c>
      <c r="B393" t="s">
        <v>99</v>
      </c>
      <c r="C393">
        <v>646</v>
      </c>
      <c r="D393">
        <v>1370</v>
      </c>
      <c r="E393" t="s">
        <v>100</v>
      </c>
      <c r="F393" s="283">
        <v>2011</v>
      </c>
      <c r="G393" s="284">
        <v>326352</v>
      </c>
      <c r="H393" s="284">
        <v>2316250</v>
      </c>
      <c r="I393" s="284">
        <v>85360</v>
      </c>
      <c r="J393" s="284">
        <v>442</v>
      </c>
      <c r="K393" t="s">
        <v>100</v>
      </c>
    </row>
    <row r="394" spans="1:11">
      <c r="A394" s="2" t="str">
        <f t="shared" si="5"/>
        <v>6462012</v>
      </c>
      <c r="B394" t="s">
        <v>99</v>
      </c>
      <c r="C394">
        <v>646</v>
      </c>
      <c r="D394">
        <v>1370</v>
      </c>
      <c r="E394" t="s">
        <v>100</v>
      </c>
      <c r="F394" s="283">
        <v>2012</v>
      </c>
      <c r="G394" s="284">
        <v>313059</v>
      </c>
      <c r="H394" s="284">
        <v>2366620</v>
      </c>
      <c r="I394" s="284">
        <v>86319</v>
      </c>
      <c r="J394" s="284">
        <v>285</v>
      </c>
      <c r="K394" t="s">
        <v>100</v>
      </c>
    </row>
    <row r="395" spans="1:11">
      <c r="A395" s="2" t="str">
        <f t="shared" si="5"/>
        <v>6462013</v>
      </c>
      <c r="B395" t="s">
        <v>99</v>
      </c>
      <c r="C395">
        <v>646</v>
      </c>
      <c r="D395">
        <v>1370</v>
      </c>
      <c r="E395" t="s">
        <v>100</v>
      </c>
      <c r="F395" s="283">
        <v>2013</v>
      </c>
      <c r="G395" s="284">
        <v>326775</v>
      </c>
      <c r="H395" s="284">
        <v>2425200</v>
      </c>
      <c r="I395" s="284">
        <v>87314</v>
      </c>
      <c r="J395" s="284">
        <v>260</v>
      </c>
      <c r="K395" t="s">
        <v>100</v>
      </c>
    </row>
    <row r="396" spans="1:11">
      <c r="A396" s="2" t="str">
        <f t="shared" si="5"/>
        <v>6462014</v>
      </c>
      <c r="B396" t="s">
        <v>99</v>
      </c>
      <c r="C396">
        <v>646</v>
      </c>
      <c r="D396">
        <v>1370</v>
      </c>
      <c r="E396" t="s">
        <v>100</v>
      </c>
      <c r="F396" s="283">
        <v>2014</v>
      </c>
      <c r="G396" s="284">
        <v>340057</v>
      </c>
      <c r="H396" s="284">
        <v>2492190</v>
      </c>
      <c r="I396" s="284">
        <v>88349</v>
      </c>
      <c r="J396" s="284">
        <v>268</v>
      </c>
      <c r="K396" t="s">
        <v>100</v>
      </c>
    </row>
    <row r="397" spans="1:11">
      <c r="A397" s="2" t="str">
        <f t="shared" ref="A397:A460" si="6">C397&amp;F397</f>
        <v>6462015</v>
      </c>
      <c r="B397" t="s">
        <v>99</v>
      </c>
      <c r="C397">
        <v>646</v>
      </c>
      <c r="D397">
        <v>1370</v>
      </c>
      <c r="E397" t="s">
        <v>100</v>
      </c>
      <c r="F397" s="283">
        <v>2015</v>
      </c>
      <c r="G397" s="284">
        <v>352632</v>
      </c>
      <c r="H397" s="284">
        <v>2568280</v>
      </c>
      <c r="I397" s="284">
        <v>89278</v>
      </c>
      <c r="J397" s="284">
        <v>291</v>
      </c>
      <c r="K397" t="s">
        <v>100</v>
      </c>
    </row>
    <row r="398" spans="1:11">
      <c r="A398" s="2" t="str">
        <f t="shared" si="6"/>
        <v>7101980</v>
      </c>
      <c r="B398" t="s">
        <v>101</v>
      </c>
      <c r="C398">
        <v>710</v>
      </c>
      <c r="D398">
        <v>1430</v>
      </c>
      <c r="E398" t="s">
        <v>102</v>
      </c>
      <c r="F398" s="283">
        <v>1980</v>
      </c>
      <c r="G398" s="284">
        <v>1055910</v>
      </c>
      <c r="H398" s="284">
        <v>7355470</v>
      </c>
      <c r="I398" s="284">
        <v>128</v>
      </c>
      <c r="J398" s="284">
        <v>5</v>
      </c>
      <c r="K398" t="s">
        <v>102</v>
      </c>
    </row>
    <row r="399" spans="1:11">
      <c r="A399" s="2" t="str">
        <f t="shared" si="6"/>
        <v>7101981</v>
      </c>
      <c r="B399" t="s">
        <v>101</v>
      </c>
      <c r="C399">
        <v>710</v>
      </c>
      <c r="D399">
        <v>1430</v>
      </c>
      <c r="E399" t="s">
        <v>102</v>
      </c>
      <c r="F399" s="283">
        <v>1981</v>
      </c>
      <c r="G399" s="284">
        <v>1070690</v>
      </c>
      <c r="H399" s="284">
        <v>7576920</v>
      </c>
      <c r="I399" s="284">
        <v>260</v>
      </c>
      <c r="J399" s="284">
        <v>10</v>
      </c>
      <c r="K399" t="s">
        <v>102</v>
      </c>
    </row>
    <row r="400" spans="1:11">
      <c r="A400" s="2" t="str">
        <f t="shared" si="6"/>
        <v>7101982</v>
      </c>
      <c r="B400" t="s">
        <v>101</v>
      </c>
      <c r="C400">
        <v>710</v>
      </c>
      <c r="D400">
        <v>1430</v>
      </c>
      <c r="E400" t="s">
        <v>102</v>
      </c>
      <c r="F400" s="283">
        <v>1982</v>
      </c>
      <c r="G400" s="284">
        <v>1083800</v>
      </c>
      <c r="H400" s="284">
        <v>7807280</v>
      </c>
      <c r="I400" s="284">
        <v>528</v>
      </c>
      <c r="J400" s="284">
        <v>20</v>
      </c>
      <c r="K400" t="s">
        <v>102</v>
      </c>
    </row>
    <row r="401" spans="1:11">
      <c r="A401" s="2" t="str">
        <f t="shared" si="6"/>
        <v>7101983</v>
      </c>
      <c r="B401" t="s">
        <v>101</v>
      </c>
      <c r="C401">
        <v>710</v>
      </c>
      <c r="D401">
        <v>1430</v>
      </c>
      <c r="E401" t="s">
        <v>102</v>
      </c>
      <c r="F401" s="283">
        <v>1983</v>
      </c>
      <c r="G401" s="284">
        <v>1095060</v>
      </c>
      <c r="H401" s="284">
        <v>8048080</v>
      </c>
      <c r="I401" s="284">
        <v>1059</v>
      </c>
      <c r="J401" s="284">
        <v>39</v>
      </c>
      <c r="K401" t="s">
        <v>102</v>
      </c>
    </row>
    <row r="402" spans="1:11">
      <c r="A402" s="2" t="str">
        <f t="shared" si="6"/>
        <v>7101984</v>
      </c>
      <c r="B402" t="s">
        <v>101</v>
      </c>
      <c r="C402">
        <v>710</v>
      </c>
      <c r="D402">
        <v>1430</v>
      </c>
      <c r="E402" t="s">
        <v>102</v>
      </c>
      <c r="F402" s="283">
        <v>1984</v>
      </c>
      <c r="G402" s="284">
        <v>1104930</v>
      </c>
      <c r="H402" s="284">
        <v>8299820</v>
      </c>
      <c r="I402" s="284">
        <v>2106</v>
      </c>
      <c r="J402" s="284">
        <v>76</v>
      </c>
      <c r="K402" t="s">
        <v>102</v>
      </c>
    </row>
    <row r="403" spans="1:11">
      <c r="A403" s="2" t="str">
        <f t="shared" si="6"/>
        <v>7101985</v>
      </c>
      <c r="B403" t="s">
        <v>101</v>
      </c>
      <c r="C403">
        <v>710</v>
      </c>
      <c r="D403">
        <v>1430</v>
      </c>
      <c r="E403" t="s">
        <v>102</v>
      </c>
      <c r="F403" s="283">
        <v>1985</v>
      </c>
      <c r="G403" s="284">
        <v>1111750</v>
      </c>
      <c r="H403" s="284">
        <v>8541920</v>
      </c>
      <c r="I403" s="284">
        <v>4142</v>
      </c>
      <c r="J403" s="284">
        <v>146</v>
      </c>
      <c r="K403" t="s">
        <v>102</v>
      </c>
    </row>
    <row r="404" spans="1:11">
      <c r="A404" s="2" t="str">
        <f t="shared" si="6"/>
        <v>7101986</v>
      </c>
      <c r="B404" t="s">
        <v>101</v>
      </c>
      <c r="C404">
        <v>710</v>
      </c>
      <c r="D404">
        <v>1430</v>
      </c>
      <c r="E404" t="s">
        <v>102</v>
      </c>
      <c r="F404" s="283">
        <v>1986</v>
      </c>
      <c r="G404" s="284">
        <v>1115460</v>
      </c>
      <c r="H404" s="284">
        <v>8790650</v>
      </c>
      <c r="I404" s="284">
        <v>8101</v>
      </c>
      <c r="J404" s="284">
        <v>279</v>
      </c>
      <c r="K404" t="s">
        <v>102</v>
      </c>
    </row>
    <row r="405" spans="1:11">
      <c r="A405" s="2" t="str">
        <f t="shared" si="6"/>
        <v>7101987</v>
      </c>
      <c r="B405" t="s">
        <v>101</v>
      </c>
      <c r="C405">
        <v>710</v>
      </c>
      <c r="D405">
        <v>1430</v>
      </c>
      <c r="E405" t="s">
        <v>102</v>
      </c>
      <c r="F405" s="283">
        <v>1987</v>
      </c>
      <c r="G405" s="284">
        <v>1117740</v>
      </c>
      <c r="H405" s="284">
        <v>9048310</v>
      </c>
      <c r="I405" s="284">
        <v>15566</v>
      </c>
      <c r="J405" s="284">
        <v>521</v>
      </c>
      <c r="K405" t="s">
        <v>102</v>
      </c>
    </row>
    <row r="406" spans="1:11">
      <c r="A406" s="2" t="str">
        <f t="shared" si="6"/>
        <v>7101988</v>
      </c>
      <c r="B406" t="s">
        <v>101</v>
      </c>
      <c r="C406">
        <v>710</v>
      </c>
      <c r="D406">
        <v>1430</v>
      </c>
      <c r="E406" t="s">
        <v>102</v>
      </c>
      <c r="F406" s="283">
        <v>1988</v>
      </c>
      <c r="G406" s="284">
        <v>1115720</v>
      </c>
      <c r="H406" s="284">
        <v>9305350</v>
      </c>
      <c r="I406" s="284">
        <v>29497</v>
      </c>
      <c r="J406" s="284">
        <v>959</v>
      </c>
      <c r="K406" t="s">
        <v>102</v>
      </c>
    </row>
    <row r="407" spans="1:11">
      <c r="A407" s="2" t="str">
        <f t="shared" si="6"/>
        <v>7101989</v>
      </c>
      <c r="B407" t="s">
        <v>101</v>
      </c>
      <c r="C407">
        <v>710</v>
      </c>
      <c r="D407">
        <v>1430</v>
      </c>
      <c r="E407" t="s">
        <v>102</v>
      </c>
      <c r="F407" s="283">
        <v>1989</v>
      </c>
      <c r="G407" s="284">
        <v>1114620</v>
      </c>
      <c r="H407" s="284">
        <v>9653820</v>
      </c>
      <c r="I407" s="284">
        <v>55284</v>
      </c>
      <c r="J407" s="284">
        <v>1732</v>
      </c>
      <c r="K407" t="s">
        <v>102</v>
      </c>
    </row>
    <row r="408" spans="1:11">
      <c r="A408" s="2" t="str">
        <f t="shared" si="6"/>
        <v>7101990</v>
      </c>
      <c r="B408" t="s">
        <v>101</v>
      </c>
      <c r="C408">
        <v>710</v>
      </c>
      <c r="D408">
        <v>1430</v>
      </c>
      <c r="E408" t="s">
        <v>102</v>
      </c>
      <c r="F408" s="283">
        <v>1990</v>
      </c>
      <c r="G408" s="284">
        <v>1111700</v>
      </c>
      <c r="H408" s="284">
        <v>9930140</v>
      </c>
      <c r="I408" s="284">
        <v>99910</v>
      </c>
      <c r="J408" s="284">
        <v>3026</v>
      </c>
      <c r="K408" t="s">
        <v>102</v>
      </c>
    </row>
    <row r="409" spans="1:11">
      <c r="A409" s="2" t="str">
        <f t="shared" si="6"/>
        <v>7101991</v>
      </c>
      <c r="B409" t="s">
        <v>101</v>
      </c>
      <c r="C409">
        <v>710</v>
      </c>
      <c r="D409">
        <v>1430</v>
      </c>
      <c r="E409" t="s">
        <v>102</v>
      </c>
      <c r="F409" s="283">
        <v>1991</v>
      </c>
      <c r="G409" s="284">
        <v>1104020</v>
      </c>
      <c r="H409" s="284">
        <v>10207200</v>
      </c>
      <c r="I409" s="284">
        <v>174729</v>
      </c>
      <c r="J409" s="284">
        <v>5102</v>
      </c>
      <c r="K409" t="s">
        <v>102</v>
      </c>
    </row>
    <row r="410" spans="1:11">
      <c r="A410" s="2" t="str">
        <f t="shared" si="6"/>
        <v>7101992</v>
      </c>
      <c r="B410" t="s">
        <v>101</v>
      </c>
      <c r="C410">
        <v>710</v>
      </c>
      <c r="D410">
        <v>1430</v>
      </c>
      <c r="E410" t="s">
        <v>102</v>
      </c>
      <c r="F410" s="283">
        <v>1992</v>
      </c>
      <c r="G410" s="284">
        <v>1099860</v>
      </c>
      <c r="H410" s="284">
        <v>10484900</v>
      </c>
      <c r="I410" s="284">
        <v>293631</v>
      </c>
      <c r="J410" s="284">
        <v>8288</v>
      </c>
      <c r="K410" t="s">
        <v>102</v>
      </c>
    </row>
    <row r="411" spans="1:11">
      <c r="A411" s="2" t="str">
        <f t="shared" si="6"/>
        <v>7101993</v>
      </c>
      <c r="B411" t="s">
        <v>101</v>
      </c>
      <c r="C411">
        <v>710</v>
      </c>
      <c r="D411">
        <v>1430</v>
      </c>
      <c r="E411" t="s">
        <v>102</v>
      </c>
      <c r="F411" s="283">
        <v>1993</v>
      </c>
      <c r="G411" s="284">
        <v>1098020</v>
      </c>
      <c r="H411" s="284">
        <v>10763400</v>
      </c>
      <c r="I411" s="284">
        <v>467805</v>
      </c>
      <c r="J411" s="284">
        <v>12777</v>
      </c>
      <c r="K411" t="s">
        <v>102</v>
      </c>
    </row>
    <row r="412" spans="1:11">
      <c r="A412" s="2" t="str">
        <f t="shared" si="6"/>
        <v>7101994</v>
      </c>
      <c r="B412" t="s">
        <v>101</v>
      </c>
      <c r="C412">
        <v>710</v>
      </c>
      <c r="D412">
        <v>1430</v>
      </c>
      <c r="E412" t="s">
        <v>102</v>
      </c>
      <c r="F412" s="283">
        <v>1994</v>
      </c>
      <c r="G412" s="284">
        <v>1095880</v>
      </c>
      <c r="H412" s="284">
        <v>11041600</v>
      </c>
      <c r="I412" s="284">
        <v>706498</v>
      </c>
      <c r="J412" s="284">
        <v>18693</v>
      </c>
      <c r="K412" t="s">
        <v>102</v>
      </c>
    </row>
    <row r="413" spans="1:11">
      <c r="A413" s="2" t="str">
        <f t="shared" si="6"/>
        <v>7101995</v>
      </c>
      <c r="B413" t="s">
        <v>101</v>
      </c>
      <c r="C413">
        <v>710</v>
      </c>
      <c r="D413">
        <v>1430</v>
      </c>
      <c r="E413" t="s">
        <v>102</v>
      </c>
      <c r="F413" s="283">
        <v>1995</v>
      </c>
      <c r="G413" s="284">
        <v>1094000</v>
      </c>
      <c r="H413" s="284">
        <v>11316800</v>
      </c>
      <c r="I413" s="284">
        <v>1006280</v>
      </c>
      <c r="J413" s="284">
        <v>25829</v>
      </c>
      <c r="K413" t="s">
        <v>102</v>
      </c>
    </row>
    <row r="414" spans="1:11">
      <c r="A414" s="2" t="str">
        <f t="shared" si="6"/>
        <v>7101996</v>
      </c>
      <c r="B414" t="s">
        <v>101</v>
      </c>
      <c r="C414">
        <v>710</v>
      </c>
      <c r="D414">
        <v>1430</v>
      </c>
      <c r="E414" t="s">
        <v>102</v>
      </c>
      <c r="F414" s="283">
        <v>1996</v>
      </c>
      <c r="G414" s="284">
        <v>1092080</v>
      </c>
      <c r="H414" s="284">
        <v>11580400</v>
      </c>
      <c r="I414" s="284">
        <v>1352340</v>
      </c>
      <c r="J414" s="284">
        <v>33802</v>
      </c>
      <c r="K414" t="s">
        <v>102</v>
      </c>
    </row>
    <row r="415" spans="1:11">
      <c r="A415" s="2" t="str">
        <f t="shared" si="6"/>
        <v>7101997</v>
      </c>
      <c r="B415" t="s">
        <v>101</v>
      </c>
      <c r="C415">
        <v>710</v>
      </c>
      <c r="D415">
        <v>1430</v>
      </c>
      <c r="E415" t="s">
        <v>102</v>
      </c>
      <c r="F415" s="283">
        <v>1997</v>
      </c>
      <c r="G415" s="284">
        <v>1090270</v>
      </c>
      <c r="H415" s="284">
        <v>11825900</v>
      </c>
      <c r="I415" s="284">
        <v>1718520</v>
      </c>
      <c r="J415" s="284">
        <v>42046</v>
      </c>
      <c r="K415" t="s">
        <v>102</v>
      </c>
    </row>
    <row r="416" spans="1:11">
      <c r="A416" s="2" t="str">
        <f t="shared" si="6"/>
        <v>7101998</v>
      </c>
      <c r="B416" t="s">
        <v>101</v>
      </c>
      <c r="C416">
        <v>710</v>
      </c>
      <c r="D416">
        <v>1430</v>
      </c>
      <c r="E416" t="s">
        <v>102</v>
      </c>
      <c r="F416" s="283">
        <v>1998</v>
      </c>
      <c r="G416" s="284">
        <v>1092630</v>
      </c>
      <c r="H416" s="284">
        <v>12061900</v>
      </c>
      <c r="I416" s="284">
        <v>2073020</v>
      </c>
      <c r="J416" s="284">
        <v>49903</v>
      </c>
      <c r="K416" t="s">
        <v>102</v>
      </c>
    </row>
    <row r="417" spans="1:11">
      <c r="A417" s="2" t="str">
        <f t="shared" si="6"/>
        <v>7101999</v>
      </c>
      <c r="B417" t="s">
        <v>101</v>
      </c>
      <c r="C417">
        <v>710</v>
      </c>
      <c r="D417">
        <v>1430</v>
      </c>
      <c r="E417" t="s">
        <v>102</v>
      </c>
      <c r="F417" s="283">
        <v>1999</v>
      </c>
      <c r="G417" s="284">
        <v>1100530</v>
      </c>
      <c r="H417" s="284">
        <v>12284700</v>
      </c>
      <c r="I417" s="284">
        <v>2403550</v>
      </c>
      <c r="J417" s="284">
        <v>57542</v>
      </c>
      <c r="K417" t="s">
        <v>102</v>
      </c>
    </row>
    <row r="418" spans="1:11">
      <c r="A418" s="2" t="str">
        <f t="shared" si="6"/>
        <v>7102000</v>
      </c>
      <c r="B418" t="s">
        <v>101</v>
      </c>
      <c r="C418">
        <v>710</v>
      </c>
      <c r="D418">
        <v>1430</v>
      </c>
      <c r="E418" t="s">
        <v>102</v>
      </c>
      <c r="F418" s="283">
        <v>2000</v>
      </c>
      <c r="G418" s="284">
        <v>1110610</v>
      </c>
      <c r="H418" s="284">
        <v>12488700</v>
      </c>
      <c r="I418" s="284">
        <v>2682380</v>
      </c>
      <c r="J418" s="284">
        <v>64284</v>
      </c>
      <c r="K418" t="s">
        <v>102</v>
      </c>
    </row>
    <row r="419" spans="1:11">
      <c r="A419" s="2" t="str">
        <f t="shared" si="6"/>
        <v>7102001</v>
      </c>
      <c r="B419" t="s">
        <v>101</v>
      </c>
      <c r="C419">
        <v>710</v>
      </c>
      <c r="D419">
        <v>1430</v>
      </c>
      <c r="E419" t="s">
        <v>102</v>
      </c>
      <c r="F419" s="283">
        <v>2001</v>
      </c>
      <c r="G419" s="284">
        <v>1120120</v>
      </c>
      <c r="H419" s="284">
        <v>12688500</v>
      </c>
      <c r="I419" s="284">
        <v>2904280</v>
      </c>
      <c r="J419" s="284">
        <v>69881</v>
      </c>
      <c r="K419" t="s">
        <v>102</v>
      </c>
    </row>
    <row r="420" spans="1:11">
      <c r="A420" s="2" t="str">
        <f t="shared" si="6"/>
        <v>7102002</v>
      </c>
      <c r="B420" t="s">
        <v>101</v>
      </c>
      <c r="C420">
        <v>710</v>
      </c>
      <c r="D420">
        <v>1430</v>
      </c>
      <c r="E420" t="s">
        <v>102</v>
      </c>
      <c r="F420" s="283">
        <v>2002</v>
      </c>
      <c r="G420" s="284">
        <v>1125490</v>
      </c>
      <c r="H420" s="284">
        <v>12864000</v>
      </c>
      <c r="I420" s="284">
        <v>3064230</v>
      </c>
      <c r="J420" s="284">
        <v>73994</v>
      </c>
      <c r="K420" t="s">
        <v>102</v>
      </c>
    </row>
    <row r="421" spans="1:11">
      <c r="A421" s="2" t="str">
        <f t="shared" si="6"/>
        <v>7102003</v>
      </c>
      <c r="B421" t="s">
        <v>101</v>
      </c>
      <c r="C421">
        <v>710</v>
      </c>
      <c r="D421">
        <v>1430</v>
      </c>
      <c r="E421" t="s">
        <v>102</v>
      </c>
      <c r="F421" s="283">
        <v>2003</v>
      </c>
      <c r="G421" s="284">
        <v>1126850</v>
      </c>
      <c r="H421" s="284">
        <v>13011400</v>
      </c>
      <c r="I421" s="284">
        <v>3165430</v>
      </c>
      <c r="J421" s="284">
        <v>74621</v>
      </c>
      <c r="K421" t="s">
        <v>102</v>
      </c>
    </row>
    <row r="422" spans="1:11">
      <c r="A422" s="2" t="str">
        <f t="shared" si="6"/>
        <v>7102004</v>
      </c>
      <c r="B422" t="s">
        <v>101</v>
      </c>
      <c r="C422">
        <v>710</v>
      </c>
      <c r="D422">
        <v>1430</v>
      </c>
      <c r="E422" t="s">
        <v>102</v>
      </c>
      <c r="F422" s="283">
        <v>2004</v>
      </c>
      <c r="G422" s="284">
        <v>1117590</v>
      </c>
      <c r="H422" s="284">
        <v>13135700</v>
      </c>
      <c r="I422" s="284">
        <v>3213920</v>
      </c>
      <c r="J422" s="284">
        <v>72258</v>
      </c>
      <c r="K422" t="s">
        <v>102</v>
      </c>
    </row>
    <row r="423" spans="1:11">
      <c r="A423" s="2" t="str">
        <f t="shared" si="6"/>
        <v>7102005</v>
      </c>
      <c r="B423" t="s">
        <v>101</v>
      </c>
      <c r="C423">
        <v>710</v>
      </c>
      <c r="D423">
        <v>1430</v>
      </c>
      <c r="E423" t="s">
        <v>102</v>
      </c>
      <c r="F423" s="283">
        <v>2005</v>
      </c>
      <c r="G423" s="284">
        <v>1110400</v>
      </c>
      <c r="H423" s="284">
        <v>13240500</v>
      </c>
      <c r="I423" s="284">
        <v>3221260</v>
      </c>
      <c r="J423" s="284">
        <v>68672</v>
      </c>
      <c r="K423" t="s">
        <v>102</v>
      </c>
    </row>
    <row r="424" spans="1:11">
      <c r="A424" s="2" t="str">
        <f t="shared" si="6"/>
        <v>7102006</v>
      </c>
      <c r="B424" t="s">
        <v>101</v>
      </c>
      <c r="C424">
        <v>710</v>
      </c>
      <c r="D424">
        <v>1430</v>
      </c>
      <c r="E424" t="s">
        <v>102</v>
      </c>
      <c r="F424" s="283">
        <v>2006</v>
      </c>
      <c r="G424" s="284">
        <v>1097500</v>
      </c>
      <c r="H424" s="284">
        <v>13334900</v>
      </c>
      <c r="I424" s="284">
        <v>3200210</v>
      </c>
      <c r="J424" s="284">
        <v>63519</v>
      </c>
      <c r="K424" t="s">
        <v>102</v>
      </c>
    </row>
    <row r="425" spans="1:11">
      <c r="A425" s="2" t="str">
        <f t="shared" si="6"/>
        <v>7102007</v>
      </c>
      <c r="B425" t="s">
        <v>101</v>
      </c>
      <c r="C425">
        <v>710</v>
      </c>
      <c r="D425">
        <v>1430</v>
      </c>
      <c r="E425" t="s">
        <v>102</v>
      </c>
      <c r="F425" s="283">
        <v>2007</v>
      </c>
      <c r="G425" s="284">
        <v>1092000</v>
      </c>
      <c r="H425" s="284">
        <v>13420600</v>
      </c>
      <c r="I425" s="284">
        <v>3169630</v>
      </c>
      <c r="J425" s="284">
        <v>55258</v>
      </c>
      <c r="K425" t="s">
        <v>102</v>
      </c>
    </row>
    <row r="426" spans="1:11">
      <c r="A426" s="2" t="str">
        <f t="shared" si="6"/>
        <v>7102008</v>
      </c>
      <c r="B426" t="s">
        <v>101</v>
      </c>
      <c r="C426">
        <v>710</v>
      </c>
      <c r="D426">
        <v>1430</v>
      </c>
      <c r="E426" t="s">
        <v>102</v>
      </c>
      <c r="F426" s="283">
        <v>2008</v>
      </c>
      <c r="G426" s="284">
        <v>1090040</v>
      </c>
      <c r="H426" s="284">
        <v>13510100</v>
      </c>
      <c r="I426" s="284">
        <v>3141410</v>
      </c>
      <c r="J426" s="284">
        <v>49780</v>
      </c>
      <c r="K426" t="s">
        <v>102</v>
      </c>
    </row>
    <row r="427" spans="1:11">
      <c r="A427" s="2" t="str">
        <f t="shared" si="6"/>
        <v>7102009</v>
      </c>
      <c r="B427" t="s">
        <v>101</v>
      </c>
      <c r="C427">
        <v>710</v>
      </c>
      <c r="D427">
        <v>1430</v>
      </c>
      <c r="E427" t="s">
        <v>102</v>
      </c>
      <c r="F427" s="283">
        <v>2009</v>
      </c>
      <c r="G427" s="284">
        <v>1083720</v>
      </c>
      <c r="H427" s="284">
        <v>13610300</v>
      </c>
      <c r="I427" s="284">
        <v>3126340</v>
      </c>
      <c r="J427" s="284">
        <v>27886</v>
      </c>
      <c r="K427" t="s">
        <v>102</v>
      </c>
    </row>
    <row r="428" spans="1:11">
      <c r="A428" s="2" t="str">
        <f t="shared" si="6"/>
        <v>7102010</v>
      </c>
      <c r="B428" t="s">
        <v>101</v>
      </c>
      <c r="C428">
        <v>710</v>
      </c>
      <c r="D428">
        <v>1430</v>
      </c>
      <c r="E428" t="s">
        <v>102</v>
      </c>
      <c r="F428" s="283">
        <v>2010</v>
      </c>
      <c r="G428" s="284">
        <v>1086370</v>
      </c>
      <c r="H428" s="284">
        <v>13714400</v>
      </c>
      <c r="I428" s="284">
        <v>3130690</v>
      </c>
      <c r="J428" s="284">
        <v>14319</v>
      </c>
      <c r="K428" t="s">
        <v>102</v>
      </c>
    </row>
    <row r="429" spans="1:11">
      <c r="A429" s="2" t="str">
        <f t="shared" si="6"/>
        <v>7102011</v>
      </c>
      <c r="B429" t="s">
        <v>101</v>
      </c>
      <c r="C429">
        <v>710</v>
      </c>
      <c r="D429">
        <v>1430</v>
      </c>
      <c r="E429" t="s">
        <v>102</v>
      </c>
      <c r="F429" s="283">
        <v>2011</v>
      </c>
      <c r="G429" s="284">
        <v>1087740</v>
      </c>
      <c r="H429" s="284">
        <v>13898800</v>
      </c>
      <c r="I429" s="284">
        <v>3166700</v>
      </c>
      <c r="J429" s="284">
        <v>13699</v>
      </c>
      <c r="K429" t="s">
        <v>102</v>
      </c>
    </row>
    <row r="430" spans="1:11">
      <c r="A430" s="2" t="str">
        <f t="shared" si="6"/>
        <v>7102012</v>
      </c>
      <c r="B430" t="s">
        <v>101</v>
      </c>
      <c r="C430">
        <v>710</v>
      </c>
      <c r="D430">
        <v>1430</v>
      </c>
      <c r="E430" t="s">
        <v>102</v>
      </c>
      <c r="F430" s="283">
        <v>2012</v>
      </c>
      <c r="G430" s="284">
        <v>1090020</v>
      </c>
      <c r="H430" s="284">
        <v>14069200</v>
      </c>
      <c r="I430" s="284">
        <v>3215130</v>
      </c>
      <c r="J430" s="284">
        <v>13216</v>
      </c>
      <c r="K430" t="s">
        <v>102</v>
      </c>
    </row>
    <row r="431" spans="1:11">
      <c r="A431" s="2" t="str">
        <f t="shared" si="6"/>
        <v>7102013</v>
      </c>
      <c r="B431" t="s">
        <v>101</v>
      </c>
      <c r="C431">
        <v>710</v>
      </c>
      <c r="D431">
        <v>1430</v>
      </c>
      <c r="E431" t="s">
        <v>102</v>
      </c>
      <c r="F431" s="283">
        <v>2013</v>
      </c>
      <c r="G431" s="284">
        <v>1095180</v>
      </c>
      <c r="H431" s="284">
        <v>14261100</v>
      </c>
      <c r="I431" s="284">
        <v>3286800</v>
      </c>
      <c r="J431" s="284">
        <v>6542</v>
      </c>
      <c r="K431" t="s">
        <v>102</v>
      </c>
    </row>
    <row r="432" spans="1:11">
      <c r="A432" s="2" t="str">
        <f t="shared" si="6"/>
        <v>7102014</v>
      </c>
      <c r="B432" t="s">
        <v>101</v>
      </c>
      <c r="C432">
        <v>710</v>
      </c>
      <c r="D432">
        <v>1430</v>
      </c>
      <c r="E432" t="s">
        <v>102</v>
      </c>
      <c r="F432" s="283">
        <v>2014</v>
      </c>
      <c r="G432" s="284">
        <v>1095520</v>
      </c>
      <c r="H432" s="284">
        <v>14468200</v>
      </c>
      <c r="I432" s="284">
        <v>3374080</v>
      </c>
      <c r="J432" s="284">
        <v>5308</v>
      </c>
      <c r="K432" t="s">
        <v>102</v>
      </c>
    </row>
    <row r="433" spans="1:11">
      <c r="A433" s="2" t="str">
        <f t="shared" si="6"/>
        <v>7102015</v>
      </c>
      <c r="B433" t="s">
        <v>101</v>
      </c>
      <c r="C433">
        <v>710</v>
      </c>
      <c r="D433">
        <v>1430</v>
      </c>
      <c r="E433" t="s">
        <v>102</v>
      </c>
      <c r="F433" s="283">
        <v>2015</v>
      </c>
      <c r="G433" s="284">
        <v>1098160</v>
      </c>
      <c r="H433" s="284">
        <v>14682900</v>
      </c>
      <c r="I433" s="284">
        <v>3462880</v>
      </c>
      <c r="J433" s="284">
        <v>4537</v>
      </c>
      <c r="K433" t="s">
        <v>102</v>
      </c>
    </row>
    <row r="434" spans="1:11">
      <c r="A434" s="2" t="str">
        <f t="shared" si="6"/>
        <v>7481980</v>
      </c>
      <c r="B434" t="s">
        <v>103</v>
      </c>
      <c r="C434">
        <v>748</v>
      </c>
      <c r="D434">
        <v>1480</v>
      </c>
      <c r="E434" t="s">
        <v>104</v>
      </c>
      <c r="F434" s="283">
        <v>1980</v>
      </c>
      <c r="G434" s="284">
        <v>26304</v>
      </c>
      <c r="H434" s="284">
        <v>128171</v>
      </c>
      <c r="I434" s="284">
        <v>0</v>
      </c>
      <c r="J434" s="284">
        <v>0</v>
      </c>
      <c r="K434" t="s">
        <v>104</v>
      </c>
    </row>
    <row r="435" spans="1:11">
      <c r="A435" s="2" t="str">
        <f t="shared" si="6"/>
        <v>7481981</v>
      </c>
      <c r="B435" t="s">
        <v>103</v>
      </c>
      <c r="C435">
        <v>748</v>
      </c>
      <c r="D435">
        <v>1480</v>
      </c>
      <c r="E435" t="s">
        <v>104</v>
      </c>
      <c r="F435" s="283">
        <v>1981</v>
      </c>
      <c r="G435" s="284">
        <v>27106</v>
      </c>
      <c r="H435" s="284">
        <v>132981</v>
      </c>
      <c r="I435" s="284">
        <v>0</v>
      </c>
      <c r="J435" s="284">
        <v>0</v>
      </c>
      <c r="K435" t="s">
        <v>104</v>
      </c>
    </row>
    <row r="436" spans="1:11">
      <c r="A436" s="2" t="str">
        <f t="shared" si="6"/>
        <v>7481982</v>
      </c>
      <c r="B436" t="s">
        <v>103</v>
      </c>
      <c r="C436">
        <v>748</v>
      </c>
      <c r="D436">
        <v>1480</v>
      </c>
      <c r="E436" t="s">
        <v>104</v>
      </c>
      <c r="F436" s="283">
        <v>1982</v>
      </c>
      <c r="G436" s="284">
        <v>27971</v>
      </c>
      <c r="H436" s="284">
        <v>137838</v>
      </c>
      <c r="I436" s="284">
        <v>0</v>
      </c>
      <c r="J436" s="284">
        <v>0</v>
      </c>
      <c r="K436" t="s">
        <v>104</v>
      </c>
    </row>
    <row r="437" spans="1:11">
      <c r="A437" s="2" t="str">
        <f t="shared" si="6"/>
        <v>7481983</v>
      </c>
      <c r="B437" t="s">
        <v>103</v>
      </c>
      <c r="C437">
        <v>748</v>
      </c>
      <c r="D437">
        <v>1480</v>
      </c>
      <c r="E437" t="s">
        <v>104</v>
      </c>
      <c r="F437" s="283">
        <v>1983</v>
      </c>
      <c r="G437" s="284">
        <v>28736</v>
      </c>
      <c r="H437" s="284">
        <v>142602</v>
      </c>
      <c r="I437" s="284">
        <v>0</v>
      </c>
      <c r="J437" s="284">
        <v>0</v>
      </c>
      <c r="K437" t="s">
        <v>104</v>
      </c>
    </row>
    <row r="438" spans="1:11">
      <c r="A438" s="2" t="str">
        <f t="shared" si="6"/>
        <v>7481984</v>
      </c>
      <c r="B438" t="s">
        <v>103</v>
      </c>
      <c r="C438">
        <v>748</v>
      </c>
      <c r="D438">
        <v>1480</v>
      </c>
      <c r="E438" t="s">
        <v>104</v>
      </c>
      <c r="F438" s="283">
        <v>1984</v>
      </c>
      <c r="G438" s="284">
        <v>29380</v>
      </c>
      <c r="H438" s="284">
        <v>147356</v>
      </c>
      <c r="I438" s="284">
        <v>0</v>
      </c>
      <c r="J438" s="284">
        <v>0</v>
      </c>
      <c r="K438" t="s">
        <v>104</v>
      </c>
    </row>
    <row r="439" spans="1:11">
      <c r="A439" s="2" t="str">
        <f t="shared" si="6"/>
        <v>7481985</v>
      </c>
      <c r="B439" t="s">
        <v>103</v>
      </c>
      <c r="C439">
        <v>748</v>
      </c>
      <c r="D439">
        <v>1480</v>
      </c>
      <c r="E439" t="s">
        <v>104</v>
      </c>
      <c r="F439" s="283">
        <v>1985</v>
      </c>
      <c r="G439" s="284">
        <v>30035</v>
      </c>
      <c r="H439" s="284">
        <v>152411</v>
      </c>
      <c r="I439" s="284">
        <v>13</v>
      </c>
      <c r="J439" s="284">
        <v>0.59189999999999998</v>
      </c>
      <c r="K439" t="s">
        <v>104</v>
      </c>
    </row>
    <row r="440" spans="1:11">
      <c r="A440" s="2" t="str">
        <f t="shared" si="6"/>
        <v>7481986</v>
      </c>
      <c r="B440" t="s">
        <v>103</v>
      </c>
      <c r="C440">
        <v>748</v>
      </c>
      <c r="D440">
        <v>1480</v>
      </c>
      <c r="E440" t="s">
        <v>104</v>
      </c>
      <c r="F440" s="283">
        <v>1986</v>
      </c>
      <c r="G440" s="284">
        <v>30846</v>
      </c>
      <c r="H440" s="284">
        <v>158825</v>
      </c>
      <c r="I440" s="284">
        <v>42</v>
      </c>
      <c r="J440" s="284">
        <v>2</v>
      </c>
      <c r="K440" t="s">
        <v>104</v>
      </c>
    </row>
    <row r="441" spans="1:11">
      <c r="A441" s="2" t="str">
        <f t="shared" si="6"/>
        <v>7481987</v>
      </c>
      <c r="B441" t="s">
        <v>103</v>
      </c>
      <c r="C441">
        <v>748</v>
      </c>
      <c r="D441">
        <v>1480</v>
      </c>
      <c r="E441" t="s">
        <v>104</v>
      </c>
      <c r="F441" s="283">
        <v>1987</v>
      </c>
      <c r="G441" s="284">
        <v>31865</v>
      </c>
      <c r="H441" s="284">
        <v>166389</v>
      </c>
      <c r="I441" s="284">
        <v>221</v>
      </c>
      <c r="J441" s="284">
        <v>10</v>
      </c>
      <c r="K441" t="s">
        <v>104</v>
      </c>
    </row>
    <row r="442" spans="1:11">
      <c r="A442" s="2" t="str">
        <f t="shared" si="6"/>
        <v>7481988</v>
      </c>
      <c r="B442" t="s">
        <v>103</v>
      </c>
      <c r="C442">
        <v>748</v>
      </c>
      <c r="D442">
        <v>1480</v>
      </c>
      <c r="E442" t="s">
        <v>104</v>
      </c>
      <c r="F442" s="283">
        <v>1988</v>
      </c>
      <c r="G442" s="284">
        <v>32724</v>
      </c>
      <c r="H442" s="284">
        <v>174088</v>
      </c>
      <c r="I442" s="284">
        <v>705</v>
      </c>
      <c r="J442" s="284">
        <v>31</v>
      </c>
      <c r="K442" t="s">
        <v>104</v>
      </c>
    </row>
    <row r="443" spans="1:11">
      <c r="A443" s="2" t="str">
        <f t="shared" si="6"/>
        <v>7481989</v>
      </c>
      <c r="B443" t="s">
        <v>103</v>
      </c>
      <c r="C443">
        <v>748</v>
      </c>
      <c r="D443">
        <v>1480</v>
      </c>
      <c r="E443" t="s">
        <v>104</v>
      </c>
      <c r="F443" s="283">
        <v>1989</v>
      </c>
      <c r="G443" s="284">
        <v>33187</v>
      </c>
      <c r="H443" s="284">
        <v>180722</v>
      </c>
      <c r="I443" s="284">
        <v>1818</v>
      </c>
      <c r="J443" s="284">
        <v>78</v>
      </c>
      <c r="K443" t="s">
        <v>104</v>
      </c>
    </row>
    <row r="444" spans="1:11">
      <c r="A444" s="2" t="str">
        <f t="shared" si="6"/>
        <v>7481990</v>
      </c>
      <c r="B444" t="s">
        <v>103</v>
      </c>
      <c r="C444">
        <v>748</v>
      </c>
      <c r="D444">
        <v>1480</v>
      </c>
      <c r="E444" t="s">
        <v>104</v>
      </c>
      <c r="F444" s="283">
        <v>1990</v>
      </c>
      <c r="G444" s="284">
        <v>33363</v>
      </c>
      <c r="H444" s="284">
        <v>186362</v>
      </c>
      <c r="I444" s="284">
        <v>4001</v>
      </c>
      <c r="J444" s="284">
        <v>167</v>
      </c>
      <c r="K444" t="s">
        <v>104</v>
      </c>
    </row>
    <row r="445" spans="1:11">
      <c r="A445" s="2" t="str">
        <f t="shared" si="6"/>
        <v>7481991</v>
      </c>
      <c r="B445" t="s">
        <v>103</v>
      </c>
      <c r="C445">
        <v>748</v>
      </c>
      <c r="D445">
        <v>1480</v>
      </c>
      <c r="E445" t="s">
        <v>104</v>
      </c>
      <c r="F445" s="283">
        <v>1991</v>
      </c>
      <c r="G445" s="284">
        <v>33314</v>
      </c>
      <c r="H445" s="284">
        <v>191103</v>
      </c>
      <c r="I445" s="284">
        <v>7665</v>
      </c>
      <c r="J445" s="284">
        <v>308</v>
      </c>
      <c r="K445" t="s">
        <v>104</v>
      </c>
    </row>
    <row r="446" spans="1:11">
      <c r="A446" s="2" t="str">
        <f t="shared" si="6"/>
        <v>7481992</v>
      </c>
      <c r="B446" t="s">
        <v>103</v>
      </c>
      <c r="C446">
        <v>748</v>
      </c>
      <c r="D446">
        <v>1480</v>
      </c>
      <c r="E446" t="s">
        <v>104</v>
      </c>
      <c r="F446" s="283">
        <v>1992</v>
      </c>
      <c r="G446" s="284">
        <v>33069</v>
      </c>
      <c r="H446" s="284">
        <v>195028</v>
      </c>
      <c r="I446" s="284">
        <v>12949</v>
      </c>
      <c r="J446" s="284">
        <v>500</v>
      </c>
      <c r="K446" t="s">
        <v>104</v>
      </c>
    </row>
    <row r="447" spans="1:11">
      <c r="A447" s="2" t="str">
        <f t="shared" si="6"/>
        <v>7481993</v>
      </c>
      <c r="B447" t="s">
        <v>103</v>
      </c>
      <c r="C447">
        <v>748</v>
      </c>
      <c r="D447">
        <v>1480</v>
      </c>
      <c r="E447" t="s">
        <v>104</v>
      </c>
      <c r="F447" s="283">
        <v>1993</v>
      </c>
      <c r="G447" s="284">
        <v>32695</v>
      </c>
      <c r="H447" s="284">
        <v>198884</v>
      </c>
      <c r="I447" s="284">
        <v>19625</v>
      </c>
      <c r="J447" s="284">
        <v>729</v>
      </c>
      <c r="K447" t="s">
        <v>104</v>
      </c>
    </row>
    <row r="448" spans="1:11">
      <c r="A448" s="2" t="str">
        <f t="shared" si="6"/>
        <v>7481994</v>
      </c>
      <c r="B448" t="s">
        <v>103</v>
      </c>
      <c r="C448">
        <v>748</v>
      </c>
      <c r="D448">
        <v>1480</v>
      </c>
      <c r="E448" t="s">
        <v>104</v>
      </c>
      <c r="F448" s="283">
        <v>1994</v>
      </c>
      <c r="G448" s="284">
        <v>32318</v>
      </c>
      <c r="H448" s="284">
        <v>203345</v>
      </c>
      <c r="I448" s="284">
        <v>27237</v>
      </c>
      <c r="J448" s="284">
        <v>973</v>
      </c>
      <c r="K448" t="s">
        <v>104</v>
      </c>
    </row>
    <row r="449" spans="1:11">
      <c r="A449" s="2" t="str">
        <f t="shared" si="6"/>
        <v>7481995</v>
      </c>
      <c r="B449" t="s">
        <v>103</v>
      </c>
      <c r="C449">
        <v>748</v>
      </c>
      <c r="D449">
        <v>1480</v>
      </c>
      <c r="E449" t="s">
        <v>104</v>
      </c>
      <c r="F449" s="283">
        <v>1995</v>
      </c>
      <c r="G449" s="284">
        <v>31987</v>
      </c>
      <c r="H449" s="284">
        <v>208361</v>
      </c>
      <c r="I449" s="284">
        <v>35186</v>
      </c>
      <c r="J449" s="284">
        <v>1212</v>
      </c>
      <c r="K449" t="s">
        <v>104</v>
      </c>
    </row>
    <row r="450" spans="1:11">
      <c r="A450" s="2" t="str">
        <f t="shared" si="6"/>
        <v>7481996</v>
      </c>
      <c r="B450" t="s">
        <v>103</v>
      </c>
      <c r="C450">
        <v>748</v>
      </c>
      <c r="D450">
        <v>1480</v>
      </c>
      <c r="E450" t="s">
        <v>104</v>
      </c>
      <c r="F450" s="283">
        <v>1996</v>
      </c>
      <c r="G450" s="284">
        <v>31700</v>
      </c>
      <c r="H450" s="284">
        <v>213936</v>
      </c>
      <c r="I450" s="284">
        <v>42893</v>
      </c>
      <c r="J450" s="284">
        <v>1429</v>
      </c>
      <c r="K450" t="s">
        <v>104</v>
      </c>
    </row>
    <row r="451" spans="1:11">
      <c r="A451" s="2" t="str">
        <f t="shared" si="6"/>
        <v>7481997</v>
      </c>
      <c r="B451" t="s">
        <v>103</v>
      </c>
      <c r="C451">
        <v>748</v>
      </c>
      <c r="D451">
        <v>1480</v>
      </c>
      <c r="E451" t="s">
        <v>104</v>
      </c>
      <c r="F451" s="283">
        <v>1997</v>
      </c>
      <c r="G451" s="284">
        <v>31470</v>
      </c>
      <c r="H451" s="284">
        <v>220112</v>
      </c>
      <c r="I451" s="284">
        <v>50075</v>
      </c>
      <c r="J451" s="284">
        <v>1619</v>
      </c>
      <c r="K451" t="s">
        <v>104</v>
      </c>
    </row>
    <row r="452" spans="1:11">
      <c r="A452" s="2" t="str">
        <f t="shared" si="6"/>
        <v>7481998</v>
      </c>
      <c r="B452" t="s">
        <v>103</v>
      </c>
      <c r="C452">
        <v>748</v>
      </c>
      <c r="D452">
        <v>1480</v>
      </c>
      <c r="E452" t="s">
        <v>104</v>
      </c>
      <c r="F452" s="283">
        <v>1998</v>
      </c>
      <c r="G452" s="284">
        <v>31500</v>
      </c>
      <c r="H452" s="284">
        <v>226222</v>
      </c>
      <c r="I452" s="284">
        <v>56323</v>
      </c>
      <c r="J452" s="284">
        <v>1788</v>
      </c>
      <c r="K452" t="s">
        <v>104</v>
      </c>
    </row>
    <row r="453" spans="1:11">
      <c r="A453" s="2" t="str">
        <f t="shared" si="6"/>
        <v>7481999</v>
      </c>
      <c r="B453" t="s">
        <v>103</v>
      </c>
      <c r="C453">
        <v>748</v>
      </c>
      <c r="D453">
        <v>1480</v>
      </c>
      <c r="E453" t="s">
        <v>104</v>
      </c>
      <c r="F453" s="283">
        <v>1999</v>
      </c>
      <c r="G453" s="284">
        <v>31700</v>
      </c>
      <c r="H453" s="284">
        <v>231574</v>
      </c>
      <c r="I453" s="284">
        <v>61349</v>
      </c>
      <c r="J453" s="284">
        <v>1930</v>
      </c>
      <c r="K453" t="s">
        <v>104</v>
      </c>
    </row>
    <row r="454" spans="1:11">
      <c r="A454" s="2" t="str">
        <f t="shared" si="6"/>
        <v>7482000</v>
      </c>
      <c r="B454" t="s">
        <v>103</v>
      </c>
      <c r="C454">
        <v>748</v>
      </c>
      <c r="D454">
        <v>1480</v>
      </c>
      <c r="E454" t="s">
        <v>104</v>
      </c>
      <c r="F454" s="283">
        <v>2000</v>
      </c>
      <c r="G454" s="284">
        <v>31783</v>
      </c>
      <c r="H454" s="284">
        <v>236162</v>
      </c>
      <c r="I454" s="284">
        <v>65171</v>
      </c>
      <c r="J454" s="284">
        <v>2031</v>
      </c>
      <c r="K454" t="s">
        <v>104</v>
      </c>
    </row>
    <row r="455" spans="1:11">
      <c r="A455" s="2" t="str">
        <f t="shared" si="6"/>
        <v>7482001</v>
      </c>
      <c r="B455" t="s">
        <v>103</v>
      </c>
      <c r="C455">
        <v>748</v>
      </c>
      <c r="D455">
        <v>1480</v>
      </c>
      <c r="E455" t="s">
        <v>104</v>
      </c>
      <c r="F455" s="283">
        <v>2001</v>
      </c>
      <c r="G455" s="284">
        <v>31749</v>
      </c>
      <c r="H455" s="284">
        <v>240064</v>
      </c>
      <c r="I455" s="284">
        <v>67988</v>
      </c>
      <c r="J455" s="284">
        <v>2092</v>
      </c>
      <c r="K455" t="s">
        <v>104</v>
      </c>
    </row>
    <row r="456" spans="1:11">
      <c r="A456" s="2" t="str">
        <f t="shared" si="6"/>
        <v>7482002</v>
      </c>
      <c r="B456" t="s">
        <v>103</v>
      </c>
      <c r="C456">
        <v>748</v>
      </c>
      <c r="D456">
        <v>1480</v>
      </c>
      <c r="E456" t="s">
        <v>104</v>
      </c>
      <c r="F456" s="283">
        <v>2002</v>
      </c>
      <c r="G456" s="284">
        <v>31626</v>
      </c>
      <c r="H456" s="284">
        <v>243470</v>
      </c>
      <c r="I456" s="284">
        <v>70041</v>
      </c>
      <c r="J456" s="284">
        <v>2110</v>
      </c>
      <c r="K456" t="s">
        <v>104</v>
      </c>
    </row>
    <row r="457" spans="1:11">
      <c r="A457" s="2" t="str">
        <f t="shared" si="6"/>
        <v>7482003</v>
      </c>
      <c r="B457" t="s">
        <v>103</v>
      </c>
      <c r="C457">
        <v>748</v>
      </c>
      <c r="D457">
        <v>1480</v>
      </c>
      <c r="E457" t="s">
        <v>104</v>
      </c>
      <c r="F457" s="283">
        <v>2003</v>
      </c>
      <c r="G457" s="284">
        <v>31487</v>
      </c>
      <c r="H457" s="284">
        <v>246897</v>
      </c>
      <c r="I457" s="284">
        <v>71681</v>
      </c>
      <c r="J457" s="284">
        <v>2114</v>
      </c>
      <c r="K457" t="s">
        <v>104</v>
      </c>
    </row>
    <row r="458" spans="1:11">
      <c r="A458" s="2" t="str">
        <f t="shared" si="6"/>
        <v>7482004</v>
      </c>
      <c r="B458" t="s">
        <v>103</v>
      </c>
      <c r="C458">
        <v>748</v>
      </c>
      <c r="D458">
        <v>1480</v>
      </c>
      <c r="E458" t="s">
        <v>104</v>
      </c>
      <c r="F458" s="283">
        <v>2004</v>
      </c>
      <c r="G458" s="284">
        <v>31386</v>
      </c>
      <c r="H458" s="284">
        <v>250779</v>
      </c>
      <c r="I458" s="284">
        <v>73258</v>
      </c>
      <c r="J458" s="284">
        <v>2061</v>
      </c>
      <c r="K458" t="s">
        <v>104</v>
      </c>
    </row>
    <row r="459" spans="1:11">
      <c r="A459" s="2" t="str">
        <f t="shared" si="6"/>
        <v>7482005</v>
      </c>
      <c r="B459" t="s">
        <v>103</v>
      </c>
      <c r="C459">
        <v>748</v>
      </c>
      <c r="D459">
        <v>1480</v>
      </c>
      <c r="E459" t="s">
        <v>104</v>
      </c>
      <c r="F459" s="283">
        <v>2005</v>
      </c>
      <c r="G459" s="284">
        <v>31347</v>
      </c>
      <c r="H459" s="284">
        <v>255298</v>
      </c>
      <c r="I459" s="284">
        <v>74978</v>
      </c>
      <c r="J459" s="284">
        <v>2086</v>
      </c>
      <c r="K459" t="s">
        <v>104</v>
      </c>
    </row>
    <row r="460" spans="1:11">
      <c r="A460" s="2" t="str">
        <f t="shared" si="6"/>
        <v>7482006</v>
      </c>
      <c r="B460" t="s">
        <v>103</v>
      </c>
      <c r="C460">
        <v>748</v>
      </c>
      <c r="D460">
        <v>1480</v>
      </c>
      <c r="E460" t="s">
        <v>104</v>
      </c>
      <c r="F460" s="283">
        <v>2006</v>
      </c>
      <c r="G460" s="284">
        <v>31372</v>
      </c>
      <c r="H460" s="284">
        <v>260814</v>
      </c>
      <c r="I460" s="284">
        <v>77308</v>
      </c>
      <c r="J460" s="284">
        <v>1629</v>
      </c>
      <c r="K460" t="s">
        <v>104</v>
      </c>
    </row>
    <row r="461" spans="1:11">
      <c r="A461" s="2" t="str">
        <f t="shared" ref="A461:A524" si="7">C461&amp;F461</f>
        <v>7482007</v>
      </c>
      <c r="B461" t="s">
        <v>103</v>
      </c>
      <c r="C461">
        <v>748</v>
      </c>
      <c r="D461">
        <v>1480</v>
      </c>
      <c r="E461" t="s">
        <v>104</v>
      </c>
      <c r="F461" s="283">
        <v>2007</v>
      </c>
      <c r="G461" s="284">
        <v>31506</v>
      </c>
      <c r="H461" s="284">
        <v>267480</v>
      </c>
      <c r="I461" s="284">
        <v>80414</v>
      </c>
      <c r="J461" s="284">
        <v>1694</v>
      </c>
      <c r="K461" t="s">
        <v>104</v>
      </c>
    </row>
    <row r="462" spans="1:11">
      <c r="A462" s="2" t="str">
        <f t="shared" si="7"/>
        <v>7482008</v>
      </c>
      <c r="B462" t="s">
        <v>103</v>
      </c>
      <c r="C462">
        <v>748</v>
      </c>
      <c r="D462">
        <v>1480</v>
      </c>
      <c r="E462" t="s">
        <v>104</v>
      </c>
      <c r="F462" s="283">
        <v>2008</v>
      </c>
      <c r="G462" s="284">
        <v>31798</v>
      </c>
      <c r="H462" s="284">
        <v>274838</v>
      </c>
      <c r="I462" s="284">
        <v>84101</v>
      </c>
      <c r="J462" s="284">
        <v>1785</v>
      </c>
      <c r="K462" t="s">
        <v>104</v>
      </c>
    </row>
    <row r="463" spans="1:11">
      <c r="A463" s="2" t="str">
        <f t="shared" si="7"/>
        <v>7482009</v>
      </c>
      <c r="B463" t="s">
        <v>103</v>
      </c>
      <c r="C463">
        <v>748</v>
      </c>
      <c r="D463">
        <v>1480</v>
      </c>
      <c r="E463" t="s">
        <v>104</v>
      </c>
      <c r="F463" s="283">
        <v>2009</v>
      </c>
      <c r="G463" s="284">
        <v>32174</v>
      </c>
      <c r="H463" s="284">
        <v>282144</v>
      </c>
      <c r="I463" s="284">
        <v>88010</v>
      </c>
      <c r="J463" s="284">
        <v>1480</v>
      </c>
      <c r="K463" t="s">
        <v>104</v>
      </c>
    </row>
    <row r="464" spans="1:11">
      <c r="A464" s="2" t="str">
        <f t="shared" si="7"/>
        <v>7482010</v>
      </c>
      <c r="B464" t="s">
        <v>103</v>
      </c>
      <c r="C464">
        <v>748</v>
      </c>
      <c r="D464">
        <v>1480</v>
      </c>
      <c r="E464" t="s">
        <v>104</v>
      </c>
      <c r="F464" s="283">
        <v>2010</v>
      </c>
      <c r="G464" s="284">
        <v>32516</v>
      </c>
      <c r="H464" s="284">
        <v>289091</v>
      </c>
      <c r="I464" s="284">
        <v>92089</v>
      </c>
      <c r="J464" s="284">
        <v>1260</v>
      </c>
      <c r="K464" t="s">
        <v>104</v>
      </c>
    </row>
    <row r="465" spans="1:11">
      <c r="A465" s="2" t="str">
        <f t="shared" si="7"/>
        <v>7482011</v>
      </c>
      <c r="B465" t="s">
        <v>103</v>
      </c>
      <c r="C465">
        <v>748</v>
      </c>
      <c r="D465">
        <v>1480</v>
      </c>
      <c r="E465" t="s">
        <v>104</v>
      </c>
      <c r="F465" s="283">
        <v>2011</v>
      </c>
      <c r="G465" s="284">
        <v>32765</v>
      </c>
      <c r="H465" s="284">
        <v>295930</v>
      </c>
      <c r="I465" s="284">
        <v>96040</v>
      </c>
      <c r="J465" s="284">
        <v>993</v>
      </c>
      <c r="K465" t="s">
        <v>104</v>
      </c>
    </row>
    <row r="466" spans="1:11">
      <c r="A466" s="2" t="str">
        <f t="shared" si="7"/>
        <v>7482012</v>
      </c>
      <c r="B466" t="s">
        <v>103</v>
      </c>
      <c r="C466">
        <v>748</v>
      </c>
      <c r="D466">
        <v>1480</v>
      </c>
      <c r="E466" t="s">
        <v>104</v>
      </c>
      <c r="F466" s="283">
        <v>2012</v>
      </c>
      <c r="G466" s="284">
        <v>32928</v>
      </c>
      <c r="H466" s="284">
        <v>302748</v>
      </c>
      <c r="I466" s="284">
        <v>100028</v>
      </c>
      <c r="J466" s="284">
        <v>977</v>
      </c>
      <c r="K466" t="s">
        <v>104</v>
      </c>
    </row>
    <row r="467" spans="1:11">
      <c r="A467" s="2" t="str">
        <f t="shared" si="7"/>
        <v>7482013</v>
      </c>
      <c r="B467" t="s">
        <v>103</v>
      </c>
      <c r="C467">
        <v>748</v>
      </c>
      <c r="D467">
        <v>1480</v>
      </c>
      <c r="E467" t="s">
        <v>104</v>
      </c>
      <c r="F467" s="283">
        <v>2013</v>
      </c>
      <c r="G467" s="284">
        <v>33107</v>
      </c>
      <c r="H467" s="284">
        <v>309580</v>
      </c>
      <c r="I467" s="284">
        <v>103887</v>
      </c>
      <c r="J467" s="284">
        <v>797</v>
      </c>
      <c r="K467" t="s">
        <v>104</v>
      </c>
    </row>
    <row r="468" spans="1:11">
      <c r="A468" s="2" t="str">
        <f t="shared" si="7"/>
        <v>7482014</v>
      </c>
      <c r="B468" t="s">
        <v>103</v>
      </c>
      <c r="C468">
        <v>748</v>
      </c>
      <c r="D468">
        <v>1480</v>
      </c>
      <c r="E468" t="s">
        <v>104</v>
      </c>
      <c r="F468" s="283">
        <v>2014</v>
      </c>
      <c r="G468" s="284">
        <v>33302</v>
      </c>
      <c r="H468" s="284">
        <v>316420</v>
      </c>
      <c r="I468" s="284">
        <v>107492</v>
      </c>
      <c r="J468" s="284">
        <v>643</v>
      </c>
      <c r="K468" t="s">
        <v>104</v>
      </c>
    </row>
    <row r="469" spans="1:11">
      <c r="A469" s="2" t="str">
        <f t="shared" si="7"/>
        <v>7482015</v>
      </c>
      <c r="B469" t="s">
        <v>103</v>
      </c>
      <c r="C469">
        <v>748</v>
      </c>
      <c r="D469">
        <v>1480</v>
      </c>
      <c r="E469" t="s">
        <v>104</v>
      </c>
      <c r="F469" s="283">
        <v>2015</v>
      </c>
      <c r="G469" s="284">
        <v>33409</v>
      </c>
      <c r="H469" s="284">
        <v>323239</v>
      </c>
      <c r="I469" s="284">
        <v>110517</v>
      </c>
      <c r="J469" s="284">
        <v>303</v>
      </c>
      <c r="K469" t="s">
        <v>104</v>
      </c>
    </row>
    <row r="470" spans="1:11">
      <c r="A470" s="2" t="str">
        <f t="shared" si="7"/>
        <v>8001980</v>
      </c>
      <c r="B470" t="s">
        <v>105</v>
      </c>
      <c r="C470">
        <v>800</v>
      </c>
      <c r="D470">
        <v>1530</v>
      </c>
      <c r="E470" t="s">
        <v>106</v>
      </c>
      <c r="F470" s="283">
        <v>1980</v>
      </c>
      <c r="G470" s="284">
        <v>555991</v>
      </c>
      <c r="H470" s="284">
        <v>2504550</v>
      </c>
      <c r="I470" s="284">
        <v>13518</v>
      </c>
      <c r="J470" s="284">
        <v>817</v>
      </c>
      <c r="K470" t="s">
        <v>106</v>
      </c>
    </row>
    <row r="471" spans="1:11">
      <c r="A471" s="2" t="str">
        <f t="shared" si="7"/>
        <v>8001981</v>
      </c>
      <c r="B471" t="s">
        <v>105</v>
      </c>
      <c r="C471">
        <v>800</v>
      </c>
      <c r="D471">
        <v>1530</v>
      </c>
      <c r="E471" t="s">
        <v>106</v>
      </c>
      <c r="F471" s="283">
        <v>1981</v>
      </c>
      <c r="G471" s="284">
        <v>574532</v>
      </c>
      <c r="H471" s="284">
        <v>2587860</v>
      </c>
      <c r="I471" s="284">
        <v>25478</v>
      </c>
      <c r="J471" s="284">
        <v>1535</v>
      </c>
      <c r="K471" t="s">
        <v>106</v>
      </c>
    </row>
    <row r="472" spans="1:11">
      <c r="A472" s="2" t="str">
        <f t="shared" si="7"/>
        <v>8001982</v>
      </c>
      <c r="B472" t="s">
        <v>105</v>
      </c>
      <c r="C472">
        <v>800</v>
      </c>
      <c r="D472">
        <v>1530</v>
      </c>
      <c r="E472" t="s">
        <v>106</v>
      </c>
      <c r="F472" s="283">
        <v>1982</v>
      </c>
      <c r="G472" s="284">
        <v>594232</v>
      </c>
      <c r="H472" s="284">
        <v>2669550</v>
      </c>
      <c r="I472" s="284">
        <v>45043</v>
      </c>
      <c r="J472" s="284">
        <v>2689</v>
      </c>
      <c r="K472" t="s">
        <v>106</v>
      </c>
    </row>
    <row r="473" spans="1:11">
      <c r="A473" s="2" t="str">
        <f t="shared" si="7"/>
        <v>8001983</v>
      </c>
      <c r="B473" t="s">
        <v>105</v>
      </c>
      <c r="C473">
        <v>800</v>
      </c>
      <c r="D473">
        <v>1530</v>
      </c>
      <c r="E473" t="s">
        <v>106</v>
      </c>
      <c r="F473" s="283">
        <v>1983</v>
      </c>
      <c r="G473" s="284">
        <v>614060</v>
      </c>
      <c r="H473" s="284">
        <v>2752220</v>
      </c>
      <c r="I473" s="284">
        <v>74327</v>
      </c>
      <c r="J473" s="284">
        <v>4383</v>
      </c>
      <c r="K473" t="s">
        <v>106</v>
      </c>
    </row>
    <row r="474" spans="1:11">
      <c r="A474" s="2" t="str">
        <f t="shared" si="7"/>
        <v>8001984</v>
      </c>
      <c r="B474" t="s">
        <v>105</v>
      </c>
      <c r="C474">
        <v>800</v>
      </c>
      <c r="D474">
        <v>1530</v>
      </c>
      <c r="E474" t="s">
        <v>106</v>
      </c>
      <c r="F474" s="283">
        <v>1984</v>
      </c>
      <c r="G474" s="284">
        <v>634633</v>
      </c>
      <c r="H474" s="284">
        <v>2838610</v>
      </c>
      <c r="I474" s="284">
        <v>115603</v>
      </c>
      <c r="J474" s="284">
        <v>6735</v>
      </c>
      <c r="K474" t="s">
        <v>106</v>
      </c>
    </row>
    <row r="475" spans="1:11">
      <c r="A475" s="2" t="str">
        <f t="shared" si="7"/>
        <v>8001985</v>
      </c>
      <c r="B475" t="s">
        <v>105</v>
      </c>
      <c r="C475">
        <v>800</v>
      </c>
      <c r="D475">
        <v>1530</v>
      </c>
      <c r="E475" t="s">
        <v>106</v>
      </c>
      <c r="F475" s="283">
        <v>1985</v>
      </c>
      <c r="G475" s="284">
        <v>656351</v>
      </c>
      <c r="H475" s="284">
        <v>2930410</v>
      </c>
      <c r="I475" s="284">
        <v>166814</v>
      </c>
      <c r="J475" s="284">
        <v>9549</v>
      </c>
      <c r="K475" t="s">
        <v>106</v>
      </c>
    </row>
    <row r="476" spans="1:11">
      <c r="A476" s="2" t="str">
        <f t="shared" si="7"/>
        <v>8001986</v>
      </c>
      <c r="B476" t="s">
        <v>105</v>
      </c>
      <c r="C476">
        <v>800</v>
      </c>
      <c r="D476">
        <v>1530</v>
      </c>
      <c r="E476" t="s">
        <v>106</v>
      </c>
      <c r="F476" s="283">
        <v>1986</v>
      </c>
      <c r="G476" s="284">
        <v>681021</v>
      </c>
      <c r="H476" s="284">
        <v>3039950</v>
      </c>
      <c r="I476" s="284">
        <v>225852</v>
      </c>
      <c r="J476" s="284">
        <v>12734</v>
      </c>
      <c r="K476" t="s">
        <v>106</v>
      </c>
    </row>
    <row r="477" spans="1:11">
      <c r="A477" s="2" t="str">
        <f t="shared" si="7"/>
        <v>8001987</v>
      </c>
      <c r="B477" t="s">
        <v>105</v>
      </c>
      <c r="C477">
        <v>800</v>
      </c>
      <c r="D477">
        <v>1530</v>
      </c>
      <c r="E477" t="s">
        <v>106</v>
      </c>
      <c r="F477" s="283">
        <v>1987</v>
      </c>
      <c r="G477" s="284">
        <v>708250</v>
      </c>
      <c r="H477" s="284">
        <v>3155590</v>
      </c>
      <c r="I477" s="284">
        <v>288990</v>
      </c>
      <c r="J477" s="284">
        <v>16089</v>
      </c>
      <c r="K477" t="s">
        <v>106</v>
      </c>
    </row>
    <row r="478" spans="1:11">
      <c r="A478" s="2" t="str">
        <f t="shared" si="7"/>
        <v>8001988</v>
      </c>
      <c r="B478" t="s">
        <v>105</v>
      </c>
      <c r="C478">
        <v>800</v>
      </c>
      <c r="D478">
        <v>1530</v>
      </c>
      <c r="E478" t="s">
        <v>106</v>
      </c>
      <c r="F478" s="283">
        <v>1988</v>
      </c>
      <c r="G478" s="284">
        <v>735666</v>
      </c>
      <c r="H478" s="284">
        <v>3274170</v>
      </c>
      <c r="I478" s="284">
        <v>350427</v>
      </c>
      <c r="J478" s="284">
        <v>19282</v>
      </c>
      <c r="K478" t="s">
        <v>106</v>
      </c>
    </row>
    <row r="479" spans="1:11">
      <c r="A479" s="2" t="str">
        <f t="shared" si="7"/>
        <v>8001989</v>
      </c>
      <c r="B479" t="s">
        <v>105</v>
      </c>
      <c r="C479">
        <v>800</v>
      </c>
      <c r="D479">
        <v>1530</v>
      </c>
      <c r="E479" t="s">
        <v>106</v>
      </c>
      <c r="F479" s="283">
        <v>1989</v>
      </c>
      <c r="G479" s="284">
        <v>763583</v>
      </c>
      <c r="H479" s="284">
        <v>3393630</v>
      </c>
      <c r="I479" s="284">
        <v>404366</v>
      </c>
      <c r="J479" s="284">
        <v>22031</v>
      </c>
      <c r="K479" t="s">
        <v>106</v>
      </c>
    </row>
    <row r="480" spans="1:11">
      <c r="A480" s="2" t="str">
        <f t="shared" si="7"/>
        <v>8001990</v>
      </c>
      <c r="B480" t="s">
        <v>105</v>
      </c>
      <c r="C480">
        <v>800</v>
      </c>
      <c r="D480">
        <v>1530</v>
      </c>
      <c r="E480" t="s">
        <v>106</v>
      </c>
      <c r="F480" s="283">
        <v>1990</v>
      </c>
      <c r="G480" s="284">
        <v>791360</v>
      </c>
      <c r="H480" s="284">
        <v>3511470</v>
      </c>
      <c r="I480" s="284">
        <v>447733</v>
      </c>
      <c r="J480" s="284">
        <v>24228</v>
      </c>
      <c r="K480" t="s">
        <v>106</v>
      </c>
    </row>
    <row r="481" spans="1:11">
      <c r="A481" s="2" t="str">
        <f t="shared" si="7"/>
        <v>8001991</v>
      </c>
      <c r="B481" t="s">
        <v>105</v>
      </c>
      <c r="C481">
        <v>800</v>
      </c>
      <c r="D481">
        <v>1530</v>
      </c>
      <c r="E481" t="s">
        <v>106</v>
      </c>
      <c r="F481" s="283">
        <v>1991</v>
      </c>
      <c r="G481" s="284">
        <v>819218</v>
      </c>
      <c r="H481" s="284">
        <v>3628530</v>
      </c>
      <c r="I481" s="284">
        <v>478198</v>
      </c>
      <c r="J481" s="284">
        <v>25725</v>
      </c>
      <c r="K481" t="s">
        <v>106</v>
      </c>
    </row>
    <row r="482" spans="1:11">
      <c r="A482" s="2" t="str">
        <f t="shared" si="7"/>
        <v>8001992</v>
      </c>
      <c r="B482" t="s">
        <v>105</v>
      </c>
      <c r="C482">
        <v>800</v>
      </c>
      <c r="D482">
        <v>1530</v>
      </c>
      <c r="E482" t="s">
        <v>106</v>
      </c>
      <c r="F482" s="283">
        <v>1992</v>
      </c>
      <c r="G482" s="284">
        <v>847065</v>
      </c>
      <c r="H482" s="284">
        <v>3745340</v>
      </c>
      <c r="I482" s="284">
        <v>495608</v>
      </c>
      <c r="J482" s="284">
        <v>26539</v>
      </c>
      <c r="K482" t="s">
        <v>106</v>
      </c>
    </row>
    <row r="483" spans="1:11">
      <c r="A483" s="2" t="str">
        <f t="shared" si="7"/>
        <v>8001993</v>
      </c>
      <c r="B483" t="s">
        <v>105</v>
      </c>
      <c r="C483">
        <v>800</v>
      </c>
      <c r="D483">
        <v>1530</v>
      </c>
      <c r="E483" t="s">
        <v>106</v>
      </c>
      <c r="F483" s="283">
        <v>1993</v>
      </c>
      <c r="G483" s="284">
        <v>873613</v>
      </c>
      <c r="H483" s="284">
        <v>3862400</v>
      </c>
      <c r="I483" s="284">
        <v>501461</v>
      </c>
      <c r="J483" s="284">
        <v>26741</v>
      </c>
      <c r="K483" t="s">
        <v>106</v>
      </c>
    </row>
    <row r="484" spans="1:11">
      <c r="A484" s="2" t="str">
        <f t="shared" si="7"/>
        <v>8001994</v>
      </c>
      <c r="B484" t="s">
        <v>105</v>
      </c>
      <c r="C484">
        <v>800</v>
      </c>
      <c r="D484">
        <v>1530</v>
      </c>
      <c r="E484" t="s">
        <v>106</v>
      </c>
      <c r="F484" s="283">
        <v>1994</v>
      </c>
      <c r="G484" s="284">
        <v>899067</v>
      </c>
      <c r="H484" s="284">
        <v>3980490</v>
      </c>
      <c r="I484" s="284">
        <v>497779</v>
      </c>
      <c r="J484" s="284">
        <v>26400</v>
      </c>
      <c r="K484" t="s">
        <v>106</v>
      </c>
    </row>
    <row r="485" spans="1:11">
      <c r="A485" s="2" t="str">
        <f t="shared" si="7"/>
        <v>8001995</v>
      </c>
      <c r="B485" t="s">
        <v>105</v>
      </c>
      <c r="C485">
        <v>800</v>
      </c>
      <c r="D485">
        <v>1530</v>
      </c>
      <c r="E485" t="s">
        <v>106</v>
      </c>
      <c r="F485" s="283">
        <v>1995</v>
      </c>
      <c r="G485" s="284">
        <v>923997</v>
      </c>
      <c r="H485" s="284">
        <v>4100710</v>
      </c>
      <c r="I485" s="284">
        <v>487242</v>
      </c>
      <c r="J485" s="284">
        <v>25647</v>
      </c>
      <c r="K485" t="s">
        <v>106</v>
      </c>
    </row>
    <row r="486" spans="1:11">
      <c r="A486" s="2" t="str">
        <f t="shared" si="7"/>
        <v>8001996</v>
      </c>
      <c r="B486" t="s">
        <v>105</v>
      </c>
      <c r="C486">
        <v>800</v>
      </c>
      <c r="D486">
        <v>1530</v>
      </c>
      <c r="E486" t="s">
        <v>106</v>
      </c>
      <c r="F486" s="283">
        <v>1996</v>
      </c>
      <c r="G486" s="284">
        <v>948690</v>
      </c>
      <c r="H486" s="284">
        <v>4223980</v>
      </c>
      <c r="I486" s="284">
        <v>471545</v>
      </c>
      <c r="J486" s="284">
        <v>24550</v>
      </c>
      <c r="K486" t="s">
        <v>106</v>
      </c>
    </row>
    <row r="487" spans="1:11">
      <c r="A487" s="2" t="str">
        <f t="shared" si="7"/>
        <v>8001997</v>
      </c>
      <c r="B487" t="s">
        <v>105</v>
      </c>
      <c r="C487">
        <v>800</v>
      </c>
      <c r="D487">
        <v>1530</v>
      </c>
      <c r="E487" t="s">
        <v>106</v>
      </c>
      <c r="F487" s="283">
        <v>1997</v>
      </c>
      <c r="G487" s="284">
        <v>973992</v>
      </c>
      <c r="H487" s="284">
        <v>4352260</v>
      </c>
      <c r="I487" s="284">
        <v>453889</v>
      </c>
      <c r="J487" s="284">
        <v>23310</v>
      </c>
      <c r="K487" t="s">
        <v>106</v>
      </c>
    </row>
    <row r="488" spans="1:11">
      <c r="A488" s="2" t="str">
        <f t="shared" si="7"/>
        <v>8001998</v>
      </c>
      <c r="B488" t="s">
        <v>105</v>
      </c>
      <c r="C488">
        <v>800</v>
      </c>
      <c r="D488">
        <v>1530</v>
      </c>
      <c r="E488" t="s">
        <v>106</v>
      </c>
      <c r="F488" s="283">
        <v>1998</v>
      </c>
      <c r="G488" s="284">
        <v>1000830</v>
      </c>
      <c r="H488" s="284">
        <v>4486830</v>
      </c>
      <c r="I488" s="284">
        <v>436455</v>
      </c>
      <c r="J488" s="284">
        <v>22087</v>
      </c>
      <c r="K488" t="s">
        <v>106</v>
      </c>
    </row>
    <row r="489" spans="1:11">
      <c r="A489" s="2" t="str">
        <f t="shared" si="7"/>
        <v>8001999</v>
      </c>
      <c r="B489" t="s">
        <v>105</v>
      </c>
      <c r="C489">
        <v>800</v>
      </c>
      <c r="D489">
        <v>1530</v>
      </c>
      <c r="E489" t="s">
        <v>106</v>
      </c>
      <c r="F489" s="283">
        <v>1999</v>
      </c>
      <c r="G489" s="284">
        <v>1028970</v>
      </c>
      <c r="H489" s="284">
        <v>4628230</v>
      </c>
      <c r="I489" s="284">
        <v>421487</v>
      </c>
      <c r="J489" s="284">
        <v>21009</v>
      </c>
      <c r="K489" t="s">
        <v>106</v>
      </c>
    </row>
    <row r="490" spans="1:11">
      <c r="A490" s="2" t="str">
        <f t="shared" si="7"/>
        <v>8002000</v>
      </c>
      <c r="B490" t="s">
        <v>105</v>
      </c>
      <c r="C490">
        <v>800</v>
      </c>
      <c r="D490">
        <v>1530</v>
      </c>
      <c r="E490" t="s">
        <v>106</v>
      </c>
      <c r="F490" s="283">
        <v>2000</v>
      </c>
      <c r="G490" s="284">
        <v>1058470</v>
      </c>
      <c r="H490" s="284">
        <v>4777910</v>
      </c>
      <c r="I490" s="284">
        <v>409251</v>
      </c>
      <c r="J490" s="284">
        <v>20099</v>
      </c>
      <c r="K490" t="s">
        <v>106</v>
      </c>
    </row>
    <row r="491" spans="1:11">
      <c r="A491" s="2" t="str">
        <f t="shared" si="7"/>
        <v>8002001</v>
      </c>
      <c r="B491" t="s">
        <v>105</v>
      </c>
      <c r="C491">
        <v>800</v>
      </c>
      <c r="D491">
        <v>1530</v>
      </c>
      <c r="E491" t="s">
        <v>106</v>
      </c>
      <c r="F491" s="283">
        <v>2001</v>
      </c>
      <c r="G491" s="284">
        <v>1088700</v>
      </c>
      <c r="H491" s="284">
        <v>4935400</v>
      </c>
      <c r="I491" s="284">
        <v>400970</v>
      </c>
      <c r="J491" s="284">
        <v>19396</v>
      </c>
      <c r="K491" t="s">
        <v>106</v>
      </c>
    </row>
    <row r="492" spans="1:11">
      <c r="A492" s="2" t="str">
        <f t="shared" si="7"/>
        <v>8002002</v>
      </c>
      <c r="B492" t="s">
        <v>105</v>
      </c>
      <c r="C492">
        <v>800</v>
      </c>
      <c r="D492">
        <v>1530</v>
      </c>
      <c r="E492" t="s">
        <v>106</v>
      </c>
      <c r="F492" s="283">
        <v>2002</v>
      </c>
      <c r="G492" s="284">
        <v>1119490</v>
      </c>
      <c r="H492" s="284">
        <v>5102540</v>
      </c>
      <c r="I492" s="284">
        <v>397681</v>
      </c>
      <c r="J492" s="284">
        <v>18954</v>
      </c>
      <c r="K492" t="s">
        <v>106</v>
      </c>
    </row>
    <row r="493" spans="1:11">
      <c r="A493" s="2" t="str">
        <f t="shared" si="7"/>
        <v>8002003</v>
      </c>
      <c r="B493" t="s">
        <v>105</v>
      </c>
      <c r="C493">
        <v>800</v>
      </c>
      <c r="D493">
        <v>1530</v>
      </c>
      <c r="E493" t="s">
        <v>106</v>
      </c>
      <c r="F493" s="283">
        <v>2003</v>
      </c>
      <c r="G493" s="284">
        <v>1150670</v>
      </c>
      <c r="H493" s="284">
        <v>5279970</v>
      </c>
      <c r="I493" s="284">
        <v>398802</v>
      </c>
      <c r="J493" s="284">
        <v>18464</v>
      </c>
      <c r="K493" t="s">
        <v>106</v>
      </c>
    </row>
    <row r="494" spans="1:11">
      <c r="A494" s="2" t="str">
        <f t="shared" si="7"/>
        <v>8002004</v>
      </c>
      <c r="B494" t="s">
        <v>105</v>
      </c>
      <c r="C494">
        <v>800</v>
      </c>
      <c r="D494">
        <v>1530</v>
      </c>
      <c r="E494" t="s">
        <v>106</v>
      </c>
      <c r="F494" s="283">
        <v>2004</v>
      </c>
      <c r="G494" s="284">
        <v>1181640</v>
      </c>
      <c r="H494" s="284">
        <v>5468720</v>
      </c>
      <c r="I494" s="284">
        <v>405611</v>
      </c>
      <c r="J494" s="284">
        <v>18101</v>
      </c>
      <c r="K494" t="s">
        <v>106</v>
      </c>
    </row>
    <row r="495" spans="1:11">
      <c r="A495" s="2" t="str">
        <f t="shared" si="7"/>
        <v>8002005</v>
      </c>
      <c r="B495" t="s">
        <v>105</v>
      </c>
      <c r="C495">
        <v>800</v>
      </c>
      <c r="D495">
        <v>1530</v>
      </c>
      <c r="E495" t="s">
        <v>106</v>
      </c>
      <c r="F495" s="283">
        <v>2005</v>
      </c>
      <c r="G495" s="284">
        <v>1212740</v>
      </c>
      <c r="H495" s="284">
        <v>5668700</v>
      </c>
      <c r="I495" s="284">
        <v>420804</v>
      </c>
      <c r="J495" s="284">
        <v>18096</v>
      </c>
      <c r="K495" t="s">
        <v>106</v>
      </c>
    </row>
    <row r="496" spans="1:11">
      <c r="A496" s="2" t="str">
        <f t="shared" si="7"/>
        <v>8002006</v>
      </c>
      <c r="B496" t="s">
        <v>105</v>
      </c>
      <c r="C496">
        <v>800</v>
      </c>
      <c r="D496">
        <v>1530</v>
      </c>
      <c r="E496" t="s">
        <v>106</v>
      </c>
      <c r="F496" s="283">
        <v>2006</v>
      </c>
      <c r="G496" s="284">
        <v>1243740</v>
      </c>
      <c r="H496" s="284">
        <v>5881300</v>
      </c>
      <c r="I496" s="284">
        <v>442307</v>
      </c>
      <c r="J496" s="284">
        <v>18456</v>
      </c>
      <c r="K496" t="s">
        <v>106</v>
      </c>
    </row>
    <row r="497" spans="1:11">
      <c r="A497" s="2" t="str">
        <f t="shared" si="7"/>
        <v>8002007</v>
      </c>
      <c r="B497" t="s">
        <v>105</v>
      </c>
      <c r="C497">
        <v>800</v>
      </c>
      <c r="D497">
        <v>1530</v>
      </c>
      <c r="E497" t="s">
        <v>106</v>
      </c>
      <c r="F497" s="283">
        <v>2007</v>
      </c>
      <c r="G497" s="284">
        <v>1275110</v>
      </c>
      <c r="H497" s="284">
        <v>6101940</v>
      </c>
      <c r="I497" s="284">
        <v>464107</v>
      </c>
      <c r="J497" s="284">
        <v>18342</v>
      </c>
      <c r="K497" t="s">
        <v>106</v>
      </c>
    </row>
    <row r="498" spans="1:11">
      <c r="A498" s="2" t="str">
        <f t="shared" si="7"/>
        <v>8002008</v>
      </c>
      <c r="B498" t="s">
        <v>105</v>
      </c>
      <c r="C498">
        <v>800</v>
      </c>
      <c r="D498">
        <v>1530</v>
      </c>
      <c r="E498" t="s">
        <v>106</v>
      </c>
      <c r="F498" s="283">
        <v>2008</v>
      </c>
      <c r="G498" s="284">
        <v>1306380</v>
      </c>
      <c r="H498" s="284">
        <v>6332740</v>
      </c>
      <c r="I498" s="284">
        <v>490267</v>
      </c>
      <c r="J498" s="284">
        <v>17854</v>
      </c>
      <c r="K498" t="s">
        <v>106</v>
      </c>
    </row>
    <row r="499" spans="1:11">
      <c r="A499" s="2" t="str">
        <f t="shared" si="7"/>
        <v>8002009</v>
      </c>
      <c r="B499" t="s">
        <v>105</v>
      </c>
      <c r="C499">
        <v>800</v>
      </c>
      <c r="D499">
        <v>1530</v>
      </c>
      <c r="E499" t="s">
        <v>106</v>
      </c>
      <c r="F499" s="283">
        <v>2009</v>
      </c>
      <c r="G499" s="284">
        <v>1337240</v>
      </c>
      <c r="H499" s="284">
        <v>6575660</v>
      </c>
      <c r="I499" s="284">
        <v>521532</v>
      </c>
      <c r="J499" s="284">
        <v>18491</v>
      </c>
      <c r="K499" t="s">
        <v>106</v>
      </c>
    </row>
    <row r="500" spans="1:11">
      <c r="A500" s="2" t="str">
        <f t="shared" si="7"/>
        <v>8002010</v>
      </c>
      <c r="B500" t="s">
        <v>105</v>
      </c>
      <c r="C500">
        <v>800</v>
      </c>
      <c r="D500">
        <v>1530</v>
      </c>
      <c r="E500" t="s">
        <v>106</v>
      </c>
      <c r="F500" s="283">
        <v>2010</v>
      </c>
      <c r="G500" s="284">
        <v>1368510</v>
      </c>
      <c r="H500" s="284">
        <v>6830170</v>
      </c>
      <c r="I500" s="284">
        <v>552323</v>
      </c>
      <c r="J500" s="284">
        <v>18516</v>
      </c>
      <c r="K500" t="s">
        <v>106</v>
      </c>
    </row>
    <row r="501" spans="1:11">
      <c r="A501" s="2" t="str">
        <f t="shared" si="7"/>
        <v>8002011</v>
      </c>
      <c r="B501" t="s">
        <v>105</v>
      </c>
      <c r="C501">
        <v>800</v>
      </c>
      <c r="D501">
        <v>1530</v>
      </c>
      <c r="E501" t="s">
        <v>106</v>
      </c>
      <c r="F501" s="283">
        <v>2011</v>
      </c>
      <c r="G501" s="284">
        <v>1400030</v>
      </c>
      <c r="H501" s="284">
        <v>7095830</v>
      </c>
      <c r="I501" s="284">
        <v>582490</v>
      </c>
      <c r="J501" s="284">
        <v>15885</v>
      </c>
      <c r="K501" t="s">
        <v>106</v>
      </c>
    </row>
    <row r="502" spans="1:11">
      <c r="A502" s="2" t="str">
        <f t="shared" si="7"/>
        <v>8002012</v>
      </c>
      <c r="B502" t="s">
        <v>105</v>
      </c>
      <c r="C502">
        <v>800</v>
      </c>
      <c r="D502">
        <v>1530</v>
      </c>
      <c r="E502" t="s">
        <v>106</v>
      </c>
      <c r="F502" s="283">
        <v>2012</v>
      </c>
      <c r="G502" s="284">
        <v>1431840</v>
      </c>
      <c r="H502" s="284">
        <v>7372420</v>
      </c>
      <c r="I502" s="284">
        <v>609620</v>
      </c>
      <c r="J502" s="284">
        <v>7153</v>
      </c>
      <c r="K502" t="s">
        <v>106</v>
      </c>
    </row>
    <row r="503" spans="1:11">
      <c r="A503" s="2" t="str">
        <f t="shared" si="7"/>
        <v>8002013</v>
      </c>
      <c r="B503" t="s">
        <v>105</v>
      </c>
      <c r="C503">
        <v>800</v>
      </c>
      <c r="D503">
        <v>1530</v>
      </c>
      <c r="E503" t="s">
        <v>106</v>
      </c>
      <c r="F503" s="283">
        <v>2013</v>
      </c>
      <c r="G503" s="284">
        <v>1463230</v>
      </c>
      <c r="H503" s="284">
        <v>7663720</v>
      </c>
      <c r="I503" s="284">
        <v>636329</v>
      </c>
      <c r="J503" s="284">
        <v>9735</v>
      </c>
      <c r="K503" t="s">
        <v>106</v>
      </c>
    </row>
    <row r="504" spans="1:11">
      <c r="A504" s="2" t="str">
        <f t="shared" si="7"/>
        <v>8002014</v>
      </c>
      <c r="B504" t="s">
        <v>105</v>
      </c>
      <c r="C504">
        <v>800</v>
      </c>
      <c r="D504">
        <v>1530</v>
      </c>
      <c r="E504" t="s">
        <v>106</v>
      </c>
      <c r="F504" s="283">
        <v>2014</v>
      </c>
      <c r="G504" s="284">
        <v>1494680</v>
      </c>
      <c r="H504" s="284">
        <v>7969820</v>
      </c>
      <c r="I504" s="284">
        <v>663249</v>
      </c>
      <c r="J504" s="284">
        <v>3881</v>
      </c>
      <c r="K504" t="s">
        <v>106</v>
      </c>
    </row>
    <row r="505" spans="1:11">
      <c r="A505" s="2" t="str">
        <f t="shared" si="7"/>
        <v>8002015</v>
      </c>
      <c r="B505" t="s">
        <v>105</v>
      </c>
      <c r="C505">
        <v>800</v>
      </c>
      <c r="D505">
        <v>1530</v>
      </c>
      <c r="E505" t="s">
        <v>106</v>
      </c>
      <c r="F505" s="283">
        <v>2015</v>
      </c>
      <c r="G505" s="284">
        <v>1526600</v>
      </c>
      <c r="H505" s="284">
        <v>8287580</v>
      </c>
      <c r="I505" s="284">
        <v>687592</v>
      </c>
      <c r="J505" s="284">
        <v>2575</v>
      </c>
      <c r="K505" t="s">
        <v>106</v>
      </c>
    </row>
    <row r="506" spans="1:11">
      <c r="A506" s="2" t="str">
        <f t="shared" si="7"/>
        <v>8341980</v>
      </c>
      <c r="B506" t="s">
        <v>107</v>
      </c>
      <c r="C506">
        <v>834</v>
      </c>
      <c r="D506">
        <v>1546</v>
      </c>
      <c r="E506" t="s">
        <v>113</v>
      </c>
      <c r="F506" s="283">
        <v>1980</v>
      </c>
      <c r="G506" s="284">
        <v>823355</v>
      </c>
      <c r="H506" s="284">
        <v>3934500</v>
      </c>
      <c r="I506" s="284">
        <v>16770</v>
      </c>
      <c r="J506" s="284">
        <v>757</v>
      </c>
      <c r="K506" t="s">
        <v>113</v>
      </c>
    </row>
    <row r="507" spans="1:11">
      <c r="A507" s="2" t="str">
        <f t="shared" si="7"/>
        <v>8341981</v>
      </c>
      <c r="B507" t="s">
        <v>107</v>
      </c>
      <c r="C507">
        <v>834</v>
      </c>
      <c r="D507">
        <v>1546</v>
      </c>
      <c r="E507" t="s">
        <v>113</v>
      </c>
      <c r="F507" s="283">
        <v>1981</v>
      </c>
      <c r="G507" s="284">
        <v>845033</v>
      </c>
      <c r="H507" s="284">
        <v>4069640</v>
      </c>
      <c r="I507" s="284">
        <v>24316</v>
      </c>
      <c r="J507" s="284">
        <v>1084</v>
      </c>
      <c r="K507" t="s">
        <v>113</v>
      </c>
    </row>
    <row r="508" spans="1:11">
      <c r="A508" s="2" t="str">
        <f t="shared" si="7"/>
        <v>8341982</v>
      </c>
      <c r="B508" t="s">
        <v>107</v>
      </c>
      <c r="C508">
        <v>834</v>
      </c>
      <c r="D508">
        <v>1546</v>
      </c>
      <c r="E508" t="s">
        <v>113</v>
      </c>
      <c r="F508" s="283">
        <v>1982</v>
      </c>
      <c r="G508" s="284">
        <v>867912</v>
      </c>
      <c r="H508" s="284">
        <v>4203300</v>
      </c>
      <c r="I508" s="284">
        <v>34701</v>
      </c>
      <c r="J508" s="284">
        <v>1533</v>
      </c>
      <c r="K508" t="s">
        <v>113</v>
      </c>
    </row>
    <row r="509" spans="1:11">
      <c r="A509" s="2" t="str">
        <f t="shared" si="7"/>
        <v>8341983</v>
      </c>
      <c r="B509" t="s">
        <v>107</v>
      </c>
      <c r="C509">
        <v>834</v>
      </c>
      <c r="D509">
        <v>1546</v>
      </c>
      <c r="E509" t="s">
        <v>113</v>
      </c>
      <c r="F509" s="283">
        <v>1983</v>
      </c>
      <c r="G509" s="284">
        <v>890655</v>
      </c>
      <c r="H509" s="284">
        <v>4335620</v>
      </c>
      <c r="I509" s="284">
        <v>48766</v>
      </c>
      <c r="J509" s="284">
        <v>2137</v>
      </c>
      <c r="K509" t="s">
        <v>113</v>
      </c>
    </row>
    <row r="510" spans="1:11">
      <c r="A510" s="2" t="str">
        <f t="shared" si="7"/>
        <v>8341984</v>
      </c>
      <c r="B510" t="s">
        <v>107</v>
      </c>
      <c r="C510">
        <v>834</v>
      </c>
      <c r="D510">
        <v>1546</v>
      </c>
      <c r="E510" t="s">
        <v>113</v>
      </c>
      <c r="F510" s="283">
        <v>1984</v>
      </c>
      <c r="G510" s="284">
        <v>913337</v>
      </c>
      <c r="H510" s="284">
        <v>4466370</v>
      </c>
      <c r="I510" s="284">
        <v>67361</v>
      </c>
      <c r="J510" s="284">
        <v>2926</v>
      </c>
      <c r="K510" t="s">
        <v>113</v>
      </c>
    </row>
    <row r="511" spans="1:11">
      <c r="A511" s="2" t="str">
        <f t="shared" si="7"/>
        <v>8341985</v>
      </c>
      <c r="B511" t="s">
        <v>107</v>
      </c>
      <c r="C511">
        <v>834</v>
      </c>
      <c r="D511">
        <v>1546</v>
      </c>
      <c r="E511" t="s">
        <v>113</v>
      </c>
      <c r="F511" s="283">
        <v>1985</v>
      </c>
      <c r="G511" s="284">
        <v>935899</v>
      </c>
      <c r="H511" s="284">
        <v>4594560</v>
      </c>
      <c r="I511" s="284">
        <v>91406</v>
      </c>
      <c r="J511" s="284">
        <v>3938</v>
      </c>
      <c r="K511" t="s">
        <v>113</v>
      </c>
    </row>
    <row r="512" spans="1:11">
      <c r="A512" s="2" t="str">
        <f t="shared" si="7"/>
        <v>8341986</v>
      </c>
      <c r="B512" t="s">
        <v>107</v>
      </c>
      <c r="C512">
        <v>834</v>
      </c>
      <c r="D512">
        <v>1546</v>
      </c>
      <c r="E512" t="s">
        <v>113</v>
      </c>
      <c r="F512" s="283">
        <v>1986</v>
      </c>
      <c r="G512" s="284">
        <v>960448</v>
      </c>
      <c r="H512" s="284">
        <v>4739540</v>
      </c>
      <c r="I512" s="284">
        <v>121102</v>
      </c>
      <c r="J512" s="284">
        <v>5167</v>
      </c>
      <c r="K512" t="s">
        <v>113</v>
      </c>
    </row>
    <row r="513" spans="1:11">
      <c r="A513" s="2" t="str">
        <f t="shared" si="7"/>
        <v>8341987</v>
      </c>
      <c r="B513" t="s">
        <v>107</v>
      </c>
      <c r="C513">
        <v>834</v>
      </c>
      <c r="D513">
        <v>1546</v>
      </c>
      <c r="E513" t="s">
        <v>113</v>
      </c>
      <c r="F513" s="283">
        <v>1987</v>
      </c>
      <c r="G513" s="284">
        <v>986944</v>
      </c>
      <c r="H513" s="284">
        <v>4889190</v>
      </c>
      <c r="I513" s="284">
        <v>158015</v>
      </c>
      <c r="J513" s="284">
        <v>6697</v>
      </c>
      <c r="K513" t="s">
        <v>113</v>
      </c>
    </row>
    <row r="514" spans="1:11">
      <c r="A514" s="2" t="str">
        <f t="shared" si="7"/>
        <v>8341988</v>
      </c>
      <c r="B514" t="s">
        <v>107</v>
      </c>
      <c r="C514">
        <v>834</v>
      </c>
      <c r="D514">
        <v>1546</v>
      </c>
      <c r="E514" t="s">
        <v>113</v>
      </c>
      <c r="F514" s="283">
        <v>1988</v>
      </c>
      <c r="G514" s="284">
        <v>1013380</v>
      </c>
      <c r="H514" s="284">
        <v>5045040</v>
      </c>
      <c r="I514" s="284">
        <v>201734</v>
      </c>
      <c r="J514" s="284">
        <v>8476</v>
      </c>
      <c r="K514" t="s">
        <v>113</v>
      </c>
    </row>
    <row r="515" spans="1:11">
      <c r="A515" s="2" t="str">
        <f t="shared" si="7"/>
        <v>8341989</v>
      </c>
      <c r="B515" t="s">
        <v>107</v>
      </c>
      <c r="C515">
        <v>834</v>
      </c>
      <c r="D515">
        <v>1546</v>
      </c>
      <c r="E515" t="s">
        <v>113</v>
      </c>
      <c r="F515" s="283">
        <v>1989</v>
      </c>
      <c r="G515" s="284">
        <v>1044490</v>
      </c>
      <c r="H515" s="284">
        <v>5208810</v>
      </c>
      <c r="I515" s="284">
        <v>251833</v>
      </c>
      <c r="J515" s="284">
        <v>10533</v>
      </c>
      <c r="K515" t="s">
        <v>113</v>
      </c>
    </row>
    <row r="516" spans="1:11">
      <c r="A516" s="2" t="str">
        <f t="shared" si="7"/>
        <v>8341990</v>
      </c>
      <c r="B516" t="s">
        <v>107</v>
      </c>
      <c r="C516">
        <v>834</v>
      </c>
      <c r="D516">
        <v>1546</v>
      </c>
      <c r="E516" t="s">
        <v>113</v>
      </c>
      <c r="F516" s="283">
        <v>1990</v>
      </c>
      <c r="G516" s="284">
        <v>1077850</v>
      </c>
      <c r="H516" s="284">
        <v>5393260</v>
      </c>
      <c r="I516" s="284">
        <v>307237</v>
      </c>
      <c r="J516" s="284">
        <v>12773</v>
      </c>
      <c r="K516" t="s">
        <v>113</v>
      </c>
    </row>
    <row r="517" spans="1:11">
      <c r="A517" s="2" t="str">
        <f t="shared" si="7"/>
        <v>8341991</v>
      </c>
      <c r="B517" t="s">
        <v>107</v>
      </c>
      <c r="C517">
        <v>834</v>
      </c>
      <c r="D517">
        <v>1546</v>
      </c>
      <c r="E517" t="s">
        <v>113</v>
      </c>
      <c r="F517" s="283">
        <v>1991</v>
      </c>
      <c r="G517" s="284">
        <v>1115010</v>
      </c>
      <c r="H517" s="284">
        <v>5589590</v>
      </c>
      <c r="I517" s="284">
        <v>366170</v>
      </c>
      <c r="J517" s="284">
        <v>15157</v>
      </c>
      <c r="K517" t="s">
        <v>113</v>
      </c>
    </row>
    <row r="518" spans="1:11">
      <c r="A518" s="2" t="str">
        <f t="shared" si="7"/>
        <v>8341992</v>
      </c>
      <c r="B518" t="s">
        <v>107</v>
      </c>
      <c r="C518">
        <v>834</v>
      </c>
      <c r="D518">
        <v>1546</v>
      </c>
      <c r="E518" t="s">
        <v>113</v>
      </c>
      <c r="F518" s="283">
        <v>1992</v>
      </c>
      <c r="G518" s="284">
        <v>1155050</v>
      </c>
      <c r="H518" s="284">
        <v>5793840</v>
      </c>
      <c r="I518" s="284">
        <v>424023</v>
      </c>
      <c r="J518" s="284">
        <v>17465</v>
      </c>
      <c r="K518" t="s">
        <v>113</v>
      </c>
    </row>
    <row r="519" spans="1:11">
      <c r="A519" s="2" t="str">
        <f t="shared" si="7"/>
        <v>8341993</v>
      </c>
      <c r="B519" t="s">
        <v>107</v>
      </c>
      <c r="C519">
        <v>834</v>
      </c>
      <c r="D519">
        <v>1546</v>
      </c>
      <c r="E519" t="s">
        <v>113</v>
      </c>
      <c r="F519" s="283">
        <v>1993</v>
      </c>
      <c r="G519" s="284">
        <v>1196140</v>
      </c>
      <c r="H519" s="284">
        <v>5998920</v>
      </c>
      <c r="I519" s="284">
        <v>480001</v>
      </c>
      <c r="J519" s="284">
        <v>19739</v>
      </c>
      <c r="K519" t="s">
        <v>113</v>
      </c>
    </row>
    <row r="520" spans="1:11">
      <c r="A520" s="2" t="str">
        <f t="shared" si="7"/>
        <v>8341994</v>
      </c>
      <c r="B520" t="s">
        <v>107</v>
      </c>
      <c r="C520">
        <v>834</v>
      </c>
      <c r="D520">
        <v>1546</v>
      </c>
      <c r="E520" t="s">
        <v>113</v>
      </c>
      <c r="F520" s="283">
        <v>1994</v>
      </c>
      <c r="G520" s="284">
        <v>1237250</v>
      </c>
      <c r="H520" s="284">
        <v>6197060</v>
      </c>
      <c r="I520" s="284">
        <v>527379</v>
      </c>
      <c r="J520" s="284">
        <v>21635</v>
      </c>
      <c r="K520" t="s">
        <v>113</v>
      </c>
    </row>
    <row r="521" spans="1:11">
      <c r="A521" s="2" t="str">
        <f t="shared" si="7"/>
        <v>8341995</v>
      </c>
      <c r="B521" t="s">
        <v>107</v>
      </c>
      <c r="C521">
        <v>834</v>
      </c>
      <c r="D521">
        <v>1546</v>
      </c>
      <c r="E521" t="s">
        <v>113</v>
      </c>
      <c r="F521" s="283">
        <v>1995</v>
      </c>
      <c r="G521" s="284">
        <v>1277100</v>
      </c>
      <c r="H521" s="284">
        <v>6382940</v>
      </c>
      <c r="I521" s="284">
        <v>565641</v>
      </c>
      <c r="J521" s="284">
        <v>23211</v>
      </c>
      <c r="K521" t="s">
        <v>113</v>
      </c>
    </row>
    <row r="522" spans="1:11">
      <c r="A522" s="2" t="str">
        <f t="shared" si="7"/>
        <v>8341996</v>
      </c>
      <c r="B522" t="s">
        <v>107</v>
      </c>
      <c r="C522">
        <v>834</v>
      </c>
      <c r="D522">
        <v>1546</v>
      </c>
      <c r="E522" t="s">
        <v>113</v>
      </c>
      <c r="F522" s="283">
        <v>1996</v>
      </c>
      <c r="G522" s="284">
        <v>1315370</v>
      </c>
      <c r="H522" s="284">
        <v>6563400</v>
      </c>
      <c r="I522" s="284">
        <v>597418</v>
      </c>
      <c r="J522" s="284">
        <v>24535</v>
      </c>
      <c r="K522" t="s">
        <v>113</v>
      </c>
    </row>
    <row r="523" spans="1:11">
      <c r="A523" s="2" t="str">
        <f t="shared" si="7"/>
        <v>8341997</v>
      </c>
      <c r="B523" t="s">
        <v>107</v>
      </c>
      <c r="C523">
        <v>834</v>
      </c>
      <c r="D523">
        <v>1546</v>
      </c>
      <c r="E523" t="s">
        <v>113</v>
      </c>
      <c r="F523" s="283">
        <v>1997</v>
      </c>
      <c r="G523" s="284">
        <v>1352830</v>
      </c>
      <c r="H523" s="284">
        <v>6740300</v>
      </c>
      <c r="I523" s="284">
        <v>619579</v>
      </c>
      <c r="J523" s="284">
        <v>25409</v>
      </c>
      <c r="K523" t="s">
        <v>113</v>
      </c>
    </row>
    <row r="524" spans="1:11">
      <c r="A524" s="2" t="str">
        <f t="shared" si="7"/>
        <v>8341998</v>
      </c>
      <c r="B524" t="s">
        <v>107</v>
      </c>
      <c r="C524">
        <v>834</v>
      </c>
      <c r="D524">
        <v>1546</v>
      </c>
      <c r="E524" t="s">
        <v>113</v>
      </c>
      <c r="F524" s="283">
        <v>1998</v>
      </c>
      <c r="G524" s="284">
        <v>1390210</v>
      </c>
      <c r="H524" s="284">
        <v>6916560</v>
      </c>
      <c r="I524" s="284">
        <v>634818</v>
      </c>
      <c r="J524" s="284">
        <v>26009</v>
      </c>
      <c r="K524" t="s">
        <v>113</v>
      </c>
    </row>
    <row r="525" spans="1:11">
      <c r="A525" s="2" t="str">
        <f t="shared" ref="A525:A590" si="8">C525&amp;F525</f>
        <v>8341999</v>
      </c>
      <c r="B525" t="s">
        <v>107</v>
      </c>
      <c r="C525">
        <v>834</v>
      </c>
      <c r="D525">
        <v>1546</v>
      </c>
      <c r="E525" t="s">
        <v>113</v>
      </c>
      <c r="F525" s="283">
        <v>1999</v>
      </c>
      <c r="G525" s="284">
        <v>1427860</v>
      </c>
      <c r="H525" s="284">
        <v>7091780</v>
      </c>
      <c r="I525" s="284">
        <v>643403</v>
      </c>
      <c r="J525" s="284">
        <v>26325</v>
      </c>
      <c r="K525" t="s">
        <v>113</v>
      </c>
    </row>
    <row r="526" spans="1:11">
      <c r="A526" s="2" t="str">
        <f t="shared" si="8"/>
        <v>8342000</v>
      </c>
      <c r="B526" t="s">
        <v>107</v>
      </c>
      <c r="C526">
        <v>834</v>
      </c>
      <c r="D526">
        <v>1546</v>
      </c>
      <c r="E526" t="s">
        <v>113</v>
      </c>
      <c r="F526" s="283">
        <v>2000</v>
      </c>
      <c r="G526" s="284">
        <v>1465690</v>
      </c>
      <c r="H526" s="284">
        <v>7267260</v>
      </c>
      <c r="I526" s="284">
        <v>647677</v>
      </c>
      <c r="J526" s="284">
        <v>26460</v>
      </c>
      <c r="K526" t="s">
        <v>113</v>
      </c>
    </row>
    <row r="527" spans="1:11">
      <c r="A527" s="2" t="str">
        <f t="shared" si="8"/>
        <v>8342001</v>
      </c>
      <c r="B527" t="s">
        <v>107</v>
      </c>
      <c r="C527">
        <v>834</v>
      </c>
      <c r="D527">
        <v>1546</v>
      </c>
      <c r="E527" t="s">
        <v>113</v>
      </c>
      <c r="F527" s="283">
        <v>2001</v>
      </c>
      <c r="G527" s="284">
        <v>1502530</v>
      </c>
      <c r="H527" s="284">
        <v>7435160</v>
      </c>
      <c r="I527" s="284">
        <v>648284</v>
      </c>
      <c r="J527" s="284">
        <v>26443</v>
      </c>
      <c r="K527" t="s">
        <v>113</v>
      </c>
    </row>
    <row r="528" spans="1:11">
      <c r="A528" s="2" t="str">
        <f t="shared" si="8"/>
        <v>8342002</v>
      </c>
      <c r="B528" t="s">
        <v>107</v>
      </c>
      <c r="C528">
        <v>834</v>
      </c>
      <c r="D528">
        <v>1546</v>
      </c>
      <c r="E528" t="s">
        <v>113</v>
      </c>
      <c r="F528" s="283">
        <v>2002</v>
      </c>
      <c r="G528" s="284">
        <v>1538410</v>
      </c>
      <c r="H528" s="284">
        <v>7601130</v>
      </c>
      <c r="I528" s="284">
        <v>642995</v>
      </c>
      <c r="J528" s="284">
        <v>26131</v>
      </c>
      <c r="K528" t="s">
        <v>113</v>
      </c>
    </row>
    <row r="529" spans="1:11">
      <c r="A529" s="2" t="str">
        <f t="shared" si="8"/>
        <v>8342003</v>
      </c>
      <c r="B529" t="s">
        <v>107</v>
      </c>
      <c r="C529">
        <v>834</v>
      </c>
      <c r="D529">
        <v>1546</v>
      </c>
      <c r="E529" t="s">
        <v>113</v>
      </c>
      <c r="F529" s="283">
        <v>2003</v>
      </c>
      <c r="G529" s="284">
        <v>1552850</v>
      </c>
      <c r="H529" s="284">
        <v>7790330</v>
      </c>
      <c r="I529" s="284">
        <v>636910</v>
      </c>
      <c r="J529" s="284">
        <v>25306</v>
      </c>
      <c r="K529" t="s">
        <v>113</v>
      </c>
    </row>
    <row r="530" spans="1:11">
      <c r="A530" s="2" t="str">
        <f t="shared" si="8"/>
        <v>8342004</v>
      </c>
      <c r="B530" t="s">
        <v>107</v>
      </c>
      <c r="C530">
        <v>834</v>
      </c>
      <c r="D530">
        <v>1546</v>
      </c>
      <c r="E530" t="s">
        <v>113</v>
      </c>
      <c r="F530" s="283">
        <v>2004</v>
      </c>
      <c r="G530" s="284">
        <v>1571870</v>
      </c>
      <c r="H530" s="284">
        <v>8014750</v>
      </c>
      <c r="I530" s="284">
        <v>630032</v>
      </c>
      <c r="J530" s="284">
        <v>24386</v>
      </c>
      <c r="K530" t="s">
        <v>113</v>
      </c>
    </row>
    <row r="531" spans="1:11">
      <c r="A531" s="2" t="str">
        <f t="shared" si="8"/>
        <v>8342005</v>
      </c>
      <c r="B531" t="s">
        <v>107</v>
      </c>
      <c r="C531">
        <v>834</v>
      </c>
      <c r="D531">
        <v>1546</v>
      </c>
      <c r="E531" t="s">
        <v>113</v>
      </c>
      <c r="F531" s="283">
        <v>2005</v>
      </c>
      <c r="G531" s="284">
        <v>1595370</v>
      </c>
      <c r="H531" s="284">
        <v>8268500</v>
      </c>
      <c r="I531" s="284">
        <v>623878</v>
      </c>
      <c r="J531" s="284">
        <v>22589</v>
      </c>
      <c r="K531" t="s">
        <v>113</v>
      </c>
    </row>
    <row r="532" spans="1:11">
      <c r="A532" s="2" t="str">
        <f t="shared" si="8"/>
        <v>8342006</v>
      </c>
      <c r="B532" t="s">
        <v>107</v>
      </c>
      <c r="C532">
        <v>834</v>
      </c>
      <c r="D532">
        <v>1546</v>
      </c>
      <c r="E532" t="s">
        <v>113</v>
      </c>
      <c r="F532" s="283">
        <v>2006</v>
      </c>
      <c r="G532" s="284">
        <v>1620880</v>
      </c>
      <c r="H532" s="284">
        <v>8545400</v>
      </c>
      <c r="I532" s="284">
        <v>622515</v>
      </c>
      <c r="J532" s="284">
        <v>21551</v>
      </c>
      <c r="K532" t="s">
        <v>113</v>
      </c>
    </row>
    <row r="533" spans="1:11">
      <c r="A533" s="2" t="str">
        <f t="shared" si="8"/>
        <v>8342007</v>
      </c>
      <c r="B533" t="s">
        <v>107</v>
      </c>
      <c r="C533">
        <v>834</v>
      </c>
      <c r="D533">
        <v>1546</v>
      </c>
      <c r="E533" t="s">
        <v>113</v>
      </c>
      <c r="F533" s="283">
        <v>2007</v>
      </c>
      <c r="G533" s="284">
        <v>1647120</v>
      </c>
      <c r="H533" s="284">
        <v>8841900</v>
      </c>
      <c r="I533" s="284">
        <v>627311</v>
      </c>
      <c r="J533" s="284">
        <v>18468</v>
      </c>
      <c r="K533" t="s">
        <v>113</v>
      </c>
    </row>
    <row r="534" spans="1:11">
      <c r="A534" s="2" t="str">
        <f t="shared" si="8"/>
        <v>8342008</v>
      </c>
      <c r="B534" t="s">
        <v>107</v>
      </c>
      <c r="C534">
        <v>834</v>
      </c>
      <c r="D534">
        <v>1546</v>
      </c>
      <c r="E534" t="s">
        <v>113</v>
      </c>
      <c r="F534" s="283">
        <v>2008</v>
      </c>
      <c r="G534" s="284">
        <v>1673870</v>
      </c>
      <c r="H534" s="284">
        <v>9153360</v>
      </c>
      <c r="I534" s="284">
        <v>636382</v>
      </c>
      <c r="J534" s="284">
        <v>16534</v>
      </c>
      <c r="K534" t="s">
        <v>113</v>
      </c>
    </row>
    <row r="535" spans="1:11">
      <c r="A535" s="2" t="str">
        <f t="shared" si="8"/>
        <v>8342009</v>
      </c>
      <c r="B535" t="s">
        <v>107</v>
      </c>
      <c r="C535">
        <v>834</v>
      </c>
      <c r="D535">
        <v>1546</v>
      </c>
      <c r="E535" t="s">
        <v>113</v>
      </c>
      <c r="F535" s="283">
        <v>2009</v>
      </c>
      <c r="G535" s="284">
        <v>1700390</v>
      </c>
      <c r="H535" s="284">
        <v>9470850</v>
      </c>
      <c r="I535" s="284">
        <v>639672</v>
      </c>
      <c r="J535" s="284">
        <v>15940</v>
      </c>
      <c r="K535" t="s">
        <v>113</v>
      </c>
    </row>
    <row r="536" spans="1:11">
      <c r="A536" s="2" t="str">
        <f t="shared" si="8"/>
        <v>8342010</v>
      </c>
      <c r="B536" t="s">
        <v>107</v>
      </c>
      <c r="C536">
        <v>834</v>
      </c>
      <c r="D536">
        <v>1546</v>
      </c>
      <c r="E536" t="s">
        <v>113</v>
      </c>
      <c r="F536" s="283">
        <v>2010</v>
      </c>
      <c r="G536" s="284">
        <v>1725860</v>
      </c>
      <c r="H536" s="284">
        <v>9800840</v>
      </c>
      <c r="I536" s="284">
        <v>641601</v>
      </c>
      <c r="J536" s="284">
        <v>9929</v>
      </c>
      <c r="K536" t="s">
        <v>113</v>
      </c>
    </row>
    <row r="537" spans="1:11">
      <c r="A537" s="2" t="str">
        <f t="shared" si="8"/>
        <v>8342011</v>
      </c>
      <c r="B537" t="s">
        <v>107</v>
      </c>
      <c r="C537">
        <v>834</v>
      </c>
      <c r="D537">
        <v>1546</v>
      </c>
      <c r="E537" t="s">
        <v>113</v>
      </c>
      <c r="F537" s="283">
        <v>2011</v>
      </c>
      <c r="G537" s="284">
        <v>1750460</v>
      </c>
      <c r="H537" s="284">
        <v>10151800</v>
      </c>
      <c r="I537" s="284">
        <v>646472</v>
      </c>
      <c r="J537" s="284">
        <v>8145</v>
      </c>
      <c r="K537" t="s">
        <v>113</v>
      </c>
    </row>
    <row r="538" spans="1:11">
      <c r="A538" s="2" t="str">
        <f t="shared" si="8"/>
        <v>8342012</v>
      </c>
      <c r="B538" t="s">
        <v>107</v>
      </c>
      <c r="C538">
        <v>834</v>
      </c>
      <c r="D538">
        <v>1546</v>
      </c>
      <c r="E538" t="s">
        <v>113</v>
      </c>
      <c r="F538" s="283">
        <v>2012</v>
      </c>
      <c r="G538" s="284">
        <v>1775190</v>
      </c>
      <c r="H538" s="284">
        <v>10521900</v>
      </c>
      <c r="I538" s="284">
        <v>648370</v>
      </c>
      <c r="J538" s="284">
        <v>8106</v>
      </c>
      <c r="K538" t="s">
        <v>113</v>
      </c>
    </row>
    <row r="539" spans="1:11">
      <c r="A539" s="2" t="str">
        <f t="shared" si="8"/>
        <v>8342013</v>
      </c>
      <c r="B539" t="s">
        <v>107</v>
      </c>
      <c r="C539">
        <v>834</v>
      </c>
      <c r="D539">
        <v>1546</v>
      </c>
      <c r="E539" t="s">
        <v>113</v>
      </c>
      <c r="F539" s="283">
        <v>2013</v>
      </c>
      <c r="G539" s="284">
        <v>1818050</v>
      </c>
      <c r="H539" s="284">
        <v>10916700</v>
      </c>
      <c r="I539" s="284">
        <v>652644</v>
      </c>
      <c r="J539" s="284">
        <v>6749</v>
      </c>
      <c r="K539" t="s">
        <v>113</v>
      </c>
    </row>
    <row r="540" spans="1:11">
      <c r="A540" s="2" t="str">
        <f t="shared" si="8"/>
        <v>8342014</v>
      </c>
      <c r="B540" t="s">
        <v>107</v>
      </c>
      <c r="C540">
        <v>834</v>
      </c>
      <c r="D540">
        <v>1546</v>
      </c>
      <c r="E540" t="s">
        <v>113</v>
      </c>
      <c r="F540" s="283">
        <v>2014</v>
      </c>
      <c r="G540" s="284">
        <v>1863850</v>
      </c>
      <c r="H540" s="284">
        <v>11330000</v>
      </c>
      <c r="I540" s="284">
        <v>657670</v>
      </c>
      <c r="J540" s="284">
        <v>4912</v>
      </c>
      <c r="K540" t="s">
        <v>113</v>
      </c>
    </row>
    <row r="541" spans="1:11">
      <c r="A541" s="2" t="str">
        <f t="shared" si="8"/>
        <v>8342015</v>
      </c>
      <c r="B541" t="s">
        <v>107</v>
      </c>
      <c r="C541">
        <v>834</v>
      </c>
      <c r="D541">
        <v>1546</v>
      </c>
      <c r="E541" t="s">
        <v>113</v>
      </c>
      <c r="F541" s="283">
        <v>2015</v>
      </c>
      <c r="G541" s="284">
        <v>1911310</v>
      </c>
      <c r="H541" s="284">
        <v>11755400</v>
      </c>
      <c r="I541" s="284">
        <v>662196</v>
      </c>
      <c r="J541" s="284">
        <v>4915</v>
      </c>
      <c r="K541" t="s">
        <v>113</v>
      </c>
    </row>
    <row r="542" spans="1:11">
      <c r="A542" s="2" t="str">
        <f t="shared" si="8"/>
        <v>8941980</v>
      </c>
      <c r="B542" t="s">
        <v>108</v>
      </c>
      <c r="C542">
        <v>894</v>
      </c>
      <c r="D542">
        <v>1560</v>
      </c>
      <c r="E542" t="s">
        <v>109</v>
      </c>
      <c r="F542" s="283">
        <v>1980</v>
      </c>
      <c r="G542" s="284">
        <v>265244</v>
      </c>
      <c r="H542" s="284">
        <v>1276520</v>
      </c>
      <c r="I542" s="284">
        <v>6434</v>
      </c>
      <c r="J542" s="284">
        <v>372</v>
      </c>
      <c r="K542" t="s">
        <v>109</v>
      </c>
    </row>
    <row r="543" spans="1:11">
      <c r="A543" s="2" t="str">
        <f t="shared" si="8"/>
        <v>8941981</v>
      </c>
      <c r="B543" t="s">
        <v>108</v>
      </c>
      <c r="C543">
        <v>894</v>
      </c>
      <c r="D543">
        <v>1560</v>
      </c>
      <c r="E543" t="s">
        <v>109</v>
      </c>
      <c r="F543" s="283">
        <v>1981</v>
      </c>
      <c r="G543" s="284">
        <v>270964</v>
      </c>
      <c r="H543" s="284">
        <v>1328640</v>
      </c>
      <c r="I543" s="284">
        <v>12176</v>
      </c>
      <c r="J543" s="284">
        <v>684</v>
      </c>
      <c r="K543" t="s">
        <v>109</v>
      </c>
    </row>
    <row r="544" spans="1:11">
      <c r="A544" s="2" t="str">
        <f t="shared" si="8"/>
        <v>8941982</v>
      </c>
      <c r="B544" t="s">
        <v>108</v>
      </c>
      <c r="C544">
        <v>894</v>
      </c>
      <c r="D544">
        <v>1560</v>
      </c>
      <c r="E544" t="s">
        <v>109</v>
      </c>
      <c r="F544" s="283">
        <v>1982</v>
      </c>
      <c r="G544" s="284">
        <v>277897</v>
      </c>
      <c r="H544" s="284">
        <v>1380440</v>
      </c>
      <c r="I544" s="284">
        <v>21634</v>
      </c>
      <c r="J544" s="284">
        <v>1186</v>
      </c>
      <c r="K544" t="s">
        <v>109</v>
      </c>
    </row>
    <row r="545" spans="1:11">
      <c r="A545" s="2" t="str">
        <f t="shared" si="8"/>
        <v>8941983</v>
      </c>
      <c r="B545" t="s">
        <v>108</v>
      </c>
      <c r="C545">
        <v>894</v>
      </c>
      <c r="D545">
        <v>1560</v>
      </c>
      <c r="E545" t="s">
        <v>109</v>
      </c>
      <c r="F545" s="283">
        <v>1983</v>
      </c>
      <c r="G545" s="284">
        <v>285648</v>
      </c>
      <c r="H545" s="284">
        <v>1431290</v>
      </c>
      <c r="I545" s="284">
        <v>35984</v>
      </c>
      <c r="J545" s="284">
        <v>1927</v>
      </c>
      <c r="K545" t="s">
        <v>109</v>
      </c>
    </row>
    <row r="546" spans="1:11">
      <c r="A546" s="2" t="str">
        <f t="shared" si="8"/>
        <v>8941984</v>
      </c>
      <c r="B546" t="s">
        <v>108</v>
      </c>
      <c r="C546">
        <v>894</v>
      </c>
      <c r="D546">
        <v>1560</v>
      </c>
      <c r="E546" t="s">
        <v>109</v>
      </c>
      <c r="F546" s="283">
        <v>1984</v>
      </c>
      <c r="G546" s="284">
        <v>293619</v>
      </c>
      <c r="H546" s="284">
        <v>1480980</v>
      </c>
      <c r="I546" s="284">
        <v>55834</v>
      </c>
      <c r="J546" s="284">
        <v>2915</v>
      </c>
      <c r="K546" t="s">
        <v>109</v>
      </c>
    </row>
    <row r="547" spans="1:11">
      <c r="A547" s="2" t="str">
        <f t="shared" si="8"/>
        <v>8941985</v>
      </c>
      <c r="B547" t="s">
        <v>108</v>
      </c>
      <c r="C547">
        <v>894</v>
      </c>
      <c r="D547">
        <v>1560</v>
      </c>
      <c r="E547" t="s">
        <v>109</v>
      </c>
      <c r="F547" s="283">
        <v>1985</v>
      </c>
      <c r="G547" s="284">
        <v>301606</v>
      </c>
      <c r="H547" s="284">
        <v>1529130</v>
      </c>
      <c r="I547" s="284">
        <v>81014</v>
      </c>
      <c r="J547" s="284">
        <v>4121</v>
      </c>
      <c r="K547" t="s">
        <v>109</v>
      </c>
    </row>
    <row r="548" spans="1:11">
      <c r="A548" s="2" t="str">
        <f t="shared" si="8"/>
        <v>8941986</v>
      </c>
      <c r="B548" t="s">
        <v>108</v>
      </c>
      <c r="C548">
        <v>894</v>
      </c>
      <c r="D548">
        <v>1560</v>
      </c>
      <c r="E548" t="s">
        <v>109</v>
      </c>
      <c r="F548" s="283">
        <v>1986</v>
      </c>
      <c r="G548" s="284">
        <v>310158</v>
      </c>
      <c r="H548" s="284">
        <v>1583030</v>
      </c>
      <c r="I548" s="284">
        <v>110607</v>
      </c>
      <c r="J548" s="284">
        <v>5475</v>
      </c>
      <c r="K548" t="s">
        <v>109</v>
      </c>
    </row>
    <row r="549" spans="1:11">
      <c r="A549" s="2" t="str">
        <f t="shared" si="8"/>
        <v>8941987</v>
      </c>
      <c r="B549" t="s">
        <v>108</v>
      </c>
      <c r="C549">
        <v>894</v>
      </c>
      <c r="D549">
        <v>1560</v>
      </c>
      <c r="E549" t="s">
        <v>109</v>
      </c>
      <c r="F549" s="283">
        <v>1987</v>
      </c>
      <c r="G549" s="284">
        <v>318935</v>
      </c>
      <c r="H549" s="284">
        <v>1637700</v>
      </c>
      <c r="I549" s="284">
        <v>143867</v>
      </c>
      <c r="J549" s="284">
        <v>6954</v>
      </c>
      <c r="K549" t="s">
        <v>109</v>
      </c>
    </row>
    <row r="550" spans="1:11">
      <c r="A550" s="2" t="str">
        <f t="shared" si="8"/>
        <v>8941988</v>
      </c>
      <c r="B550" t="s">
        <v>108</v>
      </c>
      <c r="C550">
        <v>894</v>
      </c>
      <c r="D550">
        <v>1560</v>
      </c>
      <c r="E550" t="s">
        <v>109</v>
      </c>
      <c r="F550" s="283">
        <v>1988</v>
      </c>
      <c r="G550" s="284">
        <v>326843</v>
      </c>
      <c r="H550" s="284">
        <v>1692770</v>
      </c>
      <c r="I550" s="284">
        <v>178555</v>
      </c>
      <c r="J550" s="284">
        <v>8442</v>
      </c>
      <c r="K550" t="s">
        <v>109</v>
      </c>
    </row>
    <row r="551" spans="1:11">
      <c r="A551" s="2" t="str">
        <f t="shared" si="8"/>
        <v>8941989</v>
      </c>
      <c r="B551" t="s">
        <v>108</v>
      </c>
      <c r="C551">
        <v>894</v>
      </c>
      <c r="D551">
        <v>1560</v>
      </c>
      <c r="E551" t="s">
        <v>109</v>
      </c>
      <c r="F551" s="283">
        <v>1989</v>
      </c>
      <c r="G551" s="284">
        <v>334709</v>
      </c>
      <c r="H551" s="284">
        <v>1747850</v>
      </c>
      <c r="I551" s="284">
        <v>213141</v>
      </c>
      <c r="J551" s="284">
        <v>9931</v>
      </c>
      <c r="K551" t="s">
        <v>109</v>
      </c>
    </row>
    <row r="552" spans="1:11">
      <c r="A552" s="2" t="str">
        <f t="shared" si="8"/>
        <v>8941990</v>
      </c>
      <c r="B552" t="s">
        <v>108</v>
      </c>
      <c r="C552">
        <v>894</v>
      </c>
      <c r="D552">
        <v>1560</v>
      </c>
      <c r="E552" t="s">
        <v>109</v>
      </c>
      <c r="F552" s="283">
        <v>1990</v>
      </c>
      <c r="G552" s="284">
        <v>342881</v>
      </c>
      <c r="H552" s="284">
        <v>1802530</v>
      </c>
      <c r="I552" s="284">
        <v>246809</v>
      </c>
      <c r="J552" s="284">
        <v>11420</v>
      </c>
      <c r="K552" t="s">
        <v>109</v>
      </c>
    </row>
    <row r="553" spans="1:11">
      <c r="A553" s="2" t="str">
        <f t="shared" si="8"/>
        <v>8941991</v>
      </c>
      <c r="B553" t="s">
        <v>108</v>
      </c>
      <c r="C553">
        <v>894</v>
      </c>
      <c r="D553">
        <v>1560</v>
      </c>
      <c r="E553" t="s">
        <v>109</v>
      </c>
      <c r="F553" s="283">
        <v>1991</v>
      </c>
      <c r="G553" s="284">
        <v>352050</v>
      </c>
      <c r="H553" s="284">
        <v>1856270</v>
      </c>
      <c r="I553" s="284">
        <v>276838</v>
      </c>
      <c r="J553" s="284">
        <v>12745</v>
      </c>
      <c r="K553" t="s">
        <v>109</v>
      </c>
    </row>
    <row r="554" spans="1:11">
      <c r="A554" s="2" t="str">
        <f t="shared" si="8"/>
        <v>8941992</v>
      </c>
      <c r="B554" t="s">
        <v>108</v>
      </c>
      <c r="C554">
        <v>894</v>
      </c>
      <c r="D554">
        <v>1560</v>
      </c>
      <c r="E554" t="s">
        <v>109</v>
      </c>
      <c r="F554" s="283">
        <v>1992</v>
      </c>
      <c r="G554" s="284">
        <v>362462</v>
      </c>
      <c r="H554" s="284">
        <v>1909630</v>
      </c>
      <c r="I554" s="284">
        <v>303906</v>
      </c>
      <c r="J554" s="284">
        <v>13973</v>
      </c>
      <c r="K554" t="s">
        <v>109</v>
      </c>
    </row>
    <row r="555" spans="1:11">
      <c r="A555" s="2" t="str">
        <f t="shared" si="8"/>
        <v>8941993</v>
      </c>
      <c r="B555" t="s">
        <v>108</v>
      </c>
      <c r="C555">
        <v>894</v>
      </c>
      <c r="D555">
        <v>1560</v>
      </c>
      <c r="E555" t="s">
        <v>109</v>
      </c>
      <c r="F555" s="283">
        <v>1993</v>
      </c>
      <c r="G555" s="284">
        <v>373710</v>
      </c>
      <c r="H555" s="284">
        <v>1964680</v>
      </c>
      <c r="I555" s="284">
        <v>327504</v>
      </c>
      <c r="J555" s="284">
        <v>15040</v>
      </c>
      <c r="K555" t="s">
        <v>109</v>
      </c>
    </row>
    <row r="556" spans="1:11">
      <c r="A556" s="2" t="str">
        <f t="shared" si="8"/>
        <v>8941994</v>
      </c>
      <c r="B556" t="s">
        <v>108</v>
      </c>
      <c r="C556">
        <v>894</v>
      </c>
      <c r="D556">
        <v>1560</v>
      </c>
      <c r="E556" t="s">
        <v>109</v>
      </c>
      <c r="F556" s="283">
        <v>1994</v>
      </c>
      <c r="G556" s="284">
        <v>386008</v>
      </c>
      <c r="H556" s="284">
        <v>2018220</v>
      </c>
      <c r="I556" s="284">
        <v>348051</v>
      </c>
      <c r="J556" s="284">
        <v>16019</v>
      </c>
      <c r="K556" t="s">
        <v>109</v>
      </c>
    </row>
    <row r="557" spans="1:11">
      <c r="A557" s="2" t="str">
        <f t="shared" si="8"/>
        <v>8941995</v>
      </c>
      <c r="B557" t="s">
        <v>108</v>
      </c>
      <c r="C557">
        <v>894</v>
      </c>
      <c r="D557">
        <v>1560</v>
      </c>
      <c r="E557" t="s">
        <v>109</v>
      </c>
      <c r="F557" s="283">
        <v>1995</v>
      </c>
      <c r="G557" s="284">
        <v>399507</v>
      </c>
      <c r="H557" s="284">
        <v>2077260</v>
      </c>
      <c r="I557" s="284">
        <v>366415</v>
      </c>
      <c r="J557" s="284">
        <v>16858</v>
      </c>
      <c r="K557" t="s">
        <v>109</v>
      </c>
    </row>
    <row r="558" spans="1:11">
      <c r="A558" s="2" t="str">
        <f t="shared" si="8"/>
        <v>8941996</v>
      </c>
      <c r="B558" t="s">
        <v>108</v>
      </c>
      <c r="C558">
        <v>894</v>
      </c>
      <c r="D558">
        <v>1560</v>
      </c>
      <c r="E558" t="s">
        <v>109</v>
      </c>
      <c r="F558" s="283">
        <v>1996</v>
      </c>
      <c r="G558" s="284">
        <v>413918</v>
      </c>
      <c r="H558" s="284">
        <v>2138140</v>
      </c>
      <c r="I558" s="284">
        <v>382530</v>
      </c>
      <c r="J558" s="284">
        <v>17583</v>
      </c>
      <c r="K558" t="s">
        <v>109</v>
      </c>
    </row>
    <row r="559" spans="1:11">
      <c r="A559" s="2" t="str">
        <f t="shared" si="8"/>
        <v>8941997</v>
      </c>
      <c r="B559" t="s">
        <v>108</v>
      </c>
      <c r="C559">
        <v>894</v>
      </c>
      <c r="D559">
        <v>1560</v>
      </c>
      <c r="E559" t="s">
        <v>109</v>
      </c>
      <c r="F559" s="283">
        <v>1997</v>
      </c>
      <c r="G559" s="284">
        <v>427969</v>
      </c>
      <c r="H559" s="284">
        <v>2199890</v>
      </c>
      <c r="I559" s="284">
        <v>396015</v>
      </c>
      <c r="J559" s="284">
        <v>18132</v>
      </c>
      <c r="K559" t="s">
        <v>109</v>
      </c>
    </row>
    <row r="560" spans="1:11">
      <c r="A560" s="2" t="str">
        <f t="shared" si="8"/>
        <v>8941998</v>
      </c>
      <c r="B560" t="s">
        <v>108</v>
      </c>
      <c r="C560">
        <v>894</v>
      </c>
      <c r="D560">
        <v>1560</v>
      </c>
      <c r="E560" t="s">
        <v>109</v>
      </c>
      <c r="F560" s="283">
        <v>1998</v>
      </c>
      <c r="G560" s="284">
        <v>440670</v>
      </c>
      <c r="H560" s="284">
        <v>2260350</v>
      </c>
      <c r="I560" s="284">
        <v>406873</v>
      </c>
      <c r="J560" s="284">
        <v>18520</v>
      </c>
      <c r="K560" t="s">
        <v>109</v>
      </c>
    </row>
    <row r="561" spans="1:11">
      <c r="A561" s="2" t="str">
        <f t="shared" si="8"/>
        <v>8941999</v>
      </c>
      <c r="B561" t="s">
        <v>108</v>
      </c>
      <c r="C561">
        <v>894</v>
      </c>
      <c r="D561">
        <v>1560</v>
      </c>
      <c r="E561" t="s">
        <v>109</v>
      </c>
      <c r="F561" s="283">
        <v>1999</v>
      </c>
      <c r="G561" s="284">
        <v>452443</v>
      </c>
      <c r="H561" s="284">
        <v>2317770</v>
      </c>
      <c r="I561" s="284">
        <v>414824</v>
      </c>
      <c r="J561" s="284">
        <v>18762</v>
      </c>
      <c r="K561" t="s">
        <v>109</v>
      </c>
    </row>
    <row r="562" spans="1:11">
      <c r="A562" s="2" t="str">
        <f t="shared" si="8"/>
        <v>8942000</v>
      </c>
      <c r="B562" t="s">
        <v>108</v>
      </c>
      <c r="C562">
        <v>894</v>
      </c>
      <c r="D562">
        <v>1560</v>
      </c>
      <c r="E562" t="s">
        <v>109</v>
      </c>
      <c r="F562" s="283">
        <v>2000</v>
      </c>
      <c r="G562" s="284">
        <v>463222</v>
      </c>
      <c r="H562" s="284">
        <v>2372020</v>
      </c>
      <c r="I562" s="284">
        <v>419665</v>
      </c>
      <c r="J562" s="284">
        <v>18858</v>
      </c>
      <c r="K562" t="s">
        <v>109</v>
      </c>
    </row>
    <row r="563" spans="1:11">
      <c r="A563" s="2" t="str">
        <f t="shared" si="8"/>
        <v>8942001</v>
      </c>
      <c r="B563" t="s">
        <v>108</v>
      </c>
      <c r="C563">
        <v>894</v>
      </c>
      <c r="D563">
        <v>1560</v>
      </c>
      <c r="E563" t="s">
        <v>109</v>
      </c>
      <c r="F563" s="283">
        <v>2001</v>
      </c>
      <c r="G563" s="284">
        <v>472938</v>
      </c>
      <c r="H563" s="284">
        <v>2424590</v>
      </c>
      <c r="I563" s="284">
        <v>424308</v>
      </c>
      <c r="J563" s="284">
        <v>18967</v>
      </c>
      <c r="K563" t="s">
        <v>109</v>
      </c>
    </row>
    <row r="564" spans="1:11">
      <c r="A564" s="2" t="str">
        <f t="shared" si="8"/>
        <v>8942002</v>
      </c>
      <c r="B564" t="s">
        <v>108</v>
      </c>
      <c r="C564">
        <v>894</v>
      </c>
      <c r="D564">
        <v>1560</v>
      </c>
      <c r="E564" t="s">
        <v>109</v>
      </c>
      <c r="F564" s="283">
        <v>2002</v>
      </c>
      <c r="G564" s="284">
        <v>482088</v>
      </c>
      <c r="H564" s="284">
        <v>2477760</v>
      </c>
      <c r="I564" s="284">
        <v>426782</v>
      </c>
      <c r="J564" s="284">
        <v>18962</v>
      </c>
      <c r="K564" t="s">
        <v>109</v>
      </c>
    </row>
    <row r="565" spans="1:11">
      <c r="A565" s="2" t="str">
        <f t="shared" si="8"/>
        <v>8942003</v>
      </c>
      <c r="B565" t="s">
        <v>108</v>
      </c>
      <c r="C565">
        <v>894</v>
      </c>
      <c r="D565">
        <v>1560</v>
      </c>
      <c r="E565" t="s">
        <v>109</v>
      </c>
      <c r="F565" s="283">
        <v>2003</v>
      </c>
      <c r="G565" s="284">
        <v>491265</v>
      </c>
      <c r="H565" s="284">
        <v>2533130</v>
      </c>
      <c r="I565" s="284">
        <v>427985</v>
      </c>
      <c r="J565" s="284">
        <v>18853</v>
      </c>
      <c r="K565" t="s">
        <v>109</v>
      </c>
    </row>
    <row r="566" spans="1:11">
      <c r="A566" s="2" t="str">
        <f t="shared" si="8"/>
        <v>8942004</v>
      </c>
      <c r="B566" t="s">
        <v>108</v>
      </c>
      <c r="C566">
        <v>894</v>
      </c>
      <c r="D566">
        <v>1560</v>
      </c>
      <c r="E566" t="s">
        <v>109</v>
      </c>
      <c r="F566" s="283">
        <v>2004</v>
      </c>
      <c r="G566" s="284">
        <v>500221</v>
      </c>
      <c r="H566" s="284">
        <v>2592530</v>
      </c>
      <c r="I566" s="284">
        <v>429980</v>
      </c>
      <c r="J566" s="284">
        <v>18168</v>
      </c>
      <c r="K566" t="s">
        <v>109</v>
      </c>
    </row>
    <row r="567" spans="1:11">
      <c r="A567" s="2" t="str">
        <f t="shared" si="8"/>
        <v>8942005</v>
      </c>
      <c r="B567" t="s">
        <v>108</v>
      </c>
      <c r="C567">
        <v>894</v>
      </c>
      <c r="D567">
        <v>1560</v>
      </c>
      <c r="E567" t="s">
        <v>109</v>
      </c>
      <c r="F567" s="283">
        <v>2005</v>
      </c>
      <c r="G567" s="284">
        <v>509557</v>
      </c>
      <c r="H567" s="284">
        <v>2656930</v>
      </c>
      <c r="I567" s="284">
        <v>432271</v>
      </c>
      <c r="J567" s="284">
        <v>16987</v>
      </c>
      <c r="K567" t="s">
        <v>109</v>
      </c>
    </row>
    <row r="568" spans="1:11">
      <c r="A568" s="2" t="str">
        <f t="shared" si="8"/>
        <v>8942006</v>
      </c>
      <c r="B568" t="s">
        <v>108</v>
      </c>
      <c r="C568">
        <v>894</v>
      </c>
      <c r="D568">
        <v>1560</v>
      </c>
      <c r="E568" t="s">
        <v>109</v>
      </c>
      <c r="F568" s="283">
        <v>2006</v>
      </c>
      <c r="G568" s="284">
        <v>519214</v>
      </c>
      <c r="H568" s="284">
        <v>2725850</v>
      </c>
      <c r="I568" s="284">
        <v>435619</v>
      </c>
      <c r="J568" s="284">
        <v>16182</v>
      </c>
      <c r="K568" t="s">
        <v>109</v>
      </c>
    </row>
    <row r="569" spans="1:11">
      <c r="A569" s="2" t="str">
        <f t="shared" si="8"/>
        <v>8942007</v>
      </c>
      <c r="B569" t="s">
        <v>108</v>
      </c>
      <c r="C569">
        <v>894</v>
      </c>
      <c r="D569">
        <v>1560</v>
      </c>
      <c r="E569" t="s">
        <v>109</v>
      </c>
      <c r="F569" s="283">
        <v>2007</v>
      </c>
      <c r="G569" s="284">
        <v>529450</v>
      </c>
      <c r="H569" s="284">
        <v>2800770</v>
      </c>
      <c r="I569" s="284">
        <v>441162</v>
      </c>
      <c r="J569" s="284">
        <v>14565</v>
      </c>
      <c r="K569" t="s">
        <v>109</v>
      </c>
    </row>
    <row r="570" spans="1:11">
      <c r="A570" s="2" t="str">
        <f t="shared" si="8"/>
        <v>8942008</v>
      </c>
      <c r="B570" t="s">
        <v>108</v>
      </c>
      <c r="C570">
        <v>894</v>
      </c>
      <c r="D570">
        <v>1560</v>
      </c>
      <c r="E570" t="s">
        <v>109</v>
      </c>
      <c r="F570" s="283">
        <v>2008</v>
      </c>
      <c r="G570" s="284">
        <v>541308</v>
      </c>
      <c r="H570" s="284">
        <v>2885890</v>
      </c>
      <c r="I570" s="284">
        <v>452394</v>
      </c>
      <c r="J570" s="284">
        <v>13552</v>
      </c>
      <c r="K570" t="s">
        <v>109</v>
      </c>
    </row>
    <row r="571" spans="1:11">
      <c r="A571" s="2" t="str">
        <f t="shared" si="8"/>
        <v>8942009</v>
      </c>
      <c r="B571" t="s">
        <v>108</v>
      </c>
      <c r="C571">
        <v>894</v>
      </c>
      <c r="D571">
        <v>1560</v>
      </c>
      <c r="E571" t="s">
        <v>109</v>
      </c>
      <c r="F571" s="283">
        <v>2009</v>
      </c>
      <c r="G571" s="284">
        <v>557082</v>
      </c>
      <c r="H571" s="284">
        <v>2978670</v>
      </c>
      <c r="I571" s="284">
        <v>464992</v>
      </c>
      <c r="J571" s="284">
        <v>11475</v>
      </c>
      <c r="K571" t="s">
        <v>109</v>
      </c>
    </row>
    <row r="572" spans="1:11">
      <c r="A572" s="2" t="str">
        <f t="shared" si="8"/>
        <v>8942010</v>
      </c>
      <c r="B572" t="s">
        <v>108</v>
      </c>
      <c r="C572">
        <v>894</v>
      </c>
      <c r="D572">
        <v>1560</v>
      </c>
      <c r="E572" t="s">
        <v>109</v>
      </c>
      <c r="F572" s="283">
        <v>2010</v>
      </c>
      <c r="G572" s="284">
        <v>575218</v>
      </c>
      <c r="H572" s="284">
        <v>3078000</v>
      </c>
      <c r="I572" s="284">
        <v>479034</v>
      </c>
      <c r="J572" s="284">
        <v>9120</v>
      </c>
      <c r="K572" t="s">
        <v>109</v>
      </c>
    </row>
    <row r="573" spans="1:11">
      <c r="A573" s="2" t="str">
        <f t="shared" si="8"/>
        <v>8942011</v>
      </c>
      <c r="B573" t="s">
        <v>108</v>
      </c>
      <c r="C573">
        <v>894</v>
      </c>
      <c r="D573">
        <v>1560</v>
      </c>
      <c r="E573" t="s">
        <v>109</v>
      </c>
      <c r="F573" s="283">
        <v>2011</v>
      </c>
      <c r="G573" s="284">
        <v>593662</v>
      </c>
      <c r="H573" s="284">
        <v>3182510</v>
      </c>
      <c r="I573" s="284">
        <v>491871</v>
      </c>
      <c r="J573" s="284">
        <v>8966</v>
      </c>
      <c r="K573" t="s">
        <v>109</v>
      </c>
    </row>
    <row r="574" spans="1:11">
      <c r="A574" s="2" t="str">
        <f t="shared" si="8"/>
        <v>8942012</v>
      </c>
      <c r="B574" t="s">
        <v>108</v>
      </c>
      <c r="C574">
        <v>894</v>
      </c>
      <c r="D574">
        <v>1560</v>
      </c>
      <c r="E574" t="s">
        <v>109</v>
      </c>
      <c r="F574" s="283">
        <v>2012</v>
      </c>
      <c r="G574" s="284">
        <v>611096</v>
      </c>
      <c r="H574" s="284">
        <v>3293840</v>
      </c>
      <c r="I574" s="284">
        <v>505210</v>
      </c>
      <c r="J574" s="284">
        <v>8664</v>
      </c>
      <c r="K574" t="s">
        <v>109</v>
      </c>
    </row>
    <row r="575" spans="1:11">
      <c r="A575" s="2" t="str">
        <f t="shared" si="8"/>
        <v>8942013</v>
      </c>
      <c r="B575" t="s">
        <v>108</v>
      </c>
      <c r="C575">
        <v>894</v>
      </c>
      <c r="D575">
        <v>1560</v>
      </c>
      <c r="E575" t="s">
        <v>109</v>
      </c>
      <c r="F575" s="283">
        <v>2013</v>
      </c>
      <c r="G575" s="284">
        <v>627118</v>
      </c>
      <c r="H575" s="284">
        <v>3412030</v>
      </c>
      <c r="I575" s="284">
        <v>519530</v>
      </c>
      <c r="J575" s="284">
        <v>6833</v>
      </c>
      <c r="K575" t="s">
        <v>109</v>
      </c>
    </row>
    <row r="576" spans="1:11">
      <c r="A576" s="2" t="str">
        <f t="shared" si="8"/>
        <v>8942014</v>
      </c>
      <c r="B576" t="s">
        <v>108</v>
      </c>
      <c r="C576">
        <v>894</v>
      </c>
      <c r="D576">
        <v>1560</v>
      </c>
      <c r="E576" t="s">
        <v>109</v>
      </c>
      <c r="F576" s="283">
        <v>2014</v>
      </c>
      <c r="G576" s="284">
        <v>642878</v>
      </c>
      <c r="H576" s="284">
        <v>3537150</v>
      </c>
      <c r="I576" s="284">
        <v>534571</v>
      </c>
      <c r="J576" s="284">
        <v>5773</v>
      </c>
      <c r="K576" t="s">
        <v>109</v>
      </c>
    </row>
    <row r="577" spans="1:11">
      <c r="A577" s="2" t="str">
        <f t="shared" si="8"/>
        <v>8942015</v>
      </c>
      <c r="B577" t="s">
        <v>108</v>
      </c>
      <c r="C577">
        <v>894</v>
      </c>
      <c r="D577">
        <v>1560</v>
      </c>
      <c r="E577" t="s">
        <v>109</v>
      </c>
      <c r="F577" s="283">
        <v>2015</v>
      </c>
      <c r="G577" s="284">
        <v>658881</v>
      </c>
      <c r="H577" s="284">
        <v>3666610</v>
      </c>
      <c r="I577" s="284">
        <v>548157</v>
      </c>
      <c r="J577" s="284">
        <v>3609</v>
      </c>
      <c r="K577" t="s">
        <v>109</v>
      </c>
    </row>
    <row r="578" spans="1:11">
      <c r="A578" s="2" t="str">
        <f t="shared" si="8"/>
        <v>7161980</v>
      </c>
      <c r="B578" t="s">
        <v>110</v>
      </c>
      <c r="C578">
        <v>716</v>
      </c>
      <c r="D578">
        <v>1570</v>
      </c>
      <c r="E578" t="s">
        <v>111</v>
      </c>
      <c r="F578" s="283">
        <v>1980</v>
      </c>
      <c r="G578" s="284">
        <v>310712</v>
      </c>
      <c r="H578" s="284">
        <v>1524780</v>
      </c>
      <c r="I578" s="284">
        <v>2251.2600000000002</v>
      </c>
      <c r="J578" s="284">
        <v>106.413</v>
      </c>
      <c r="K578" t="s">
        <v>111</v>
      </c>
    </row>
    <row r="579" spans="1:11">
      <c r="A579" s="2" t="str">
        <f t="shared" si="8"/>
        <v>7161981</v>
      </c>
      <c r="B579" t="s">
        <v>110</v>
      </c>
      <c r="C579">
        <v>716</v>
      </c>
      <c r="D579">
        <v>1570</v>
      </c>
      <c r="E579" t="s">
        <v>111</v>
      </c>
      <c r="F579" s="283">
        <v>1981</v>
      </c>
      <c r="G579" s="284">
        <v>319837</v>
      </c>
      <c r="H579" s="284">
        <v>1605540</v>
      </c>
      <c r="I579" s="284">
        <v>4114.7299999999996</v>
      </c>
      <c r="J579" s="284">
        <v>191.12200000000001</v>
      </c>
      <c r="K579" t="s">
        <v>111</v>
      </c>
    </row>
    <row r="580" spans="1:11">
      <c r="A580" t="str">
        <f t="shared" si="8"/>
        <v>7161982</v>
      </c>
      <c r="B580" t="s">
        <v>110</v>
      </c>
      <c r="C580">
        <v>716</v>
      </c>
      <c r="D580">
        <v>1570</v>
      </c>
      <c r="E580" t="s">
        <v>111</v>
      </c>
      <c r="F580">
        <v>1982</v>
      </c>
      <c r="G580">
        <v>330008</v>
      </c>
      <c r="H580">
        <v>1686310</v>
      </c>
      <c r="I580">
        <v>11644</v>
      </c>
      <c r="J580">
        <v>547.21500000000003</v>
      </c>
      <c r="K580" t="s">
        <v>111</v>
      </c>
    </row>
    <row r="581" spans="1:11">
      <c r="A581" t="str">
        <f t="shared" si="8"/>
        <v>7161983</v>
      </c>
      <c r="B581" t="s">
        <v>110</v>
      </c>
      <c r="C581">
        <v>716</v>
      </c>
      <c r="D581">
        <v>1570</v>
      </c>
      <c r="E581" t="s">
        <v>111</v>
      </c>
      <c r="F581">
        <v>1983</v>
      </c>
      <c r="G581">
        <v>338553</v>
      </c>
      <c r="H581">
        <v>1764800</v>
      </c>
      <c r="I581">
        <v>24034</v>
      </c>
      <c r="J581">
        <v>1065.74</v>
      </c>
      <c r="K581" t="s">
        <v>111</v>
      </c>
    </row>
    <row r="582" spans="1:11">
      <c r="A582" t="str">
        <f t="shared" si="8"/>
        <v>7161984</v>
      </c>
      <c r="B582" t="s">
        <v>110</v>
      </c>
      <c r="C582">
        <v>716</v>
      </c>
      <c r="D582">
        <v>1570</v>
      </c>
      <c r="E582" t="s">
        <v>111</v>
      </c>
      <c r="F582">
        <v>1984</v>
      </c>
      <c r="G582">
        <v>344087</v>
      </c>
      <c r="H582">
        <v>1840840</v>
      </c>
      <c r="I582">
        <v>43218</v>
      </c>
      <c r="J582">
        <v>1806</v>
      </c>
      <c r="K582" t="s">
        <v>111</v>
      </c>
    </row>
    <row r="583" spans="1:11">
      <c r="A583" t="str">
        <f t="shared" si="8"/>
        <v>7161985</v>
      </c>
      <c r="B583" t="s">
        <v>110</v>
      </c>
      <c r="C583">
        <v>716</v>
      </c>
      <c r="D583">
        <v>1570</v>
      </c>
      <c r="E583" t="s">
        <v>111</v>
      </c>
      <c r="F583">
        <v>1985</v>
      </c>
      <c r="G583">
        <v>347459</v>
      </c>
      <c r="H583">
        <v>1915120</v>
      </c>
      <c r="I583">
        <v>71076</v>
      </c>
      <c r="J583">
        <v>2812</v>
      </c>
      <c r="K583" t="s">
        <v>111</v>
      </c>
    </row>
    <row r="584" spans="1:11">
      <c r="A584" t="str">
        <f t="shared" si="8"/>
        <v>7161986</v>
      </c>
      <c r="B584" t="s">
        <v>110</v>
      </c>
      <c r="C584">
        <v>716</v>
      </c>
      <c r="D584">
        <v>1570</v>
      </c>
      <c r="E584" t="s">
        <v>111</v>
      </c>
      <c r="F584">
        <v>1986</v>
      </c>
      <c r="G584">
        <v>350725</v>
      </c>
      <c r="H584">
        <v>1997330</v>
      </c>
      <c r="I584">
        <v>109094</v>
      </c>
      <c r="J584">
        <v>4104</v>
      </c>
      <c r="K584" t="s">
        <v>111</v>
      </c>
    </row>
    <row r="585" spans="1:11">
      <c r="A585" t="str">
        <f t="shared" si="8"/>
        <v>7161987</v>
      </c>
      <c r="B585" t="s">
        <v>110</v>
      </c>
      <c r="C585">
        <v>716</v>
      </c>
      <c r="D585">
        <v>1570</v>
      </c>
      <c r="E585" t="s">
        <v>111</v>
      </c>
      <c r="F585">
        <v>1987</v>
      </c>
      <c r="G585">
        <v>354919</v>
      </c>
      <c r="H585">
        <v>2081370</v>
      </c>
      <c r="I585">
        <v>158803</v>
      </c>
      <c r="J585">
        <v>5730</v>
      </c>
      <c r="K585" t="s">
        <v>111</v>
      </c>
    </row>
    <row r="586" spans="1:11">
      <c r="A586" t="str">
        <f t="shared" si="8"/>
        <v>7161988</v>
      </c>
      <c r="B586" t="s">
        <v>110</v>
      </c>
      <c r="C586">
        <v>716</v>
      </c>
      <c r="D586">
        <v>1570</v>
      </c>
      <c r="E586" t="s">
        <v>111</v>
      </c>
      <c r="F586">
        <v>1988</v>
      </c>
      <c r="G586">
        <v>355220</v>
      </c>
      <c r="H586">
        <v>2164390</v>
      </c>
      <c r="I586">
        <v>220623</v>
      </c>
      <c r="J586">
        <v>7611</v>
      </c>
      <c r="K586" t="s">
        <v>111</v>
      </c>
    </row>
    <row r="587" spans="1:11">
      <c r="A587" t="str">
        <f t="shared" si="8"/>
        <v>7161989</v>
      </c>
      <c r="B587" t="s">
        <v>110</v>
      </c>
      <c r="C587">
        <v>716</v>
      </c>
      <c r="D587">
        <v>1570</v>
      </c>
      <c r="E587" t="s">
        <v>111</v>
      </c>
      <c r="F587">
        <v>1989</v>
      </c>
      <c r="G587">
        <v>357910</v>
      </c>
      <c r="H587">
        <v>2242420</v>
      </c>
      <c r="I587">
        <v>293582</v>
      </c>
      <c r="J587">
        <v>9831</v>
      </c>
      <c r="K587" t="s">
        <v>111</v>
      </c>
    </row>
    <row r="588" spans="1:11">
      <c r="A588" t="str">
        <f t="shared" si="8"/>
        <v>7161990</v>
      </c>
      <c r="B588" t="s">
        <v>110</v>
      </c>
      <c r="C588">
        <v>716</v>
      </c>
      <c r="D588">
        <v>1570</v>
      </c>
      <c r="E588" t="s">
        <v>111</v>
      </c>
      <c r="F588">
        <v>1990</v>
      </c>
      <c r="G588">
        <v>359065</v>
      </c>
      <c r="H588">
        <v>2314080</v>
      </c>
      <c r="I588">
        <v>374259</v>
      </c>
      <c r="J588">
        <v>12200</v>
      </c>
      <c r="K588" t="s">
        <v>111</v>
      </c>
    </row>
    <row r="589" spans="1:11">
      <c r="A589" t="str">
        <f t="shared" si="8"/>
        <v>7161991</v>
      </c>
      <c r="B589" t="s">
        <v>110</v>
      </c>
      <c r="C589">
        <v>716</v>
      </c>
      <c r="D589">
        <v>1570</v>
      </c>
      <c r="E589" t="s">
        <v>111</v>
      </c>
      <c r="F589">
        <v>1991</v>
      </c>
      <c r="G589">
        <v>358378</v>
      </c>
      <c r="H589">
        <v>2379670</v>
      </c>
      <c r="I589">
        <v>459124</v>
      </c>
      <c r="J589">
        <v>14568</v>
      </c>
      <c r="K589" t="s">
        <v>111</v>
      </c>
    </row>
    <row r="590" spans="1:11">
      <c r="A590" t="str">
        <f t="shared" si="8"/>
        <v>7161992</v>
      </c>
      <c r="B590" t="s">
        <v>110</v>
      </c>
      <c r="C590">
        <v>716</v>
      </c>
      <c r="D590">
        <v>1570</v>
      </c>
      <c r="E590" t="s">
        <v>111</v>
      </c>
      <c r="F590">
        <v>1992</v>
      </c>
      <c r="G590">
        <v>356612</v>
      </c>
      <c r="H590">
        <v>2442110</v>
      </c>
      <c r="I590">
        <v>542971</v>
      </c>
      <c r="J590">
        <v>16759</v>
      </c>
      <c r="K590" t="s">
        <v>111</v>
      </c>
    </row>
    <row r="591" spans="1:11">
      <c r="A591" t="str">
        <f t="shared" ref="A591:A613" si="9">C591&amp;F591</f>
        <v>7161993</v>
      </c>
      <c r="B591" t="s">
        <v>110</v>
      </c>
      <c r="C591">
        <v>716</v>
      </c>
      <c r="D591">
        <v>1570</v>
      </c>
      <c r="E591" t="s">
        <v>111</v>
      </c>
      <c r="F591">
        <v>1993</v>
      </c>
      <c r="G591">
        <v>353482</v>
      </c>
      <c r="H591">
        <v>2503920</v>
      </c>
      <c r="I591">
        <v>621290</v>
      </c>
      <c r="J591">
        <v>18618</v>
      </c>
      <c r="K591" t="s">
        <v>111</v>
      </c>
    </row>
    <row r="592" spans="1:11">
      <c r="A592" t="str">
        <f t="shared" si="9"/>
        <v>7161994</v>
      </c>
      <c r="B592" t="s">
        <v>110</v>
      </c>
      <c r="C592">
        <v>716</v>
      </c>
      <c r="D592">
        <v>1570</v>
      </c>
      <c r="E592" t="s">
        <v>111</v>
      </c>
      <c r="F592">
        <v>1994</v>
      </c>
      <c r="G592">
        <v>350622</v>
      </c>
      <c r="H592">
        <v>2565380</v>
      </c>
      <c r="I592">
        <v>688869</v>
      </c>
      <c r="J592">
        <v>20144</v>
      </c>
      <c r="K592" t="s">
        <v>111</v>
      </c>
    </row>
    <row r="593" spans="1:11">
      <c r="A593" t="str">
        <f t="shared" si="9"/>
        <v>7161995</v>
      </c>
      <c r="B593" t="s">
        <v>110</v>
      </c>
      <c r="C593">
        <v>716</v>
      </c>
      <c r="D593">
        <v>1570</v>
      </c>
      <c r="E593" t="s">
        <v>111</v>
      </c>
      <c r="F593">
        <v>1995</v>
      </c>
      <c r="G593">
        <v>356811</v>
      </c>
      <c r="H593">
        <v>2631510</v>
      </c>
      <c r="I593">
        <v>743746</v>
      </c>
      <c r="J593">
        <v>21704</v>
      </c>
      <c r="K593" t="s">
        <v>111</v>
      </c>
    </row>
    <row r="594" spans="1:11">
      <c r="A594" t="str">
        <f t="shared" si="9"/>
        <v>7161996</v>
      </c>
      <c r="B594" t="s">
        <v>110</v>
      </c>
      <c r="C594">
        <v>716</v>
      </c>
      <c r="D594">
        <v>1570</v>
      </c>
      <c r="E594" t="s">
        <v>111</v>
      </c>
      <c r="F594">
        <v>1996</v>
      </c>
      <c r="G594">
        <v>362941</v>
      </c>
      <c r="H594">
        <v>2698160</v>
      </c>
      <c r="I594">
        <v>784097</v>
      </c>
      <c r="J594">
        <v>22801</v>
      </c>
      <c r="K594" t="s">
        <v>111</v>
      </c>
    </row>
    <row r="595" spans="1:11">
      <c r="A595" t="str">
        <f t="shared" si="9"/>
        <v>7161997</v>
      </c>
      <c r="B595" t="s">
        <v>110</v>
      </c>
      <c r="C595">
        <v>716</v>
      </c>
      <c r="D595">
        <v>1570</v>
      </c>
      <c r="E595" t="s">
        <v>111</v>
      </c>
      <c r="F595">
        <v>1997</v>
      </c>
      <c r="G595">
        <v>368354</v>
      </c>
      <c r="H595">
        <v>2765420</v>
      </c>
      <c r="I595">
        <v>808745</v>
      </c>
      <c r="J595">
        <v>23353</v>
      </c>
      <c r="K595" t="s">
        <v>111</v>
      </c>
    </row>
    <row r="596" spans="1:11">
      <c r="A596" t="str">
        <f t="shared" si="9"/>
        <v>7161998</v>
      </c>
      <c r="B596" t="s">
        <v>110</v>
      </c>
      <c r="C596">
        <v>716</v>
      </c>
      <c r="D596">
        <v>1570</v>
      </c>
      <c r="E596" t="s">
        <v>111</v>
      </c>
      <c r="F596">
        <v>1998</v>
      </c>
      <c r="G596">
        <v>372913</v>
      </c>
      <c r="H596">
        <v>2829150</v>
      </c>
      <c r="I596">
        <v>818018</v>
      </c>
      <c r="J596">
        <v>23462</v>
      </c>
      <c r="K596" t="s">
        <v>111</v>
      </c>
    </row>
    <row r="597" spans="1:11">
      <c r="A597" t="str">
        <f t="shared" si="9"/>
        <v>7161999</v>
      </c>
      <c r="B597" t="s">
        <v>110</v>
      </c>
      <c r="C597">
        <v>716</v>
      </c>
      <c r="D597">
        <v>1570</v>
      </c>
      <c r="E597" t="s">
        <v>111</v>
      </c>
      <c r="F597">
        <v>1999</v>
      </c>
      <c r="G597">
        <v>374813</v>
      </c>
      <c r="H597">
        <v>2883560</v>
      </c>
      <c r="I597">
        <v>813060</v>
      </c>
      <c r="J597">
        <v>23029</v>
      </c>
      <c r="K597" t="s">
        <v>111</v>
      </c>
    </row>
    <row r="598" spans="1:11">
      <c r="A598" t="str">
        <f t="shared" si="9"/>
        <v>7162000</v>
      </c>
      <c r="B598" t="s">
        <v>110</v>
      </c>
      <c r="C598">
        <v>716</v>
      </c>
      <c r="D598">
        <v>1570</v>
      </c>
      <c r="E598" t="s">
        <v>111</v>
      </c>
      <c r="F598">
        <v>2000</v>
      </c>
      <c r="G598">
        <v>374620</v>
      </c>
      <c r="H598">
        <v>2918550</v>
      </c>
      <c r="I598">
        <v>793830</v>
      </c>
      <c r="J598">
        <v>22259</v>
      </c>
      <c r="K598" t="s">
        <v>111</v>
      </c>
    </row>
    <row r="599" spans="1:11">
      <c r="A599" t="str">
        <f t="shared" si="9"/>
        <v>7162001</v>
      </c>
      <c r="B599" t="s">
        <v>110</v>
      </c>
      <c r="C599">
        <v>716</v>
      </c>
      <c r="D599">
        <v>1570</v>
      </c>
      <c r="E599" t="s">
        <v>111</v>
      </c>
      <c r="F599">
        <v>2001</v>
      </c>
      <c r="G599">
        <v>372221</v>
      </c>
      <c r="H599">
        <v>2941310</v>
      </c>
      <c r="I599">
        <v>765131</v>
      </c>
      <c r="J599">
        <v>21149</v>
      </c>
      <c r="K599" t="s">
        <v>111</v>
      </c>
    </row>
    <row r="600" spans="1:11">
      <c r="A600" t="str">
        <f t="shared" si="9"/>
        <v>7162002</v>
      </c>
      <c r="B600" t="s">
        <v>110</v>
      </c>
      <c r="C600">
        <v>716</v>
      </c>
      <c r="D600">
        <v>1570</v>
      </c>
      <c r="E600" t="s">
        <v>111</v>
      </c>
      <c r="F600">
        <v>2002</v>
      </c>
      <c r="G600">
        <v>369789</v>
      </c>
      <c r="H600">
        <v>2957640</v>
      </c>
      <c r="I600">
        <v>730868</v>
      </c>
      <c r="J600">
        <v>19672</v>
      </c>
      <c r="K600" t="s">
        <v>111</v>
      </c>
    </row>
    <row r="601" spans="1:11">
      <c r="A601" t="str">
        <f t="shared" si="9"/>
        <v>7162003</v>
      </c>
      <c r="B601" t="s">
        <v>110</v>
      </c>
      <c r="C601">
        <v>716</v>
      </c>
      <c r="D601">
        <v>1570</v>
      </c>
      <c r="E601" t="s">
        <v>111</v>
      </c>
      <c r="F601">
        <v>2003</v>
      </c>
      <c r="G601">
        <v>367703</v>
      </c>
      <c r="H601">
        <v>2970500</v>
      </c>
      <c r="I601">
        <v>694614</v>
      </c>
      <c r="J601">
        <v>17825</v>
      </c>
      <c r="K601" t="s">
        <v>111</v>
      </c>
    </row>
    <row r="602" spans="1:11">
      <c r="A602" t="str">
        <f t="shared" si="9"/>
        <v>7162004</v>
      </c>
      <c r="B602" t="s">
        <v>110</v>
      </c>
      <c r="C602">
        <v>716</v>
      </c>
      <c r="D602">
        <v>1570</v>
      </c>
      <c r="E602" t="s">
        <v>111</v>
      </c>
      <c r="F602">
        <v>2004</v>
      </c>
      <c r="G602">
        <v>366541</v>
      </c>
      <c r="H602">
        <v>2983190</v>
      </c>
      <c r="I602">
        <v>658961</v>
      </c>
      <c r="J602">
        <v>16645</v>
      </c>
      <c r="K602" t="s">
        <v>111</v>
      </c>
    </row>
    <row r="603" spans="1:11">
      <c r="A603" t="str">
        <f t="shared" si="9"/>
        <v>7162005</v>
      </c>
      <c r="B603" t="s">
        <v>110</v>
      </c>
      <c r="C603">
        <v>716</v>
      </c>
      <c r="D603">
        <v>1570</v>
      </c>
      <c r="E603" t="s">
        <v>111</v>
      </c>
      <c r="F603">
        <v>2005</v>
      </c>
      <c r="G603">
        <v>365205</v>
      </c>
      <c r="H603">
        <v>2991670</v>
      </c>
      <c r="I603">
        <v>626248</v>
      </c>
      <c r="J603">
        <v>15178</v>
      </c>
      <c r="K603" t="s">
        <v>111</v>
      </c>
    </row>
    <row r="604" spans="1:11">
      <c r="A604" t="str">
        <f t="shared" si="9"/>
        <v>7162006</v>
      </c>
      <c r="B604" t="s">
        <v>110</v>
      </c>
      <c r="C604">
        <v>716</v>
      </c>
      <c r="D604">
        <v>1570</v>
      </c>
      <c r="E604" t="s">
        <v>111</v>
      </c>
      <c r="F604">
        <v>2006</v>
      </c>
      <c r="G604">
        <v>364829</v>
      </c>
      <c r="H604">
        <v>3003060</v>
      </c>
      <c r="I604">
        <v>599203</v>
      </c>
      <c r="J604">
        <v>14026</v>
      </c>
      <c r="K604" t="s">
        <v>111</v>
      </c>
    </row>
    <row r="605" spans="1:11">
      <c r="A605" t="str">
        <f t="shared" si="9"/>
        <v>7162007</v>
      </c>
      <c r="B605" t="s">
        <v>110</v>
      </c>
      <c r="C605">
        <v>716</v>
      </c>
      <c r="D605">
        <v>1570</v>
      </c>
      <c r="E605" t="s">
        <v>111</v>
      </c>
      <c r="F605">
        <v>2007</v>
      </c>
      <c r="G605">
        <v>381556</v>
      </c>
      <c r="H605">
        <v>3018420</v>
      </c>
      <c r="I605">
        <v>579294</v>
      </c>
      <c r="J605">
        <v>13305</v>
      </c>
      <c r="K605" t="s">
        <v>111</v>
      </c>
    </row>
    <row r="606" spans="1:11">
      <c r="A606" t="str">
        <f t="shared" si="9"/>
        <v>7162008</v>
      </c>
      <c r="B606" t="s">
        <v>110</v>
      </c>
      <c r="C606">
        <v>716</v>
      </c>
      <c r="D606">
        <v>1570</v>
      </c>
      <c r="E606" t="s">
        <v>111</v>
      </c>
      <c r="F606">
        <v>2008</v>
      </c>
      <c r="G606">
        <v>392831</v>
      </c>
      <c r="H606">
        <v>3047650</v>
      </c>
      <c r="I606">
        <v>567852</v>
      </c>
      <c r="J606">
        <v>12131</v>
      </c>
      <c r="K606" t="s">
        <v>111</v>
      </c>
    </row>
    <row r="607" spans="1:11">
      <c r="A607" t="str">
        <f t="shared" si="9"/>
        <v>7162009</v>
      </c>
      <c r="B607" t="s">
        <v>110</v>
      </c>
      <c r="C607">
        <v>716</v>
      </c>
      <c r="D607">
        <v>1570</v>
      </c>
      <c r="E607" t="s">
        <v>111</v>
      </c>
      <c r="F607">
        <v>2009</v>
      </c>
      <c r="G607">
        <v>407387</v>
      </c>
      <c r="H607">
        <v>3105160</v>
      </c>
      <c r="I607">
        <v>567663</v>
      </c>
      <c r="J607">
        <v>11327</v>
      </c>
      <c r="K607" t="s">
        <v>111</v>
      </c>
    </row>
    <row r="608" spans="1:11">
      <c r="A608" t="str">
        <f t="shared" si="9"/>
        <v>7162010</v>
      </c>
      <c r="B608" t="s">
        <v>110</v>
      </c>
      <c r="C608">
        <v>716</v>
      </c>
      <c r="D608">
        <v>1570</v>
      </c>
      <c r="E608" t="s">
        <v>111</v>
      </c>
      <c r="F608">
        <v>2010</v>
      </c>
      <c r="G608">
        <v>422820</v>
      </c>
      <c r="H608">
        <v>3200700</v>
      </c>
      <c r="I608">
        <v>576774</v>
      </c>
      <c r="J608">
        <v>9723</v>
      </c>
      <c r="K608" t="s">
        <v>111</v>
      </c>
    </row>
    <row r="609" spans="1:11">
      <c r="A609" t="str">
        <f t="shared" si="9"/>
        <v>7162011</v>
      </c>
      <c r="B609" t="s">
        <v>110</v>
      </c>
      <c r="C609">
        <v>716</v>
      </c>
      <c r="D609">
        <v>1570</v>
      </c>
      <c r="E609" t="s">
        <v>111</v>
      </c>
      <c r="F609">
        <v>2011</v>
      </c>
      <c r="G609">
        <v>439248</v>
      </c>
      <c r="H609">
        <v>3332020</v>
      </c>
      <c r="I609">
        <v>595424</v>
      </c>
      <c r="J609">
        <v>7221</v>
      </c>
      <c r="K609" t="s">
        <v>111</v>
      </c>
    </row>
    <row r="610" spans="1:11">
      <c r="A610" t="str">
        <f t="shared" si="9"/>
        <v>7162012</v>
      </c>
      <c r="B610" t="s">
        <v>110</v>
      </c>
      <c r="C610">
        <v>716</v>
      </c>
      <c r="D610">
        <v>1570</v>
      </c>
      <c r="E610" t="s">
        <v>111</v>
      </c>
      <c r="F610">
        <v>2012</v>
      </c>
      <c r="G610">
        <v>458283</v>
      </c>
      <c r="H610">
        <v>3479390</v>
      </c>
      <c r="I610">
        <v>617341</v>
      </c>
      <c r="J610">
        <v>4674</v>
      </c>
      <c r="K610" t="s">
        <v>111</v>
      </c>
    </row>
    <row r="611" spans="1:11">
      <c r="A611" t="str">
        <f t="shared" si="9"/>
        <v>7162013</v>
      </c>
      <c r="B611" t="s">
        <v>110</v>
      </c>
      <c r="C611">
        <v>716</v>
      </c>
      <c r="D611">
        <v>1570</v>
      </c>
      <c r="E611" t="s">
        <v>111</v>
      </c>
      <c r="F611">
        <v>2013</v>
      </c>
      <c r="G611">
        <v>478278</v>
      </c>
      <c r="H611">
        <v>3627940</v>
      </c>
      <c r="I611">
        <v>637959</v>
      </c>
      <c r="J611">
        <v>4845</v>
      </c>
      <c r="K611" t="s">
        <v>111</v>
      </c>
    </row>
    <row r="612" spans="1:11">
      <c r="A612" t="str">
        <f t="shared" si="9"/>
        <v>7162014</v>
      </c>
      <c r="B612" t="s">
        <v>110</v>
      </c>
      <c r="C612">
        <v>716</v>
      </c>
      <c r="D612">
        <v>1570</v>
      </c>
      <c r="E612" t="s">
        <v>111</v>
      </c>
      <c r="F612">
        <v>2014</v>
      </c>
      <c r="G612">
        <v>497317</v>
      </c>
      <c r="H612">
        <v>3777460</v>
      </c>
      <c r="I612">
        <v>657958</v>
      </c>
      <c r="J612">
        <v>3574</v>
      </c>
      <c r="K612" t="s">
        <v>111</v>
      </c>
    </row>
    <row r="613" spans="1:11">
      <c r="A613" t="str">
        <f t="shared" si="9"/>
        <v>7162015</v>
      </c>
      <c r="B613" t="s">
        <v>110</v>
      </c>
      <c r="C613">
        <v>716</v>
      </c>
      <c r="D613">
        <v>1570</v>
      </c>
      <c r="E613" t="s">
        <v>111</v>
      </c>
      <c r="F613">
        <v>2015</v>
      </c>
      <c r="G613">
        <v>514943</v>
      </c>
      <c r="H613">
        <v>3918850</v>
      </c>
      <c r="I613">
        <v>675428</v>
      </c>
      <c r="J613">
        <v>4027</v>
      </c>
      <c r="K613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Y126"/>
  <sheetViews>
    <sheetView workbookViewId="0">
      <selection activeCell="E4" sqref="E4"/>
    </sheetView>
  </sheetViews>
  <sheetFormatPr defaultRowHeight="12.75"/>
  <cols>
    <col min="1" max="1" width="10.85546875" customWidth="1"/>
    <col min="2" max="2" width="13.5703125" customWidth="1"/>
    <col min="3" max="3" width="13.28515625" customWidth="1"/>
    <col min="4" max="4" width="14.42578125" customWidth="1"/>
    <col min="5" max="5" width="12.140625" customWidth="1"/>
    <col min="6" max="6" width="12.85546875" customWidth="1"/>
    <col min="7" max="7" width="12.85546875" bestFit="1" customWidth="1"/>
    <col min="8" max="8" width="15.28515625" customWidth="1"/>
    <col min="11" max="11" width="5" customWidth="1"/>
    <col min="13" max="13" width="6" customWidth="1"/>
  </cols>
  <sheetData>
    <row r="1" spans="1:8" ht="15.75">
      <c r="A1" s="294" t="s">
        <v>24</v>
      </c>
      <c r="B1" s="294"/>
      <c r="C1" s="294"/>
      <c r="D1" s="294"/>
      <c r="E1" s="294"/>
      <c r="F1" s="294"/>
    </row>
    <row r="2" spans="1:8">
      <c r="A2" s="1"/>
    </row>
    <row r="3" spans="1:8" ht="54" customHeight="1">
      <c r="A3" s="33" t="s">
        <v>0</v>
      </c>
      <c r="B3" s="33" t="s">
        <v>1</v>
      </c>
      <c r="C3" s="33" t="s">
        <v>47</v>
      </c>
      <c r="D3" s="33" t="s">
        <v>45</v>
      </c>
      <c r="E3" s="33" t="s">
        <v>46</v>
      </c>
      <c r="F3" s="33" t="s">
        <v>49</v>
      </c>
      <c r="G3" s="65" t="s">
        <v>48</v>
      </c>
      <c r="H3" s="98"/>
    </row>
    <row r="4" spans="1:8">
      <c r="A4" s="285" t="str">
        <f>LEFT('New Format'!E4, 4)</f>
        <v>2014</v>
      </c>
      <c r="B4">
        <f>IF($A4&gt;0,VLOOKUP('UNAIDS 2016'!$N$1&amp;$A4, dbind, 7,FALSE),0)</f>
        <v>1365420</v>
      </c>
      <c r="C4">
        <f>IF($A4&gt;0,VLOOKUP('UNAIDS 2016'!$N$1&amp;$A4, dbind, 8,FALSE),0)</f>
        <v>10445400</v>
      </c>
      <c r="D4">
        <f>IF($A4&gt;0,VLOOKUP('UNAIDS 2016'!$N$1&amp;$A4, dbind, 9,FALSE),0)</f>
        <v>737509</v>
      </c>
      <c r="E4">
        <f>IF($A4&gt;0,VLOOKUP('UNAIDS 2016'!$N$1&amp;$A4, dbind, 10,FALSE),0)</f>
        <v>7809</v>
      </c>
      <c r="F4" s="6">
        <f t="shared" ref="F4:F25" si="0">B4*D4/C4</f>
        <v>96406.986690792124</v>
      </c>
      <c r="G4" s="93">
        <f t="shared" ref="G4:G25" si="1">B4-F4</f>
        <v>1269013.013309208</v>
      </c>
      <c r="H4" s="98"/>
    </row>
    <row r="5" spans="1:8">
      <c r="A5">
        <f>IF(A4-1&gt;=1980, A4-1,0)</f>
        <v>2013</v>
      </c>
      <c r="B5">
        <f>IF($A5&gt;0,VLOOKUP('UNAIDS 2016'!$N$1&amp;$A5, dbind, 7,FALSE),0)</f>
        <v>1355530</v>
      </c>
      <c r="C5">
        <f>IF($A5&gt;0,VLOOKUP('UNAIDS 2016'!$N$1&amp;$A5, dbind, 8,FALSE),0)</f>
        <v>10140700</v>
      </c>
      <c r="D5">
        <f>IF($A5&gt;0,VLOOKUP('UNAIDS 2016'!$N$1&amp;$A5, dbind, 9,FALSE),0)</f>
        <v>715484</v>
      </c>
      <c r="E5">
        <f>IF($A5&gt;0,VLOOKUP('UNAIDS 2016'!$N$1&amp;$A5, dbind, 10,FALSE),0)</f>
        <v>9229</v>
      </c>
      <c r="F5" s="6">
        <f t="shared" si="0"/>
        <v>95640.343025629394</v>
      </c>
      <c r="G5" s="93">
        <f t="shared" si="1"/>
        <v>1259889.6569743706</v>
      </c>
      <c r="H5" s="98"/>
    </row>
    <row r="6" spans="1:8">
      <c r="A6">
        <f t="shared" ref="A6:A30" si="2">IF(A5-1&gt;=1980, A5-1,0)</f>
        <v>2012</v>
      </c>
      <c r="B6">
        <f>IF($A6&gt;0,VLOOKUP('UNAIDS 2016'!$N$1&amp;$A6, dbind, 7,FALSE),0)</f>
        <v>1343330</v>
      </c>
      <c r="C6">
        <f>IF($A6&gt;0,VLOOKUP('UNAIDS 2016'!$N$1&amp;$A6, dbind, 8,FALSE),0)</f>
        <v>9842460</v>
      </c>
      <c r="D6">
        <f>IF($A6&gt;0,VLOOKUP('UNAIDS 2016'!$N$1&amp;$A6, dbind, 9,FALSE),0)</f>
        <v>692067</v>
      </c>
      <c r="E6">
        <f>IF($A6&gt;0,VLOOKUP('UNAIDS 2016'!$N$1&amp;$A6, dbind, 10,FALSE),0)</f>
        <v>8311</v>
      </c>
      <c r="F6" s="6">
        <f t="shared" si="0"/>
        <v>94455.488070055653</v>
      </c>
      <c r="G6" s="93">
        <f t="shared" si="1"/>
        <v>1248874.5119299444</v>
      </c>
      <c r="H6" s="98"/>
    </row>
    <row r="7" spans="1:8">
      <c r="A7">
        <f t="shared" si="2"/>
        <v>2011</v>
      </c>
      <c r="B7">
        <f>IF($A7&gt;0,VLOOKUP('UNAIDS 2016'!$N$1&amp;$A7, dbind, 7,FALSE),0)</f>
        <v>1330960</v>
      </c>
      <c r="C7">
        <f>IF($A7&gt;0,VLOOKUP('UNAIDS 2016'!$N$1&amp;$A7, dbind, 8,FALSE),0)</f>
        <v>9552840</v>
      </c>
      <c r="D7">
        <f>IF($A7&gt;0,VLOOKUP('UNAIDS 2016'!$N$1&amp;$A7, dbind, 9,FALSE),0)</f>
        <v>669441</v>
      </c>
      <c r="E7">
        <f>IF($A7&gt;0,VLOOKUP('UNAIDS 2016'!$N$1&amp;$A7, dbind, 10,FALSE),0)</f>
        <v>6494</v>
      </c>
      <c r="F7" s="6">
        <f t="shared" si="0"/>
        <v>93270.60783599432</v>
      </c>
      <c r="G7" s="93">
        <f t="shared" si="1"/>
        <v>1237689.3921640057</v>
      </c>
      <c r="H7" s="98"/>
    </row>
    <row r="8" spans="1:8">
      <c r="A8">
        <f t="shared" si="2"/>
        <v>2010</v>
      </c>
      <c r="B8">
        <f>IF($A8&gt;0,VLOOKUP('UNAIDS 2016'!$N$1&amp;$A8, dbind, 7,FALSE),0)</f>
        <v>1317250</v>
      </c>
      <c r="C8">
        <f>IF($A8&gt;0,VLOOKUP('UNAIDS 2016'!$N$1&amp;$A8, dbind, 8,FALSE),0)</f>
        <v>9275150</v>
      </c>
      <c r="D8">
        <f>IF($A8&gt;0,VLOOKUP('UNAIDS 2016'!$N$1&amp;$A8, dbind, 9,FALSE),0)</f>
        <v>651330</v>
      </c>
      <c r="E8">
        <f>IF($A8&gt;0,VLOOKUP('UNAIDS 2016'!$N$1&amp;$A8, dbind, 10,FALSE),0)</f>
        <v>8918</v>
      </c>
      <c r="F8" s="6">
        <f t="shared" si="0"/>
        <v>92501.408872093714</v>
      </c>
      <c r="G8" s="93">
        <f t="shared" si="1"/>
        <v>1224748.5911279062</v>
      </c>
      <c r="H8" s="98"/>
    </row>
    <row r="9" spans="1:8">
      <c r="A9">
        <f t="shared" si="2"/>
        <v>2009</v>
      </c>
      <c r="B9">
        <f>IF($A9&gt;0,VLOOKUP('UNAIDS 2016'!$N$1&amp;$A9, dbind, 7,FALSE),0)</f>
        <v>1302950</v>
      </c>
      <c r="C9">
        <f>IF($A9&gt;0,VLOOKUP('UNAIDS 2016'!$N$1&amp;$A9, dbind, 8,FALSE),0)</f>
        <v>9006410</v>
      </c>
      <c r="D9">
        <f>IF($A9&gt;0,VLOOKUP('UNAIDS 2016'!$N$1&amp;$A9, dbind, 9,FALSE),0)</f>
        <v>636605</v>
      </c>
      <c r="E9">
        <f>IF($A9&gt;0,VLOOKUP('UNAIDS 2016'!$N$1&amp;$A9, dbind, 10,FALSE),0)</f>
        <v>10663</v>
      </c>
      <c r="F9" s="6">
        <f t="shared" si="0"/>
        <v>92097.126907391517</v>
      </c>
      <c r="G9" s="93">
        <f t="shared" si="1"/>
        <v>1210852.8730926085</v>
      </c>
      <c r="H9" s="98"/>
    </row>
    <row r="10" spans="1:8">
      <c r="A10">
        <f t="shared" si="2"/>
        <v>2008</v>
      </c>
      <c r="B10">
        <f>IF($A10&gt;0,VLOOKUP('UNAIDS 2016'!$N$1&amp;$A10, dbind, 7,FALSE),0)</f>
        <v>1281200</v>
      </c>
      <c r="C10">
        <f>IF($A10&gt;0,VLOOKUP('UNAIDS 2016'!$N$1&amp;$A10, dbind, 8,FALSE),0)</f>
        <v>8748100</v>
      </c>
      <c r="D10">
        <f>IF($A10&gt;0,VLOOKUP('UNAIDS 2016'!$N$1&amp;$A10, dbind, 9,FALSE),0)</f>
        <v>625186</v>
      </c>
      <c r="E10">
        <f>IF($A10&gt;0,VLOOKUP('UNAIDS 2016'!$N$1&amp;$A10, dbind, 10,FALSE),0)</f>
        <v>11419</v>
      </c>
      <c r="F10" s="6">
        <f t="shared" si="0"/>
        <v>91561.40227020724</v>
      </c>
      <c r="G10" s="93">
        <f t="shared" si="1"/>
        <v>1189638.5977297928</v>
      </c>
      <c r="H10" s="98"/>
    </row>
    <row r="11" spans="1:8">
      <c r="A11">
        <f t="shared" si="2"/>
        <v>2007</v>
      </c>
      <c r="B11">
        <f>IF($A11&gt;0,VLOOKUP('UNAIDS 2016'!$N$1&amp;$A11, dbind, 7,FALSE),0)</f>
        <v>1259820</v>
      </c>
      <c r="C11">
        <f>IF($A11&gt;0,VLOOKUP('UNAIDS 2016'!$N$1&amp;$A11, dbind, 8,FALSE),0)</f>
        <v>8498790</v>
      </c>
      <c r="D11">
        <f>IF($A11&gt;0,VLOOKUP('UNAIDS 2016'!$N$1&amp;$A11, dbind, 9,FALSE),0)</f>
        <v>621101</v>
      </c>
      <c r="E11">
        <f>IF($A11&gt;0,VLOOKUP('UNAIDS 2016'!$N$1&amp;$A11, dbind, 10,FALSE),0)</f>
        <v>15633</v>
      </c>
      <c r="F11" s="6">
        <f t="shared" si="0"/>
        <v>92069.042983765918</v>
      </c>
      <c r="G11" s="93">
        <f t="shared" si="1"/>
        <v>1167750.9570162341</v>
      </c>
      <c r="H11" s="98"/>
    </row>
    <row r="12" spans="1:8">
      <c r="A12">
        <f t="shared" si="2"/>
        <v>2006</v>
      </c>
      <c r="B12">
        <f>IF($A12&gt;0,VLOOKUP('UNAIDS 2016'!$N$1&amp;$A12, dbind, 7,FALSE),0)</f>
        <v>1238410</v>
      </c>
      <c r="C12">
        <f>IF($A12&gt;0,VLOOKUP('UNAIDS 2016'!$N$1&amp;$A12, dbind, 8,FALSE),0)</f>
        <v>8256410</v>
      </c>
      <c r="D12">
        <f>IF($A12&gt;0,VLOOKUP('UNAIDS 2016'!$N$1&amp;$A12, dbind, 9,FALSE),0)</f>
        <v>623234</v>
      </c>
      <c r="E12">
        <f>IF($A12&gt;0,VLOOKUP('UNAIDS 2016'!$N$1&amp;$A12, dbind, 10,FALSE),0)</f>
        <v>17643</v>
      </c>
      <c r="F12" s="6">
        <f t="shared" si="0"/>
        <v>93481.212529416545</v>
      </c>
      <c r="G12" s="93">
        <f t="shared" si="1"/>
        <v>1144928.7874705833</v>
      </c>
      <c r="H12" s="98"/>
    </row>
    <row r="13" spans="1:8">
      <c r="A13">
        <f t="shared" si="2"/>
        <v>2005</v>
      </c>
      <c r="B13">
        <f>IF($A13&gt;0,VLOOKUP('UNAIDS 2016'!$N$1&amp;$A13, dbind, 7,FALSE),0)</f>
        <v>1217090</v>
      </c>
      <c r="C13">
        <f>IF($A13&gt;0,VLOOKUP('UNAIDS 2016'!$N$1&amp;$A13, dbind, 8,FALSE),0)</f>
        <v>8023680</v>
      </c>
      <c r="D13">
        <f>IF($A13&gt;0,VLOOKUP('UNAIDS 2016'!$N$1&amp;$A13, dbind, 9,FALSE),0)</f>
        <v>640384</v>
      </c>
      <c r="E13">
        <f>IF($A13&gt;0,VLOOKUP('UNAIDS 2016'!$N$1&amp;$A13, dbind, 10,FALSE),0)</f>
        <v>20575</v>
      </c>
      <c r="F13" s="6">
        <f t="shared" si="0"/>
        <v>97138.09156895589</v>
      </c>
      <c r="G13" s="93">
        <f t="shared" si="1"/>
        <v>1119951.9084310441</v>
      </c>
      <c r="H13" s="98"/>
    </row>
    <row r="14" spans="1:8">
      <c r="A14">
        <f t="shared" si="2"/>
        <v>2004</v>
      </c>
      <c r="B14">
        <f>IF($A14&gt;0,VLOOKUP('UNAIDS 2016'!$N$1&amp;$A14, dbind, 7,FALSE),0)</f>
        <v>1196280</v>
      </c>
      <c r="C14">
        <f>IF($A14&gt;0,VLOOKUP('UNAIDS 2016'!$N$1&amp;$A14, dbind, 8,FALSE),0)</f>
        <v>7797780</v>
      </c>
      <c r="D14">
        <f>IF($A14&gt;0,VLOOKUP('UNAIDS 2016'!$N$1&amp;$A14, dbind, 9,FALSE),0)</f>
        <v>668577</v>
      </c>
      <c r="E14">
        <f>IF($A14&gt;0,VLOOKUP('UNAIDS 2016'!$N$1&amp;$A14, dbind, 10,FALSE),0)</f>
        <v>24235</v>
      </c>
      <c r="F14" s="6">
        <f t="shared" si="0"/>
        <v>102568.33272546802</v>
      </c>
      <c r="G14" s="93">
        <f t="shared" si="1"/>
        <v>1093711.6672745319</v>
      </c>
      <c r="H14" s="98"/>
    </row>
    <row r="15" spans="1:8">
      <c r="A15">
        <f t="shared" si="2"/>
        <v>2003</v>
      </c>
      <c r="B15">
        <f>IF($A15&gt;0,VLOOKUP('UNAIDS 2016'!$N$1&amp;$A15, dbind, 7,FALSE),0)</f>
        <v>1175230</v>
      </c>
      <c r="C15">
        <f>IF($A15&gt;0,VLOOKUP('UNAIDS 2016'!$N$1&amp;$A15, dbind, 8,FALSE),0)</f>
        <v>7578790</v>
      </c>
      <c r="D15">
        <f>IF($A15&gt;0,VLOOKUP('UNAIDS 2016'!$N$1&amp;$A15, dbind, 9,FALSE),0)</f>
        <v>705740</v>
      </c>
      <c r="E15">
        <f>IF($A15&gt;0,VLOOKUP('UNAIDS 2016'!$N$1&amp;$A15, dbind, 10,FALSE),0)</f>
        <v>26757</v>
      </c>
      <c r="F15" s="6">
        <f t="shared" si="0"/>
        <v>109437.89446600314</v>
      </c>
      <c r="G15" s="93">
        <f t="shared" si="1"/>
        <v>1065792.1055339968</v>
      </c>
      <c r="H15" s="98"/>
    </row>
    <row r="16" spans="1:8">
      <c r="A16">
        <f t="shared" si="2"/>
        <v>2002</v>
      </c>
      <c r="B16">
        <f>IF($A16&gt;0,VLOOKUP('UNAIDS 2016'!$N$1&amp;$A16, dbind, 7,FALSE),0)</f>
        <v>1148180</v>
      </c>
      <c r="C16">
        <f>IF($A16&gt;0,VLOOKUP('UNAIDS 2016'!$N$1&amp;$A16, dbind, 8,FALSE),0)</f>
        <v>7363190</v>
      </c>
      <c r="D16">
        <f>IF($A16&gt;0,VLOOKUP('UNAIDS 2016'!$N$1&amp;$A16, dbind, 9,FALSE),0)</f>
        <v>746363</v>
      </c>
      <c r="E16">
        <f>IF($A16&gt;0,VLOOKUP('UNAIDS 2016'!$N$1&amp;$A16, dbind, 10,FALSE),0)</f>
        <v>28900</v>
      </c>
      <c r="F16" s="6">
        <f t="shared" si="0"/>
        <v>116384.21245954539</v>
      </c>
      <c r="G16" s="93">
        <f t="shared" si="1"/>
        <v>1031795.7875404547</v>
      </c>
      <c r="H16" s="98"/>
    </row>
    <row r="17" spans="1:8">
      <c r="A17">
        <f t="shared" si="2"/>
        <v>2001</v>
      </c>
      <c r="B17">
        <f>IF($A17&gt;0,VLOOKUP('UNAIDS 2016'!$N$1&amp;$A17, dbind, 7,FALSE),0)</f>
        <v>1121610</v>
      </c>
      <c r="C17">
        <f>IF($A17&gt;0,VLOOKUP('UNAIDS 2016'!$N$1&amp;$A17, dbind, 8,FALSE),0)</f>
        <v>7150790</v>
      </c>
      <c r="D17">
        <f>IF($A17&gt;0,VLOOKUP('UNAIDS 2016'!$N$1&amp;$A17, dbind, 9,FALSE),0)</f>
        <v>787915</v>
      </c>
      <c r="E17">
        <f>IF($A17&gt;0,VLOOKUP('UNAIDS 2016'!$N$1&amp;$A17, dbind, 10,FALSE),0)</f>
        <v>30992</v>
      </c>
      <c r="F17" s="6">
        <f t="shared" si="0"/>
        <v>123585.41408012262</v>
      </c>
      <c r="G17" s="93">
        <f t="shared" si="1"/>
        <v>998024.5859198774</v>
      </c>
      <c r="H17" s="98"/>
    </row>
    <row r="18" spans="1:8">
      <c r="A18">
        <f t="shared" si="2"/>
        <v>2000</v>
      </c>
      <c r="B18">
        <f>IF($A18&gt;0,VLOOKUP('UNAIDS 2016'!$N$1&amp;$A18, dbind, 7,FALSE),0)</f>
        <v>1094940</v>
      </c>
      <c r="C18">
        <f>IF($A18&gt;0,VLOOKUP('UNAIDS 2016'!$N$1&amp;$A18, dbind, 8,FALSE),0)</f>
        <v>6941370</v>
      </c>
      <c r="D18">
        <f>IF($A18&gt;0,VLOOKUP('UNAIDS 2016'!$N$1&amp;$A18, dbind, 9,FALSE),0)</f>
        <v>826134</v>
      </c>
      <c r="E18">
        <f>IF($A18&gt;0,VLOOKUP('UNAIDS 2016'!$N$1&amp;$A18, dbind, 10,FALSE),0)</f>
        <v>32797</v>
      </c>
      <c r="F18" s="6">
        <f t="shared" si="0"/>
        <v>130315.36454042933</v>
      </c>
      <c r="G18" s="93">
        <f t="shared" si="1"/>
        <v>964624.63545957068</v>
      </c>
      <c r="H18" s="98"/>
    </row>
    <row r="19" spans="1:8">
      <c r="A19">
        <f t="shared" si="2"/>
        <v>1999</v>
      </c>
      <c r="B19">
        <f>IF($A19&gt;0,VLOOKUP('UNAIDS 2016'!$N$1&amp;$A19, dbind, 7,FALSE),0)</f>
        <v>1068620</v>
      </c>
      <c r="C19">
        <f>IF($A19&gt;0,VLOOKUP('UNAIDS 2016'!$N$1&amp;$A19, dbind, 8,FALSE),0)</f>
        <v>6734220</v>
      </c>
      <c r="D19">
        <f>IF($A19&gt;0,VLOOKUP('UNAIDS 2016'!$N$1&amp;$A19, dbind, 9,FALSE),0)</f>
        <v>857832</v>
      </c>
      <c r="E19">
        <f>IF($A19&gt;0,VLOOKUP('UNAIDS 2016'!$N$1&amp;$A19, dbind, 10,FALSE),0)</f>
        <v>34264</v>
      </c>
      <c r="F19" s="6">
        <f t="shared" si="0"/>
        <v>136125.10904603652</v>
      </c>
      <c r="G19" s="93">
        <f t="shared" si="1"/>
        <v>932494.89095396351</v>
      </c>
      <c r="H19" s="98"/>
    </row>
    <row r="20" spans="1:8">
      <c r="A20">
        <f t="shared" si="2"/>
        <v>1998</v>
      </c>
      <c r="B20">
        <f>IF($A20&gt;0,VLOOKUP('UNAIDS 2016'!$N$1&amp;$A20, dbind, 7,FALSE),0)</f>
        <v>1044090</v>
      </c>
      <c r="C20">
        <f>IF($A20&gt;0,VLOOKUP('UNAIDS 2016'!$N$1&amp;$A20, dbind, 8,FALSE),0)</f>
        <v>6534620</v>
      </c>
      <c r="D20">
        <f>IF($A20&gt;0,VLOOKUP('UNAIDS 2016'!$N$1&amp;$A20, dbind, 9,FALSE),0)</f>
        <v>877618</v>
      </c>
      <c r="E20">
        <f>IF($A20&gt;0,VLOOKUP('UNAIDS 2016'!$N$1&amp;$A20, dbind, 10,FALSE),0)</f>
        <v>35185</v>
      </c>
      <c r="F20" s="6">
        <f t="shared" si="0"/>
        <v>140224.24832966569</v>
      </c>
      <c r="G20" s="93">
        <f t="shared" si="1"/>
        <v>903865.75167033426</v>
      </c>
      <c r="H20" s="98"/>
    </row>
    <row r="21" spans="1:8">
      <c r="A21">
        <f t="shared" si="2"/>
        <v>1997</v>
      </c>
      <c r="B21">
        <f>IF($A21&gt;0,VLOOKUP('UNAIDS 2016'!$N$1&amp;$A21, dbind, 7,FALSE),0)</f>
        <v>1020760</v>
      </c>
      <c r="C21">
        <f>IF($A21&gt;0,VLOOKUP('UNAIDS 2016'!$N$1&amp;$A21, dbind, 8,FALSE),0)</f>
        <v>6334090</v>
      </c>
      <c r="D21">
        <f>IF($A21&gt;0,VLOOKUP('UNAIDS 2016'!$N$1&amp;$A21, dbind, 9,FALSE),0)</f>
        <v>878811</v>
      </c>
      <c r="E21">
        <f>IF($A21&gt;0,VLOOKUP('UNAIDS 2016'!$N$1&amp;$A21, dbind, 10,FALSE),0)</f>
        <v>35412</v>
      </c>
      <c r="F21" s="6">
        <f t="shared" si="0"/>
        <v>141623.36126578561</v>
      </c>
      <c r="G21" s="93">
        <f t="shared" si="1"/>
        <v>879136.63873421436</v>
      </c>
      <c r="H21" s="98"/>
    </row>
    <row r="22" spans="1:8">
      <c r="A22">
        <f t="shared" si="2"/>
        <v>1996</v>
      </c>
      <c r="B22">
        <f>IF($A22&gt;0,VLOOKUP('UNAIDS 2016'!$N$1&amp;$A22, dbind, 7,FALSE),0)</f>
        <v>997945</v>
      </c>
      <c r="C22">
        <f>IF($A22&gt;0,VLOOKUP('UNAIDS 2016'!$N$1&amp;$A22, dbind, 8,FALSE),0)</f>
        <v>6133780</v>
      </c>
      <c r="D22">
        <f>IF($A22&gt;0,VLOOKUP('UNAIDS 2016'!$N$1&amp;$A22, dbind, 9,FALSE),0)</f>
        <v>856527</v>
      </c>
      <c r="E22">
        <f>IF($A22&gt;0,VLOOKUP('UNAIDS 2016'!$N$1&amp;$A22, dbind, 10,FALSE),0)</f>
        <v>34706</v>
      </c>
      <c r="F22" s="6">
        <f t="shared" si="0"/>
        <v>139354.00960174639</v>
      </c>
      <c r="G22" s="93">
        <f t="shared" si="1"/>
        <v>858590.99039825355</v>
      </c>
      <c r="H22" s="98"/>
    </row>
    <row r="23" spans="1:8">
      <c r="A23">
        <f t="shared" si="2"/>
        <v>1995</v>
      </c>
      <c r="B23">
        <f>IF($A23&gt;0,VLOOKUP('UNAIDS 2016'!$N$1&amp;$A23, dbind, 7,FALSE),0)</f>
        <v>976656</v>
      </c>
      <c r="C23">
        <f>IF($A23&gt;0,VLOOKUP('UNAIDS 2016'!$N$1&amp;$A23, dbind, 8,FALSE),0)</f>
        <v>5934350</v>
      </c>
      <c r="D23">
        <f>IF($A23&gt;0,VLOOKUP('UNAIDS 2016'!$N$1&amp;$A23, dbind, 9,FALSE),0)</f>
        <v>808069</v>
      </c>
      <c r="E23">
        <f>IF($A23&gt;0,VLOOKUP('UNAIDS 2016'!$N$1&amp;$A23, dbind, 10,FALSE),0)</f>
        <v>32990</v>
      </c>
      <c r="F23" s="6">
        <f t="shared" si="0"/>
        <v>132989.36484433847</v>
      </c>
      <c r="G23" s="93">
        <f t="shared" si="1"/>
        <v>843666.6351556615</v>
      </c>
      <c r="H23" s="98"/>
    </row>
    <row r="24" spans="1:8">
      <c r="A24">
        <f t="shared" si="2"/>
        <v>1994</v>
      </c>
      <c r="B24">
        <f>IF($A24&gt;0,VLOOKUP('UNAIDS 2016'!$N$1&amp;$A24, dbind, 7,FALSE),0)</f>
        <v>955959</v>
      </c>
      <c r="C24">
        <f>IF($A24&gt;0,VLOOKUP('UNAIDS 2016'!$N$1&amp;$A24, dbind, 8,FALSE),0)</f>
        <v>5736090</v>
      </c>
      <c r="D24">
        <f>IF($A24&gt;0,VLOOKUP('UNAIDS 2016'!$N$1&amp;$A24, dbind, 9,FALSE),0)</f>
        <v>735359</v>
      </c>
      <c r="E24">
        <f>IF($A24&gt;0,VLOOKUP('UNAIDS 2016'!$N$1&amp;$A24, dbind, 10,FALSE),0)</f>
        <v>30311</v>
      </c>
      <c r="F24" s="6">
        <f t="shared" si="0"/>
        <v>122552.65420887747</v>
      </c>
      <c r="G24" s="93">
        <f t="shared" si="1"/>
        <v>833406.34579112253</v>
      </c>
      <c r="H24" s="98"/>
    </row>
    <row r="25" spans="1:8">
      <c r="A25">
        <f t="shared" si="2"/>
        <v>1993</v>
      </c>
      <c r="B25">
        <f>IF($A25&gt;0,VLOOKUP('UNAIDS 2016'!$N$1&amp;$A25, dbind, 7,FALSE),0)</f>
        <v>936160</v>
      </c>
      <c r="C25">
        <f>IF($A25&gt;0,VLOOKUP('UNAIDS 2016'!$N$1&amp;$A25, dbind, 8,FALSE),0)</f>
        <v>5538950</v>
      </c>
      <c r="D25">
        <f>IF($A25&gt;0,VLOOKUP('UNAIDS 2016'!$N$1&amp;$A25, dbind, 9,FALSE),0)</f>
        <v>643537</v>
      </c>
      <c r="E25">
        <f>IF($A25&gt;0,VLOOKUP('UNAIDS 2016'!$N$1&amp;$A25, dbind, 10,FALSE),0)</f>
        <v>26880</v>
      </c>
      <c r="F25" s="6">
        <f t="shared" si="0"/>
        <v>108766.75144567111</v>
      </c>
      <c r="G25" s="93">
        <f t="shared" si="1"/>
        <v>827393.24855432892</v>
      </c>
      <c r="H25" s="98"/>
    </row>
    <row r="26" spans="1:8">
      <c r="A26">
        <f t="shared" si="2"/>
        <v>1992</v>
      </c>
      <c r="B26">
        <f>IF($A26&gt;0,VLOOKUP('UNAIDS 2016'!$N$1&amp;$A26, dbind, 7,FALSE),0)</f>
        <v>919337</v>
      </c>
      <c r="C26">
        <f>IF($A26&gt;0,VLOOKUP('UNAIDS 2016'!$N$1&amp;$A26, dbind, 8,FALSE),0)</f>
        <v>5344550</v>
      </c>
      <c r="D26">
        <f>IF($A26&gt;0,VLOOKUP('UNAIDS 2016'!$N$1&amp;$A26, dbind, 9,FALSE),0)</f>
        <v>540372</v>
      </c>
      <c r="E26">
        <f>IF($A26&gt;0,VLOOKUP('UNAIDS 2016'!$N$1&amp;$A26, dbind, 10,FALSE),0)</f>
        <v>23012</v>
      </c>
      <c r="F26" s="6">
        <f t="shared" ref="F26:F33" si="3">B26*D26/C26</f>
        <v>92951.506368917864</v>
      </c>
      <c r="G26" s="93">
        <f t="shared" ref="G26:G33" si="4">B26-F26</f>
        <v>826385.49363108212</v>
      </c>
      <c r="H26" s="98"/>
    </row>
    <row r="27" spans="1:8">
      <c r="A27" s="116">
        <f t="shared" si="2"/>
        <v>1991</v>
      </c>
      <c r="B27">
        <f>IF($A27&gt;0,VLOOKUP('UNAIDS 2016'!$N$1&amp;$A27, dbind, 7,FALSE),0)</f>
        <v>906732</v>
      </c>
      <c r="C27">
        <f>IF($A27&gt;0,VLOOKUP('UNAIDS 2016'!$N$1&amp;$A27, dbind, 8,FALSE),0)</f>
        <v>5155250</v>
      </c>
      <c r="D27">
        <f>IF($A27&gt;0,VLOOKUP('UNAIDS 2016'!$N$1&amp;$A27, dbind, 9,FALSE),0)</f>
        <v>434966</v>
      </c>
      <c r="E27">
        <f>IF($A27&gt;0,VLOOKUP('UNAIDS 2016'!$N$1&amp;$A27, dbind, 10,FALSE),0)</f>
        <v>18989</v>
      </c>
      <c r="F27" s="117">
        <f t="shared" si="3"/>
        <v>76504.066943795158</v>
      </c>
      <c r="G27" s="118">
        <f t="shared" si="4"/>
        <v>830227.93305620481</v>
      </c>
      <c r="H27" s="98"/>
    </row>
    <row r="28" spans="1:8">
      <c r="A28" s="116">
        <f t="shared" si="2"/>
        <v>1990</v>
      </c>
      <c r="B28">
        <f>IF($A28&gt;0,VLOOKUP('UNAIDS 2016'!$N$1&amp;$A28, dbind, 7,FALSE),0)</f>
        <v>897235</v>
      </c>
      <c r="C28">
        <f>IF($A28&gt;0,VLOOKUP('UNAIDS 2016'!$N$1&amp;$A28, dbind, 8,FALSE),0)</f>
        <v>4972660</v>
      </c>
      <c r="D28">
        <f>IF($A28&gt;0,VLOOKUP('UNAIDS 2016'!$N$1&amp;$A28, dbind, 9,FALSE),0)</f>
        <v>335864</v>
      </c>
      <c r="E28">
        <f>IF($A28&gt;0,VLOOKUP('UNAIDS 2016'!$N$1&amp;$A28, dbind, 10,FALSE),0)</f>
        <v>15077</v>
      </c>
      <c r="F28" s="117">
        <f t="shared" si="3"/>
        <v>60601.15431982078</v>
      </c>
      <c r="G28" s="118">
        <f t="shared" si="4"/>
        <v>836633.84568017919</v>
      </c>
      <c r="H28" s="98"/>
    </row>
    <row r="29" spans="1:8">
      <c r="A29" s="116">
        <f t="shared" si="2"/>
        <v>1989</v>
      </c>
      <c r="B29">
        <f>IF($A29&gt;0,VLOOKUP('UNAIDS 2016'!$N$1&amp;$A29, dbind, 7,FALSE),0)</f>
        <v>886319</v>
      </c>
      <c r="C29">
        <f>IF($A29&gt;0,VLOOKUP('UNAIDS 2016'!$N$1&amp;$A29, dbind, 8,FALSE),0)</f>
        <v>4797490</v>
      </c>
      <c r="D29">
        <f>IF($A29&gt;0,VLOOKUP('UNAIDS 2016'!$N$1&amp;$A29, dbind, 9,FALSE),0)</f>
        <v>248609</v>
      </c>
      <c r="E29">
        <f>IF($A29&gt;0,VLOOKUP('UNAIDS 2016'!$N$1&amp;$A29, dbind, 10,FALSE),0)</f>
        <v>11406</v>
      </c>
      <c r="F29" s="117">
        <f t="shared" si="3"/>
        <v>45929.6174189003</v>
      </c>
      <c r="G29" s="118">
        <f t="shared" si="4"/>
        <v>840389.38258109975</v>
      </c>
      <c r="H29" s="13"/>
    </row>
    <row r="30" spans="1:8">
      <c r="A30" s="116">
        <f t="shared" si="2"/>
        <v>1988</v>
      </c>
      <c r="B30">
        <f>IF($A30&gt;0,VLOOKUP('UNAIDS 2016'!$N$1&amp;$A30, dbind, 7,FALSE),0)</f>
        <v>873013</v>
      </c>
      <c r="C30">
        <f>IF($A30&gt;0,VLOOKUP('UNAIDS 2016'!$N$1&amp;$A30, dbind, 8,FALSE),0)</f>
        <v>4630210</v>
      </c>
      <c r="D30">
        <f>IF($A30&gt;0,VLOOKUP('UNAIDS 2016'!$N$1&amp;$A30, dbind, 9,FALSE),0)</f>
        <v>177643</v>
      </c>
      <c r="E30">
        <f>IF($A30&gt;0,VLOOKUP('UNAIDS 2016'!$N$1&amp;$A30, dbind, 10,FALSE),0)</f>
        <v>8309</v>
      </c>
      <c r="F30" s="117">
        <f t="shared" si="3"/>
        <v>33494.085227019939</v>
      </c>
      <c r="G30" s="118">
        <f t="shared" si="4"/>
        <v>839518.91477298003</v>
      </c>
      <c r="H30" s="13"/>
    </row>
    <row r="31" spans="1:8">
      <c r="A31" s="116">
        <f>IF(A30-1&gt;=1980, A30-1,0)</f>
        <v>1987</v>
      </c>
      <c r="B31">
        <f>IF($A31&gt;0,VLOOKUP('UNAIDS 2016'!$N$1&amp;$A31, dbind, 7,FALSE),0)</f>
        <v>855466</v>
      </c>
      <c r="C31">
        <f>IF($A31&gt;0,VLOOKUP('UNAIDS 2016'!$N$1&amp;$A31, dbind, 8,FALSE),0)</f>
        <v>4470800</v>
      </c>
      <c r="D31">
        <f>IF($A31&gt;0,VLOOKUP('UNAIDS 2016'!$N$1&amp;$A31, dbind, 9,FALSE),0)</f>
        <v>122437</v>
      </c>
      <c r="E31">
        <f>IF($A31&gt;0,VLOOKUP('UNAIDS 2016'!$N$1&amp;$A31, dbind, 10,FALSE),0)</f>
        <v>5805</v>
      </c>
      <c r="F31" s="117">
        <f t="shared" si="3"/>
        <v>23427.728961707078</v>
      </c>
      <c r="G31" s="118">
        <f t="shared" si="4"/>
        <v>832038.27103829291</v>
      </c>
      <c r="H31" s="13"/>
    </row>
    <row r="32" spans="1:8">
      <c r="A32" s="116">
        <f>IF(A31-1&gt;=1980, A31-1,0)</f>
        <v>1986</v>
      </c>
      <c r="B32">
        <f>IF($A32&gt;0,VLOOKUP('UNAIDS 2016'!$N$1&amp;$A32, dbind, 7,FALSE),0)</f>
        <v>835612</v>
      </c>
      <c r="C32">
        <f>IF($A32&gt;0,VLOOKUP('UNAIDS 2016'!$N$1&amp;$A32, dbind, 8,FALSE),0)</f>
        <v>4318890</v>
      </c>
      <c r="D32">
        <f>IF($A32&gt;0,VLOOKUP('UNAIDS 2016'!$N$1&amp;$A32, dbind, 9,FALSE),0)</f>
        <v>81579</v>
      </c>
      <c r="E32">
        <f>IF($A32&gt;0,VLOOKUP('UNAIDS 2016'!$N$1&amp;$A32, dbind, 10,FALSE),0)</f>
        <v>3928</v>
      </c>
      <c r="F32" s="117">
        <f t="shared" si="3"/>
        <v>15783.775772941659</v>
      </c>
      <c r="G32" s="118">
        <f t="shared" si="4"/>
        <v>819828.22422705835</v>
      </c>
      <c r="H32" s="13"/>
    </row>
    <row r="33" spans="1:25">
      <c r="A33" s="116">
        <f>IF(A32-1&gt;=1980, A32-1,0)</f>
        <v>1985</v>
      </c>
      <c r="B33">
        <f>IF($A33&gt;0,VLOOKUP('UNAIDS 2016'!$N$1&amp;$A33, dbind, 7,FALSE),0)</f>
        <v>815267</v>
      </c>
      <c r="C33">
        <f>IF($A33&gt;0,VLOOKUP('UNAIDS 2016'!$N$1&amp;$A33, dbind, 8,FALSE),0)</f>
        <v>4174100</v>
      </c>
      <c r="D33">
        <f>IF($A33&gt;0,VLOOKUP('UNAIDS 2016'!$N$1&amp;$A33, dbind, 9,FALSE),0)</f>
        <v>52179</v>
      </c>
      <c r="E33">
        <f>IF($A33&gt;0,VLOOKUP('UNAIDS 2016'!$N$1&amp;$A33, dbind, 10,FALSE),0)</f>
        <v>2564</v>
      </c>
      <c r="F33" s="119">
        <f t="shared" si="3"/>
        <v>10191.374618001486</v>
      </c>
      <c r="G33" s="120">
        <f t="shared" si="4"/>
        <v>805075.62538199848</v>
      </c>
      <c r="H33" s="13"/>
    </row>
    <row r="34" spans="1:25">
      <c r="A34" s="97"/>
      <c r="B34" s="97"/>
      <c r="C34" s="97"/>
      <c r="D34" s="97"/>
      <c r="E34" s="97"/>
      <c r="F34" s="96"/>
      <c r="G34" s="112"/>
      <c r="H34" s="13"/>
    </row>
    <row r="35" spans="1:25" ht="15.75">
      <c r="A35" s="113" t="s">
        <v>25</v>
      </c>
      <c r="B35" s="14"/>
      <c r="C35" s="114"/>
      <c r="D35" s="115"/>
      <c r="E35" s="115"/>
      <c r="F35" s="13"/>
      <c r="G35" s="13"/>
      <c r="H35" s="13"/>
      <c r="I35" s="13"/>
    </row>
    <row r="36" spans="1:25">
      <c r="A36" s="8"/>
      <c r="B36" s="2"/>
      <c r="C36" s="3"/>
      <c r="D36" s="4"/>
      <c r="E36" s="4"/>
    </row>
    <row r="37" spans="1:25" ht="15.75">
      <c r="A37" s="298" t="s">
        <v>5</v>
      </c>
      <c r="B37" s="298"/>
      <c r="C37" s="298"/>
      <c r="D37" s="298"/>
      <c r="E37" s="298"/>
    </row>
    <row r="38" spans="1:25">
      <c r="A38" s="29" t="s">
        <v>26</v>
      </c>
      <c r="B38" s="295" t="s">
        <v>2</v>
      </c>
      <c r="C38" s="295"/>
      <c r="D38" s="295"/>
      <c r="E38" s="296" t="s">
        <v>3</v>
      </c>
      <c r="F38" s="296"/>
      <c r="G38" s="296"/>
      <c r="H38" s="297" t="s">
        <v>61</v>
      </c>
      <c r="I38" s="297"/>
      <c r="J38" s="297"/>
      <c r="L38" s="25" t="s">
        <v>62</v>
      </c>
      <c r="N38" s="291" t="s">
        <v>63</v>
      </c>
      <c r="O38" s="291"/>
      <c r="P38" s="291"/>
      <c r="Q38" s="290" t="s">
        <v>64</v>
      </c>
      <c r="R38" s="290"/>
      <c r="S38" s="290"/>
      <c r="T38" s="288" t="s">
        <v>65</v>
      </c>
      <c r="U38" s="288"/>
      <c r="V38" s="288"/>
      <c r="W38" s="289" t="s">
        <v>66</v>
      </c>
      <c r="X38" s="289"/>
      <c r="Y38" s="289"/>
    </row>
    <row r="39" spans="1:25">
      <c r="A39" s="30"/>
      <c r="B39" s="12"/>
      <c r="C39" s="12"/>
      <c r="D39" s="58" t="s">
        <v>4</v>
      </c>
      <c r="E39" s="11"/>
      <c r="F39" s="11"/>
      <c r="G39" s="39" t="s">
        <v>4</v>
      </c>
      <c r="H39" s="21"/>
      <c r="I39" s="21"/>
      <c r="J39" s="38" t="s">
        <v>4</v>
      </c>
      <c r="L39" s="25" t="s">
        <v>67</v>
      </c>
      <c r="N39" s="74"/>
      <c r="O39" s="74"/>
      <c r="P39" s="74" t="s">
        <v>4</v>
      </c>
      <c r="Q39" s="75"/>
      <c r="R39" s="75"/>
      <c r="S39" s="75" t="s">
        <v>4</v>
      </c>
      <c r="T39" s="76"/>
      <c r="U39" s="76"/>
      <c r="V39" s="76" t="s">
        <v>4</v>
      </c>
      <c r="W39" s="77"/>
      <c r="X39" s="77"/>
      <c r="Y39" s="77" t="s">
        <v>4</v>
      </c>
    </row>
    <row r="40" spans="1:25">
      <c r="A40" s="31">
        <v>0</v>
      </c>
      <c r="B40" s="27">
        <v>1</v>
      </c>
      <c r="C40" s="17">
        <v>1</v>
      </c>
      <c r="D40" s="18">
        <f>((B40*0.3+B41*0.7)*(1-C47)+((C40*0.3+C41*0.7)*C47))</f>
        <v>0.92730262062160829</v>
      </c>
      <c r="E40" s="20">
        <v>1</v>
      </c>
      <c r="F40" s="20">
        <v>1</v>
      </c>
      <c r="G40" s="20">
        <f>((E40*0.3+E41*0.7)*(1-F47)+((F40*0.3+F41*0.7)*F47))</f>
        <v>0.94943399547511298</v>
      </c>
      <c r="H40" s="22">
        <v>1</v>
      </c>
      <c r="I40" s="22">
        <v>1</v>
      </c>
      <c r="J40" s="22">
        <f>((H40*0.2+H41*0.8)*(1-I47)+((I40*0.2+I41*0.8)*I47))</f>
        <v>0.96809442140468227</v>
      </c>
      <c r="L40" s="26">
        <v>0.35</v>
      </c>
      <c r="N40" s="60">
        <v>1</v>
      </c>
      <c r="O40" s="60">
        <v>1</v>
      </c>
      <c r="P40" s="60">
        <f>((N40*0.2+N41*0.8)*(1-O47)+((O40*0.2+O41*0.8)*O47))</f>
        <v>0.9549790540037244</v>
      </c>
      <c r="Q40" s="59">
        <v>1</v>
      </c>
      <c r="R40" s="59">
        <v>1</v>
      </c>
      <c r="S40" s="59">
        <f>((Q40*0.2+Q41*0.8)*(1-R47)+((R40*0.2+R41*0.8)*R47))</f>
        <v>0.92949686346465199</v>
      </c>
      <c r="T40" s="71">
        <v>1</v>
      </c>
      <c r="U40" s="71">
        <v>1</v>
      </c>
      <c r="V40" s="71">
        <f>((T40*0.2+T41*0.8)*(1-U47)+((U40*0.2+U41*0.8)*U47))</f>
        <v>0.89233916232127841</v>
      </c>
      <c r="W40" s="72">
        <v>1</v>
      </c>
      <c r="X40" s="72">
        <v>1</v>
      </c>
      <c r="Y40" s="72">
        <f>((W40*0.2+W41*0.8)*(1-X47)+((X40*0.2+X41*0.8)*X47))</f>
        <v>0.86635964262295095</v>
      </c>
    </row>
    <row r="41" spans="1:25">
      <c r="A41" s="31">
        <v>1</v>
      </c>
      <c r="B41" s="27">
        <v>0.88475999999999999</v>
      </c>
      <c r="C41" s="17">
        <v>0.89739999999999998</v>
      </c>
      <c r="D41" s="18">
        <f>(0.5*(B41+B42)*(1-C$47))+(0.5*(C41+C42)*C$47)</f>
        <v>0.88435129501726684</v>
      </c>
      <c r="E41" s="20">
        <v>0.92137000000000002</v>
      </c>
      <c r="F41" s="20">
        <v>0.93264999999999998</v>
      </c>
      <c r="G41" s="20">
        <f>(0.5*(E41+E42)*(1-F$47))+(0.5*(F41+F42)*F$47)</f>
        <v>0.92097831447963796</v>
      </c>
      <c r="H41" s="22">
        <v>0.95372000000000001</v>
      </c>
      <c r="I41" s="22">
        <v>0.96394999999999997</v>
      </c>
      <c r="J41" s="22">
        <f>(0.5*(H41+H42)*(1-I$47))+(0.5*(I41+I42)*I$47)</f>
        <v>0.95781787625418058</v>
      </c>
      <c r="L41" s="26"/>
      <c r="N41" s="60">
        <v>0.94342999999999999</v>
      </c>
      <c r="O41" s="60">
        <v>0.95372000000000001</v>
      </c>
      <c r="P41" s="60">
        <f>(0.5*(N41+N42)*(1-O$43))+(0.5*(O41+O42)*O$43)</f>
        <v>0.95006039259999997</v>
      </c>
      <c r="Q41" s="59">
        <v>0.90961999999999998</v>
      </c>
      <c r="R41" s="59">
        <v>0.92137000000000002</v>
      </c>
      <c r="S41" s="59">
        <f>(0.5*(Q41+Q42)*(1-R$43))+(0.5*(R41+R42)*R$43)</f>
        <v>0.91222065609999992</v>
      </c>
      <c r="T41" s="71">
        <v>0.85616999999999999</v>
      </c>
      <c r="U41" s="71">
        <v>0.87087000000000003</v>
      </c>
      <c r="V41" s="71">
        <f>(0.5*(T41+T42)*(1-U$44))+(0.5*(U41+U42)*U$44)</f>
        <v>0.85179544949999997</v>
      </c>
      <c r="W41" s="72">
        <v>0.82447000000000004</v>
      </c>
      <c r="X41" s="72">
        <v>0.84079999999999999</v>
      </c>
      <c r="Y41" s="72">
        <f>(0.5*(W41+W42)*(1-X$44))+(0.5*(X41+X42)*X$44)</f>
        <v>0.8162722</v>
      </c>
    </row>
    <row r="42" spans="1:25">
      <c r="A42" s="31">
        <v>2</v>
      </c>
      <c r="B42" s="27">
        <v>0.85753000000000001</v>
      </c>
      <c r="C42" s="17">
        <v>0.87421000000000004</v>
      </c>
      <c r="D42" s="18">
        <f>(0.5*(B42+B43)*(1-C$47))+(0.5*(C42+C43)*C$47)</f>
        <v>0.86730521460286136</v>
      </c>
      <c r="E42" s="20">
        <v>0.90583999999999998</v>
      </c>
      <c r="F42" s="20">
        <v>0.92057999999999995</v>
      </c>
      <c r="G42" s="20">
        <f>(0.5*(E42+E43)*(1-F$47))+(0.5*(F42+F43)*F$47)</f>
        <v>0.91098899886877827</v>
      </c>
      <c r="H42" s="22">
        <v>0.94769999999999999</v>
      </c>
      <c r="I42" s="22">
        <v>0.96020000000000005</v>
      </c>
      <c r="J42" s="22">
        <f>(0.5*(H42+H43)*(1-I$47))+(0.5*(I42+I43)*I$47)</f>
        <v>0.95431857859531777</v>
      </c>
      <c r="L42" s="26">
        <v>0.25</v>
      </c>
      <c r="N42" s="60">
        <v>0.93452999999999997</v>
      </c>
      <c r="O42" s="60">
        <v>0.94769999999999999</v>
      </c>
      <c r="P42" s="60">
        <f>(0.5*(N42+N43)*(1-O$43))+(0.5*(O42+O43)*O$43)</f>
        <v>0.94539354080000004</v>
      </c>
      <c r="Q42" s="59">
        <v>0.89027999999999996</v>
      </c>
      <c r="R42" s="59">
        <v>0.90583999999999998</v>
      </c>
      <c r="S42" s="59">
        <f>(0.5*(Q42+Q43)*(1-R$43))+(0.5*(R42+R43)*R$43)</f>
        <v>0.90057699909999989</v>
      </c>
      <c r="T42" s="71">
        <v>0.81962999999999997</v>
      </c>
      <c r="U42" s="71">
        <v>0.83899999999999997</v>
      </c>
      <c r="V42" s="71">
        <f>(0.5*(T42+T43)*(1-U$44))+(0.5*(U42+U43)*U$44)</f>
        <v>0.82818435849999994</v>
      </c>
      <c r="W42" s="72">
        <v>0.77971999999999997</v>
      </c>
      <c r="X42" s="72">
        <v>0.80018999999999996</v>
      </c>
      <c r="Y42" s="72">
        <f>(0.5*(W42+W43)*(1-X$44))+(0.5*(X42+X43)*X$44)</f>
        <v>0.78628599499999996</v>
      </c>
    </row>
    <row r="43" spans="1:25">
      <c r="A43" s="31">
        <v>3</v>
      </c>
      <c r="B43" s="27">
        <v>0.84547000000000005</v>
      </c>
      <c r="C43" s="17">
        <v>0.86387999999999998</v>
      </c>
      <c r="D43" s="18">
        <f>(0.5*(B43+B44)*(1-C$47))+(0.5*(C43+C44)*C$47)</f>
        <v>0.8586253971386284</v>
      </c>
      <c r="E43" s="20">
        <v>0.89861999999999997</v>
      </c>
      <c r="F43" s="20">
        <v>0.91478999999999999</v>
      </c>
      <c r="G43" s="20">
        <f>(0.5*(E43+E44)*(1-F$47))+(0.5*(F43+F44)*F$47)</f>
        <v>0.90560075226244352</v>
      </c>
      <c r="H43" s="22">
        <v>0.94462000000000002</v>
      </c>
      <c r="I43" s="22">
        <v>0.95821000000000001</v>
      </c>
      <c r="J43" s="22">
        <f>(0.5*(H43+H44)*(1-I$47))+(0.5*(I43+I44)*I$47)</f>
        <v>0.95226209030100328</v>
      </c>
      <c r="L43" s="26"/>
      <c r="N43" s="60">
        <v>0.93010999999999999</v>
      </c>
      <c r="O43" s="60">
        <v>0.94462000000000002</v>
      </c>
      <c r="P43" s="60">
        <f>(0.5*(N43+N44)*(1-O$43))+(0.5*(O43+O44)*O$43)</f>
        <v>0.94269623829999993</v>
      </c>
      <c r="Q43" s="59">
        <v>0.88156999999999996</v>
      </c>
      <c r="R43" s="59">
        <v>0.89861999999999997</v>
      </c>
      <c r="S43" s="59">
        <f>(0.5*(Q43+Q44)*(1-R$43))+(0.5*(R43+R44)*R$43)</f>
        <v>0.89441686380000007</v>
      </c>
      <c r="T43" s="71">
        <v>0.80345</v>
      </c>
      <c r="U43" s="71">
        <v>0.82489000000000001</v>
      </c>
      <c r="V43" s="71">
        <f>(0.5*(T43+T44)*(1-U$44))+(0.5*(U43+U44)*U$44)</f>
        <v>0.81622012699999991</v>
      </c>
      <c r="W43" s="72">
        <v>0.75988999999999995</v>
      </c>
      <c r="X43" s="72">
        <v>0.78220000000000001</v>
      </c>
      <c r="Y43" s="72">
        <f>(0.5*(W43+W44)*(1-X$44))+(0.5*(X43+X44)*X$44)</f>
        <v>0.77109330249999997</v>
      </c>
    </row>
    <row r="44" spans="1:25">
      <c r="A44" s="31">
        <v>4</v>
      </c>
      <c r="B44" s="27">
        <v>0.83762999999999999</v>
      </c>
      <c r="C44" s="17">
        <v>0.85712999999999995</v>
      </c>
      <c r="D44" s="18">
        <f>(0.5*(B44+B45)*(1-C$47))+(0.5*(C44+C45)*C$47)</f>
        <v>0.85259817710902819</v>
      </c>
      <c r="E44" s="20">
        <v>0.89376</v>
      </c>
      <c r="F44" s="20">
        <v>0.91080000000000005</v>
      </c>
      <c r="G44" s="20">
        <f>(0.5*(E44+E45)*(1-F$47))+(0.5*(F44+F45)*F$47)</f>
        <v>0.90170864253393668</v>
      </c>
      <c r="H44" s="22">
        <v>0.94242999999999999</v>
      </c>
      <c r="I44" s="22">
        <v>0.95677999999999996</v>
      </c>
      <c r="J44" s="22">
        <f>(0.5*(H44+H45)*(1-I$47))+(0.5*(I44+I45)*I$47)</f>
        <v>0.95070237458193985</v>
      </c>
      <c r="L44" s="26">
        <v>0.15</v>
      </c>
      <c r="N44" s="60">
        <v>0.92701</v>
      </c>
      <c r="O44" s="60">
        <v>0.94242999999999999</v>
      </c>
      <c r="P44" s="60">
        <f>(0.5*(N44+N45)*(1-O$43))+(0.5*(O44+O45)*O$43)</f>
        <v>0.94066693430000003</v>
      </c>
      <c r="Q44" s="59">
        <v>0.87583</v>
      </c>
      <c r="R44" s="59">
        <v>0.89376</v>
      </c>
      <c r="S44" s="59">
        <f>(0.5*(Q44+Q45)*(1-R$43))+(0.5*(R44+R45)*R$43)</f>
        <v>0.89002184259999995</v>
      </c>
      <c r="T44" s="71">
        <v>0.79291999999999996</v>
      </c>
      <c r="U44" s="71">
        <v>0.81569999999999998</v>
      </c>
      <c r="V44" s="71">
        <f>(0.5*(T44+T45)*(1-U$44))+(0.5*(U44+U45)*U$44)</f>
        <v>0.80796449599999987</v>
      </c>
      <c r="W44" s="72">
        <v>0.747</v>
      </c>
      <c r="X44" s="72">
        <v>0.77049999999999996</v>
      </c>
      <c r="Y44" s="72">
        <f>(0.5*(W44+W45)*(1-X$44))+(0.5*(X44+X45)*X$44)</f>
        <v>0.76061847500000002</v>
      </c>
    </row>
    <row r="45" spans="1:25">
      <c r="A45" s="31">
        <v>5</v>
      </c>
      <c r="B45" s="27">
        <v>0.83174000000000003</v>
      </c>
      <c r="C45" s="17">
        <v>0.85201000000000005</v>
      </c>
      <c r="D45" s="18">
        <f>B45*(1-C47)+C45*C47</f>
        <v>0.84999999999999987</v>
      </c>
      <c r="E45" s="20">
        <v>0.88997999999999999</v>
      </c>
      <c r="F45" s="20">
        <v>0.90766000000000002</v>
      </c>
      <c r="G45" s="20">
        <f>E45*(1-F47)+F45*F47</f>
        <v>0.9</v>
      </c>
      <c r="H45" s="22">
        <v>0.94064999999999999</v>
      </c>
      <c r="I45" s="22">
        <v>0.9556</v>
      </c>
      <c r="J45" s="22">
        <f>H45*(1-I47)+I45*I47</f>
        <v>0.95</v>
      </c>
      <c r="L45" s="26"/>
      <c r="N45" s="60">
        <v>0.92454000000000003</v>
      </c>
      <c r="O45" s="60">
        <v>0.94064999999999999</v>
      </c>
      <c r="P45" s="60">
        <f>N45*(1-O47)+O45*O47</f>
        <v>0.92500000000000004</v>
      </c>
      <c r="Q45" s="59">
        <v>0.87144999999999995</v>
      </c>
      <c r="R45" s="59">
        <v>0.88997999999999999</v>
      </c>
      <c r="S45" s="59">
        <f>Q45*(1-R47)+R45*R47</f>
        <v>0.875</v>
      </c>
      <c r="T45" s="71">
        <v>0.78503000000000001</v>
      </c>
      <c r="U45" s="71">
        <v>0.80881000000000003</v>
      </c>
      <c r="V45" s="71">
        <f>T45*(1-U47)+U45*U47</f>
        <v>0.8</v>
      </c>
      <c r="W45" s="72">
        <v>0.73733000000000004</v>
      </c>
      <c r="X45" s="72">
        <v>0.76173000000000002</v>
      </c>
      <c r="Y45" s="72">
        <f>W45*(1-X47)+X45*X47</f>
        <v>0.75</v>
      </c>
    </row>
    <row r="47" spans="1:25">
      <c r="A47" s="61" t="s">
        <v>6</v>
      </c>
      <c r="B47" s="61"/>
      <c r="C47" s="62">
        <f>(0.85-B45)/(C45-B45)</f>
        <v>0.90083867784903471</v>
      </c>
      <c r="D47" s="61"/>
      <c r="E47" s="61"/>
      <c r="F47" s="62">
        <f>(0.9-E45)/(F45-E45)</f>
        <v>0.56674208144796445</v>
      </c>
      <c r="G47" s="61"/>
      <c r="H47" s="61"/>
      <c r="I47" s="62">
        <f>(0.95-H45)/(I45-H45)</f>
        <v>0.62541806020066604</v>
      </c>
      <c r="J47" s="61"/>
      <c r="K47" s="30"/>
      <c r="L47" s="30"/>
      <c r="M47" s="30"/>
      <c r="N47" s="61"/>
      <c r="O47" s="62">
        <f>(0.925-N45)/(O45-N45)</f>
        <v>2.8553693358163698E-2</v>
      </c>
      <c r="P47" s="30"/>
      <c r="Q47" s="30"/>
      <c r="R47" s="62">
        <f>(0.875-Q45)/(R45-Q45)</f>
        <v>0.19158121964382321</v>
      </c>
      <c r="S47" s="61"/>
      <c r="T47" s="30"/>
      <c r="U47" s="73">
        <f>(0.8-T45)/(U45-T45)</f>
        <v>0.62952060555088407</v>
      </c>
      <c r="V47" s="30"/>
      <c r="W47" s="30"/>
      <c r="X47" s="73">
        <f>(0.75-W45)/(X45-W45)</f>
        <v>0.51926229508196597</v>
      </c>
      <c r="Y47" s="30"/>
    </row>
    <row r="48" spans="1:25">
      <c r="A48" s="23"/>
      <c r="B48" s="23"/>
      <c r="C48" s="24"/>
      <c r="D48" s="23"/>
      <c r="E48" s="23"/>
      <c r="F48" s="24"/>
      <c r="G48" s="23"/>
      <c r="H48" s="23"/>
      <c r="I48" s="24"/>
      <c r="J48" s="23"/>
    </row>
    <row r="50" spans="1:9" ht="15.75">
      <c r="A50" s="32" t="s">
        <v>27</v>
      </c>
    </row>
    <row r="51" spans="1:9" ht="15.75">
      <c r="A51" s="32"/>
    </row>
    <row r="52" spans="1:9">
      <c r="A52" s="66"/>
      <c r="B52" s="66" t="s">
        <v>38</v>
      </c>
      <c r="C52" s="66"/>
      <c r="E52" s="292" t="s">
        <v>39</v>
      </c>
      <c r="F52" s="293"/>
    </row>
    <row r="53" spans="1:9" ht="53.25" customHeight="1">
      <c r="A53" s="65" t="s">
        <v>7</v>
      </c>
      <c r="B53" s="65" t="s">
        <v>8</v>
      </c>
      <c r="C53" s="51" t="s">
        <v>18</v>
      </c>
      <c r="E53" s="33" t="s">
        <v>23</v>
      </c>
      <c r="F53" s="39" t="s">
        <v>4</v>
      </c>
      <c r="H53" s="68" t="s">
        <v>68</v>
      </c>
      <c r="I53" s="68" t="s">
        <v>69</v>
      </c>
    </row>
    <row r="54" spans="1:9">
      <c r="A54" s="5">
        <v>1</v>
      </c>
      <c r="B54" s="7">
        <v>0</v>
      </c>
      <c r="C54" s="5"/>
      <c r="E54" s="5">
        <v>0.376</v>
      </c>
      <c r="F54" s="15">
        <f>1-0.5*E54</f>
        <v>0.81200000000000006</v>
      </c>
      <c r="H54" s="67">
        <v>0</v>
      </c>
      <c r="I54" s="67">
        <v>0</v>
      </c>
    </row>
    <row r="55" spans="1:9">
      <c r="A55" s="5">
        <v>2</v>
      </c>
      <c r="B55" s="7">
        <v>0.01</v>
      </c>
      <c r="C55" s="5"/>
      <c r="E55" s="5">
        <v>0.502</v>
      </c>
      <c r="F55" s="15">
        <f>0.5*((1-E54)+(1-E55))</f>
        <v>0.56099999999999994</v>
      </c>
      <c r="H55" s="67">
        <v>4.571308997911405E-3</v>
      </c>
      <c r="I55" s="67">
        <v>0.01</v>
      </c>
    </row>
    <row r="56" spans="1:9">
      <c r="A56" s="5">
        <v>3</v>
      </c>
      <c r="B56" s="7">
        <v>0.03</v>
      </c>
      <c r="C56" s="5"/>
      <c r="E56" s="5">
        <v>0.56100000000000005</v>
      </c>
      <c r="F56" s="15">
        <f>0.5*((1-E55)+(1-E56))</f>
        <v>0.46849999999999997</v>
      </c>
      <c r="H56" s="67">
        <v>1.6481005165268282E-2</v>
      </c>
      <c r="I56" s="67">
        <v>0.03</v>
      </c>
    </row>
    <row r="57" spans="1:9">
      <c r="A57" s="5">
        <v>4</v>
      </c>
      <c r="B57" s="7">
        <v>7.0000000000000007E-2</v>
      </c>
      <c r="C57" s="101">
        <f t="shared" ref="C57:C86" si="5">(B57-B$57)/(B$73-B$57)</f>
        <v>0</v>
      </c>
      <c r="E57" s="5">
        <v>0.59199999999999997</v>
      </c>
      <c r="F57" s="15">
        <f>0.5*((1-E56)+(1-E57))</f>
        <v>0.42349999999999999</v>
      </c>
      <c r="H57" s="67">
        <v>3.9096801481721712E-2</v>
      </c>
      <c r="I57" s="67">
        <v>7.0000000000000007E-2</v>
      </c>
    </row>
    <row r="58" spans="1:9">
      <c r="A58" s="5">
        <v>5</v>
      </c>
      <c r="B58" s="7">
        <v>0.12</v>
      </c>
      <c r="C58" s="101">
        <f t="shared" si="5"/>
        <v>5.4347826086956513E-2</v>
      </c>
      <c r="E58" s="5">
        <v>0.61599999999999999</v>
      </c>
      <c r="F58" s="15">
        <f>0.5*((1-E57)+(1-E58))</f>
        <v>0.39600000000000002</v>
      </c>
      <c r="H58" s="67">
        <v>6.8141566266481685E-2</v>
      </c>
      <c r="I58" s="67">
        <v>0.12</v>
      </c>
    </row>
    <row r="59" spans="1:9">
      <c r="A59" s="5">
        <v>6</v>
      </c>
      <c r="B59" s="7">
        <v>0.19</v>
      </c>
      <c r="C59" s="101">
        <f t="shared" si="5"/>
        <v>0.13043478260869565</v>
      </c>
      <c r="E59" s="5">
        <v>0.625</v>
      </c>
      <c r="F59" s="15">
        <f>1-E59</f>
        <v>0.375</v>
      </c>
      <c r="H59" s="67">
        <v>0.10752068387991333</v>
      </c>
      <c r="I59" s="67">
        <v>0.19</v>
      </c>
    </row>
    <row r="60" spans="1:9">
      <c r="A60" s="5">
        <v>7</v>
      </c>
      <c r="B60" s="7">
        <v>0.27</v>
      </c>
      <c r="C60" s="101">
        <f t="shared" si="5"/>
        <v>0.21739130434782611</v>
      </c>
      <c r="E60" s="13"/>
      <c r="H60" s="67">
        <v>0.15741299360346425</v>
      </c>
      <c r="I60" s="67">
        <v>0.27</v>
      </c>
    </row>
    <row r="61" spans="1:9">
      <c r="A61" s="5">
        <v>8</v>
      </c>
      <c r="B61" s="7">
        <v>0.36</v>
      </c>
      <c r="C61" s="101">
        <f t="shared" si="5"/>
        <v>0.31521739130434784</v>
      </c>
      <c r="E61" s="13"/>
      <c r="H61" s="67">
        <v>0.20475636465689098</v>
      </c>
      <c r="I61" s="67">
        <v>0.36</v>
      </c>
    </row>
    <row r="62" spans="1:9">
      <c r="A62" s="5">
        <v>9</v>
      </c>
      <c r="B62" s="7">
        <v>0.46</v>
      </c>
      <c r="C62" s="101">
        <f t="shared" si="5"/>
        <v>0.42391304347826092</v>
      </c>
      <c r="E62" s="13"/>
      <c r="H62" s="67">
        <v>0.26315965565646104</v>
      </c>
      <c r="I62" s="67">
        <v>0.46</v>
      </c>
    </row>
    <row r="63" spans="1:9">
      <c r="A63" s="5">
        <v>10</v>
      </c>
      <c r="B63" s="7">
        <v>0.56000000000000005</v>
      </c>
      <c r="C63" s="101">
        <f t="shared" si="5"/>
        <v>0.53260869565217406</v>
      </c>
      <c r="E63" s="13"/>
      <c r="H63" s="67">
        <v>0.32427299571928664</v>
      </c>
      <c r="I63" s="67">
        <v>0.56000000000000005</v>
      </c>
    </row>
    <row r="64" spans="1:9">
      <c r="A64" s="5">
        <v>11</v>
      </c>
      <c r="B64" s="7">
        <v>0.65</v>
      </c>
      <c r="C64" s="101">
        <f t="shared" si="5"/>
        <v>0.63043478260869579</v>
      </c>
      <c r="E64" s="13"/>
      <c r="H64" s="67">
        <v>0.38586760386028796</v>
      </c>
      <c r="I64" s="67">
        <v>0.65</v>
      </c>
    </row>
    <row r="65" spans="1:9">
      <c r="A65" s="5">
        <v>12</v>
      </c>
      <c r="B65" s="7">
        <v>0.73</v>
      </c>
      <c r="C65" s="101">
        <f t="shared" si="5"/>
        <v>0.71739130434782605</v>
      </c>
      <c r="E65" s="13"/>
      <c r="H65" s="67">
        <v>0.45191848168942761</v>
      </c>
      <c r="I65" s="67">
        <v>0.73</v>
      </c>
    </row>
    <row r="66" spans="1:9">
      <c r="A66" s="5">
        <v>13</v>
      </c>
      <c r="B66" s="7">
        <v>0.81</v>
      </c>
      <c r="C66" s="101">
        <f t="shared" si="5"/>
        <v>0.80434782608695654</v>
      </c>
      <c r="E66" s="13"/>
      <c r="H66" s="67">
        <v>0.51077334454010503</v>
      </c>
      <c r="I66" s="67">
        <v>0.81</v>
      </c>
    </row>
    <row r="67" spans="1:9">
      <c r="A67" s="5">
        <v>14</v>
      </c>
      <c r="B67" s="7">
        <v>0.86</v>
      </c>
      <c r="C67" s="101">
        <f t="shared" si="5"/>
        <v>0.85869565217391319</v>
      </c>
      <c r="E67" s="13"/>
      <c r="H67" s="67">
        <v>0.5794311763951786</v>
      </c>
      <c r="I67" s="67">
        <v>0.86</v>
      </c>
    </row>
    <row r="68" spans="1:9">
      <c r="A68" s="5">
        <v>15</v>
      </c>
      <c r="B68" s="7">
        <v>0.91</v>
      </c>
      <c r="C68" s="101">
        <f t="shared" si="5"/>
        <v>0.91304347826086973</v>
      </c>
      <c r="E68" s="13"/>
      <c r="H68" s="67">
        <v>0.63168743329056032</v>
      </c>
      <c r="I68" s="67">
        <v>0.91</v>
      </c>
    </row>
    <row r="69" spans="1:9">
      <c r="A69" s="5">
        <v>16</v>
      </c>
      <c r="B69" s="7">
        <v>0.94</v>
      </c>
      <c r="C69" s="101">
        <f t="shared" si="5"/>
        <v>0.94565217391304346</v>
      </c>
      <c r="E69" s="13"/>
      <c r="H69" s="67">
        <v>0.68681793766449406</v>
      </c>
      <c r="I69" s="67">
        <v>0.94</v>
      </c>
    </row>
    <row r="70" spans="1:9">
      <c r="A70" s="5">
        <v>17</v>
      </c>
      <c r="B70" s="7">
        <v>0.96</v>
      </c>
      <c r="C70" s="101">
        <f t="shared" si="5"/>
        <v>0.96739130434782605</v>
      </c>
      <c r="E70" s="13"/>
      <c r="H70" s="67">
        <v>0.74559151326070217</v>
      </c>
      <c r="I70" s="67">
        <v>0.96</v>
      </c>
    </row>
    <row r="71" spans="1:9">
      <c r="A71" s="5">
        <v>18</v>
      </c>
      <c r="B71" s="7">
        <v>0.98</v>
      </c>
      <c r="C71" s="101">
        <f t="shared" si="5"/>
        <v>0.98913043478260865</v>
      </c>
      <c r="E71" s="13"/>
      <c r="H71" s="67">
        <v>0.79260944603017913</v>
      </c>
      <c r="I71" s="67">
        <v>0.98</v>
      </c>
    </row>
    <row r="72" spans="1:9">
      <c r="A72" s="5">
        <v>19</v>
      </c>
      <c r="B72" s="7">
        <v>0.99</v>
      </c>
      <c r="C72" s="101">
        <f t="shared" si="5"/>
        <v>1</v>
      </c>
      <c r="E72" s="13"/>
      <c r="H72" s="67">
        <v>0.82676453250968318</v>
      </c>
      <c r="I72" s="67">
        <v>0.99</v>
      </c>
    </row>
    <row r="73" spans="1:9">
      <c r="A73" s="5">
        <v>20</v>
      </c>
      <c r="B73" s="7">
        <v>0.99</v>
      </c>
      <c r="C73" s="101">
        <f t="shared" si="5"/>
        <v>1</v>
      </c>
      <c r="E73" s="13"/>
      <c r="H73" s="67">
        <v>0.86482773610846575</v>
      </c>
      <c r="I73" s="67">
        <v>0.99</v>
      </c>
    </row>
    <row r="74" spans="1:9">
      <c r="A74" s="5">
        <v>21</v>
      </c>
      <c r="B74" s="7">
        <v>0.99</v>
      </c>
      <c r="C74" s="101">
        <f t="shared" si="5"/>
        <v>1</v>
      </c>
      <c r="E74" s="13"/>
      <c r="H74" s="67">
        <v>0.88987669058384844</v>
      </c>
      <c r="I74" s="67">
        <v>0.99</v>
      </c>
    </row>
    <row r="75" spans="1:9">
      <c r="A75" s="5">
        <v>22</v>
      </c>
      <c r="B75" s="7">
        <v>0.99</v>
      </c>
      <c r="C75" s="101">
        <f t="shared" si="5"/>
        <v>1</v>
      </c>
      <c r="E75" s="13"/>
      <c r="H75" s="67">
        <v>0.91082044050777999</v>
      </c>
      <c r="I75" s="67">
        <v>0.99</v>
      </c>
    </row>
    <row r="76" spans="1:9">
      <c r="A76" s="5">
        <v>23</v>
      </c>
      <c r="B76" s="7">
        <v>0.99</v>
      </c>
      <c r="C76" s="101">
        <f t="shared" si="5"/>
        <v>1</v>
      </c>
      <c r="E76" s="13"/>
      <c r="H76" s="67">
        <v>0.92809121857726717</v>
      </c>
      <c r="I76" s="67">
        <v>0.99</v>
      </c>
    </row>
    <row r="77" spans="1:9">
      <c r="A77" s="5">
        <v>24</v>
      </c>
      <c r="B77" s="7">
        <v>0.99</v>
      </c>
      <c r="C77" s="101">
        <f t="shared" si="5"/>
        <v>1</v>
      </c>
      <c r="E77" s="13"/>
      <c r="H77" s="67">
        <v>0.94214056405331414</v>
      </c>
      <c r="I77" s="67">
        <v>0.99</v>
      </c>
    </row>
    <row r="78" spans="1:9">
      <c r="A78" s="5">
        <v>25</v>
      </c>
      <c r="B78" s="7">
        <v>0.99</v>
      </c>
      <c r="C78" s="101">
        <f t="shared" si="5"/>
        <v>1</v>
      </c>
      <c r="E78" s="13"/>
      <c r="H78" s="67">
        <v>0.95341692151010293</v>
      </c>
      <c r="I78" s="67">
        <v>0.99</v>
      </c>
    </row>
    <row r="79" spans="1:9">
      <c r="A79" s="5">
        <v>26</v>
      </c>
      <c r="B79" s="7">
        <v>0.99</v>
      </c>
      <c r="C79" s="101">
        <f t="shared" si="5"/>
        <v>1</v>
      </c>
      <c r="E79" s="13"/>
      <c r="H79" s="67">
        <v>0.9623483663669723</v>
      </c>
      <c r="I79" s="67">
        <v>0.99</v>
      </c>
    </row>
    <row r="80" spans="1:9">
      <c r="A80" s="5">
        <v>27</v>
      </c>
      <c r="B80" s="7">
        <v>0.99</v>
      </c>
      <c r="C80" s="101">
        <f t="shared" si="5"/>
        <v>1</v>
      </c>
      <c r="E80" s="13"/>
      <c r="H80" s="67">
        <v>0.96933033264663604</v>
      </c>
      <c r="I80" s="67">
        <v>0.99</v>
      </c>
    </row>
    <row r="81" spans="1:9">
      <c r="A81" s="5">
        <v>28</v>
      </c>
      <c r="B81" s="7">
        <v>0.99</v>
      </c>
      <c r="C81" s="101">
        <f t="shared" si="5"/>
        <v>1</v>
      </c>
      <c r="E81" s="13"/>
      <c r="H81" s="67">
        <v>0.97471789902082695</v>
      </c>
      <c r="I81" s="67">
        <v>0.99</v>
      </c>
    </row>
    <row r="82" spans="1:9">
      <c r="A82" s="5">
        <v>29</v>
      </c>
      <c r="B82" s="7">
        <v>0.99</v>
      </c>
      <c r="C82" s="101">
        <f t="shared" si="5"/>
        <v>1</v>
      </c>
      <c r="E82" s="13"/>
      <c r="H82" s="67">
        <v>0.97882197987832076</v>
      </c>
      <c r="I82" s="67">
        <v>0.99</v>
      </c>
    </row>
    <row r="83" spans="1:9">
      <c r="A83" s="109">
        <v>30</v>
      </c>
      <c r="B83" s="110">
        <v>0.99</v>
      </c>
      <c r="C83" s="111">
        <f t="shared" si="5"/>
        <v>1</v>
      </c>
      <c r="E83" s="13"/>
      <c r="H83" s="67">
        <v>0.98190866117118514</v>
      </c>
      <c r="I83" s="67">
        <v>0.99</v>
      </c>
    </row>
    <row r="84" spans="1:9">
      <c r="A84" s="106">
        <v>31</v>
      </c>
      <c r="B84" s="107">
        <v>0.99</v>
      </c>
      <c r="C84" s="108">
        <f t="shared" si="5"/>
        <v>1</v>
      </c>
      <c r="E84" s="13"/>
    </row>
    <row r="85" spans="1:9">
      <c r="A85" s="106">
        <v>32</v>
      </c>
      <c r="B85" s="107">
        <v>0.99</v>
      </c>
      <c r="C85" s="108">
        <f t="shared" si="5"/>
        <v>1</v>
      </c>
      <c r="E85" s="13"/>
    </row>
    <row r="86" spans="1:9">
      <c r="A86" s="106">
        <v>33</v>
      </c>
      <c r="B86" s="107">
        <v>0.99</v>
      </c>
      <c r="C86" s="108">
        <f t="shared" si="5"/>
        <v>1</v>
      </c>
      <c r="E86" s="13"/>
    </row>
    <row r="87" spans="1:9">
      <c r="E87" s="13"/>
    </row>
    <row r="88" spans="1:9">
      <c r="A88">
        <v>1970</v>
      </c>
      <c r="B88" s="2">
        <v>567989</v>
      </c>
      <c r="E88" s="13"/>
    </row>
    <row r="89" spans="1:9">
      <c r="B89" s="2">
        <v>589580</v>
      </c>
      <c r="E89" s="13"/>
    </row>
    <row r="90" spans="1:9">
      <c r="B90" s="2">
        <v>612646</v>
      </c>
      <c r="E90" s="13"/>
    </row>
    <row r="91" spans="1:9">
      <c r="B91" s="2">
        <v>634336</v>
      </c>
    </row>
    <row r="92" spans="1:9">
      <c r="B92" s="2">
        <v>656115</v>
      </c>
    </row>
    <row r="93" spans="1:9">
      <c r="A93">
        <v>1975</v>
      </c>
      <c r="B93" s="2">
        <v>678703</v>
      </c>
    </row>
    <row r="94" spans="1:9">
      <c r="B94" s="2">
        <v>702085</v>
      </c>
    </row>
    <row r="95" spans="1:9">
      <c r="B95" s="2">
        <v>726284</v>
      </c>
    </row>
    <row r="96" spans="1:9">
      <c r="B96" s="2">
        <v>750617</v>
      </c>
    </row>
    <row r="97" spans="1:2">
      <c r="B97" s="2">
        <v>774999</v>
      </c>
    </row>
    <row r="98" spans="1:2">
      <c r="A98">
        <v>1980</v>
      </c>
      <c r="B98" s="2">
        <v>800092</v>
      </c>
    </row>
    <row r="99" spans="1:2">
      <c r="B99" s="2">
        <v>828155</v>
      </c>
    </row>
    <row r="100" spans="1:2">
      <c r="B100" s="2">
        <v>855587</v>
      </c>
    </row>
    <row r="101" spans="1:2">
      <c r="B101" s="2">
        <v>879168</v>
      </c>
    </row>
    <row r="102" spans="1:2">
      <c r="B102" s="2">
        <v>898484</v>
      </c>
    </row>
    <row r="103" spans="1:2">
      <c r="A103">
        <v>1985</v>
      </c>
      <c r="B103" s="2">
        <v>916633</v>
      </c>
    </row>
    <row r="104" spans="1:2">
      <c r="B104" s="2">
        <v>940129</v>
      </c>
    </row>
    <row r="105" spans="1:2">
      <c r="B105" s="2">
        <v>962376</v>
      </c>
    </row>
    <row r="106" spans="1:2">
      <c r="B106" s="2">
        <v>977772</v>
      </c>
    </row>
    <row r="107" spans="1:2">
      <c r="B107" s="2">
        <v>985909</v>
      </c>
    </row>
    <row r="108" spans="1:2">
      <c r="B108" s="2">
        <v>992337</v>
      </c>
    </row>
    <row r="109" spans="1:2">
      <c r="B109" s="2">
        <v>1001070</v>
      </c>
    </row>
    <row r="110" spans="1:2">
      <c r="B110" s="2">
        <v>1009342</v>
      </c>
    </row>
    <row r="111" spans="1:2">
      <c r="B111" s="2">
        <v>1027787</v>
      </c>
    </row>
    <row r="112" spans="1:2">
      <c r="B112" s="2">
        <v>1056644</v>
      </c>
    </row>
    <row r="113" spans="1:2">
      <c r="B113" s="2">
        <v>1084522</v>
      </c>
    </row>
    <row r="114" spans="1:2">
      <c r="B114" s="2">
        <v>1110514</v>
      </c>
    </row>
    <row r="115" spans="1:2">
      <c r="B115" s="2">
        <v>1135831</v>
      </c>
    </row>
    <row r="116" spans="1:2">
      <c r="B116" s="2">
        <v>1169130</v>
      </c>
    </row>
    <row r="117" spans="1:2">
      <c r="B117" s="2">
        <v>1211628</v>
      </c>
    </row>
    <row r="118" spans="1:2">
      <c r="B118" s="2">
        <v>1255152</v>
      </c>
    </row>
    <row r="119" spans="1:2">
      <c r="B119" s="2">
        <v>1297958</v>
      </c>
    </row>
    <row r="120" spans="1:2">
      <c r="B120" s="2">
        <v>1341861</v>
      </c>
    </row>
    <row r="121" spans="1:2">
      <c r="B121" s="2">
        <v>1386987</v>
      </c>
    </row>
    <row r="122" spans="1:2">
      <c r="B122" s="2">
        <v>1432550</v>
      </c>
    </row>
    <row r="123" spans="1:2">
      <c r="B123" s="2">
        <v>1477427</v>
      </c>
    </row>
    <row r="124" spans="1:2">
      <c r="B124" s="2">
        <v>1519738</v>
      </c>
    </row>
    <row r="125" spans="1:2">
      <c r="B125" s="2">
        <v>1561669</v>
      </c>
    </row>
    <row r="126" spans="1:2">
      <c r="A126">
        <v>2008</v>
      </c>
      <c r="B126" s="2">
        <v>1593253</v>
      </c>
    </row>
  </sheetData>
  <mergeCells count="10">
    <mergeCell ref="A1:F1"/>
    <mergeCell ref="B38:D38"/>
    <mergeCell ref="E38:G38"/>
    <mergeCell ref="H38:J38"/>
    <mergeCell ref="A37:E37"/>
    <mergeCell ref="T38:V38"/>
    <mergeCell ref="W38:Y38"/>
    <mergeCell ref="Q38:S38"/>
    <mergeCell ref="N38:P38"/>
    <mergeCell ref="E52:F52"/>
  </mergeCells>
  <phoneticPr fontId="4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39"/>
  <sheetViews>
    <sheetView workbookViewId="0">
      <selection activeCell="B4" sqref="B4"/>
    </sheetView>
  </sheetViews>
  <sheetFormatPr defaultRowHeight="12.75"/>
  <cols>
    <col min="1" max="1" width="11.7109375" customWidth="1"/>
    <col min="2" max="2" width="9.5703125" bestFit="1" customWidth="1"/>
  </cols>
  <sheetData>
    <row r="1" spans="1:9" ht="21" customHeight="1">
      <c r="A1" s="32" t="s">
        <v>30</v>
      </c>
    </row>
    <row r="2" spans="1:9">
      <c r="A2" s="299" t="s">
        <v>40</v>
      </c>
      <c r="B2" s="11"/>
      <c r="C2" s="296" t="s">
        <v>10</v>
      </c>
      <c r="D2" s="296"/>
      <c r="E2" s="296"/>
      <c r="F2" s="296"/>
      <c r="G2" s="296"/>
      <c r="H2" s="296"/>
      <c r="I2" s="19" t="s">
        <v>11</v>
      </c>
    </row>
    <row r="3" spans="1:9" ht="16.5" customHeight="1">
      <c r="A3" s="300"/>
      <c r="B3" s="19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19" t="s">
        <v>12</v>
      </c>
    </row>
    <row r="4" spans="1:9">
      <c r="A4" s="28">
        <v>0</v>
      </c>
      <c r="B4" s="9">
        <f>'Base values'!G4</f>
        <v>1269013.013309208</v>
      </c>
      <c r="C4" s="9">
        <f>B4*(1-'Base values'!J$40)</f>
        <v>40488.594434617917</v>
      </c>
      <c r="D4" s="9">
        <f>B5*('Base values'!J$40-'Base values'!J$41)</f>
        <v>12947.31294454721</v>
      </c>
      <c r="E4" s="9">
        <f>B6*('Base values'!J$41-'Base values'!J$42)</f>
        <v>4370.1836558098885</v>
      </c>
      <c r="F4" s="9">
        <f>B7*('Base values'!J$42-'Base values'!J$43)</f>
        <v>2545.2937469824874</v>
      </c>
      <c r="G4" s="9">
        <f>B8*('Base values'!J$43-'Base values'!J$44)</f>
        <v>1910.2596294829937</v>
      </c>
      <c r="H4" s="9">
        <f>B9*('Base values'!J$44-'Base values'!J$45)</f>
        <v>850.47228052913658</v>
      </c>
      <c r="I4" s="9">
        <f>SUM(C4:H4)</f>
        <v>63112.116691969633</v>
      </c>
    </row>
    <row r="5" spans="1:9">
      <c r="A5" s="28">
        <f>1+A4</f>
        <v>1</v>
      </c>
      <c r="B5" s="9">
        <f>'Base values'!G5</f>
        <v>1259889.6569743706</v>
      </c>
      <c r="C5" s="9">
        <f>B5*(1-'Base values'!J$40)</f>
        <v>40197.508472023677</v>
      </c>
      <c r="D5" s="9">
        <f>B6*('Base values'!J$40-'Base values'!J$41)</f>
        <v>12834.115309158838</v>
      </c>
      <c r="E5" s="9">
        <f>B7*('Base values'!J$41-'Base values'!J$42)</f>
        <v>4331.0435923988389</v>
      </c>
      <c r="F5" s="9">
        <f>B8*('Base values'!J$42-'Base values'!J$43)</f>
        <v>2518.6811411326962</v>
      </c>
      <c r="G5" s="9">
        <f>B9*('Base values'!J$43-'Base values'!J$44)</f>
        <v>1888.5862596356665</v>
      </c>
      <c r="H5" s="9">
        <f>B10*('Base values'!J$44-'Base values'!J$45)</f>
        <v>835.57191274002116</v>
      </c>
      <c r="I5" s="9">
        <f t="shared" ref="I5:I21" si="0">SUM(C5:H5)</f>
        <v>62605.506687089735</v>
      </c>
    </row>
    <row r="6" spans="1:9">
      <c r="A6" s="28">
        <f t="shared" ref="A6:A21" si="1">1+A5</f>
        <v>2</v>
      </c>
      <c r="B6" s="9">
        <f>'Base values'!G6</f>
        <v>1248874.5119299444</v>
      </c>
      <c r="C6" s="9">
        <f>B6*(1-'Base values'!J$40)</f>
        <v>39846.063896069907</v>
      </c>
      <c r="D6" s="9">
        <f>B7*('Base values'!J$40-'Base values'!J$41)</f>
        <v>12719.1709208704</v>
      </c>
      <c r="E6" s="9">
        <f>B8*('Base values'!J$41-'Base values'!J$42)</f>
        <v>4285.7598776294071</v>
      </c>
      <c r="F6" s="9">
        <f>B9*('Base values'!J$42-'Base values'!J$43)</f>
        <v>2490.1047596520116</v>
      </c>
      <c r="G6" s="9">
        <f>B10*('Base values'!J$43-'Base values'!J$44)</f>
        <v>1855.4980208837426</v>
      </c>
      <c r="H6" s="9">
        <f>B11*('Base values'!J$44-'Base values'!J$45)</f>
        <v>820.19859024418474</v>
      </c>
      <c r="I6" s="9">
        <f t="shared" si="0"/>
        <v>62016.796065349656</v>
      </c>
    </row>
    <row r="7" spans="1:9">
      <c r="A7" s="28">
        <f t="shared" si="1"/>
        <v>3</v>
      </c>
      <c r="B7" s="9">
        <f>'Base values'!G7</f>
        <v>1237689.3921640057</v>
      </c>
      <c r="C7" s="9">
        <f>B7*(1-'Base values'!J$40)</f>
        <v>39489.196178279708</v>
      </c>
      <c r="D7" s="9">
        <f>B8*('Base values'!J$40-'Base values'!J$41)</f>
        <v>12586.184194739264</v>
      </c>
      <c r="E7" s="9">
        <f>B9*('Base values'!J$41-'Base values'!J$42)</f>
        <v>4237.1346240402718</v>
      </c>
      <c r="F7" s="9">
        <f>B10*('Base values'!J$42-'Base values'!J$43)</f>
        <v>2446.477850696017</v>
      </c>
      <c r="G7" s="9">
        <f>B11*('Base values'!J$43-'Base values'!J$44)</f>
        <v>1821.3595236095921</v>
      </c>
      <c r="H7" s="9">
        <f>B12*('Base values'!J$44-'Base values'!J$45)</f>
        <v>804.16887845059705</v>
      </c>
      <c r="I7" s="9">
        <f t="shared" si="0"/>
        <v>61384.521249815443</v>
      </c>
    </row>
    <row r="8" spans="1:9">
      <c r="A8" s="28">
        <f t="shared" si="1"/>
        <v>4</v>
      </c>
      <c r="B8" s="9">
        <f>'Base values'!G8</f>
        <v>1224748.5911279062</v>
      </c>
      <c r="C8" s="9">
        <f>B8*(1-'Base values'!J$40)</f>
        <v>39076.312433736071</v>
      </c>
      <c r="D8" s="9">
        <f>B9*('Base values'!J$40-'Base values'!J$41)</f>
        <v>12443.384220950888</v>
      </c>
      <c r="E8" s="9">
        <f>B10*('Base values'!J$41-'Base values'!J$42)</f>
        <v>4162.8995599287</v>
      </c>
      <c r="F8" s="9">
        <f>B11*('Base values'!J$42-'Base values'!J$43)</f>
        <v>2401.4661737784222</v>
      </c>
      <c r="G8" s="9">
        <f>B12*('Base values'!J$43-'Base values'!J$44)</f>
        <v>1785.7634270261099</v>
      </c>
      <c r="H8" s="9">
        <f>B13*('Base values'!J$44-'Base values'!J$45)</f>
        <v>786.62575347703739</v>
      </c>
      <c r="I8" s="9">
        <f t="shared" si="0"/>
        <v>60656.451568897224</v>
      </c>
    </row>
    <row r="9" spans="1:9">
      <c r="A9" s="28">
        <f t="shared" si="1"/>
        <v>5</v>
      </c>
      <c r="B9" s="9">
        <f>'Base values'!G9</f>
        <v>1210852.8730926085</v>
      </c>
      <c r="C9" s="9">
        <f>B9*(1-'Base values'!J$40)</f>
        <v>38632.961509822504</v>
      </c>
      <c r="D9" s="9">
        <f>B10*('Base values'!J$40-'Base values'!J$41)</f>
        <v>12225.374762349737</v>
      </c>
      <c r="E9" s="9">
        <f>B11*('Base values'!J$41-'Base values'!J$42)</f>
        <v>4086.3081900217135</v>
      </c>
      <c r="F9" s="9">
        <f>B12*('Base values'!J$42-'Base values'!J$43)</f>
        <v>2354.5326492569311</v>
      </c>
      <c r="G9" s="9">
        <f>B13*('Base values'!J$43-'Base values'!J$44)</f>
        <v>1746.8065961749944</v>
      </c>
      <c r="H9" s="9">
        <f>B14*('Base values'!J$44-'Base values'!J$45)</f>
        <v>768.19527506473025</v>
      </c>
      <c r="I9" s="9">
        <f t="shared" si="0"/>
        <v>59814.17898269061</v>
      </c>
    </row>
    <row r="10" spans="1:9">
      <c r="A10" s="28">
        <f t="shared" si="1"/>
        <v>6</v>
      </c>
      <c r="B10" s="9">
        <f>'Base values'!G10</f>
        <v>1189638.5977297928</v>
      </c>
      <c r="C10" s="9">
        <f>B10*(1-'Base values'!J$40)</f>
        <v>37956.107779891478</v>
      </c>
      <c r="D10" s="9">
        <f>B11*('Base values'!J$40-'Base values'!J$41)</f>
        <v>12000.44543431889</v>
      </c>
      <c r="E10" s="9">
        <f>B12*('Base values'!J$41-'Base values'!J$42)</f>
        <v>4006.446625560448</v>
      </c>
      <c r="F10" s="9">
        <f>B13*('Base values'!J$42-'Base values'!J$43)</f>
        <v>2303.1679898836096</v>
      </c>
      <c r="G10" s="9">
        <f>B14*('Base values'!J$43-'Base values'!J$44)</f>
        <v>1705.879279571167</v>
      </c>
      <c r="H10" s="9">
        <f>B15*('Base values'!J$44-'Base values'!J$45)</f>
        <v>748.58528455927694</v>
      </c>
      <c r="I10" s="9">
        <f t="shared" si="0"/>
        <v>58720.632393784865</v>
      </c>
    </row>
    <row r="11" spans="1:9">
      <c r="A11" s="28">
        <f t="shared" si="1"/>
        <v>7</v>
      </c>
      <c r="B11" s="9">
        <f>'Base values'!G11</f>
        <v>1167750.9570162341</v>
      </c>
      <c r="C11" s="9">
        <f>B11*(1-'Base values'!J$40)</f>
        <v>37257.769938838952</v>
      </c>
      <c r="D11" s="9">
        <f>B12*('Base values'!J$40-'Base values'!J$41)</f>
        <v>11765.912378550605</v>
      </c>
      <c r="E11" s="9">
        <f>B13*('Base values'!J$41-'Base values'!J$42)</f>
        <v>3919.0450912116885</v>
      </c>
      <c r="F11" s="9">
        <f>B14*('Base values'!J$42-'Base values'!J$43)</f>
        <v>2249.2052411052532</v>
      </c>
      <c r="G11" s="9">
        <f>B15*('Base values'!J$43-'Base values'!J$44)</f>
        <v>1662.3327002550923</v>
      </c>
      <c r="H11" s="9">
        <f>B16*('Base values'!J$44-'Base values'!J$45)</f>
        <v>724.70713492106722</v>
      </c>
      <c r="I11" s="9">
        <f t="shared" si="0"/>
        <v>57578.972484882652</v>
      </c>
    </row>
    <row r="12" spans="1:9">
      <c r="A12" s="28">
        <f t="shared" si="1"/>
        <v>8</v>
      </c>
      <c r="B12" s="9">
        <f>'Base values'!G12</f>
        <v>1144928.7874705833</v>
      </c>
      <c r="C12" s="9">
        <f>B12*(1-'Base values'!J$40)</f>
        <v>36529.615414684529</v>
      </c>
      <c r="D12" s="9">
        <f>B13*('Base values'!J$40-'Base values'!J$41)</f>
        <v>11509.236353382161</v>
      </c>
      <c r="E12" s="9">
        <f>B14*('Base values'!J$41-'Base values'!J$42)</f>
        <v>3827.2226767647103</v>
      </c>
      <c r="F12" s="9">
        <f>B15*('Base values'!J$42-'Base values'!J$43)</f>
        <v>2191.7889892034523</v>
      </c>
      <c r="G12" s="9">
        <f>B16*('Base values'!J$43-'Base values'!J$44)</f>
        <v>1609.3081086902855</v>
      </c>
      <c r="H12" s="9">
        <f>B17*('Base values'!J$44-'Base values'!J$45)</f>
        <v>700.98710130120651</v>
      </c>
      <c r="I12" s="9">
        <f t="shared" si="0"/>
        <v>56368.158644026342</v>
      </c>
    </row>
    <row r="13" spans="1:9">
      <c r="A13" s="28">
        <f t="shared" si="1"/>
        <v>9</v>
      </c>
      <c r="B13" s="9">
        <f>'Base values'!G13</f>
        <v>1119951.9084310441</v>
      </c>
      <c r="C13" s="9">
        <f>B13*(1-'Base values'!J$40)</f>
        <v>35732.713637422763</v>
      </c>
      <c r="D13" s="9">
        <f>B14*('Base values'!J$40-'Base values'!J$41)</f>
        <v>11239.577330377211</v>
      </c>
      <c r="E13" s="9">
        <f>B15*('Base values'!J$41-'Base values'!J$42)</f>
        <v>3729.5238197295798</v>
      </c>
      <c r="F13" s="9">
        <f>B16*('Base values'!J$42-'Base values'!J$43)</f>
        <v>2121.8759591999401</v>
      </c>
      <c r="G13" s="9">
        <f>B17*('Base values'!J$43-'Base values'!J$44)</f>
        <v>1556.6346346710104</v>
      </c>
      <c r="H13" s="9">
        <f>B18*('Base values'!J$44-'Base values'!J$45)</f>
        <v>677.52782505983555</v>
      </c>
      <c r="I13" s="9">
        <f t="shared" si="0"/>
        <v>55057.853206460335</v>
      </c>
    </row>
    <row r="14" spans="1:9">
      <c r="A14" s="28">
        <f t="shared" si="1"/>
        <v>10</v>
      </c>
      <c r="B14" s="9">
        <f>'Base values'!G14</f>
        <v>1093711.6672745319</v>
      </c>
      <c r="C14" s="9">
        <f>B14*(1-'Base values'!J$40)</f>
        <v>34895.503560843572</v>
      </c>
      <c r="D14" s="9">
        <f>B15*('Base values'!J$40-'Base values'!J$41)</f>
        <v>10952.660693568383</v>
      </c>
      <c r="E14" s="9">
        <f>B16*('Base values'!J$41-'Base values'!J$42)</f>
        <v>3610.5605837648222</v>
      </c>
      <c r="F14" s="9">
        <f>B17*('Base values'!J$42-'Base values'!J$43)</f>
        <v>2052.4258783822884</v>
      </c>
      <c r="G14" s="9">
        <f>B18*('Base values'!J$43-'Base values'!J$44)</f>
        <v>1504.54020692213</v>
      </c>
      <c r="H14" s="9">
        <f>B19*('Base values'!J$44-'Base values'!J$45)</f>
        <v>654.9607091948742</v>
      </c>
      <c r="I14" s="9">
        <f t="shared" si="0"/>
        <v>53670.651632676068</v>
      </c>
    </row>
    <row r="15" spans="1:9">
      <c r="A15" s="28">
        <f t="shared" si="1"/>
        <v>11</v>
      </c>
      <c r="B15" s="9">
        <f>'Base values'!G15</f>
        <v>1065792.1055339968</v>
      </c>
      <c r="C15" s="9">
        <f>B15*(1-'Base values'!J$40)</f>
        <v>34004.713789384106</v>
      </c>
      <c r="D15" s="9">
        <f>B16*('Base values'!J$40-'Base values'!J$41)</f>
        <v>10603.295996756933</v>
      </c>
      <c r="E15" s="9">
        <f>B17*('Base values'!J$41-'Base values'!J$42)</f>
        <v>3492.3850969969521</v>
      </c>
      <c r="F15" s="9">
        <f>B18*('Base values'!J$42-'Base values'!J$43)</f>
        <v>1983.7392712299841</v>
      </c>
      <c r="G15" s="9">
        <f>B19*('Base values'!J$43-'Base values'!J$44)</f>
        <v>1454.4269393672425</v>
      </c>
      <c r="H15" s="9">
        <f>B20*('Base values'!J$44-'Base values'!J$45)</f>
        <v>634.8523294592361</v>
      </c>
      <c r="I15" s="9">
        <f t="shared" si="0"/>
        <v>52173.413423194455</v>
      </c>
    </row>
    <row r="16" spans="1:9">
      <c r="A16" s="28">
        <f t="shared" si="1"/>
        <v>12</v>
      </c>
      <c r="B16" s="9">
        <f>'Base values'!G16</f>
        <v>1031795.7875404547</v>
      </c>
      <c r="C16" s="9">
        <f>B16*(1-'Base values'!J$40)</f>
        <v>32920.041593689726</v>
      </c>
      <c r="D16" s="9">
        <f>B17*('Base values'!J$40-'Base values'!J$41)</f>
        <v>10256.244718516376</v>
      </c>
      <c r="E16" s="9">
        <f>B18*('Base values'!J$41-'Base values'!J$42)</f>
        <v>3375.5087285450672</v>
      </c>
      <c r="F16" s="9">
        <f>B19*('Base values'!J$42-'Base values'!J$43)</f>
        <v>1917.6648277548877</v>
      </c>
      <c r="G16" s="9">
        <f>B20*('Base values'!J$43-'Base values'!J$44)</f>
        <v>1409.7736208033093</v>
      </c>
      <c r="H16" s="9">
        <f>B21*('Base values'!J$44-'Base values'!J$45)</f>
        <v>617.48322909898457</v>
      </c>
      <c r="I16" s="9">
        <f t="shared" si="0"/>
        <v>50496.716718408352</v>
      </c>
    </row>
    <row r="17" spans="1:9">
      <c r="A17" s="28">
        <f t="shared" si="1"/>
        <v>13</v>
      </c>
      <c r="B17" s="9">
        <f>'Base values'!G17</f>
        <v>998024.5859198774</v>
      </c>
      <c r="C17" s="9">
        <f>B17*(1-'Base values'!J$40)</f>
        <v>31842.551866126079</v>
      </c>
      <c r="D17" s="9">
        <f>B18*('Base values'!J$40-'Base values'!J$41)</f>
        <v>9913.0086195865133</v>
      </c>
      <c r="E17" s="9">
        <f>B19*('Base values'!J$41-'Base values'!J$42)</f>
        <v>3263.0771888167355</v>
      </c>
      <c r="F17" s="9">
        <f>B20*('Base values'!J$42-'Base values'!J$43)</f>
        <v>1858.7893379418053</v>
      </c>
      <c r="G17" s="9">
        <f>B21*('Base values'!J$43-'Base values'!J$44)</f>
        <v>1371.2032346383482</v>
      </c>
      <c r="H17" s="9">
        <f>B22*('Base values'!J$44-'Base values'!J$45)</f>
        <v>603.05248793833016</v>
      </c>
      <c r="I17" s="9">
        <f t="shared" si="0"/>
        <v>48851.682735047812</v>
      </c>
    </row>
    <row r="18" spans="1:9">
      <c r="A18" s="28">
        <f t="shared" si="1"/>
        <v>14</v>
      </c>
      <c r="B18" s="9">
        <f>'Base values'!G18</f>
        <v>964624.63545957068</v>
      </c>
      <c r="C18" s="9">
        <f>B18*(1-'Base values'!J$40)</f>
        <v>30776.907121635046</v>
      </c>
      <c r="D18" s="9">
        <f>B19*('Base values'!J$40-'Base values'!J$41)</f>
        <v>9582.8258495005575</v>
      </c>
      <c r="E18" s="9">
        <f>B20*('Base values'!J$41-'Base values'!J$42)</f>
        <v>3162.8953087462746</v>
      </c>
      <c r="F18" s="9">
        <f>B21*('Base values'!J$42-'Base values'!J$43)</f>
        <v>1807.9342066598938</v>
      </c>
      <c r="G18" s="9">
        <f>B22*('Base values'!J$43-'Base values'!J$44)</f>
        <v>1339.1578639704005</v>
      </c>
      <c r="H18" s="9">
        <f>B23*('Base values'!J$44-'Base values'!J$45)</f>
        <v>592.57000016409211</v>
      </c>
      <c r="I18" s="9">
        <f t="shared" si="0"/>
        <v>47262.29035067626</v>
      </c>
    </row>
    <row r="19" spans="1:9">
      <c r="A19" s="28">
        <f t="shared" si="1"/>
        <v>15</v>
      </c>
      <c r="B19" s="9">
        <f>'Base values'!G19</f>
        <v>932494.89095396351</v>
      </c>
      <c r="C19" s="9">
        <f>B19*(1-'Base values'!J$40)</f>
        <v>29751.789033063917</v>
      </c>
      <c r="D19" s="9">
        <f>B20*('Base values'!J$40-'Base values'!J$41)</f>
        <v>9288.617207032341</v>
      </c>
      <c r="E19" s="9">
        <f>B21*('Base values'!J$41-'Base values'!J$42)</f>
        <v>3076.3607817431562</v>
      </c>
      <c r="F19" s="9">
        <f>B22*('Base values'!J$42-'Base values'!J$43)</f>
        <v>1765.6823213578884</v>
      </c>
      <c r="G19" s="9">
        <f>B23*('Base values'!J$43-'Base values'!J$44)</f>
        <v>1315.880112501643</v>
      </c>
      <c r="H19" s="9">
        <f>B24*('Base values'!J$44-'Base values'!J$45)</f>
        <v>585.36343371109172</v>
      </c>
      <c r="I19" s="9">
        <f t="shared" si="0"/>
        <v>45783.692889410035</v>
      </c>
    </row>
    <row r="20" spans="1:9">
      <c r="A20" s="28">
        <f t="shared" si="1"/>
        <v>16</v>
      </c>
      <c r="B20" s="9">
        <f>'Base values'!G20</f>
        <v>903865.75167033426</v>
      </c>
      <c r="C20" s="9">
        <f>B20*(1-'Base values'!J$40)</f>
        <v>28838.359779533788</v>
      </c>
      <c r="D20" s="9">
        <f>B21*('Base values'!J$40-'Base values'!J$41)</f>
        <v>9034.4873614124481</v>
      </c>
      <c r="E20" s="9">
        <f>B22*('Base values'!J$41-'Base values'!J$42)</f>
        <v>3004.4654426213101</v>
      </c>
      <c r="F20" s="9">
        <f>B23*('Base values'!J$42-'Base values'!J$43)</f>
        <v>1734.990559501307</v>
      </c>
      <c r="G20" s="9">
        <f>B24*('Base values'!J$43-'Base values'!J$44)</f>
        <v>1299.8769778976321</v>
      </c>
      <c r="H20" s="9">
        <f>B25*('Base values'!J$44-'Base values'!J$45)</f>
        <v>581.1399870532349</v>
      </c>
      <c r="I20" s="9">
        <f t="shared" si="0"/>
        <v>44493.320108019718</v>
      </c>
    </row>
    <row r="21" spans="1:9">
      <c r="A21" s="28">
        <f t="shared" si="1"/>
        <v>17</v>
      </c>
      <c r="B21" s="9">
        <f>'Base values'!G21</f>
        <v>879136.63873421436</v>
      </c>
      <c r="C21" s="9">
        <f>B21*(1-'Base values'!J$40)</f>
        <v>28049.363123157924</v>
      </c>
      <c r="D21" s="9">
        <f>B22*('Base values'!J$40-'Base values'!J$41)</f>
        <v>8823.3490786416169</v>
      </c>
      <c r="E21" s="9">
        <f>B23*('Base values'!J$41-'Base values'!J$42)</f>
        <v>2952.2406812608706</v>
      </c>
      <c r="F21" s="9">
        <f>B24*('Base values'!J$42-'Base values'!J$43)</f>
        <v>1713.8903945268532</v>
      </c>
      <c r="G21" s="9">
        <f>B25*('Base values'!J$43-'Base values'!J$44)</f>
        <v>1290.4982556171481</v>
      </c>
      <c r="H21" s="9">
        <f>B26*('Base values'!J$44-'Base values'!J$45)</f>
        <v>580.43216561032159</v>
      </c>
      <c r="I21" s="9">
        <f t="shared" si="0"/>
        <v>43409.77369881473</v>
      </c>
    </row>
    <row r="22" spans="1:9">
      <c r="A22" s="28">
        <f t="shared" ref="A22:A30" si="2">1+A21</f>
        <v>18</v>
      </c>
      <c r="B22" s="9">
        <f>'Base values'!G22</f>
        <v>858590.99039825355</v>
      </c>
      <c r="C22" s="9">
        <f>B22*(1-'Base values'!J$40)</f>
        <v>27393.842325383168</v>
      </c>
      <c r="D22" s="9">
        <f>B23*('Base values'!J$40-'Base values'!J$41)</f>
        <v>8669.9782681489942</v>
      </c>
      <c r="E22" s="9">
        <f>B24*('Base values'!J$41-'Base values'!J$42)</f>
        <v>2916.3368747082845</v>
      </c>
      <c r="F22" s="9">
        <f>B25*('Base values'!J$42-'Base values'!J$43)</f>
        <v>1701.5245304468124</v>
      </c>
      <c r="G22" s="9">
        <f>B26*('Base values'!J$43-'Base values'!J$44)</f>
        <v>1288.9264444223966</v>
      </c>
      <c r="H22" s="9">
        <f>B27*('Base values'!J$44-'Base values'!J$45)</f>
        <v>583.13099739517145</v>
      </c>
      <c r="I22" s="9">
        <f t="shared" ref="I22:I30" si="3">SUM(C22:H22)</f>
        <v>42553.739440504825</v>
      </c>
    </row>
    <row r="23" spans="1:9">
      <c r="A23" s="28">
        <f t="shared" si="2"/>
        <v>19</v>
      </c>
      <c r="B23" s="9">
        <f>'Base values'!G23</f>
        <v>843666.6351556615</v>
      </c>
      <c r="C23" s="9">
        <f>B23*(1-'Base values'!J$40)</f>
        <v>26917.672136206205</v>
      </c>
      <c r="D23" s="9">
        <f>B24*('Base values'!J$40-'Base values'!J$41)</f>
        <v>8564.5379412370967</v>
      </c>
      <c r="E23" s="9">
        <f>B25*('Base values'!J$41-'Base values'!J$42)</f>
        <v>2895.2952576250582</v>
      </c>
      <c r="F23" s="9">
        <f>B26*('Base values'!J$42-'Base values'!J$43)</f>
        <v>1699.4520942436175</v>
      </c>
      <c r="G23" s="9">
        <f>B27*('Base values'!J$43-'Base values'!J$44)</f>
        <v>1294.9195575933095</v>
      </c>
      <c r="H23" s="9">
        <f>B28*('Base values'!J$44-'Base values'!J$45)</f>
        <v>587.6303475963789</v>
      </c>
      <c r="I23" s="9">
        <f t="shared" si="3"/>
        <v>41959.507334501672</v>
      </c>
    </row>
    <row r="24" spans="1:9">
      <c r="A24" s="28">
        <f t="shared" si="2"/>
        <v>20</v>
      </c>
      <c r="B24" s="9">
        <f>'Base values'!G24</f>
        <v>833406.34579112253</v>
      </c>
      <c r="C24" s="9">
        <f>B24*(1-'Base values'!J$40)</f>
        <v>26590.311667475205</v>
      </c>
      <c r="D24" s="9">
        <f>B25*('Base values'!J$40-'Base values'!J$41)</f>
        <v>8502.7440759888304</v>
      </c>
      <c r="E24" s="9">
        <f>B26*('Base values'!J$41-'Base values'!J$42)</f>
        <v>2891.7688231814332</v>
      </c>
      <c r="F24" s="9">
        <f>B27*('Base values'!J$42-'Base values'!J$43)</f>
        <v>1707.3540259429949</v>
      </c>
      <c r="G24" s="9">
        <f>B28*('Base values'!J$43-'Base values'!J$44)</f>
        <v>1304.9109602078693</v>
      </c>
      <c r="H24" s="9">
        <f>B29*('Base values'!J$44-'Base values'!J$45)</f>
        <v>590.26814125712292</v>
      </c>
      <c r="I24" s="9">
        <f t="shared" si="3"/>
        <v>41587.357694053455</v>
      </c>
    </row>
    <row r="25" spans="1:9">
      <c r="A25" s="28">
        <f t="shared" si="2"/>
        <v>21</v>
      </c>
      <c r="B25" s="9">
        <f>'Base values'!G25</f>
        <v>827393.24855432892</v>
      </c>
      <c r="C25" s="9">
        <f>B25*(1-'Base values'!J$40)</f>
        <v>26398.460320985399</v>
      </c>
      <c r="D25" s="9">
        <f>B26*('Base values'!J$40-'Base values'!J$41)</f>
        <v>8492.3878370194434</v>
      </c>
      <c r="E25" s="9">
        <f>B27*('Base values'!J$41-'Base values'!J$42)</f>
        <v>2905.2146624660872</v>
      </c>
      <c r="F25" s="9">
        <f>B28*('Base values'!J$42-'Base values'!J$43)</f>
        <v>1720.5277102685995</v>
      </c>
      <c r="G25" s="9">
        <f>B29*('Base values'!J$43-'Base values'!J$44)</f>
        <v>1310.7685301457579</v>
      </c>
      <c r="H25" s="9">
        <f>B30*('Base values'!J$44-'Base values'!J$45)</f>
        <v>589.65674679430265</v>
      </c>
      <c r="I25" s="9">
        <f t="shared" si="3"/>
        <v>41417.015807679592</v>
      </c>
    </row>
    <row r="26" spans="1:9">
      <c r="A26" s="28">
        <f t="shared" si="2"/>
        <v>22</v>
      </c>
      <c r="B26" s="9">
        <f>'Base values'!G26</f>
        <v>826385.49363108212</v>
      </c>
      <c r="C26" s="9">
        <f>B26*(1-'Base values'!J$40)</f>
        <v>26366.307317076931</v>
      </c>
      <c r="D26" s="9">
        <f>B27*('Base values'!J$40-'Base values'!J$41)</f>
        <v>8531.8748392597845</v>
      </c>
      <c r="E26" s="9">
        <f>B28*('Base values'!J$41-'Base values'!J$42)</f>
        <v>2927.6308575140406</v>
      </c>
      <c r="F26" s="9">
        <f>B29*('Base values'!J$42-'Base values'!J$43)</f>
        <v>1728.2509279442088</v>
      </c>
      <c r="G26" s="9">
        <f>B30*('Base values'!J$43-'Base values'!J$44)</f>
        <v>1309.4108478224948</v>
      </c>
      <c r="H26" s="9">
        <f>B31*('Base values'!J$44-'Base values'!J$45)</f>
        <v>584.40253277851048</v>
      </c>
      <c r="I26" s="9">
        <f t="shared" si="3"/>
        <v>41447.877322395972</v>
      </c>
    </row>
    <row r="27" spans="1:9" s="116" customFormat="1">
      <c r="A27" s="121">
        <f t="shared" si="2"/>
        <v>23</v>
      </c>
      <c r="B27" s="122">
        <f>'Base values'!G27</f>
        <v>830227.93305620481</v>
      </c>
      <c r="C27" s="122">
        <f>B27*(1-'Base values'!J$40)</f>
        <v>26488.902570152928</v>
      </c>
      <c r="D27" s="122">
        <f>B28*('Base values'!J$40-'Base values'!J$41)</f>
        <v>8597.7054895702277</v>
      </c>
      <c r="E27" s="122">
        <f>B29*('Base values'!J$41-'Base values'!J$42)</f>
        <v>2940.7725989992045</v>
      </c>
      <c r="F27" s="122">
        <f>B30*('Base values'!J$42-'Base values'!J$43)</f>
        <v>1726.460821086233</v>
      </c>
      <c r="G27" s="122">
        <f>B31*('Base values'!J$43-'Base values'!J$44)</f>
        <v>1297.7431702007898</v>
      </c>
      <c r="H27" s="122">
        <f>B32*('Base values'!J$44-'Base values'!J$45)</f>
        <v>575.82650625400311</v>
      </c>
      <c r="I27" s="122">
        <f t="shared" si="3"/>
        <v>41627.411156263384</v>
      </c>
    </row>
    <row r="28" spans="1:9" s="116" customFormat="1">
      <c r="A28" s="121">
        <f t="shared" si="2"/>
        <v>24</v>
      </c>
      <c r="B28" s="122">
        <f>'Base values'!G28</f>
        <v>836633.84568017919</v>
      </c>
      <c r="C28" s="122">
        <f>B28*(1-'Base values'!J$40)</f>
        <v>26693.286918851882</v>
      </c>
      <c r="D28" s="122">
        <f>B29*('Base values'!J$40-'Base values'!J$41)</f>
        <v>8636.2994340969126</v>
      </c>
      <c r="E28" s="122">
        <f>B30*('Base values'!J$41-'Base values'!J$42)</f>
        <v>2937.726573036136</v>
      </c>
      <c r="F28" s="122">
        <f>B31*('Base values'!J$42-'Base values'!J$43)</f>
        <v>1711.0769648119119</v>
      </c>
      <c r="G28" s="122">
        <f>B32*('Base values'!J$43-'Base values'!J$44)</f>
        <v>1278.6989682588069</v>
      </c>
      <c r="H28" s="122">
        <f>B33*('Base values'!J$44-'Base values'!J$45)</f>
        <v>565.46465580767733</v>
      </c>
      <c r="I28" s="122">
        <f t="shared" si="3"/>
        <v>41822.553514863335</v>
      </c>
    </row>
    <row r="29" spans="1:9" s="116" customFormat="1">
      <c r="A29" s="121">
        <f t="shared" si="2"/>
        <v>25</v>
      </c>
      <c r="B29" s="122">
        <f>'Base values'!G29</f>
        <v>840389.38258109975</v>
      </c>
      <c r="C29" s="122">
        <f>B29*(1-'Base values'!J$40)</f>
        <v>26813.109496611818</v>
      </c>
      <c r="D29" s="122">
        <f>B30*('Base values'!J$40-'Base values'!J$41)</f>
        <v>8627.3540323647121</v>
      </c>
      <c r="E29" s="122">
        <f>B31*('Base values'!J$41-'Base values'!J$42)</f>
        <v>2911.5495739285584</v>
      </c>
      <c r="F29" s="122">
        <f>B32*('Base values'!J$42-'Base values'!J$43)</f>
        <v>1685.9671464715761</v>
      </c>
      <c r="G29" s="122">
        <f>B33*('Base values'!J$43-'Base values'!J$44)</f>
        <v>1255.68910794313</v>
      </c>
      <c r="H29" s="122">
        <f>B34*('Base values'!J$44-'Base values'!J$45)</f>
        <v>0</v>
      </c>
      <c r="I29" s="122">
        <f t="shared" si="3"/>
        <v>41293.669357319799</v>
      </c>
    </row>
    <row r="30" spans="1:9" s="116" customFormat="1">
      <c r="A30" s="121">
        <f t="shared" si="2"/>
        <v>26</v>
      </c>
      <c r="B30" s="122">
        <f>'Base values'!G30</f>
        <v>839518.91477298003</v>
      </c>
      <c r="C30" s="122">
        <f>B30*(1-'Base values'!J$40)</f>
        <v>26785.33671754516</v>
      </c>
      <c r="D30" s="122">
        <f>B31*('Base values'!J$40-'Base values'!J$41)</f>
        <v>8550.4788592703826</v>
      </c>
      <c r="E30" s="122">
        <f>B32*('Base values'!J$41-'Base values'!J$42)</f>
        <v>2868.8229857074002</v>
      </c>
      <c r="F30" s="122">
        <f>B33*('Base values'!J$42-'Base values'!J$43)</f>
        <v>1655.6285996359932</v>
      </c>
      <c r="G30" s="122">
        <f>B34*('Base values'!J$43-'Base values'!J$44)</f>
        <v>0</v>
      </c>
      <c r="H30" s="122">
        <f>B35*('Base values'!J$44-'Base values'!J$45)</f>
        <v>0</v>
      </c>
      <c r="I30" s="122">
        <f t="shared" si="3"/>
        <v>39860.26716215894</v>
      </c>
    </row>
    <row r="31" spans="1:9" s="116" customFormat="1">
      <c r="A31" s="121">
        <f>1+A30</f>
        <v>27</v>
      </c>
      <c r="B31" s="122">
        <f>'Base values'!G31</f>
        <v>832038.27103829291</v>
      </c>
      <c r="C31" s="122">
        <f>B31*(1-'Base values'!J$40)</f>
        <v>26546.66245092453</v>
      </c>
      <c r="D31" s="122">
        <f>B32*('Base values'!J$40-'Base values'!J$41)</f>
        <v>8425.0017619249902</v>
      </c>
      <c r="E31" s="122">
        <f>B33*('Base values'!J$41-'Base values'!J$42)</f>
        <v>2817.1992511067401</v>
      </c>
      <c r="F31" s="122">
        <f>B34*('Base values'!J$42-'Base values'!J$43)</f>
        <v>0</v>
      </c>
      <c r="G31" s="122">
        <f>B35*('Base values'!J$43-'Base values'!J$44)</f>
        <v>0</v>
      </c>
      <c r="H31" s="122">
        <f>B36*('Base values'!J$44-'Base values'!J$45)</f>
        <v>0</v>
      </c>
      <c r="I31" s="122">
        <f>SUM(C31:H31)</f>
        <v>37788.863463956266</v>
      </c>
    </row>
    <row r="32" spans="1:9" s="116" customFormat="1">
      <c r="A32" s="121">
        <f>1+A31</f>
        <v>28</v>
      </c>
      <c r="B32" s="122">
        <f>'Base values'!G32</f>
        <v>819828.22422705835</v>
      </c>
      <c r="C32" s="122">
        <f>B32*(1-'Base values'!J$40)</f>
        <v>26157.093842736176</v>
      </c>
      <c r="D32" s="122">
        <f>B33*('Base values'!J$40-'Base values'!J$41)</f>
        <v>8273.396013806494</v>
      </c>
      <c r="E32" s="122">
        <f>B34*('Base values'!J$41-'Base values'!J$42)</f>
        <v>0</v>
      </c>
      <c r="F32" s="122">
        <f>B35*('Base values'!J$42-'Base values'!J$43)</f>
        <v>0</v>
      </c>
      <c r="G32" s="122">
        <f>B36*('Base values'!J$43-'Base values'!J$44)</f>
        <v>0</v>
      </c>
      <c r="H32" s="122">
        <f>B37*('Base values'!J$44-'Base values'!J$45)</f>
        <v>0</v>
      </c>
      <c r="I32" s="122">
        <f>SUM(C32:H32)</f>
        <v>34430.48985654267</v>
      </c>
    </row>
    <row r="33" spans="1:9" s="116" customFormat="1">
      <c r="A33" s="121">
        <f>1+A32</f>
        <v>29</v>
      </c>
      <c r="B33" s="122">
        <f>'Base values'!G33</f>
        <v>805075.62538199848</v>
      </c>
      <c r="C33" s="122">
        <f>B33*(1-'Base values'!J$40)</f>
        <v>25686.403640799927</v>
      </c>
      <c r="D33" s="122">
        <f>B34*('Base values'!J$40-'Base values'!J$41)</f>
        <v>0</v>
      </c>
      <c r="E33" s="122">
        <f>B35*('Base values'!J$41-'Base values'!J$42)</f>
        <v>0</v>
      </c>
      <c r="F33" s="122">
        <f>B36*('Base values'!J$42-'Base values'!J$43)</f>
        <v>0</v>
      </c>
      <c r="G33" s="122">
        <f>B37*('Base values'!J$43-'Base values'!J$44)</f>
        <v>0</v>
      </c>
      <c r="H33" s="122">
        <f>B38*('Base values'!J$44-'Base values'!J$45)</f>
        <v>0</v>
      </c>
      <c r="I33" s="122">
        <f>SUM(C33:H33)</f>
        <v>25686.403640799927</v>
      </c>
    </row>
    <row r="37" spans="1:9">
      <c r="A37" s="8" t="s">
        <v>37</v>
      </c>
    </row>
    <row r="38" spans="1:9">
      <c r="A38" s="8" t="s">
        <v>28</v>
      </c>
    </row>
    <row r="39" spans="1:9">
      <c r="A39" s="8" t="s">
        <v>29</v>
      </c>
    </row>
  </sheetData>
  <mergeCells count="2">
    <mergeCell ref="C2:H2"/>
    <mergeCell ref="A2:A3"/>
  </mergeCells>
  <phoneticPr fontId="4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8"/>
  <sheetViews>
    <sheetView workbookViewId="0">
      <selection activeCell="H33" sqref="H33"/>
    </sheetView>
  </sheetViews>
  <sheetFormatPr defaultRowHeight="12.75"/>
  <cols>
    <col min="1" max="1" width="14.42578125" customWidth="1"/>
    <col min="9" max="9" width="11.28515625" customWidth="1"/>
    <col min="10" max="10" width="15.140625" customWidth="1"/>
    <col min="11" max="11" width="12.5703125" customWidth="1"/>
    <col min="12" max="12" width="13.85546875" customWidth="1"/>
  </cols>
  <sheetData>
    <row r="1" spans="1:12" ht="15.75">
      <c r="A1" s="32" t="s">
        <v>32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40" t="s">
        <v>22</v>
      </c>
      <c r="K2" s="38" t="s">
        <v>12</v>
      </c>
      <c r="L2" s="38" t="s">
        <v>12</v>
      </c>
    </row>
    <row r="3" spans="1:12">
      <c r="A3" s="69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40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values'!F4-'Base values'!E4</f>
        <v>88597.986690792124</v>
      </c>
      <c r="C4" s="9">
        <f>B4*(1-'Base values'!J$40)</f>
        <v>2826.7700277499821</v>
      </c>
      <c r="D4" s="9">
        <f>B5*('Base values'!J$40-'Base values'!J$41)</f>
        <v>888.01006811836999</v>
      </c>
      <c r="E4" s="9">
        <f>B6*('Base values'!J$41-'Base values'!J$42)</f>
        <v>301.44520542748103</v>
      </c>
      <c r="F4" s="9">
        <f>B7*('Base values'!J$42-'Base values'!J$43)</f>
        <v>178.4550782350409</v>
      </c>
      <c r="G4" s="9">
        <f>B8*('Base values'!J$43-'Base values'!J$44)</f>
        <v>130.3663566707109</v>
      </c>
      <c r="H4" s="9">
        <f>B9*('Base values'!J$44-'Base values'!J$45)</f>
        <v>57.19726084221913</v>
      </c>
      <c r="I4" s="9">
        <f>SUM(C4:H4)</f>
        <v>4382.2439970438045</v>
      </c>
      <c r="J4" s="41">
        <f>'Base values'!C57</f>
        <v>0</v>
      </c>
      <c r="K4" s="36">
        <f>C4*(1-J4)+D4*(1-J5)+E4*(1-J6)+F4*(1-J7)+G4*(1-J8)+H4*(1-J9)</f>
        <v>4190.5286504490259</v>
      </c>
      <c r="L4" s="36">
        <f>I4-K4</f>
        <v>191.71534659477857</v>
      </c>
    </row>
    <row r="5" spans="1:12">
      <c r="A5" s="28">
        <f>1+A4</f>
        <v>1</v>
      </c>
      <c r="B5" s="9">
        <f>'Base values'!F5-'Base values'!E5</f>
        <v>86411.343025629394</v>
      </c>
      <c r="C5" s="9">
        <f>B5*(1-'Base values'!J$40)</f>
        <v>2757.0038964311793</v>
      </c>
      <c r="D5" s="9">
        <f>B6*('Base values'!J$40-'Base values'!J$41)</f>
        <v>885.26772111878131</v>
      </c>
      <c r="E5" s="9">
        <f>B7*('Base values'!J$41-'Base values'!J$42)</f>
        <v>303.65718064455109</v>
      </c>
      <c r="F5" s="9">
        <f>B8*('Base values'!J$42-'Base values'!J$43)</f>
        <v>171.88830194436215</v>
      </c>
      <c r="G5" s="9">
        <f>B9*('Base values'!J$43-'Base values'!J$44)</f>
        <v>127.01408780566534</v>
      </c>
      <c r="H5" s="9">
        <f>B10*('Base values'!J$44-'Base values'!J$45)</f>
        <v>56.289986290195365</v>
      </c>
      <c r="I5" s="9">
        <f t="shared" ref="I5:I33" si="0">SUM(C5:H5)</f>
        <v>4301.1211742347341</v>
      </c>
      <c r="J5" s="41">
        <f>'Base values'!C58</f>
        <v>5.4347826086956513E-2</v>
      </c>
      <c r="K5" s="36">
        <f t="shared" ref="K5:K33" si="1">C5*(1-J5)+D5*(1-J6)+E5*(1-J7)+F5*(1-J8)+G5*(1-J9)+H5*(1-J10)</f>
        <v>3831.7962257836552</v>
      </c>
      <c r="L5" s="36">
        <f t="shared" ref="L5:L33" si="2">I5-K5</f>
        <v>469.32494845107885</v>
      </c>
    </row>
    <row r="6" spans="1:12">
      <c r="A6" s="28">
        <f t="shared" ref="A6:A26" si="3">1+A5</f>
        <v>2</v>
      </c>
      <c r="B6" s="9">
        <f>'Base values'!F6-'Base values'!E6</f>
        <v>86144.488070055653</v>
      </c>
      <c r="C6" s="9">
        <f>B6*(1-'Base values'!J$40)</f>
        <v>2748.4897346725711</v>
      </c>
      <c r="D6" s="9">
        <f>B7*('Base values'!J$40-'Base values'!J$41)</f>
        <v>891.76372843397462</v>
      </c>
      <c r="E6" s="9">
        <f>B8*('Base values'!J$41-'Base values'!J$42)</f>
        <v>292.48322698589055</v>
      </c>
      <c r="F6" s="9">
        <f>B9*('Base values'!J$42-'Base values'!J$43)</f>
        <v>167.46832874277086</v>
      </c>
      <c r="G6" s="9">
        <f>B10*('Base values'!J$43-'Base values'!J$44)</f>
        <v>124.9993645843475</v>
      </c>
      <c r="H6" s="9">
        <f>B11*('Base values'!J$44-'Base values'!J$45)</f>
        <v>53.686733735862106</v>
      </c>
      <c r="I6" s="9">
        <f t="shared" si="0"/>
        <v>4278.8911171554164</v>
      </c>
      <c r="J6" s="41">
        <f>'Base values'!C59</f>
        <v>0.13043478260869565</v>
      </c>
      <c r="K6" s="36">
        <f t="shared" si="1"/>
        <v>3462.9212344421308</v>
      </c>
      <c r="L6" s="36">
        <f t="shared" si="2"/>
        <v>815.96988271328564</v>
      </c>
    </row>
    <row r="7" spans="1:12">
      <c r="A7" s="28">
        <f t="shared" si="3"/>
        <v>3</v>
      </c>
      <c r="B7" s="9">
        <f>'Base values'!F7-'Base values'!E7</f>
        <v>86776.60783599432</v>
      </c>
      <c r="C7" s="9">
        <f>B7*(1-'Base values'!J$40)</f>
        <v>2768.6578815463813</v>
      </c>
      <c r="D7" s="9">
        <f>B8*('Base values'!J$40-'Base values'!J$41)</f>
        <v>858.94867510691483</v>
      </c>
      <c r="E7" s="9">
        <f>B9*('Base values'!J$41-'Base values'!J$42)</f>
        <v>284.96224963857208</v>
      </c>
      <c r="F7" s="9">
        <f>B10*('Base values'!J$42-'Base values'!J$43)</f>
        <v>164.81191214692376</v>
      </c>
      <c r="G7" s="9">
        <f>B11*('Base values'!J$43-'Base values'!J$44)</f>
        <v>119.21849774478824</v>
      </c>
      <c r="H7" s="9">
        <f>B12*('Base values'!J$44-'Base values'!J$45)</f>
        <v>53.266832820417534</v>
      </c>
      <c r="I7" s="9">
        <f t="shared" si="0"/>
        <v>4249.8660490039974</v>
      </c>
      <c r="J7" s="41">
        <f>'Base values'!C60</f>
        <v>0.21739130434782611</v>
      </c>
      <c r="K7" s="36">
        <f t="shared" si="1"/>
        <v>3055.2762177488121</v>
      </c>
      <c r="L7" s="36">
        <f t="shared" si="2"/>
        <v>1194.5898312551853</v>
      </c>
    </row>
    <row r="8" spans="1:12">
      <c r="A8" s="28">
        <f t="shared" si="3"/>
        <v>4</v>
      </c>
      <c r="B8" s="9">
        <f>'Base values'!F8-'Base values'!E8</f>
        <v>83583.408872093714</v>
      </c>
      <c r="C8" s="9">
        <f>B8*(1-'Base values'!J$40)</f>
        <v>2666.7770210331632</v>
      </c>
      <c r="D8" s="9">
        <f>B9*('Base values'!J$40-'Base values'!J$41)</f>
        <v>836.86148195549367</v>
      </c>
      <c r="E8" s="9">
        <f>B10*('Base values'!J$41-'Base values'!J$42)</f>
        <v>280.44212063977773</v>
      </c>
      <c r="F8" s="9">
        <f>B11*('Base values'!J$42-'Base values'!J$43)</f>
        <v>157.18982765983341</v>
      </c>
      <c r="G8" s="9">
        <f>B12*('Base values'!J$43-'Base values'!J$44)</f>
        <v>118.28605218780469</v>
      </c>
      <c r="H8" s="9">
        <f>B13*('Base values'!J$44-'Base values'!J$45)</f>
        <v>53.775969432770971</v>
      </c>
      <c r="I8" s="9">
        <f t="shared" si="0"/>
        <v>4113.3324729088436</v>
      </c>
      <c r="J8" s="41">
        <f>'Base values'!C61</f>
        <v>0.31521739130434784</v>
      </c>
      <c r="K8" s="36">
        <f t="shared" si="1"/>
        <v>2541.3856630798696</v>
      </c>
      <c r="L8" s="36">
        <f t="shared" si="2"/>
        <v>1571.946809828974</v>
      </c>
    </row>
    <row r="9" spans="1:12">
      <c r="A9" s="28">
        <f t="shared" si="3"/>
        <v>5</v>
      </c>
      <c r="B9" s="9">
        <f>'Base values'!F9-'Base values'!E9</f>
        <v>81434.126907391517</v>
      </c>
      <c r="C9" s="9">
        <f>B9*(1-'Base values'!J$40)</f>
        <v>2598.2029363848583</v>
      </c>
      <c r="D9" s="9">
        <f>B10*('Base values'!J$40-'Base values'!J$41)</f>
        <v>823.587015399454</v>
      </c>
      <c r="E9" s="9">
        <f>B11*('Base values'!J$41-'Base values'!J$42)</f>
        <v>267.47246626582921</v>
      </c>
      <c r="F9" s="9">
        <f>B12*('Base values'!J$42-'Base values'!J$43)</f>
        <v>155.96039632847922</v>
      </c>
      <c r="G9" s="9">
        <f>B13*('Base values'!J$43-'Base values'!J$44)</f>
        <v>119.4166574201938</v>
      </c>
      <c r="H9" s="9">
        <f>B14*('Base values'!J$44-'Base values'!J$45)</f>
        <v>55.019341825008965</v>
      </c>
      <c r="I9" s="9">
        <f t="shared" si="0"/>
        <v>4019.6588136238238</v>
      </c>
      <c r="J9" s="41">
        <f>'Base values'!C62</f>
        <v>0.42391304347826092</v>
      </c>
      <c r="K9" s="36">
        <f t="shared" si="1"/>
        <v>2055.7911165808828</v>
      </c>
      <c r="L9" s="36">
        <f t="shared" si="2"/>
        <v>1963.867697042941</v>
      </c>
    </row>
    <row r="10" spans="1:12">
      <c r="A10" s="28">
        <f t="shared" si="3"/>
        <v>6</v>
      </c>
      <c r="B10" s="9">
        <f>'Base values'!F10-'Base values'!E10</f>
        <v>80142.40227020724</v>
      </c>
      <c r="C10" s="9">
        <f>B10*(1-'Base values'!J$40)</f>
        <v>2556.9897144496672</v>
      </c>
      <c r="D10" s="9">
        <f>B11*('Base values'!J$40-'Base values'!J$41)</f>
        <v>785.49844684835853</v>
      </c>
      <c r="E10" s="9">
        <f>B12*('Base values'!J$41-'Base values'!J$42)</f>
        <v>265.38047955652752</v>
      </c>
      <c r="F10" s="9">
        <f>B13*('Base values'!J$42-'Base values'!J$43)</f>
        <v>157.45110158808581</v>
      </c>
      <c r="G10" s="9">
        <f>B14*('Base values'!J$43-'Base values'!J$44)</f>
        <v>122.17773037853881</v>
      </c>
      <c r="H10" s="9">
        <f>B15*('Base values'!J$44-'Base values'!J$45)</f>
        <v>58.072958684975184</v>
      </c>
      <c r="I10" s="9">
        <f t="shared" si="0"/>
        <v>3945.570431506153</v>
      </c>
      <c r="J10" s="41">
        <f>'Base values'!C63</f>
        <v>0.53260869565217406</v>
      </c>
      <c r="K10" s="36">
        <f t="shared" si="1"/>
        <v>1613.526210604738</v>
      </c>
      <c r="L10" s="36">
        <f t="shared" si="2"/>
        <v>2332.044220901415</v>
      </c>
    </row>
    <row r="11" spans="1:12">
      <c r="A11" s="28">
        <f t="shared" si="3"/>
        <v>7</v>
      </c>
      <c r="B11" s="9">
        <f>'Base values'!F11-'Base values'!E11</f>
        <v>76436.042983765918</v>
      </c>
      <c r="C11" s="9">
        <f>B11*(1-'Base values'!J$40)</f>
        <v>2438.7361769336276</v>
      </c>
      <c r="D11" s="9">
        <f>B12*('Base values'!J$40-'Base values'!J$41)</f>
        <v>779.35481519189227</v>
      </c>
      <c r="E11" s="9">
        <f>B13*('Base values'!J$41-'Base values'!J$42)</f>
        <v>267.91704708254628</v>
      </c>
      <c r="F11" s="9">
        <f>B14*('Base values'!J$42-'Base values'!J$43)</f>
        <v>161.09158180456672</v>
      </c>
      <c r="G11" s="9">
        <f>B15*('Base values'!J$43-'Base values'!J$44)</f>
        <v>128.95869076485025</v>
      </c>
      <c r="H11" s="9">
        <f>B16*('Base values'!J$44-'Base values'!J$45)</f>
        <v>61.446687152613777</v>
      </c>
      <c r="I11" s="9">
        <f t="shared" si="0"/>
        <v>3837.5049989300969</v>
      </c>
      <c r="J11" s="41">
        <f>'Base values'!C64</f>
        <v>0.63043478260869579</v>
      </c>
      <c r="K11" s="36">
        <f t="shared" si="1"/>
        <v>1211.2592998212995</v>
      </c>
      <c r="L11" s="36">
        <f t="shared" si="2"/>
        <v>2626.2456991087975</v>
      </c>
    </row>
    <row r="12" spans="1:12">
      <c r="A12" s="28">
        <f t="shared" si="3"/>
        <v>8</v>
      </c>
      <c r="B12" s="9">
        <f>'Base values'!F12-'Base values'!E12</f>
        <v>75838.212529416545</v>
      </c>
      <c r="C12" s="9">
        <f>B12*(1-'Base values'!J$40)</f>
        <v>2419.6620503857093</v>
      </c>
      <c r="D12" s="9">
        <f>B13*('Base values'!J$40-'Base values'!J$41)</f>
        <v>786.80406737037072</v>
      </c>
      <c r="E12" s="9">
        <f>B14*('Base values'!J$41-'Base values'!J$42)</f>
        <v>274.11164781715178</v>
      </c>
      <c r="F12" s="9">
        <f>B15*('Base values'!J$42-'Base values'!J$43)</f>
        <v>170.03229163278672</v>
      </c>
      <c r="G12" s="9">
        <f>B16*('Base values'!J$43-'Base values'!J$44)</f>
        <v>136.45050134303833</v>
      </c>
      <c r="H12" s="9">
        <f>B17*('Base values'!J$44-'Base values'!J$45)</f>
        <v>65.035260504913325</v>
      </c>
      <c r="I12" s="9">
        <f t="shared" si="0"/>
        <v>3852.0958190539704</v>
      </c>
      <c r="J12" s="41">
        <f>'Base values'!C65</f>
        <v>0.71739130434782605</v>
      </c>
      <c r="K12" s="36">
        <f t="shared" si="1"/>
        <v>900.81254962619903</v>
      </c>
      <c r="L12" s="36">
        <f t="shared" si="2"/>
        <v>2951.2832694277713</v>
      </c>
    </row>
    <row r="13" spans="1:12">
      <c r="A13" s="28">
        <f t="shared" si="3"/>
        <v>9</v>
      </c>
      <c r="B13" s="9">
        <f>'Base values'!F13-'Base values'!E13</f>
        <v>76563.09156895589</v>
      </c>
      <c r="C13" s="9">
        <f>B13*(1-'Base values'!J$40)</f>
        <v>2442.7897355538303</v>
      </c>
      <c r="D13" s="9">
        <f>B14*('Base values'!J$40-'Base values'!J$41)</f>
        <v>804.99603054254385</v>
      </c>
      <c r="E13" s="9">
        <f>B15*('Base values'!J$41-'Base values'!J$42)</f>
        <v>289.32506043756786</v>
      </c>
      <c r="F13" s="9">
        <f>B16*('Base values'!J$42-'Base values'!J$43)</f>
        <v>179.9102588603765</v>
      </c>
      <c r="G13" s="9">
        <f>B17*('Base values'!J$43-'Base values'!J$44)</f>
        <v>144.41940342251701</v>
      </c>
      <c r="H13" s="9">
        <f>B18*('Base values'!J$44-'Base values'!J$45)</f>
        <v>68.49442052554592</v>
      </c>
      <c r="I13" s="9">
        <f t="shared" si="0"/>
        <v>3929.9349093423816</v>
      </c>
      <c r="J13" s="41">
        <f>'Base values'!C66</f>
        <v>0.80434782608695654</v>
      </c>
      <c r="K13" s="36">
        <f t="shared" si="1"/>
        <v>632.07682658279896</v>
      </c>
      <c r="L13" s="36">
        <f t="shared" si="2"/>
        <v>3297.8580827595824</v>
      </c>
    </row>
    <row r="14" spans="1:12">
      <c r="A14" s="28">
        <f t="shared" si="3"/>
        <v>10</v>
      </c>
      <c r="B14" s="9">
        <f>'Base values'!F14-'Base values'!E14</f>
        <v>78333.332725468019</v>
      </c>
      <c r="C14" s="9">
        <f>B14*(1-'Base values'!J$40)</f>
        <v>2499.2703039055941</v>
      </c>
      <c r="D14" s="9">
        <f>B15*('Base values'!J$40-'Base values'!J$41)</f>
        <v>849.67394506374683</v>
      </c>
      <c r="E14" s="9">
        <f>B16*('Base values'!J$41-'Base values'!J$42)</f>
        <v>306.13329984714386</v>
      </c>
      <c r="F14" s="9">
        <f>B17*('Base values'!J$42-'Base values'!J$43)</f>
        <v>190.41727218638616</v>
      </c>
      <c r="G14" s="9">
        <f>B18*('Base values'!J$43-'Base values'!J$44)</f>
        <v>152.10092607106611</v>
      </c>
      <c r="H14" s="9">
        <f>B19*('Base values'!J$44-'Base values'!J$45)</f>
        <v>71.544653882143535</v>
      </c>
      <c r="I14" s="9">
        <f t="shared" si="0"/>
        <v>4069.1404009560806</v>
      </c>
      <c r="J14" s="41">
        <f>'Base values'!C67</f>
        <v>0.85869565217391319</v>
      </c>
      <c r="K14" s="36">
        <f t="shared" si="1"/>
        <v>451.54266036031089</v>
      </c>
      <c r="L14" s="36">
        <f t="shared" si="2"/>
        <v>3617.5977405957697</v>
      </c>
    </row>
    <row r="15" spans="1:12">
      <c r="A15" s="28">
        <f t="shared" si="3"/>
        <v>11</v>
      </c>
      <c r="B15" s="9">
        <f>'Base values'!F15-'Base values'!E15</f>
        <v>82680.894466003141</v>
      </c>
      <c r="C15" s="9">
        <f>B15*(1-'Base values'!J$40)</f>
        <v>2637.981776716234</v>
      </c>
      <c r="D15" s="9">
        <f>B16*('Base values'!J$40-'Base values'!J$41)</f>
        <v>899.03545929660095</v>
      </c>
      <c r="E15" s="9">
        <f>B17*('Base values'!J$41-'Base values'!J$42)</f>
        <v>324.01191711668781</v>
      </c>
      <c r="F15" s="9">
        <f>B18*('Base values'!J$42-'Base values'!J$43)</f>
        <v>200.54537515808565</v>
      </c>
      <c r="G15" s="9">
        <f>B19*('Base values'!J$43-'Base values'!J$44)</f>
        <v>158.87437294033802</v>
      </c>
      <c r="H15" s="9">
        <f>B20*('Base values'!J$44-'Base values'!J$45)</f>
        <v>73.776898132829302</v>
      </c>
      <c r="I15" s="9">
        <f t="shared" si="0"/>
        <v>4294.2257993607755</v>
      </c>
      <c r="J15" s="41">
        <f>'Base values'!C68</f>
        <v>0.91304347826086973</v>
      </c>
      <c r="K15" s="36">
        <f t="shared" si="1"/>
        <v>290.99578952957597</v>
      </c>
      <c r="L15" s="36">
        <f t="shared" si="2"/>
        <v>4003.2300098311994</v>
      </c>
    </row>
    <row r="16" spans="1:12">
      <c r="A16" s="28">
        <f t="shared" si="3"/>
        <v>12</v>
      </c>
      <c r="B16" s="9">
        <f>'Base values'!F16-'Base values'!E16</f>
        <v>87484.212459545393</v>
      </c>
      <c r="C16" s="9">
        <f>B16*(1-'Base values'!J$40)</f>
        <v>2791.2344164775</v>
      </c>
      <c r="D16" s="9">
        <f>B17*('Base values'!J$40-'Base values'!J$41)</f>
        <v>951.54040043347925</v>
      </c>
      <c r="E16" s="9">
        <f>B18*('Base values'!J$41-'Base values'!J$42)</f>
        <v>341.24578473245441</v>
      </c>
      <c r="F16" s="9">
        <f>B19*('Base values'!J$42-'Base values'!J$43)</f>
        <v>209.47617839906536</v>
      </c>
      <c r="G16" s="9">
        <f>B20*('Base values'!J$43-'Base values'!J$44)</f>
        <v>163.83136673838743</v>
      </c>
      <c r="H16" s="9">
        <f>B21*('Base values'!J$44-'Base values'!J$45)</f>
        <v>74.600160466322876</v>
      </c>
      <c r="I16" s="9">
        <f t="shared" si="0"/>
        <v>4531.928307247209</v>
      </c>
      <c r="J16" s="41">
        <f>'Base values'!C69</f>
        <v>0.94565217391304346</v>
      </c>
      <c r="K16" s="36">
        <f t="shared" si="1"/>
        <v>186.43520726543915</v>
      </c>
      <c r="L16" s="36">
        <f t="shared" si="2"/>
        <v>4345.4930999817698</v>
      </c>
    </row>
    <row r="17" spans="1:12">
      <c r="A17" s="28">
        <f t="shared" si="3"/>
        <v>13</v>
      </c>
      <c r="B17" s="9">
        <f>'Base values'!F17-'Base values'!E17</f>
        <v>92593.414080122617</v>
      </c>
      <c r="C17" s="9">
        <f>B17*(1-'Base values'!J$40)</f>
        <v>2954.2464503421515</v>
      </c>
      <c r="D17" s="9">
        <f>B18*('Base values'!J$40-'Base values'!J$41)</f>
        <v>1002.1518762028053</v>
      </c>
      <c r="E17" s="9">
        <f>B19*('Base values'!J$41-'Base values'!J$42)</f>
        <v>356.44234041396498</v>
      </c>
      <c r="F17" s="9">
        <f>B20*('Base values'!J$42-'Base values'!J$43)</f>
        <v>216.01198463354976</v>
      </c>
      <c r="G17" s="9">
        <f>B21*('Base values'!J$43-'Base values'!J$44)</f>
        <v>165.6595297093713</v>
      </c>
      <c r="H17" s="9">
        <f>B22*('Base values'!J$44-'Base values'!J$45)</f>
        <v>73.502101994868298</v>
      </c>
      <c r="I17" s="9">
        <f t="shared" si="0"/>
        <v>4768.0142832967113</v>
      </c>
      <c r="J17" s="41">
        <f>'Base values'!C70</f>
        <v>0.96739130434782605</v>
      </c>
      <c r="K17" s="36">
        <f t="shared" si="1"/>
        <v>107.22707855683993</v>
      </c>
      <c r="L17" s="36">
        <f t="shared" si="2"/>
        <v>4660.7872047398714</v>
      </c>
    </row>
    <row r="18" spans="1:12">
      <c r="A18" s="28">
        <f t="shared" si="3"/>
        <v>14</v>
      </c>
      <c r="B18" s="9">
        <f>'Base values'!F18-'Base values'!E18</f>
        <v>97518.364540429335</v>
      </c>
      <c r="C18" s="9">
        <f>B18*(1-'Base values'!J$40)</f>
        <v>3111.3798443315136</v>
      </c>
      <c r="D18" s="9">
        <f>B19*('Base values'!J$40-'Base values'!J$41)</f>
        <v>1046.7802861917708</v>
      </c>
      <c r="E18" s="9">
        <f>B20*('Base values'!J$41-'Base values'!J$42)</f>
        <v>367.56359576870847</v>
      </c>
      <c r="F18" s="9">
        <f>B21*('Base values'!J$42-'Base values'!J$43)</f>
        <v>218.42242116629498</v>
      </c>
      <c r="G18" s="9">
        <f>B22*('Base values'!J$43-'Base values'!J$44)</f>
        <v>163.22114554454532</v>
      </c>
      <c r="H18" s="9">
        <f>B23*('Base values'!J$44-'Base values'!J$45)</f>
        <v>70.237012076796844</v>
      </c>
      <c r="I18" s="9">
        <f t="shared" si="0"/>
        <v>4977.6043050796288</v>
      </c>
      <c r="J18" s="41">
        <f>'Base values'!C71</f>
        <v>0.98913043478260865</v>
      </c>
      <c r="K18" s="36">
        <f t="shared" si="1"/>
        <v>33.819346134038341</v>
      </c>
      <c r="L18" s="36">
        <f t="shared" si="2"/>
        <v>4943.7849589455909</v>
      </c>
    </row>
    <row r="19" spans="1:12">
      <c r="A19" s="28">
        <f t="shared" si="3"/>
        <v>15</v>
      </c>
      <c r="B19" s="9">
        <f>'Base values'!F19-'Base values'!E19</f>
        <v>101861.10904603652</v>
      </c>
      <c r="C19" s="9">
        <f>B19*(1-'Base values'!J$40)</f>
        <v>3249.9376204745481</v>
      </c>
      <c r="D19" s="9">
        <f>B20*('Base values'!J$40-'Base values'!J$41)</f>
        <v>1079.4405780345689</v>
      </c>
      <c r="E19" s="9">
        <f>B21*('Base values'!J$41-'Base values'!J$42)</f>
        <v>371.66516782199574</v>
      </c>
      <c r="F19" s="9">
        <f>B22*('Base values'!J$42-'Base values'!J$43)</f>
        <v>215.20740676930126</v>
      </c>
      <c r="G19" s="9">
        <f>B23*('Base values'!J$43-'Base values'!J$44)</f>
        <v>155.97058124407437</v>
      </c>
      <c r="H19" s="9">
        <f>B24*('Base values'!J$44-'Base values'!J$45)</f>
        <v>64.788193312404275</v>
      </c>
      <c r="I19" s="9">
        <f t="shared" si="0"/>
        <v>5137.0095476568931</v>
      </c>
      <c r="J19" s="41">
        <f>'Base values'!C72</f>
        <v>1</v>
      </c>
      <c r="K19" s="36">
        <f t="shared" si="1"/>
        <v>0</v>
      </c>
      <c r="L19" s="36">
        <f t="shared" si="2"/>
        <v>5137.0095476568931</v>
      </c>
    </row>
    <row r="20" spans="1:12">
      <c r="A20" s="28">
        <f t="shared" si="3"/>
        <v>16</v>
      </c>
      <c r="B20" s="9">
        <f>'Base values'!F20-'Base values'!E20</f>
        <v>105039.24832966569</v>
      </c>
      <c r="C20" s="9">
        <f>B20*(1-'Base values'!J$40)</f>
        <v>3351.3379931752452</v>
      </c>
      <c r="D20" s="9">
        <f>B21*('Base values'!J$40-'Base values'!J$41)</f>
        <v>1091.4858495440924</v>
      </c>
      <c r="E20" s="9">
        <f>B22*('Base values'!J$41-'Base values'!J$42)</f>
        <v>366.19453500404404</v>
      </c>
      <c r="F20" s="9">
        <f>B23*('Base values'!J$42-'Base values'!J$43)</f>
        <v>205.64752324126547</v>
      </c>
      <c r="G20" s="9">
        <f>B24*('Base values'!J$43-'Base values'!J$44)</f>
        <v>143.87075802200025</v>
      </c>
      <c r="H20" s="9">
        <f>B25*('Base values'!J$44-'Base values'!J$45)</f>
        <v>57.515172813068993</v>
      </c>
      <c r="I20" s="9">
        <f t="shared" si="0"/>
        <v>5216.0518317997166</v>
      </c>
      <c r="J20" s="41">
        <f>'Base values'!C73</f>
        <v>1</v>
      </c>
      <c r="K20" s="36">
        <f t="shared" si="1"/>
        <v>0</v>
      </c>
      <c r="L20" s="36">
        <f t="shared" si="2"/>
        <v>5216.0518317997166</v>
      </c>
    </row>
    <row r="21" spans="1:12">
      <c r="A21" s="28">
        <f t="shared" si="3"/>
        <v>17</v>
      </c>
      <c r="B21" s="9">
        <f>'Base values'!F21-'Base values'!E21</f>
        <v>106211.36126578561</v>
      </c>
      <c r="C21" s="9">
        <f>B21*(1-'Base values'!J$40)</f>
        <v>3388.7349345812081</v>
      </c>
      <c r="D21" s="9">
        <f>B22*('Base values'!J$40-'Base values'!J$41)</f>
        <v>1075.4199955824815</v>
      </c>
      <c r="E21" s="9">
        <f>B23*('Base values'!J$41-'Base values'!J$42)</f>
        <v>349.9275432875616</v>
      </c>
      <c r="F21" s="9">
        <f>B24*('Base values'!J$42-'Base values'!J$43)</f>
        <v>189.69388212876095</v>
      </c>
      <c r="G21" s="9">
        <f>B25*('Base values'!J$43-'Base values'!J$44)</f>
        <v>127.72005341285384</v>
      </c>
      <c r="H21" s="9">
        <f>B26*('Base values'!J$44-'Base values'!J$45)</f>
        <v>49.123731546951014</v>
      </c>
      <c r="I21" s="9">
        <f t="shared" si="0"/>
        <v>5180.6201405398178</v>
      </c>
      <c r="J21" s="41">
        <f>'Base values'!C74</f>
        <v>1</v>
      </c>
      <c r="K21" s="36">
        <f t="shared" si="1"/>
        <v>0</v>
      </c>
      <c r="L21" s="36">
        <f t="shared" si="2"/>
        <v>5180.6201405398178</v>
      </c>
    </row>
    <row r="22" spans="1:12">
      <c r="A22" s="28">
        <f t="shared" si="3"/>
        <v>18</v>
      </c>
      <c r="B22" s="9">
        <f>'Base values'!F22-'Base values'!E22</f>
        <v>104648.00960174639</v>
      </c>
      <c r="C22" s="9">
        <f>B22*(1-'Base values'!J$40)</f>
        <v>3338.8552951920842</v>
      </c>
      <c r="D22" s="9">
        <f>B23*('Base values'!J$40-'Base values'!J$41)</f>
        <v>1027.6479878443361</v>
      </c>
      <c r="E22" s="9">
        <f>B24*('Base values'!J$41-'Base values'!J$42)</f>
        <v>322.78100462275779</v>
      </c>
      <c r="F22" s="9">
        <f>B25*('Base values'!J$42-'Base values'!J$43)</f>
        <v>168.39914580746233</v>
      </c>
      <c r="G22" s="9">
        <f>B26*('Base values'!J$43-'Base values'!J$44)</f>
        <v>109.08574746713856</v>
      </c>
      <c r="H22" s="9">
        <f>B27*('Base values'!J$44-'Base values'!J$45)</f>
        <v>40.397121099892956</v>
      </c>
      <c r="I22" s="9">
        <f t="shared" si="0"/>
        <v>5007.1663020336709</v>
      </c>
      <c r="J22" s="41">
        <f>'Base values'!C75</f>
        <v>1</v>
      </c>
      <c r="K22" s="36">
        <f t="shared" si="1"/>
        <v>0</v>
      </c>
      <c r="L22" s="36">
        <f t="shared" si="2"/>
        <v>5007.1663020336709</v>
      </c>
    </row>
    <row r="23" spans="1:12">
      <c r="A23" s="28">
        <f t="shared" si="3"/>
        <v>19</v>
      </c>
      <c r="B23" s="9">
        <f>'Base values'!F23-'Base values'!E23</f>
        <v>99999.364844338474</v>
      </c>
      <c r="C23" s="9">
        <f>B23*(1-'Base values'!J$40)</f>
        <v>3190.5375945228939</v>
      </c>
      <c r="D23" s="9">
        <f>B24*('Base values'!J$40-'Base values'!J$41)</f>
        <v>947.92552423449388</v>
      </c>
      <c r="E23" s="9">
        <f>B25*('Base values'!J$41-'Base values'!J$42)</f>
        <v>286.54611762571773</v>
      </c>
      <c r="F23" s="9">
        <f>B26*('Base values'!J$42-'Base values'!J$43)</f>
        <v>143.82977615781294</v>
      </c>
      <c r="G23" s="9">
        <f>B27*('Base values'!J$43-'Base values'!J$44)</f>
        <v>89.70715399522318</v>
      </c>
      <c r="H23" s="9">
        <f>B28*('Base values'!J$44-'Base values'!J$45)</f>
        <v>31.975008858551192</v>
      </c>
      <c r="I23" s="9">
        <f t="shared" si="0"/>
        <v>4690.5211753946933</v>
      </c>
      <c r="J23" s="41">
        <f>'Base values'!C76</f>
        <v>1</v>
      </c>
      <c r="K23" s="36">
        <f t="shared" si="1"/>
        <v>0</v>
      </c>
      <c r="L23" s="36">
        <f t="shared" si="2"/>
        <v>4690.5211753946933</v>
      </c>
    </row>
    <row r="24" spans="1:12">
      <c r="A24" s="28">
        <f t="shared" si="3"/>
        <v>20</v>
      </c>
      <c r="B24" s="9">
        <f>'Base values'!F24-'Base values'!E24</f>
        <v>92241.654208877473</v>
      </c>
      <c r="C24" s="9">
        <f>B24*(1-'Base values'!J$40)</f>
        <v>2943.0233481234609</v>
      </c>
      <c r="D24" s="9">
        <f>B25*('Base values'!J$40-'Base values'!J$41)</f>
        <v>841.51289845934889</v>
      </c>
      <c r="E24" s="9">
        <f>B26*('Base values'!J$41-'Base values'!J$42)</f>
        <v>244.73915089877488</v>
      </c>
      <c r="F24" s="9">
        <f>B27*('Base values'!J$42-'Base values'!J$43)</f>
        <v>118.27906191662871</v>
      </c>
      <c r="G24" s="9">
        <f>B28*('Base values'!J$43-'Base values'!J$44)</f>
        <v>71.004739089694141</v>
      </c>
      <c r="H24" s="9">
        <f>B29*('Base values'!J$44-'Base values'!J$45)</f>
        <v>24.24851135165283</v>
      </c>
      <c r="I24" s="9">
        <f t="shared" si="0"/>
        <v>4242.8077098395606</v>
      </c>
      <c r="J24" s="41">
        <f>'Base values'!C77</f>
        <v>1</v>
      </c>
      <c r="K24" s="36">
        <f t="shared" si="1"/>
        <v>0</v>
      </c>
      <c r="L24" s="36">
        <f t="shared" si="2"/>
        <v>4242.8077098395606</v>
      </c>
    </row>
    <row r="25" spans="1:12">
      <c r="A25" s="28">
        <f t="shared" si="3"/>
        <v>21</v>
      </c>
      <c r="B25" s="9">
        <f>'Base values'!F25-'Base values'!E25</f>
        <v>81886.751445671107</v>
      </c>
      <c r="C25" s="9">
        <f>B25*(1-'Base values'!J$40)</f>
        <v>2612.6441841651072</v>
      </c>
      <c r="D25" s="9">
        <f>B26*('Base values'!J$40-'Base values'!J$41)</f>
        <v>718.73649500398506</v>
      </c>
      <c r="E25" s="9">
        <f>B27*('Base values'!J$41-'Base values'!J$42)</f>
        <v>201.26233910576019</v>
      </c>
      <c r="F25" s="9">
        <f>B28*('Base values'!J$42-'Base values'!J$43)</f>
        <v>93.619890467277614</v>
      </c>
      <c r="G25" s="9">
        <f>B29*('Base values'!J$43-'Base values'!J$44)</f>
        <v>53.847028767191077</v>
      </c>
      <c r="H25" s="9">
        <f>B30*('Base values'!J$44-'Base values'!J$45)</f>
        <v>17.689363707448649</v>
      </c>
      <c r="I25" s="9">
        <f t="shared" si="0"/>
        <v>3697.7993012167694</v>
      </c>
      <c r="J25" s="41">
        <f>'Base values'!C78</f>
        <v>1</v>
      </c>
      <c r="K25" s="36">
        <f t="shared" si="1"/>
        <v>0</v>
      </c>
      <c r="L25" s="36">
        <f t="shared" si="2"/>
        <v>3697.7993012167694</v>
      </c>
    </row>
    <row r="26" spans="1:12">
      <c r="A26" s="28">
        <f t="shared" si="3"/>
        <v>22</v>
      </c>
      <c r="B26" s="9">
        <f>'Base values'!F26-'Base values'!E26</f>
        <v>69939.506368917864</v>
      </c>
      <c r="C26" s="9">
        <f>B26*(1-'Base values'!J$40)</f>
        <v>2231.4604173712337</v>
      </c>
      <c r="D26" s="9">
        <f>B27*('Base values'!J$40-'Base values'!J$41)</f>
        <v>591.05618228203832</v>
      </c>
      <c r="E26" s="9">
        <f>B28*('Base values'!J$41-'Base values'!J$42)</f>
        <v>159.30256663305812</v>
      </c>
      <c r="F26" s="9">
        <f>B29*('Base values'!J$42-'Base values'!J$43)</f>
        <v>70.997415099360111</v>
      </c>
      <c r="G26" s="9">
        <f>B30*('Base values'!J$43-'Base values'!J$44)</f>
        <v>39.281573314535351</v>
      </c>
      <c r="H26" s="9">
        <f>B31*('Base values'!J$44-'Base values'!J$45)</f>
        <v>12.377756887119014</v>
      </c>
      <c r="I26" s="9">
        <f t="shared" si="0"/>
        <v>3104.4759115873449</v>
      </c>
      <c r="J26" s="41">
        <f>'Base values'!C79</f>
        <v>1</v>
      </c>
      <c r="K26" s="36">
        <f t="shared" si="1"/>
        <v>0</v>
      </c>
      <c r="L26" s="36">
        <f t="shared" si="2"/>
        <v>3104.4759115873449</v>
      </c>
    </row>
    <row r="27" spans="1:12" s="116" customFormat="1">
      <c r="A27" s="121">
        <f t="shared" ref="A27:A33" si="4">1+A26</f>
        <v>23</v>
      </c>
      <c r="B27" s="122">
        <f>'Base values'!F27-'Base values'!E27</f>
        <v>57515.066943795158</v>
      </c>
      <c r="C27" s="122">
        <f>B27*(1-'Base values'!J$40)</f>
        <v>1835.051488790217</v>
      </c>
      <c r="D27" s="122">
        <f>B28*('Base values'!J$40-'Base values'!J$41)</f>
        <v>467.83102730604492</v>
      </c>
      <c r="E27" s="122">
        <f>B29*('Base values'!J$41-'Base values'!J$42)</f>
        <v>120.80841360943315</v>
      </c>
      <c r="F27" s="122">
        <f>B30*('Base values'!J$42-'Base values'!J$43)</f>
        <v>51.792832960679164</v>
      </c>
      <c r="G27" s="122">
        <f>B31*('Base values'!J$43-'Base values'!J$44)</f>
        <v>27.486447374369011</v>
      </c>
      <c r="H27" s="122">
        <f>B32*('Base values'!J$44-'Base values'!J$45)</f>
        <v>8.3271955520929826</v>
      </c>
      <c r="I27" s="122">
        <f t="shared" si="0"/>
        <v>2511.2974055928366</v>
      </c>
      <c r="J27" s="132">
        <f>'Base values'!C80</f>
        <v>1</v>
      </c>
      <c r="K27" s="126">
        <f t="shared" si="1"/>
        <v>0</v>
      </c>
      <c r="L27" s="126">
        <f t="shared" si="2"/>
        <v>2511.2974055928366</v>
      </c>
    </row>
    <row r="28" spans="1:12" s="116" customFormat="1">
      <c r="A28" s="121">
        <f t="shared" si="4"/>
        <v>24</v>
      </c>
      <c r="B28" s="122">
        <f>'Base values'!F28-'Base values'!E28</f>
        <v>45524.15431982078</v>
      </c>
      <c r="C28" s="122">
        <f>B28*(1-'Base values'!J$40)</f>
        <v>1452.474483636415</v>
      </c>
      <c r="D28" s="122">
        <f>B29*('Base values'!J$40-'Base values'!J$41)</f>
        <v>354.78351316397561</v>
      </c>
      <c r="E28" s="122">
        <f>B30*('Base values'!J$41-'Base values'!J$42)</f>
        <v>88.130109773171213</v>
      </c>
      <c r="F28" s="122">
        <f>B31*('Base values'!J$42-'Base values'!J$43)</f>
        <v>36.24093582362746</v>
      </c>
      <c r="G28" s="122">
        <f>B32*('Base values'!J$43-'Base values'!J$44)</f>
        <v>18.491639834748575</v>
      </c>
      <c r="H28" s="122">
        <f>B33*('Base values'!J$44-'Base values'!J$45)</f>
        <v>5.3572740586177279</v>
      </c>
      <c r="I28" s="122">
        <f t="shared" si="0"/>
        <v>1955.4779562905558</v>
      </c>
      <c r="J28" s="132">
        <f>'Base values'!C81</f>
        <v>1</v>
      </c>
      <c r="K28" s="126">
        <f t="shared" si="1"/>
        <v>0</v>
      </c>
      <c r="L28" s="126">
        <f t="shared" si="2"/>
        <v>1955.4779562905558</v>
      </c>
    </row>
    <row r="29" spans="1:12" s="116" customFormat="1">
      <c r="A29" s="121">
        <f t="shared" si="4"/>
        <v>25</v>
      </c>
      <c r="B29" s="122">
        <f>'Base values'!F29-'Base values'!E29</f>
        <v>34523.6174189003</v>
      </c>
      <c r="C29" s="122">
        <f>B29*(1-'Base values'!J$40)</f>
        <v>1101.4959889534036</v>
      </c>
      <c r="D29" s="122">
        <f>B30*('Base values'!J$40-'Base values'!J$41)</f>
        <v>258.81566545470355</v>
      </c>
      <c r="E29" s="122">
        <f>B31*('Base values'!J$41-'Base values'!J$42)</f>
        <v>61.667174198475415</v>
      </c>
      <c r="F29" s="122">
        <f>B32*('Base values'!J$42-'Base values'!J$43)</f>
        <v>24.381264097071782</v>
      </c>
      <c r="G29" s="122">
        <f>B33*('Base values'!J$43-'Base values'!J$44)</f>
        <v>11.896536086882396</v>
      </c>
      <c r="H29" s="122">
        <f>B34*('Base values'!J$44-'Base values'!J$45)</f>
        <v>0</v>
      </c>
      <c r="I29" s="122">
        <f t="shared" si="0"/>
        <v>1458.2566287905368</v>
      </c>
      <c r="J29" s="132">
        <f>'Base values'!C82</f>
        <v>1</v>
      </c>
      <c r="K29" s="126">
        <f t="shared" si="1"/>
        <v>0</v>
      </c>
      <c r="L29" s="126">
        <f t="shared" si="2"/>
        <v>1458.2566287905368</v>
      </c>
    </row>
    <row r="30" spans="1:12" s="116" customFormat="1">
      <c r="A30" s="121">
        <f t="shared" si="4"/>
        <v>26</v>
      </c>
      <c r="B30" s="122">
        <f>'Base values'!F30-'Base values'!E30</f>
        <v>25185.085227019939</v>
      </c>
      <c r="C30" s="122">
        <f>B30*(1-'Base values'!J$40)</f>
        <v>803.54471614046008</v>
      </c>
      <c r="D30" s="122">
        <f>B31*('Base values'!J$40-'Base values'!J$41)</f>
        <v>181.10076985003661</v>
      </c>
      <c r="E30" s="122">
        <f>B32*('Base values'!J$41-'Base values'!J$42)</f>
        <v>41.486888406257165</v>
      </c>
      <c r="F30" s="122">
        <f>B33*('Base values'!J$42-'Base values'!J$43)</f>
        <v>15.68560661827147</v>
      </c>
      <c r="G30" s="122">
        <f>B34*('Base values'!J$43-'Base values'!J$44)</f>
        <v>0</v>
      </c>
      <c r="H30" s="122">
        <f>B35*('Base values'!J$44-'Base values'!J$45)</f>
        <v>0</v>
      </c>
      <c r="I30" s="122">
        <f t="shared" si="0"/>
        <v>1041.8179810150255</v>
      </c>
      <c r="J30" s="132">
        <f>'Base values'!C83</f>
        <v>1</v>
      </c>
      <c r="K30" s="126">
        <f t="shared" si="1"/>
        <v>0</v>
      </c>
      <c r="L30" s="126">
        <f t="shared" si="2"/>
        <v>1041.8179810150255</v>
      </c>
    </row>
    <row r="31" spans="1:12" s="116" customFormat="1">
      <c r="A31" s="121">
        <f t="shared" si="4"/>
        <v>27</v>
      </c>
      <c r="B31" s="122">
        <f>'Base values'!F31-'Base values'!E31</f>
        <v>17622.728961707078</v>
      </c>
      <c r="C31" s="122">
        <f>B31*(1-'Base values'!J$40)</f>
        <v>562.26336395172723</v>
      </c>
      <c r="D31" s="122">
        <f>B32*('Base values'!J$40-'Base values'!J$41)</f>
        <v>121.83641502485906</v>
      </c>
      <c r="E31" s="122">
        <f>B33*('Base values'!J$41-'Base values'!J$42)</f>
        <v>26.690454144042221</v>
      </c>
      <c r="F31" s="122">
        <f>B34*('Base values'!J$42-'Base values'!J$43)</f>
        <v>0</v>
      </c>
      <c r="G31" s="122">
        <f>B35*('Base values'!J$43-'Base values'!J$44)</f>
        <v>0</v>
      </c>
      <c r="H31" s="122">
        <f>B36*('Base values'!J$44-'Base values'!J$45)</f>
        <v>0</v>
      </c>
      <c r="I31" s="122">
        <f t="shared" si="0"/>
        <v>710.7902331206285</v>
      </c>
      <c r="J31" s="132">
        <f>'Base values'!C84</f>
        <v>1</v>
      </c>
      <c r="K31" s="126">
        <f t="shared" si="1"/>
        <v>0</v>
      </c>
      <c r="L31" s="126">
        <f t="shared" si="2"/>
        <v>710.7902331206285</v>
      </c>
    </row>
    <row r="32" spans="1:12" s="116" customFormat="1">
      <c r="A32" s="121">
        <f t="shared" si="4"/>
        <v>28</v>
      </c>
      <c r="B32" s="122">
        <f>'Base values'!F32-'Base values'!E32</f>
        <v>11855.775772941659</v>
      </c>
      <c r="C32" s="122">
        <f>B32*(1-'Base values'!J$40)</f>
        <v>378.26538573205391</v>
      </c>
      <c r="D32" s="122">
        <f>B33*('Base values'!J$40-'Base values'!J$41)</f>
        <v>78.383059641682863</v>
      </c>
      <c r="E32" s="122">
        <f>B34*('Base values'!J$41-'Base values'!J$42)</f>
        <v>0</v>
      </c>
      <c r="F32" s="122">
        <f>B35*('Base values'!J$42-'Base values'!J$43)</f>
        <v>0</v>
      </c>
      <c r="G32" s="122">
        <f>B36*('Base values'!J$43-'Base values'!J$44)</f>
        <v>0</v>
      </c>
      <c r="H32" s="122">
        <f>B37*('Base values'!J$44-'Base values'!J$45)</f>
        <v>0</v>
      </c>
      <c r="I32" s="122">
        <f t="shared" si="0"/>
        <v>456.64844537373676</v>
      </c>
      <c r="J32" s="132">
        <f>'Base values'!C85</f>
        <v>1</v>
      </c>
      <c r="K32" s="126">
        <f t="shared" si="1"/>
        <v>0</v>
      </c>
      <c r="L32" s="126">
        <f t="shared" si="2"/>
        <v>456.64844537373676</v>
      </c>
    </row>
    <row r="33" spans="1:12" s="116" customFormat="1">
      <c r="A33" s="121">
        <f t="shared" si="4"/>
        <v>29</v>
      </c>
      <c r="B33" s="122">
        <f>'Base values'!F33-'Base values'!E33</f>
        <v>7627.3746180014859</v>
      </c>
      <c r="C33" s="122">
        <f>B33*(1-'Base values'!J$40)</f>
        <v>243.35580035057797</v>
      </c>
      <c r="D33" s="122">
        <f>B34*('Base values'!J$40-'Base values'!J$41)</f>
        <v>0</v>
      </c>
      <c r="E33" s="122">
        <f>B35*('Base values'!J$41-'Base values'!J$42)</f>
        <v>0</v>
      </c>
      <c r="F33" s="122">
        <f>B36*('Base values'!J$42-'Base values'!J$43)</f>
        <v>0</v>
      </c>
      <c r="G33" s="122">
        <f>B37*('Base values'!J$43-'Base values'!J$44)</f>
        <v>0</v>
      </c>
      <c r="H33" s="122">
        <f>B38*('Base values'!J$44-'Base values'!J$45)</f>
        <v>0</v>
      </c>
      <c r="I33" s="122">
        <f t="shared" si="0"/>
        <v>243.35580035057797</v>
      </c>
      <c r="J33" s="132">
        <f>'Base values'!C86</f>
        <v>1</v>
      </c>
      <c r="K33" s="126">
        <f t="shared" si="1"/>
        <v>0</v>
      </c>
      <c r="L33" s="126">
        <f t="shared" si="2"/>
        <v>243.35580035057797</v>
      </c>
    </row>
    <row r="37" spans="1:12">
      <c r="A37" s="8" t="s">
        <v>37</v>
      </c>
    </row>
    <row r="38" spans="1:12" ht="15.75">
      <c r="A38" s="54" t="s">
        <v>35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8"/>
  <sheetViews>
    <sheetView workbookViewId="0">
      <selection activeCell="B4" sqref="B4"/>
    </sheetView>
  </sheetViews>
  <sheetFormatPr defaultRowHeight="12.75"/>
  <cols>
    <col min="1" max="1" width="14.5703125" customWidth="1"/>
    <col min="9" max="9" width="10.85546875" customWidth="1"/>
    <col min="10" max="11" width="12" customWidth="1"/>
    <col min="12" max="12" width="13.85546875" customWidth="1"/>
  </cols>
  <sheetData>
    <row r="1" spans="1:12" ht="15.75">
      <c r="A1" s="32" t="s">
        <v>31</v>
      </c>
    </row>
    <row r="2" spans="1:12">
      <c r="A2" s="34" t="s">
        <v>0</v>
      </c>
      <c r="B2" s="35"/>
      <c r="C2" s="301" t="s">
        <v>10</v>
      </c>
      <c r="D2" s="301"/>
      <c r="E2" s="301"/>
      <c r="F2" s="301"/>
      <c r="G2" s="301"/>
      <c r="H2" s="301"/>
      <c r="I2" s="35" t="s">
        <v>11</v>
      </c>
      <c r="J2" s="37" t="s">
        <v>22</v>
      </c>
      <c r="K2" s="38" t="s">
        <v>12</v>
      </c>
      <c r="L2" s="38" t="s">
        <v>12</v>
      </c>
    </row>
    <row r="3" spans="1:12">
      <c r="A3" s="69" t="s">
        <v>41</v>
      </c>
      <c r="B3" s="35" t="s">
        <v>9</v>
      </c>
      <c r="C3" s="35">
        <v>0</v>
      </c>
      <c r="D3" s="35">
        <v>1</v>
      </c>
      <c r="E3" s="35">
        <v>2</v>
      </c>
      <c r="F3" s="35">
        <v>3</v>
      </c>
      <c r="G3" s="35">
        <v>4</v>
      </c>
      <c r="H3" s="35">
        <v>5</v>
      </c>
      <c r="I3" s="35" t="s">
        <v>12</v>
      </c>
      <c r="J3" s="37" t="s">
        <v>15</v>
      </c>
      <c r="K3" s="38" t="s">
        <v>19</v>
      </c>
      <c r="L3" s="38" t="s">
        <v>20</v>
      </c>
    </row>
    <row r="4" spans="1:12">
      <c r="A4" s="28">
        <v>0</v>
      </c>
      <c r="B4" s="9">
        <f>'Base values'!E4</f>
        <v>7809</v>
      </c>
      <c r="C4" s="9">
        <f>B4*(1-'Base values'!$F$54)</f>
        <v>1468.0919999999996</v>
      </c>
      <c r="D4" s="9">
        <f>B5*('Base values'!$F$54-'Base values'!$F$55)</f>
        <v>2316.4790000000012</v>
      </c>
      <c r="E4" s="9">
        <f>B6*('Base values'!$F$55-'Base values'!$F$56)</f>
        <v>768.76749999999981</v>
      </c>
      <c r="F4" s="9">
        <f>B7*('Base values'!$F$56-'Base values'!$F$57)</f>
        <v>292.2299999999999</v>
      </c>
      <c r="G4" s="9">
        <f>B8*('Base values'!$F$57-'Base values'!$F$58)</f>
        <v>245.24499999999972</v>
      </c>
      <c r="H4" s="9">
        <f>B9*('Base values'!$F$58-'Base values'!$F$59)</f>
        <v>223.9230000000002</v>
      </c>
      <c r="I4" s="9">
        <f>SUM(C4:H4)</f>
        <v>5314.7365</v>
      </c>
      <c r="J4" s="10">
        <f>'Base values'!C57</f>
        <v>0</v>
      </c>
      <c r="K4" s="36">
        <f>C4*(1-J4)+D4*(1-J5)+E4*(1-J6)+F4*(1-J7)+G4*(1-J8)+H4*(1-J9)</f>
        <v>4852.8092500000002</v>
      </c>
      <c r="L4" s="36">
        <f>I4-K4</f>
        <v>461.92724999999973</v>
      </c>
    </row>
    <row r="5" spans="1:12">
      <c r="A5" s="28">
        <f>1+A4</f>
        <v>1</v>
      </c>
      <c r="B5" s="9">
        <f>'Base values'!E5</f>
        <v>9229</v>
      </c>
      <c r="C5" s="9">
        <f>B5*(1-'Base values'!$F$54)</f>
        <v>1735.0519999999995</v>
      </c>
      <c r="D5" s="9">
        <f>B6*('Base values'!$F$54-'Base values'!$F$55)</f>
        <v>2086.0610000000011</v>
      </c>
      <c r="E5" s="9">
        <f>B7*('Base values'!$F$55-'Base values'!$F$56)</f>
        <v>600.69499999999982</v>
      </c>
      <c r="F5" s="9">
        <f>B8*('Base values'!$F$56-'Base values'!$F$57)</f>
        <v>401.30999999999989</v>
      </c>
      <c r="G5" s="9">
        <f>B9*('Base values'!$F$57-'Base values'!$F$58)</f>
        <v>293.23249999999967</v>
      </c>
      <c r="H5" s="9">
        <f>B10*('Base values'!$F$58-'Base values'!$F$59)</f>
        <v>239.79900000000021</v>
      </c>
      <c r="I5" s="9">
        <f t="shared" ref="I5:I33" si="0">SUM(C5:H5)</f>
        <v>5356.1494999999995</v>
      </c>
      <c r="J5" s="10">
        <f>'Base values'!C58</f>
        <v>5.4347826086956513E-2</v>
      </c>
      <c r="K5" s="36">
        <f t="shared" ref="K5:K33" si="1">C5*(1-J5)+D5*(1-J6)+E5*(1-J7)+F5*(1-J8)+G5*(1-J9)+H5*(1-J10)</f>
        <v>4480.6484076086954</v>
      </c>
      <c r="L5" s="36">
        <f t="shared" ref="L5:L33" si="2">I5-K5</f>
        <v>875.50109239130416</v>
      </c>
    </row>
    <row r="6" spans="1:12">
      <c r="A6" s="28">
        <f t="shared" ref="A6:A29" si="3">1+A5</f>
        <v>2</v>
      </c>
      <c r="B6" s="9">
        <f>'Base values'!E6</f>
        <v>8311</v>
      </c>
      <c r="C6" s="9">
        <f>B6*(1-'Base values'!$F$54)</f>
        <v>1562.4679999999996</v>
      </c>
      <c r="D6" s="9">
        <f>B7*('Base values'!$F$54-'Base values'!$F$55)</f>
        <v>1629.9940000000008</v>
      </c>
      <c r="E6" s="9">
        <f>B8*('Base values'!$F$55-'Base values'!$F$56)</f>
        <v>824.91499999999974</v>
      </c>
      <c r="F6" s="9">
        <f>B9*('Base values'!$F$56-'Base values'!$F$57)</f>
        <v>479.83499999999981</v>
      </c>
      <c r="G6" s="9">
        <f>B10*('Base values'!$F$57-'Base values'!$F$58)</f>
        <v>314.02249999999964</v>
      </c>
      <c r="H6" s="9">
        <f>B11*('Base values'!$F$58-'Base values'!$F$59)</f>
        <v>328.29300000000029</v>
      </c>
      <c r="I6" s="9">
        <f t="shared" si="0"/>
        <v>5139.5275000000011</v>
      </c>
      <c r="J6" s="10">
        <f>'Base values'!C59</f>
        <v>0.13043478260869565</v>
      </c>
      <c r="K6" s="36">
        <f t="shared" si="1"/>
        <v>3743.7264945652164</v>
      </c>
      <c r="L6" s="36">
        <f t="shared" si="2"/>
        <v>1395.8010054347847</v>
      </c>
    </row>
    <row r="7" spans="1:12">
      <c r="A7" s="28">
        <f t="shared" si="3"/>
        <v>3</v>
      </c>
      <c r="B7" s="9">
        <f>'Base values'!E7</f>
        <v>6494</v>
      </c>
      <c r="C7" s="9">
        <f>B7*(1-'Base values'!$F$54)</f>
        <v>1220.8719999999996</v>
      </c>
      <c r="D7" s="9">
        <f>B8*('Base values'!$F$54-'Base values'!$F$55)</f>
        <v>2238.418000000001</v>
      </c>
      <c r="E7" s="9">
        <f>B9*('Base values'!$F$55-'Base values'!$F$56)</f>
        <v>986.32749999999965</v>
      </c>
      <c r="F7" s="9">
        <f>B10*('Base values'!$F$56-'Base values'!$F$57)</f>
        <v>513.85499999999979</v>
      </c>
      <c r="G7" s="9">
        <f>B11*('Base values'!$F$57-'Base values'!$F$58)</f>
        <v>429.90749999999952</v>
      </c>
      <c r="H7" s="9">
        <f>B12*('Base values'!$F$58-'Base values'!$F$59)</f>
        <v>370.50300000000033</v>
      </c>
      <c r="I7" s="9">
        <f t="shared" si="0"/>
        <v>5759.8829999999998</v>
      </c>
      <c r="J7" s="10">
        <f>'Base values'!C60</f>
        <v>0.21739130434782611</v>
      </c>
      <c r="K7" s="36">
        <f t="shared" si="1"/>
        <v>3560.2627554347823</v>
      </c>
      <c r="L7" s="36">
        <f t="shared" si="2"/>
        <v>2199.6202445652175</v>
      </c>
    </row>
    <row r="8" spans="1:12">
      <c r="A8" s="28">
        <f t="shared" si="3"/>
        <v>4</v>
      </c>
      <c r="B8" s="9">
        <f>'Base values'!E8</f>
        <v>8918</v>
      </c>
      <c r="C8" s="9">
        <f>B8*(1-'Base values'!$F$54)</f>
        <v>1676.5839999999996</v>
      </c>
      <c r="D8" s="9">
        <f>B9*('Base values'!$F$54-'Base values'!$F$55)</f>
        <v>2676.4130000000014</v>
      </c>
      <c r="E8" s="9">
        <f>B10*('Base values'!$F$55-'Base values'!$F$56)</f>
        <v>1056.2574999999997</v>
      </c>
      <c r="F8" s="9">
        <f>B11*('Base values'!$F$56-'Base values'!$F$57)</f>
        <v>703.48499999999979</v>
      </c>
      <c r="G8" s="9">
        <f>B12*('Base values'!$F$57-'Base values'!$F$58)</f>
        <v>485.18249999999944</v>
      </c>
      <c r="H8" s="9">
        <f>B13*('Base values'!$F$58-'Base values'!$F$59)</f>
        <v>432.07500000000039</v>
      </c>
      <c r="I8" s="9">
        <f t="shared" si="0"/>
        <v>7029.9970000000012</v>
      </c>
      <c r="J8" s="10">
        <f>'Base values'!C61</f>
        <v>0.31521739130434784</v>
      </c>
      <c r="K8" s="36">
        <f t="shared" si="1"/>
        <v>3665.2645489130427</v>
      </c>
      <c r="L8" s="36">
        <f t="shared" si="2"/>
        <v>3364.7324510869585</v>
      </c>
    </row>
    <row r="9" spans="1:12">
      <c r="A9" s="28">
        <f t="shared" si="3"/>
        <v>5</v>
      </c>
      <c r="B9" s="9">
        <f>'Base values'!E9</f>
        <v>10663</v>
      </c>
      <c r="C9" s="9">
        <f>B9*(1-'Base values'!$F$54)</f>
        <v>2004.6439999999993</v>
      </c>
      <c r="D9" s="9">
        <f>B10*('Base values'!$F$54-'Base values'!$F$55)</f>
        <v>2866.1690000000012</v>
      </c>
      <c r="E9" s="9">
        <f>B11*('Base values'!$F$55-'Base values'!$F$56)</f>
        <v>1446.0524999999996</v>
      </c>
      <c r="F9" s="9">
        <f>B12*('Base values'!$F$56-'Base values'!$F$57)</f>
        <v>793.93499999999972</v>
      </c>
      <c r="G9" s="9">
        <f>B13*('Base values'!$F$57-'Base values'!$F$58)</f>
        <v>565.81249999999932</v>
      </c>
      <c r="H9" s="9">
        <f>B14*('Base values'!$F$58-'Base values'!$F$59)</f>
        <v>508.93500000000046</v>
      </c>
      <c r="I9" s="9">
        <f t="shared" si="0"/>
        <v>8185.5479999999989</v>
      </c>
      <c r="J9" s="10">
        <f>'Base values'!C62</f>
        <v>0.42391304347826092</v>
      </c>
      <c r="K9" s="36">
        <f t="shared" si="1"/>
        <v>3435.8725434782596</v>
      </c>
      <c r="L9" s="36">
        <f t="shared" si="2"/>
        <v>4749.6754565217398</v>
      </c>
    </row>
    <row r="10" spans="1:12">
      <c r="A10" s="28">
        <f t="shared" si="3"/>
        <v>6</v>
      </c>
      <c r="B10" s="9">
        <f>'Base values'!E10</f>
        <v>11419</v>
      </c>
      <c r="C10" s="9">
        <f>B10*(1-'Base values'!$F$54)</f>
        <v>2146.7719999999995</v>
      </c>
      <c r="D10" s="9">
        <f>B11*('Base values'!$F$54-'Base values'!$F$55)</f>
        <v>3923.8830000000016</v>
      </c>
      <c r="E10" s="9">
        <f>B12*('Base values'!$F$55-'Base values'!$F$56)</f>
        <v>1631.9774999999995</v>
      </c>
      <c r="F10" s="9">
        <f>B13*('Base values'!$F$56-'Base values'!$F$57)</f>
        <v>925.87499999999966</v>
      </c>
      <c r="G10" s="9">
        <f>B14*('Base values'!$F$57-'Base values'!$F$58)</f>
        <v>666.4624999999993</v>
      </c>
      <c r="H10" s="9">
        <f>B15*('Base values'!$F$58-'Base values'!$F$59)</f>
        <v>561.8970000000005</v>
      </c>
      <c r="I10" s="9">
        <f t="shared" si="0"/>
        <v>9856.8670000000002</v>
      </c>
      <c r="J10" s="10">
        <f>'Base values'!C63</f>
        <v>0.53260869565217406</v>
      </c>
      <c r="K10" s="36">
        <f t="shared" si="1"/>
        <v>3238.908385869564</v>
      </c>
      <c r="L10" s="36">
        <f t="shared" si="2"/>
        <v>6617.9586141304362</v>
      </c>
    </row>
    <row r="11" spans="1:12">
      <c r="A11" s="28">
        <f t="shared" si="3"/>
        <v>7</v>
      </c>
      <c r="B11" s="9">
        <f>'Base values'!E11</f>
        <v>15633</v>
      </c>
      <c r="C11" s="9">
        <f>B11*(1-'Base values'!$F$54)</f>
        <v>2939.003999999999</v>
      </c>
      <c r="D11" s="9">
        <f>B12*('Base values'!$F$54-'Base values'!$F$55)</f>
        <v>4428.3930000000018</v>
      </c>
      <c r="E11" s="9">
        <f>B13*('Base values'!$F$55-'Base values'!$F$56)</f>
        <v>1903.1874999999993</v>
      </c>
      <c r="F11" s="9">
        <f>B14*('Base values'!$F$56-'Base values'!$F$57)</f>
        <v>1090.5749999999996</v>
      </c>
      <c r="G11" s="9">
        <f>B15*('Base values'!$F$57-'Base values'!$F$58)</f>
        <v>735.8174999999992</v>
      </c>
      <c r="H11" s="9">
        <f>B16*('Base values'!$F$58-'Base values'!$F$59)</f>
        <v>606.90000000000055</v>
      </c>
      <c r="I11" s="9">
        <f t="shared" si="0"/>
        <v>11703.877</v>
      </c>
      <c r="J11" s="10">
        <f>'Base values'!C64</f>
        <v>0.63043478260869579</v>
      </c>
      <c r="K11" s="36">
        <f t="shared" si="1"/>
        <v>2961.0896086956518</v>
      </c>
      <c r="L11" s="36">
        <f t="shared" si="2"/>
        <v>8742.7873913043477</v>
      </c>
    </row>
    <row r="12" spans="1:12">
      <c r="A12" s="28">
        <f t="shared" si="3"/>
        <v>8</v>
      </c>
      <c r="B12" s="9">
        <f>'Base values'!E12</f>
        <v>17643</v>
      </c>
      <c r="C12" s="9">
        <f>B12*(1-'Base values'!$F$54)</f>
        <v>3316.8839999999991</v>
      </c>
      <c r="D12" s="9">
        <f>B13*('Base values'!$F$54-'Base values'!$F$55)</f>
        <v>5164.3250000000025</v>
      </c>
      <c r="E12" s="9">
        <f>B14*('Base values'!$F$55-'Base values'!$F$56)</f>
        <v>2241.7374999999993</v>
      </c>
      <c r="F12" s="9">
        <f>B15*('Base values'!$F$56-'Base values'!$F$57)</f>
        <v>1204.0649999999996</v>
      </c>
      <c r="G12" s="9">
        <f>B16*('Base values'!$F$57-'Base values'!$F$58)</f>
        <v>794.74999999999909</v>
      </c>
      <c r="H12" s="9">
        <f>B17*('Base values'!$F$58-'Base values'!$F$59)</f>
        <v>650.83200000000056</v>
      </c>
      <c r="I12" s="9">
        <f t="shared" si="0"/>
        <v>13372.593500000001</v>
      </c>
      <c r="J12" s="10">
        <f>'Base values'!C65</f>
        <v>0.71739130434782605</v>
      </c>
      <c r="K12" s="36">
        <f t="shared" si="1"/>
        <v>2433.675951086956</v>
      </c>
      <c r="L12" s="36">
        <f t="shared" si="2"/>
        <v>10938.917548913045</v>
      </c>
    </row>
    <row r="13" spans="1:12">
      <c r="A13" s="28">
        <f t="shared" si="3"/>
        <v>9</v>
      </c>
      <c r="B13" s="9">
        <f>'Base values'!E13</f>
        <v>20575</v>
      </c>
      <c r="C13" s="9">
        <f>B13*(1-'Base values'!$F$54)</f>
        <v>3868.099999999999</v>
      </c>
      <c r="D13" s="9">
        <f>B14*('Base values'!$F$54-'Base values'!$F$55)</f>
        <v>6082.9850000000024</v>
      </c>
      <c r="E13" s="9">
        <f>B15*('Base values'!$F$55-'Base values'!$F$56)</f>
        <v>2475.0224999999991</v>
      </c>
      <c r="F13" s="9">
        <f>B16*('Base values'!$F$56-'Base values'!$F$57)</f>
        <v>1300.4999999999995</v>
      </c>
      <c r="G13" s="9">
        <f>B17*('Base values'!$F$57-'Base values'!$F$58)</f>
        <v>852.27999999999906</v>
      </c>
      <c r="H13" s="9">
        <f>B18*('Base values'!$F$58-'Base values'!$F$59)</f>
        <v>688.73700000000065</v>
      </c>
      <c r="I13" s="9">
        <f t="shared" si="0"/>
        <v>15267.6245</v>
      </c>
      <c r="J13" s="10">
        <f>'Base values'!C66</f>
        <v>0.80434782608695654</v>
      </c>
      <c r="K13" s="36">
        <f t="shared" si="1"/>
        <v>1937.5311086956508</v>
      </c>
      <c r="L13" s="36">
        <f t="shared" si="2"/>
        <v>13330.093391304348</v>
      </c>
    </row>
    <row r="14" spans="1:12">
      <c r="A14" s="28">
        <f t="shared" si="3"/>
        <v>10</v>
      </c>
      <c r="B14" s="9">
        <f>'Base values'!E14</f>
        <v>24235</v>
      </c>
      <c r="C14" s="9">
        <f>B14*(1-'Base values'!$F$54)</f>
        <v>4556.1799999999985</v>
      </c>
      <c r="D14" s="9">
        <f>B15*('Base values'!$F$54-'Base values'!$F$55)</f>
        <v>6716.0070000000032</v>
      </c>
      <c r="E14" s="9">
        <f>B16*('Base values'!$F$55-'Base values'!$F$56)</f>
        <v>2673.2499999999991</v>
      </c>
      <c r="F14" s="9">
        <f>B17*('Base values'!$F$56-'Base values'!$F$57)</f>
        <v>1394.6399999999994</v>
      </c>
      <c r="G14" s="9">
        <f>B18*('Base values'!$F$57-'Base values'!$F$58)</f>
        <v>901.917499999999</v>
      </c>
      <c r="H14" s="9">
        <f>B19*('Base values'!$F$58-'Base values'!$F$59)</f>
        <v>719.54400000000066</v>
      </c>
      <c r="I14" s="9">
        <f t="shared" si="0"/>
        <v>16961.538500000002</v>
      </c>
      <c r="J14" s="10">
        <f>'Base values'!C67</f>
        <v>0.85869565217391319</v>
      </c>
      <c r="K14" s="36">
        <f t="shared" si="1"/>
        <v>1428.374820652172</v>
      </c>
      <c r="L14" s="36">
        <f t="shared" si="2"/>
        <v>15533.16367934783</v>
      </c>
    </row>
    <row r="15" spans="1:12">
      <c r="A15" s="28">
        <f t="shared" si="3"/>
        <v>11</v>
      </c>
      <c r="B15" s="9">
        <f>'Base values'!E15</f>
        <v>26757</v>
      </c>
      <c r="C15" s="9">
        <f>B15*(1-'Base values'!$F$54)</f>
        <v>5030.3159999999989</v>
      </c>
      <c r="D15" s="9">
        <f>B16*('Base values'!$F$54-'Base values'!$F$55)</f>
        <v>7253.9000000000033</v>
      </c>
      <c r="E15" s="9">
        <f>B17*('Base values'!$F$55-'Base values'!$F$56)</f>
        <v>2866.7599999999993</v>
      </c>
      <c r="F15" s="9">
        <f>B18*('Base values'!$F$56-'Base values'!$F$57)</f>
        <v>1475.8649999999996</v>
      </c>
      <c r="G15" s="9">
        <f>B19*('Base values'!$F$57-'Base values'!$F$58)</f>
        <v>942.25999999999897</v>
      </c>
      <c r="H15" s="9">
        <f>B20*('Base values'!$F$58-'Base values'!$F$59)</f>
        <v>738.88500000000067</v>
      </c>
      <c r="I15" s="9">
        <f t="shared" si="0"/>
        <v>18307.986000000001</v>
      </c>
      <c r="J15" s="10">
        <f>'Base values'!C68</f>
        <v>0.91304347826086973</v>
      </c>
      <c r="K15" s="36">
        <f t="shared" si="1"/>
        <v>941.1757934782604</v>
      </c>
      <c r="L15" s="36">
        <f t="shared" si="2"/>
        <v>17366.810206521739</v>
      </c>
    </row>
    <row r="16" spans="1:12">
      <c r="A16" s="28">
        <f t="shared" si="3"/>
        <v>12</v>
      </c>
      <c r="B16" s="9">
        <f>'Base values'!E16</f>
        <v>28900</v>
      </c>
      <c r="C16" s="9">
        <f>B16*(1-'Base values'!$F$54)</f>
        <v>5433.199999999998</v>
      </c>
      <c r="D16" s="9">
        <f>B17*('Base values'!$F$54-'Base values'!$F$55)</f>
        <v>7778.9920000000038</v>
      </c>
      <c r="E16" s="9">
        <f>B18*('Base values'!$F$55-'Base values'!$F$56)</f>
        <v>3033.7224999999989</v>
      </c>
      <c r="F16" s="9">
        <f>B19*('Base values'!$F$56-'Base values'!$F$57)</f>
        <v>1541.8799999999994</v>
      </c>
      <c r="G16" s="9">
        <f>B20*('Base values'!$F$57-'Base values'!$F$58)</f>
        <v>967.58749999999895</v>
      </c>
      <c r="H16" s="9">
        <f>B21*('Base values'!$F$58-'Base values'!$F$59)</f>
        <v>743.65200000000061</v>
      </c>
      <c r="I16" s="9">
        <f t="shared" si="0"/>
        <v>19499.034000000003</v>
      </c>
      <c r="J16" s="10">
        <f>'Base values'!C69</f>
        <v>0.94565217391304346</v>
      </c>
      <c r="K16" s="36">
        <f t="shared" si="1"/>
        <v>581.92063586956579</v>
      </c>
      <c r="L16" s="36">
        <f t="shared" si="2"/>
        <v>18917.113364130437</v>
      </c>
    </row>
    <row r="17" spans="1:12">
      <c r="A17" s="28">
        <f t="shared" si="3"/>
        <v>13</v>
      </c>
      <c r="B17" s="9">
        <f>'Base values'!E17</f>
        <v>30992</v>
      </c>
      <c r="C17" s="9">
        <f>B17*(1-'Base values'!$F$54)</f>
        <v>5826.4959999999983</v>
      </c>
      <c r="D17" s="9">
        <f>B18*('Base values'!$F$54-'Base values'!$F$55)</f>
        <v>8232.0470000000041</v>
      </c>
      <c r="E17" s="9">
        <f>B19*('Base values'!$F$55-'Base values'!$F$56)</f>
        <v>3169.4199999999992</v>
      </c>
      <c r="F17" s="9">
        <f>B20*('Base values'!$F$56-'Base values'!$F$57)</f>
        <v>1583.3249999999994</v>
      </c>
      <c r="G17" s="9">
        <f>B21*('Base values'!$F$57-'Base values'!$F$58)</f>
        <v>973.8299999999989</v>
      </c>
      <c r="H17" s="9">
        <f>B22*('Base values'!$F$58-'Base values'!$F$59)</f>
        <v>728.8260000000007</v>
      </c>
      <c r="I17" s="9">
        <f t="shared" si="0"/>
        <v>20513.944</v>
      </c>
      <c r="J17" s="10">
        <f>'Base values'!C70</f>
        <v>0.96739130434782605</v>
      </c>
      <c r="K17" s="36">
        <f t="shared" si="1"/>
        <v>279.47320652173971</v>
      </c>
      <c r="L17" s="36">
        <f t="shared" si="2"/>
        <v>20234.47079347826</v>
      </c>
    </row>
    <row r="18" spans="1:12">
      <c r="A18" s="28">
        <f t="shared" si="3"/>
        <v>14</v>
      </c>
      <c r="B18" s="9">
        <f>'Base values'!E18</f>
        <v>32797</v>
      </c>
      <c r="C18" s="9">
        <f>B18*(1-'Base values'!$F$54)</f>
        <v>6165.8359999999984</v>
      </c>
      <c r="D18" s="9">
        <f>B19*('Base values'!$F$54-'Base values'!$F$55)</f>
        <v>8600.2640000000047</v>
      </c>
      <c r="E18" s="9">
        <f>B20*('Base values'!$F$55-'Base values'!$F$56)</f>
        <v>3254.6124999999988</v>
      </c>
      <c r="F18" s="9">
        <f>B21*('Base values'!$F$56-'Base values'!$F$57)</f>
        <v>1593.5399999999995</v>
      </c>
      <c r="G18" s="9">
        <f>B22*('Base values'!$F$57-'Base values'!$F$58)</f>
        <v>954.41499999999894</v>
      </c>
      <c r="H18" s="9">
        <f>B23*('Base values'!$F$58-'Base values'!$F$59)</f>
        <v>692.79000000000065</v>
      </c>
      <c r="I18" s="9">
        <f t="shared" si="0"/>
        <v>21261.4575</v>
      </c>
      <c r="J18" s="10">
        <f>'Base values'!C71</f>
        <v>0.98913043478260865</v>
      </c>
      <c r="K18" s="36">
        <f t="shared" si="1"/>
        <v>67.019956521739417</v>
      </c>
      <c r="L18" s="36">
        <f t="shared" si="2"/>
        <v>21194.43754347826</v>
      </c>
    </row>
    <row r="19" spans="1:12">
      <c r="A19" s="28">
        <f t="shared" si="3"/>
        <v>15</v>
      </c>
      <c r="B19" s="9">
        <f>'Base values'!E19</f>
        <v>34264</v>
      </c>
      <c r="C19" s="9">
        <f>B19*(1-'Base values'!$F$54)</f>
        <v>6441.6319999999978</v>
      </c>
      <c r="D19" s="9">
        <f>B20*('Base values'!$F$54-'Base values'!$F$55)</f>
        <v>8831.4350000000031</v>
      </c>
      <c r="E19" s="9">
        <f>B21*('Base values'!$F$55-'Base values'!$F$56)</f>
        <v>3275.6099999999988</v>
      </c>
      <c r="F19" s="9">
        <f>B22*('Base values'!$F$56-'Base values'!$F$57)</f>
        <v>1561.7699999999995</v>
      </c>
      <c r="G19" s="9">
        <f>B23*('Base values'!$F$57-'Base values'!$F$58)</f>
        <v>907.224999999999</v>
      </c>
      <c r="H19" s="9">
        <f>B24*('Base values'!$F$58-'Base values'!$F$59)</f>
        <v>636.53100000000052</v>
      </c>
      <c r="I19" s="9">
        <f t="shared" si="0"/>
        <v>21654.202999999998</v>
      </c>
      <c r="J19" s="10">
        <f>'Base values'!C72</f>
        <v>1</v>
      </c>
      <c r="K19" s="36">
        <f t="shared" si="1"/>
        <v>0</v>
      </c>
      <c r="L19" s="36">
        <f t="shared" si="2"/>
        <v>21654.202999999998</v>
      </c>
    </row>
    <row r="20" spans="1:12">
      <c r="A20" s="28">
        <f t="shared" si="3"/>
        <v>16</v>
      </c>
      <c r="B20" s="9">
        <f>'Base values'!E20</f>
        <v>35185</v>
      </c>
      <c r="C20" s="9">
        <f>B20*(1-'Base values'!$F$54)</f>
        <v>6614.7799999999979</v>
      </c>
      <c r="D20" s="9">
        <f>B21*('Base values'!$F$54-'Base values'!$F$55)</f>
        <v>8888.4120000000039</v>
      </c>
      <c r="E20" s="9">
        <f>B22*('Base values'!$F$55-'Base values'!$F$56)</f>
        <v>3210.3049999999989</v>
      </c>
      <c r="F20" s="9">
        <f>B23*('Base values'!$F$56-'Base values'!$F$57)</f>
        <v>1484.5499999999995</v>
      </c>
      <c r="G20" s="9">
        <f>B24*('Base values'!$F$57-'Base values'!$F$58)</f>
        <v>833.5524999999991</v>
      </c>
      <c r="H20" s="9">
        <f>B25*('Base values'!$F$58-'Base values'!$F$59)</f>
        <v>564.48000000000047</v>
      </c>
      <c r="I20" s="9">
        <f t="shared" si="0"/>
        <v>21596.0795</v>
      </c>
      <c r="J20" s="10">
        <f>'Base values'!C73</f>
        <v>1</v>
      </c>
      <c r="K20" s="36">
        <f t="shared" si="1"/>
        <v>0</v>
      </c>
      <c r="L20" s="36">
        <f t="shared" si="2"/>
        <v>21596.0795</v>
      </c>
    </row>
    <row r="21" spans="1:12">
      <c r="A21" s="28">
        <f t="shared" si="3"/>
        <v>17</v>
      </c>
      <c r="B21" s="9">
        <f>'Base values'!E21</f>
        <v>35412</v>
      </c>
      <c r="C21" s="9">
        <f>B21*(1-'Base values'!$F$54)</f>
        <v>6657.4559999999983</v>
      </c>
      <c r="D21" s="9">
        <f>B22*('Base values'!$F$54-'Base values'!$F$55)</f>
        <v>8711.2060000000038</v>
      </c>
      <c r="E21" s="9">
        <f>B23*('Base values'!$F$55-'Base values'!$F$56)</f>
        <v>3051.5749999999989</v>
      </c>
      <c r="F21" s="9">
        <f>B24*('Base values'!$F$56-'Base values'!$F$57)</f>
        <v>1363.9949999999994</v>
      </c>
      <c r="G21" s="9">
        <f>B25*('Base values'!$F$57-'Base values'!$F$58)</f>
        <v>739.19999999999914</v>
      </c>
      <c r="H21" s="9">
        <f>B26*('Base values'!$F$58-'Base values'!$F$59)</f>
        <v>483.25200000000041</v>
      </c>
      <c r="I21" s="9">
        <f t="shared" si="0"/>
        <v>21006.684000000001</v>
      </c>
      <c r="J21" s="10">
        <f>'Base values'!C74</f>
        <v>1</v>
      </c>
      <c r="K21" s="36">
        <f t="shared" si="1"/>
        <v>0</v>
      </c>
      <c r="L21" s="36">
        <f t="shared" si="2"/>
        <v>21006.684000000001</v>
      </c>
    </row>
    <row r="22" spans="1:12">
      <c r="A22" s="28">
        <f t="shared" si="3"/>
        <v>18</v>
      </c>
      <c r="B22" s="9">
        <f>'Base values'!E22</f>
        <v>34706</v>
      </c>
      <c r="C22" s="9">
        <f>B22*(1-'Base values'!$F$54)</f>
        <v>6524.7279999999982</v>
      </c>
      <c r="D22" s="9">
        <f>B23*('Base values'!$F$54-'Base values'!$F$55)</f>
        <v>8280.4900000000034</v>
      </c>
      <c r="E22" s="9">
        <f>B24*('Base values'!$F$55-'Base values'!$F$56)</f>
        <v>2803.767499999999</v>
      </c>
      <c r="F22" s="9">
        <f>B25*('Base values'!$F$56-'Base values'!$F$57)</f>
        <v>1209.5999999999997</v>
      </c>
      <c r="G22" s="9">
        <f>B26*('Base values'!$F$57-'Base values'!$F$58)</f>
        <v>632.82999999999925</v>
      </c>
      <c r="H22" s="9">
        <f>B27*('Base values'!$F$58-'Base values'!$F$59)</f>
        <v>398.76900000000035</v>
      </c>
      <c r="I22" s="9">
        <f t="shared" si="0"/>
        <v>19850.184499999996</v>
      </c>
      <c r="J22" s="10">
        <f>'Base values'!C75</f>
        <v>1</v>
      </c>
      <c r="K22" s="36">
        <f t="shared" si="1"/>
        <v>0</v>
      </c>
      <c r="L22" s="36">
        <f t="shared" si="2"/>
        <v>19850.184499999996</v>
      </c>
    </row>
    <row r="23" spans="1:12">
      <c r="A23" s="28">
        <f t="shared" si="3"/>
        <v>19</v>
      </c>
      <c r="B23" s="9">
        <f>'Base values'!E23</f>
        <v>32990</v>
      </c>
      <c r="C23" s="9">
        <f>B23*(1-'Base values'!$F$54)</f>
        <v>6202.1199999999981</v>
      </c>
      <c r="D23" s="9">
        <f>B24*('Base values'!$F$54-'Base values'!$F$55)</f>
        <v>7608.0610000000033</v>
      </c>
      <c r="E23" s="9">
        <f>B25*('Base values'!$F$55-'Base values'!$F$56)</f>
        <v>2486.3999999999992</v>
      </c>
      <c r="F23" s="9">
        <f>B26*('Base values'!$F$56-'Base values'!$F$57)</f>
        <v>1035.5399999999997</v>
      </c>
      <c r="G23" s="9">
        <f>B27*('Base values'!$F$57-'Base values'!$F$58)</f>
        <v>522.19749999999942</v>
      </c>
      <c r="H23" s="9">
        <f>B28*('Base values'!$F$58-'Base values'!$F$59)</f>
        <v>316.6170000000003</v>
      </c>
      <c r="I23" s="9">
        <f t="shared" si="0"/>
        <v>18170.9355</v>
      </c>
      <c r="J23" s="10">
        <f>'Base values'!C76</f>
        <v>1</v>
      </c>
      <c r="K23" s="36">
        <f t="shared" si="1"/>
        <v>0</v>
      </c>
      <c r="L23" s="36">
        <f t="shared" si="2"/>
        <v>18170.9355</v>
      </c>
    </row>
    <row r="24" spans="1:12">
      <c r="A24" s="28">
        <f t="shared" si="3"/>
        <v>20</v>
      </c>
      <c r="B24" s="9">
        <f>'Base values'!E24</f>
        <v>30311</v>
      </c>
      <c r="C24" s="9">
        <f>B24*(1-'Base values'!$F$54)</f>
        <v>5698.467999999998</v>
      </c>
      <c r="D24" s="9">
        <f>B25*('Base values'!$F$54-'Base values'!$F$55)</f>
        <v>6746.8800000000028</v>
      </c>
      <c r="E24" s="9">
        <f>B26*('Base values'!$F$55-'Base values'!$F$56)</f>
        <v>2128.6099999999992</v>
      </c>
      <c r="F24" s="9">
        <f>B27*('Base values'!$F$56-'Base values'!$F$57)</f>
        <v>854.50499999999965</v>
      </c>
      <c r="G24" s="9">
        <f>B28*('Base values'!$F$57-'Base values'!$F$58)</f>
        <v>414.61749999999955</v>
      </c>
      <c r="H24" s="9">
        <f>B29*('Base values'!$F$58-'Base values'!$F$59)</f>
        <v>239.52600000000021</v>
      </c>
      <c r="I24" s="9">
        <f t="shared" si="0"/>
        <v>16082.6065</v>
      </c>
      <c r="J24" s="10">
        <f>'Base values'!C77</f>
        <v>1</v>
      </c>
      <c r="K24" s="36">
        <f t="shared" si="1"/>
        <v>0</v>
      </c>
      <c r="L24" s="36">
        <f t="shared" si="2"/>
        <v>16082.6065</v>
      </c>
    </row>
    <row r="25" spans="1:12">
      <c r="A25" s="28">
        <f t="shared" si="3"/>
        <v>21</v>
      </c>
      <c r="B25" s="9">
        <f>'Base values'!E25</f>
        <v>26880</v>
      </c>
      <c r="C25" s="9">
        <f>B25*(1-'Base values'!$F$54)</f>
        <v>5053.4399999999987</v>
      </c>
      <c r="D25" s="9">
        <f>B26*('Base values'!$F$54-'Base values'!$F$55)</f>
        <v>5776.0120000000024</v>
      </c>
      <c r="E25" s="9">
        <f>B27*('Base values'!$F$55-'Base values'!$F$56)</f>
        <v>1756.4824999999994</v>
      </c>
      <c r="F25" s="9">
        <f>B28*('Base values'!$F$56-'Base values'!$F$57)</f>
        <v>678.4649999999998</v>
      </c>
      <c r="G25" s="9">
        <f>B29*('Base values'!$F$57-'Base values'!$F$58)</f>
        <v>313.66499999999962</v>
      </c>
      <c r="H25" s="9">
        <f>B30*('Base values'!$F$58-'Base values'!$F$59)</f>
        <v>174.48900000000015</v>
      </c>
      <c r="I25" s="9">
        <f t="shared" si="0"/>
        <v>13752.5535</v>
      </c>
      <c r="J25" s="10">
        <f>'Base values'!C78</f>
        <v>1</v>
      </c>
      <c r="K25" s="36">
        <f t="shared" si="1"/>
        <v>0</v>
      </c>
      <c r="L25" s="36">
        <f t="shared" si="2"/>
        <v>13752.5535</v>
      </c>
    </row>
    <row r="26" spans="1:12">
      <c r="A26" s="28">
        <f t="shared" si="3"/>
        <v>22</v>
      </c>
      <c r="B26" s="9">
        <f>'Base values'!E26</f>
        <v>23012</v>
      </c>
      <c r="C26" s="9">
        <f>B26*(1-'Base values'!$F$54)</f>
        <v>4326.2559999999985</v>
      </c>
      <c r="D26" s="9">
        <f>B27*('Base values'!$F$54-'Base values'!$F$55)</f>
        <v>4766.2390000000023</v>
      </c>
      <c r="E26" s="9">
        <f>B28*('Base values'!$F$55-'Base values'!$F$56)</f>
        <v>1394.6224999999995</v>
      </c>
      <c r="F26" s="9">
        <f>B29*('Base values'!$F$56-'Base values'!$F$57)</f>
        <v>513.26999999999987</v>
      </c>
      <c r="G26" s="9">
        <f>B30*('Base values'!$F$57-'Base values'!$F$58)</f>
        <v>228.49749999999975</v>
      </c>
      <c r="H26" s="9">
        <f>B31*('Base values'!$F$58-'Base values'!$F$59)</f>
        <v>121.90500000000011</v>
      </c>
      <c r="I26" s="9">
        <f t="shared" si="0"/>
        <v>11350.79</v>
      </c>
      <c r="J26" s="10">
        <f>'Base values'!C79</f>
        <v>1</v>
      </c>
      <c r="K26" s="36">
        <f t="shared" si="1"/>
        <v>0</v>
      </c>
      <c r="L26" s="36">
        <f t="shared" si="2"/>
        <v>11350.79</v>
      </c>
    </row>
    <row r="27" spans="1:12" s="116" customFormat="1">
      <c r="A27" s="121">
        <f t="shared" si="3"/>
        <v>23</v>
      </c>
      <c r="B27" s="122">
        <f>'Base values'!E27</f>
        <v>18989</v>
      </c>
      <c r="C27" s="122">
        <f>B27*(1-'Base values'!$F$54)</f>
        <v>3569.9319999999989</v>
      </c>
      <c r="D27" s="122">
        <f>B28*('Base values'!$F$54-'Base values'!$F$55)</f>
        <v>3784.3270000000016</v>
      </c>
      <c r="E27" s="122">
        <f>B29*('Base values'!$F$55-'Base values'!$F$56)</f>
        <v>1055.0549999999996</v>
      </c>
      <c r="F27" s="122">
        <f>B30*('Base values'!$F$56-'Base values'!$F$57)</f>
        <v>373.90499999999986</v>
      </c>
      <c r="G27" s="122">
        <f>B31*('Base values'!$F$57-'Base values'!$F$58)</f>
        <v>159.63749999999982</v>
      </c>
      <c r="H27" s="122">
        <f>B32*('Base values'!$F$58-'Base values'!$F$59)</f>
        <v>82.488000000000071</v>
      </c>
      <c r="I27" s="122">
        <f t="shared" si="0"/>
        <v>9025.3445000000011</v>
      </c>
      <c r="J27" s="124">
        <f>'Base values'!C80</f>
        <v>1</v>
      </c>
      <c r="K27" s="126">
        <f t="shared" si="1"/>
        <v>0</v>
      </c>
      <c r="L27" s="126">
        <f t="shared" si="2"/>
        <v>9025.3445000000011</v>
      </c>
    </row>
    <row r="28" spans="1:12" s="116" customFormat="1">
      <c r="A28" s="121">
        <f t="shared" si="3"/>
        <v>24</v>
      </c>
      <c r="B28" s="122">
        <f>'Base values'!E28</f>
        <v>15077</v>
      </c>
      <c r="C28" s="122">
        <f>B28*(1-'Base values'!$F$54)</f>
        <v>2834.4759999999992</v>
      </c>
      <c r="D28" s="122">
        <f>B29*('Base values'!$F$54-'Base values'!$F$55)</f>
        <v>2862.9060000000013</v>
      </c>
      <c r="E28" s="122">
        <f>B30*('Base values'!$F$55-'Base values'!$F$56)</f>
        <v>768.58249999999975</v>
      </c>
      <c r="F28" s="122">
        <f>B31*('Base values'!$F$56-'Base values'!$F$57)</f>
        <v>261.22499999999991</v>
      </c>
      <c r="G28" s="122">
        <f>B32*('Base values'!$F$57-'Base values'!$F$58)</f>
        <v>108.01999999999988</v>
      </c>
      <c r="H28" s="122">
        <f>B33*('Base values'!$F$58-'Base values'!$F$59)</f>
        <v>53.844000000000051</v>
      </c>
      <c r="I28" s="122">
        <f t="shared" si="0"/>
        <v>6889.0535</v>
      </c>
      <c r="J28" s="124">
        <f>'Base values'!C81</f>
        <v>1</v>
      </c>
      <c r="K28" s="126">
        <f t="shared" si="1"/>
        <v>0</v>
      </c>
      <c r="L28" s="126">
        <f t="shared" si="2"/>
        <v>6889.0535</v>
      </c>
    </row>
    <row r="29" spans="1:12" s="116" customFormat="1">
      <c r="A29" s="121">
        <f t="shared" si="3"/>
        <v>25</v>
      </c>
      <c r="B29" s="122">
        <f>'Base values'!E29</f>
        <v>11406</v>
      </c>
      <c r="C29" s="122">
        <f>B29*(1-'Base values'!$F$54)</f>
        <v>2144.3279999999995</v>
      </c>
      <c r="D29" s="122">
        <f>B30*('Base values'!$F$54-'Base values'!$F$55)</f>
        <v>2085.5590000000011</v>
      </c>
      <c r="E29" s="122">
        <f>B31*('Base values'!$F$55-'Base values'!$F$56)</f>
        <v>536.96249999999986</v>
      </c>
      <c r="F29" s="122">
        <f>B32*('Base values'!$F$56-'Base values'!$F$57)</f>
        <v>176.75999999999993</v>
      </c>
      <c r="G29" s="122">
        <f>B33*('Base values'!$F$57-'Base values'!$F$58)</f>
        <v>70.50999999999992</v>
      </c>
      <c r="H29" s="122">
        <f>B34*('Base values'!$F$58-'Base values'!$F$59)</f>
        <v>0</v>
      </c>
      <c r="I29" s="122">
        <f t="shared" si="0"/>
        <v>5014.1195000000007</v>
      </c>
      <c r="J29" s="124">
        <f>'Base values'!C82</f>
        <v>1</v>
      </c>
      <c r="K29" s="126">
        <f t="shared" si="1"/>
        <v>0</v>
      </c>
      <c r="L29" s="126">
        <f t="shared" si="2"/>
        <v>5014.1195000000007</v>
      </c>
    </row>
    <row r="30" spans="1:12" s="116" customFormat="1">
      <c r="A30" s="121">
        <f>1+A29</f>
        <v>26</v>
      </c>
      <c r="B30" s="122">
        <f>'Base values'!E30</f>
        <v>8309</v>
      </c>
      <c r="C30" s="122">
        <f>B30*(1-'Base values'!$F$54)</f>
        <v>1562.0919999999996</v>
      </c>
      <c r="D30" s="122">
        <f>B31*('Base values'!$F$54-'Base values'!$F$55)</f>
        <v>1457.0550000000007</v>
      </c>
      <c r="E30" s="122">
        <f>B32*('Base values'!$F$55-'Base values'!$F$56)</f>
        <v>363.33999999999986</v>
      </c>
      <c r="F30" s="122">
        <f>B33*('Base values'!$F$56-'Base values'!$F$57)</f>
        <v>115.37999999999997</v>
      </c>
      <c r="G30" s="122">
        <f>B34*('Base values'!$F$57-'Base values'!$F$58)</f>
        <v>0</v>
      </c>
      <c r="H30" s="122">
        <f>B35*('Base values'!$F$58-'Base values'!$F$59)</f>
        <v>0</v>
      </c>
      <c r="I30" s="122">
        <f t="shared" si="0"/>
        <v>3497.8670000000002</v>
      </c>
      <c r="J30" s="124">
        <f>'Base values'!C83</f>
        <v>1</v>
      </c>
      <c r="K30" s="126">
        <f t="shared" si="1"/>
        <v>0</v>
      </c>
      <c r="L30" s="126">
        <f t="shared" si="2"/>
        <v>3497.8670000000002</v>
      </c>
    </row>
    <row r="31" spans="1:12" s="116" customFormat="1">
      <c r="A31" s="121">
        <f>1+A30</f>
        <v>27</v>
      </c>
      <c r="B31" s="122">
        <f>'Base values'!E31</f>
        <v>5805</v>
      </c>
      <c r="C31" s="122">
        <f>B31*(1-'Base values'!$F$54)</f>
        <v>1091.3399999999997</v>
      </c>
      <c r="D31" s="122">
        <f>B32*('Base values'!$F$54-'Base values'!$F$55)</f>
        <v>985.92800000000045</v>
      </c>
      <c r="E31" s="122">
        <f>B33*('Base values'!$F$55-'Base values'!$F$56)</f>
        <v>237.16999999999993</v>
      </c>
      <c r="F31" s="122">
        <f>B34*('Base values'!$F$56-'Base values'!$F$57)</f>
        <v>0</v>
      </c>
      <c r="G31" s="122">
        <f>B35*('Base values'!$F$57-'Base values'!$F$58)</f>
        <v>0</v>
      </c>
      <c r="H31" s="122">
        <f>B36*('Base values'!$F$58-'Base values'!$F$59)</f>
        <v>0</v>
      </c>
      <c r="I31" s="122">
        <f t="shared" si="0"/>
        <v>2314.4380000000001</v>
      </c>
      <c r="J31" s="124">
        <f>'Base values'!C84</f>
        <v>1</v>
      </c>
      <c r="K31" s="126">
        <f t="shared" si="1"/>
        <v>0</v>
      </c>
      <c r="L31" s="126">
        <f t="shared" si="2"/>
        <v>2314.4380000000001</v>
      </c>
    </row>
    <row r="32" spans="1:12" s="116" customFormat="1">
      <c r="A32" s="121">
        <f>1+A31</f>
        <v>28</v>
      </c>
      <c r="B32" s="122">
        <f>'Base values'!E32</f>
        <v>3928</v>
      </c>
      <c r="C32" s="122">
        <f>B32*(1-'Base values'!$F$54)</f>
        <v>738.46399999999983</v>
      </c>
      <c r="D32" s="122">
        <f>B33*('Base values'!$F$54-'Base values'!$F$55)</f>
        <v>643.56400000000031</v>
      </c>
      <c r="E32" s="122">
        <f>B34*('Base values'!$F$55-'Base values'!$F$56)</f>
        <v>0</v>
      </c>
      <c r="F32" s="122">
        <f>B35*('Base values'!$F$56-'Base values'!$F$57)</f>
        <v>0</v>
      </c>
      <c r="G32" s="122">
        <f>B36*('Base values'!$F$57-'Base values'!$F$58)</f>
        <v>0</v>
      </c>
      <c r="H32" s="122">
        <f>B37*('Base values'!$F$58-'Base values'!$F$59)</f>
        <v>0</v>
      </c>
      <c r="I32" s="122">
        <f t="shared" si="0"/>
        <v>1382.0280000000002</v>
      </c>
      <c r="J32" s="124">
        <f>'Base values'!C85</f>
        <v>1</v>
      </c>
      <c r="K32" s="126">
        <f t="shared" si="1"/>
        <v>0</v>
      </c>
      <c r="L32" s="126">
        <f t="shared" si="2"/>
        <v>1382.0280000000002</v>
      </c>
    </row>
    <row r="33" spans="1:12" s="116" customFormat="1">
      <c r="A33" s="121">
        <f>1+A32</f>
        <v>29</v>
      </c>
      <c r="B33" s="122">
        <f>'Base values'!E33</f>
        <v>2564</v>
      </c>
      <c r="C33" s="122">
        <f>B33*(1-'Base values'!$F$54)</f>
        <v>482.03199999999987</v>
      </c>
      <c r="D33" s="122">
        <f>B34*('Base values'!$F$54-'Base values'!$F$55)</f>
        <v>0</v>
      </c>
      <c r="E33" s="122">
        <f>B35*('Base values'!$F$55-'Base values'!$F$56)</f>
        <v>0</v>
      </c>
      <c r="F33" s="122">
        <f>B36*('Base values'!$F$56-'Base values'!$F$57)</f>
        <v>0</v>
      </c>
      <c r="G33" s="122">
        <f>B37*('Base values'!$F$57-'Base values'!$F$58)</f>
        <v>0</v>
      </c>
      <c r="H33" s="122">
        <f>B38*('Base values'!$F$58-'Base values'!$F$59)</f>
        <v>0</v>
      </c>
      <c r="I33" s="122">
        <f t="shared" si="0"/>
        <v>482.03199999999987</v>
      </c>
      <c r="J33" s="124">
        <f>'Base values'!C86</f>
        <v>1</v>
      </c>
      <c r="K33" s="126">
        <f t="shared" si="1"/>
        <v>0</v>
      </c>
      <c r="L33" s="126">
        <f t="shared" si="2"/>
        <v>482.03199999999987</v>
      </c>
    </row>
    <row r="37" spans="1:12">
      <c r="A37" s="8" t="s">
        <v>37</v>
      </c>
    </row>
    <row r="38" spans="1:12" ht="15.75">
      <c r="A38" s="54" t="s">
        <v>36</v>
      </c>
    </row>
  </sheetData>
  <mergeCells count="1">
    <mergeCell ref="C2:H2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</vt:i4>
      </vt:variant>
    </vt:vector>
  </HeadingPairs>
  <TitlesOfParts>
    <vt:vector size="35" baseType="lpstr">
      <vt:lpstr>READ ME</vt:lpstr>
      <vt:lpstr>New Format</vt:lpstr>
      <vt:lpstr>input data</vt:lpstr>
      <vt:lpstr>output Corrected U5MR</vt:lpstr>
      <vt:lpstr>UNAIDS 2016</vt:lpstr>
      <vt:lpstr>Base values</vt:lpstr>
      <vt:lpstr>HIV Neg U5MR 50</vt:lpstr>
      <vt:lpstr>HIV Pos Neg U5MR 50</vt:lpstr>
      <vt:lpstr>HIV Pos Pos U5MR 50</vt:lpstr>
      <vt:lpstr>Summary U5MR 50</vt:lpstr>
      <vt:lpstr>HIV Neg U5MR 75</vt:lpstr>
      <vt:lpstr>HIV Pos Neg U5MR 75</vt:lpstr>
      <vt:lpstr>HIV Pos Pos U5MR 75</vt:lpstr>
      <vt:lpstr>Summary U5MR 75</vt:lpstr>
      <vt:lpstr>Neg U5MR 100</vt:lpstr>
      <vt:lpstr>Pos-Neg U5MR 100</vt:lpstr>
      <vt:lpstr>Pos-Pos U5MR 100</vt:lpstr>
      <vt:lpstr>Summary U5MR 100</vt:lpstr>
      <vt:lpstr>HIV Neg U5MR 125</vt:lpstr>
      <vt:lpstr>HIV Pos Neg U5MR 125</vt:lpstr>
      <vt:lpstr>HIV Pos Pos U5MR 125</vt:lpstr>
      <vt:lpstr>Summary U5MR 125</vt:lpstr>
      <vt:lpstr>Neg U5MR 150</vt:lpstr>
      <vt:lpstr>Pos-Neg U5MR 150</vt:lpstr>
      <vt:lpstr>Pos-Pos U5MR 150</vt:lpstr>
      <vt:lpstr>Summary U5MR 150</vt:lpstr>
      <vt:lpstr>HIV Neg U5MR 200</vt:lpstr>
      <vt:lpstr>HIV Pos Neg U5MR 200</vt:lpstr>
      <vt:lpstr>HIV Pos Pos U5MR 200</vt:lpstr>
      <vt:lpstr>Summary U5MR 200</vt:lpstr>
      <vt:lpstr>HIV Neg U5MR 250</vt:lpstr>
      <vt:lpstr>HIV Pos Neg U5MR 250</vt:lpstr>
      <vt:lpstr>HIV Pos Pos U5MR 250</vt:lpstr>
      <vt:lpstr>Summary U5MR 250</vt:lpstr>
      <vt:lpstr>dbind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INOUE, Mie</dc:creator>
  <cp:lastModifiedBy>David Sharrow</cp:lastModifiedBy>
  <dcterms:created xsi:type="dcterms:W3CDTF">2009-05-15T20:22:28Z</dcterms:created>
  <dcterms:modified xsi:type="dcterms:W3CDTF">2017-03-28T20:59:40Z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