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7668" activeTab="1"/>
  </bookViews>
  <sheets>
    <sheet name="Январь" sheetId="4" r:id="rId1"/>
    <sheet name="Февраль" sheetId="1" r:id="rId2"/>
    <sheet name="Март" sheetId="13" r:id="rId3"/>
    <sheet name="Задание 4 и 5" sheetId="6" r:id="rId4"/>
    <sheet name="Задание 6" sheetId="7" r:id="rId5"/>
    <sheet name="Задание 7" sheetId="9" r:id="rId6"/>
    <sheet name="Задание 8" sheetId="10" r:id="rId7"/>
    <sheet name="Задание 9" sheetId="12" r:id="rId8"/>
    <sheet name="10.1" sheetId="16" r:id="rId9"/>
    <sheet name="10.2" sheetId="19" r:id="rId10"/>
  </sheets>
  <definedNames>
    <definedName name="_xlnm._FilterDatabase" localSheetId="6" hidden="1">'Задание 8'!$H$2:$I$131</definedName>
    <definedName name="_xlnm._FilterDatabase" localSheetId="1" hidden="1">Февраль!$A$1:$J$130</definedName>
    <definedName name="_xlnm._FilterDatabase" localSheetId="0" hidden="1">Январь!$A$1:$G$130</definedName>
    <definedName name="_xlnm.Extract" localSheetId="6">'Задание 8'!$K$34:$M$59</definedName>
    <definedName name="_xlnm.Criteria" localSheetId="6">'Задание 8'!$L$30:$M$31</definedName>
  </definedNames>
  <calcPr calcId="145621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0" l="1"/>
  <c r="L31" i="10"/>
  <c r="C20" i="7"/>
  <c r="C17" i="7"/>
  <c r="H3" i="10"/>
  <c r="I3" i="10" s="1"/>
  <c r="H92" i="10"/>
  <c r="I92" i="10" s="1"/>
  <c r="H93" i="10"/>
  <c r="I93" i="10" s="1"/>
  <c r="H94" i="10"/>
  <c r="I94" i="10" s="1"/>
  <c r="H95" i="10"/>
  <c r="I95" i="10" s="1"/>
  <c r="H96" i="10"/>
  <c r="I96" i="10" s="1"/>
  <c r="H97" i="10"/>
  <c r="I97" i="10" s="1"/>
  <c r="H98" i="10"/>
  <c r="I98" i="10" s="1"/>
  <c r="H99" i="10"/>
  <c r="I99" i="10" s="1"/>
  <c r="H100" i="10"/>
  <c r="I100" i="10" s="1"/>
  <c r="H101" i="10"/>
  <c r="I101" i="10" s="1"/>
  <c r="H102" i="10"/>
  <c r="I102" i="10" s="1"/>
  <c r="H103" i="10"/>
  <c r="I103" i="10" s="1"/>
  <c r="H104" i="10"/>
  <c r="I104" i="10" s="1"/>
  <c r="H105" i="10"/>
  <c r="I105" i="10" s="1"/>
  <c r="H106" i="10"/>
  <c r="I106" i="10" s="1"/>
  <c r="H107" i="10"/>
  <c r="I107" i="10" s="1"/>
  <c r="H108" i="10"/>
  <c r="I108" i="10" s="1"/>
  <c r="H109" i="10"/>
  <c r="I109" i="10" s="1"/>
  <c r="H110" i="10"/>
  <c r="I110" i="10" s="1"/>
  <c r="H111" i="10"/>
  <c r="I111" i="10" s="1"/>
  <c r="H112" i="10"/>
  <c r="I112" i="10" s="1"/>
  <c r="H113" i="10"/>
  <c r="I113" i="10" s="1"/>
  <c r="H114" i="10"/>
  <c r="I114" i="10" s="1"/>
  <c r="H115" i="10"/>
  <c r="I115" i="10" s="1"/>
  <c r="H116" i="10"/>
  <c r="I116" i="10" s="1"/>
  <c r="H117" i="10"/>
  <c r="I117" i="10" s="1"/>
  <c r="H118" i="10"/>
  <c r="I118" i="10" s="1"/>
  <c r="H119" i="10"/>
  <c r="I119" i="10" s="1"/>
  <c r="H120" i="10"/>
  <c r="I120" i="10" s="1"/>
  <c r="H121" i="10"/>
  <c r="I121" i="10" s="1"/>
  <c r="H122" i="10"/>
  <c r="I122" i="10" s="1"/>
  <c r="H123" i="10"/>
  <c r="I123" i="10" s="1"/>
  <c r="H124" i="10"/>
  <c r="I124" i="10" s="1"/>
  <c r="H125" i="10"/>
  <c r="I125" i="10" s="1"/>
  <c r="H126" i="10"/>
  <c r="I126" i="10" s="1"/>
  <c r="H127" i="10"/>
  <c r="I127" i="10" s="1"/>
  <c r="H128" i="10"/>
  <c r="I128" i="10" s="1"/>
  <c r="H129" i="10"/>
  <c r="I129" i="10" s="1"/>
  <c r="H130" i="10"/>
  <c r="I130" i="10" s="1"/>
  <c r="H131" i="10"/>
  <c r="I131" i="10" s="1"/>
  <c r="H4" i="10"/>
  <c r="I4" i="10" s="1"/>
  <c r="H5" i="10"/>
  <c r="I5" i="10" s="1"/>
  <c r="H6" i="10"/>
  <c r="I6" i="10" s="1"/>
  <c r="H7" i="10"/>
  <c r="I7" i="10" s="1"/>
  <c r="H8" i="10"/>
  <c r="I8" i="10" s="1"/>
  <c r="H9" i="10"/>
  <c r="I9" i="10" s="1"/>
  <c r="H10" i="10"/>
  <c r="I10" i="10" s="1"/>
  <c r="H11" i="10"/>
  <c r="I11" i="10" s="1"/>
  <c r="H12" i="10"/>
  <c r="I12" i="10" s="1"/>
  <c r="H13" i="10"/>
  <c r="I1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1" i="10"/>
  <c r="I21" i="10" s="1"/>
  <c r="H22" i="10"/>
  <c r="I22" i="10" s="1"/>
  <c r="H23" i="10"/>
  <c r="I23" i="10" s="1"/>
  <c r="H24" i="10"/>
  <c r="I24" i="10" s="1"/>
  <c r="H25" i="10"/>
  <c r="I25" i="10" s="1"/>
  <c r="H26" i="10"/>
  <c r="I26" i="10" s="1"/>
  <c r="H27" i="10"/>
  <c r="I27" i="10" s="1"/>
  <c r="H28" i="10"/>
  <c r="I28" i="10" s="1"/>
  <c r="H29" i="10"/>
  <c r="I29" i="10" s="1"/>
  <c r="H30" i="10"/>
  <c r="I30" i="10" s="1"/>
  <c r="H31" i="10"/>
  <c r="I31" i="10" s="1"/>
  <c r="H32" i="10"/>
  <c r="I32" i="10" s="1"/>
  <c r="H33" i="10"/>
  <c r="I33" i="10" s="1"/>
  <c r="H34" i="10"/>
  <c r="I34" i="10" s="1"/>
  <c r="H35" i="10"/>
  <c r="I35" i="10" s="1"/>
  <c r="H36" i="10"/>
  <c r="I36" i="10" s="1"/>
  <c r="H37" i="10"/>
  <c r="I37" i="10" s="1"/>
  <c r="H38" i="10"/>
  <c r="I38" i="10" s="1"/>
  <c r="H39" i="10"/>
  <c r="I39" i="10" s="1"/>
  <c r="H40" i="10"/>
  <c r="I40" i="10" s="1"/>
  <c r="H41" i="10"/>
  <c r="I41" i="10" s="1"/>
  <c r="H42" i="10"/>
  <c r="I42" i="10" s="1"/>
  <c r="H43" i="10"/>
  <c r="I43" i="10" s="1"/>
  <c r="H44" i="10"/>
  <c r="I44" i="10" s="1"/>
  <c r="H45" i="10"/>
  <c r="I45" i="10" s="1"/>
  <c r="H46" i="10"/>
  <c r="I46" i="10" s="1"/>
  <c r="H47" i="10"/>
  <c r="I47" i="10" s="1"/>
  <c r="H48" i="10"/>
  <c r="I48" i="10" s="1"/>
  <c r="H49" i="10"/>
  <c r="I49" i="10" s="1"/>
  <c r="H50" i="10"/>
  <c r="I50" i="10" s="1"/>
  <c r="H51" i="10"/>
  <c r="I51" i="10" s="1"/>
  <c r="H52" i="10"/>
  <c r="I52" i="10" s="1"/>
  <c r="H53" i="10"/>
  <c r="I53" i="10" s="1"/>
  <c r="H54" i="10"/>
  <c r="I54" i="10" s="1"/>
  <c r="H55" i="10"/>
  <c r="I55" i="10" s="1"/>
  <c r="H56" i="10"/>
  <c r="I56" i="10" s="1"/>
  <c r="H57" i="10"/>
  <c r="I57" i="10" s="1"/>
  <c r="H58" i="10"/>
  <c r="I58" i="10" s="1"/>
  <c r="H59" i="10"/>
  <c r="I59" i="10" s="1"/>
  <c r="H60" i="10"/>
  <c r="I60" i="10" s="1"/>
  <c r="H61" i="10"/>
  <c r="I61" i="10" s="1"/>
  <c r="H62" i="10"/>
  <c r="I62" i="10" s="1"/>
  <c r="H63" i="10"/>
  <c r="I63" i="10" s="1"/>
  <c r="H64" i="10"/>
  <c r="I64" i="10" s="1"/>
  <c r="H65" i="10"/>
  <c r="I65" i="10" s="1"/>
  <c r="H66" i="10"/>
  <c r="I66" i="10" s="1"/>
  <c r="H67" i="10"/>
  <c r="I67" i="10" s="1"/>
  <c r="H68" i="10"/>
  <c r="I68" i="10" s="1"/>
  <c r="H69" i="10"/>
  <c r="I69" i="10" s="1"/>
  <c r="H70" i="10"/>
  <c r="I70" i="10" s="1"/>
  <c r="H71" i="10"/>
  <c r="I71" i="10" s="1"/>
  <c r="H72" i="10"/>
  <c r="I72" i="10" s="1"/>
  <c r="H73" i="10"/>
  <c r="I73" i="10" s="1"/>
  <c r="H74" i="10"/>
  <c r="I74" i="10" s="1"/>
  <c r="H75" i="10"/>
  <c r="I75" i="10" s="1"/>
  <c r="H76" i="10"/>
  <c r="I76" i="10" s="1"/>
  <c r="H77" i="10"/>
  <c r="I77" i="10" s="1"/>
  <c r="H78" i="10"/>
  <c r="I78" i="10" s="1"/>
  <c r="H79" i="10"/>
  <c r="I79" i="10" s="1"/>
  <c r="H80" i="10"/>
  <c r="I80" i="10" s="1"/>
  <c r="H81" i="10"/>
  <c r="I81" i="10" s="1"/>
  <c r="H82" i="10"/>
  <c r="I82" i="10" s="1"/>
  <c r="H83" i="10"/>
  <c r="I83" i="10" s="1"/>
  <c r="H84" i="10"/>
  <c r="I84" i="10" s="1"/>
  <c r="H85" i="10"/>
  <c r="I85" i="10" s="1"/>
  <c r="H86" i="10"/>
  <c r="I86" i="10" s="1"/>
  <c r="H87" i="10"/>
  <c r="I87" i="10" s="1"/>
  <c r="H88" i="10"/>
  <c r="I88" i="10" s="1"/>
  <c r="H89" i="10"/>
  <c r="I89" i="10" s="1"/>
  <c r="H90" i="10"/>
  <c r="I90" i="10" s="1"/>
  <c r="H91" i="10"/>
  <c r="I91" i="10" s="1"/>
  <c r="B17" i="6"/>
  <c r="B16" i="6"/>
  <c r="B15" i="6"/>
  <c r="B14" i="6"/>
  <c r="B13" i="6"/>
  <c r="B12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E20" i="7"/>
  <c r="E19" i="7"/>
  <c r="E18" i="7"/>
  <c r="E17" i="7"/>
  <c r="E16" i="7"/>
  <c r="E15" i="7"/>
  <c r="D15" i="7"/>
  <c r="D20" i="7"/>
  <c r="D19" i="7"/>
  <c r="D18" i="7"/>
  <c r="D17" i="7"/>
  <c r="D16" i="7"/>
  <c r="C16" i="7"/>
  <c r="E4" i="7"/>
  <c r="C19" i="7"/>
  <c r="C18" i="7"/>
  <c r="C15" i="7"/>
  <c r="B15" i="7"/>
  <c r="B20" i="7"/>
  <c r="B19" i="7"/>
  <c r="B18" i="7"/>
  <c r="B17" i="7"/>
  <c r="B16" i="7"/>
  <c r="C11" i="7"/>
  <c r="C10" i="7"/>
  <c r="C9" i="7"/>
  <c r="C8" i="7"/>
  <c r="C7" i="7"/>
  <c r="C6" i="7"/>
  <c r="C5" i="7"/>
  <c r="C4" i="7"/>
  <c r="C3" i="7"/>
  <c r="E11" i="7"/>
  <c r="E10" i="7"/>
  <c r="E9" i="7"/>
  <c r="E8" i="7"/>
  <c r="E7" i="7"/>
  <c r="E6" i="7"/>
  <c r="E5" i="7"/>
  <c r="E3" i="7"/>
  <c r="D3" i="7"/>
  <c r="B3" i="7"/>
  <c r="D11" i="7"/>
  <c r="D10" i="7"/>
  <c r="D9" i="7"/>
  <c r="D8" i="7"/>
  <c r="D7" i="7"/>
  <c r="D6" i="7"/>
  <c r="D5" i="7"/>
  <c r="D4" i="7"/>
  <c r="B11" i="7"/>
  <c r="B10" i="7"/>
  <c r="B9" i="7"/>
  <c r="B8" i="7"/>
  <c r="B7" i="7"/>
  <c r="B6" i="7"/>
  <c r="B5" i="7"/>
  <c r="B4" i="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2" i="1"/>
  <c r="H13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4" i="1"/>
  <c r="H3" i="1"/>
  <c r="H2" i="1"/>
  <c r="L89" i="10" l="1"/>
</calcChain>
</file>

<file path=xl/comments1.xml><?xml version="1.0" encoding="utf-8"?>
<comments xmlns="http://schemas.openxmlformats.org/spreadsheetml/2006/main">
  <authors>
    <author>Admin</author>
  </authors>
  <commentList>
    <comment ref="G1" authorId="0">
      <text>
        <r>
          <rPr>
            <b/>
            <sz val="9"/>
            <color indexed="81"/>
            <rFont val="Tahoma"/>
            <family val="2"/>
            <charset val="204"/>
          </rPr>
          <t>Одномерный Горизонтальный Массив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4" authorId="0">
      <text>
        <r>
          <rPr>
            <b/>
            <sz val="9"/>
            <color indexed="81"/>
            <rFont val="Tahoma"/>
            <family val="2"/>
            <charset val="204"/>
          </rPr>
          <t>Одномерный Вертикальный Массив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2" authorId="0">
      <text>
        <r>
          <rPr>
            <b/>
            <sz val="9"/>
            <color indexed="81"/>
            <rFont val="Tahoma"/>
            <family val="2"/>
            <charset val="204"/>
          </rPr>
          <t>Двумерный массив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<sst xmlns="http://schemas.openxmlformats.org/spreadsheetml/2006/main" count="1470" uniqueCount="90">
  <si>
    <t>M</t>
  </si>
  <si>
    <t>F</t>
  </si>
  <si>
    <t>Дата</t>
  </si>
  <si>
    <t>Пол</t>
  </si>
  <si>
    <t>Возраст</t>
  </si>
  <si>
    <t>Заработная 
плата</t>
  </si>
  <si>
    <t>Вознаграждение</t>
  </si>
  <si>
    <t>М</t>
  </si>
  <si>
    <t>Регион</t>
  </si>
  <si>
    <t>Регион 1</t>
  </si>
  <si>
    <t>Регион 2</t>
  </si>
  <si>
    <t>Регион 3</t>
  </si>
  <si>
    <t>Регион 4</t>
  </si>
  <si>
    <t>Регион 5</t>
  </si>
  <si>
    <t>Регион 7</t>
  </si>
  <si>
    <t>Общая 
Сумм вклада</t>
  </si>
  <si>
    <t xml:space="preserve">Курс </t>
  </si>
  <si>
    <t>Процент</t>
  </si>
  <si>
    <t>Доплата</t>
  </si>
  <si>
    <t>Заработная плата в $</t>
  </si>
  <si>
    <t>Рассчет процента</t>
  </si>
  <si>
    <t>Задание 3. Осуществите доплату каждому вкладчику по полю "Вознаграждение", увеличив значения на сумму "Доплата"</t>
  </si>
  <si>
    <t>январь</t>
  </si>
  <si>
    <t>февраль</t>
  </si>
  <si>
    <t>март</t>
  </si>
  <si>
    <t>Общая сумма вклада</t>
  </si>
  <si>
    <t>Максимальная сумма вознаграждения</t>
  </si>
  <si>
    <t>Число чисел в столбце "Вознаграждение"</t>
  </si>
  <si>
    <t>Показатели</t>
  </si>
  <si>
    <t>Общая сумма вкладов за три месяца</t>
  </si>
  <si>
    <t>Минимальная заработная плата за три месяца</t>
  </si>
  <si>
    <t>Общее количество записей в столбце "Вознаграждение"
за три месяца</t>
  </si>
  <si>
    <t>Значения</t>
  </si>
  <si>
    <t>Минимальный возраст за период (январь-март)</t>
  </si>
  <si>
    <t>Средний возраст за весь период (январь-март)</t>
  </si>
  <si>
    <r>
      <t xml:space="preserve">Заполните таблицу, вычислив те показатели,
 которые предложены (по месяцам)
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>Таблица 1</t>
    </r>
  </si>
  <si>
    <t>Регион 8</t>
  </si>
  <si>
    <t>Регион 6</t>
  </si>
  <si>
    <t>Регион 9</t>
  </si>
  <si>
    <t>Регион 10</t>
  </si>
  <si>
    <t>Средний возраст</t>
  </si>
  <si>
    <t>Регион/показатель</t>
  </si>
  <si>
    <t>дата/показатель</t>
  </si>
  <si>
    <t>По региону 1, 
общая сумма вклада</t>
  </si>
  <si>
    <t>По региону 2, 
средняя сумма вознаграждения</t>
  </si>
  <si>
    <t>Количество 
мужчин в регионе 9</t>
  </si>
  <si>
    <t>Количество 
женщин в регионе 9</t>
  </si>
  <si>
    <t>Количество женщин</t>
  </si>
  <si>
    <t>Количество мужчин</t>
  </si>
  <si>
    <t xml:space="preserve">Задание 7. Заполнить таблицы согласно требованиям, используя соответствующие функции СУММЕСЛИ, СЧЁТЕСЛИ, СРЗНАЧЕСЛИ, СУММЕСЛИМН, СЧЁТЕСЛИМН, СРЗНАЧЕСЛИМН </t>
  </si>
  <si>
    <t>Описание</t>
  </si>
  <si>
    <t>Нур-Султан</t>
  </si>
  <si>
    <t>Алматы</t>
  </si>
  <si>
    <t>Актау</t>
  </si>
  <si>
    <t>Актобе</t>
  </si>
  <si>
    <t>Караганды</t>
  </si>
  <si>
    <t>Петропавловск</t>
  </si>
  <si>
    <t>Капчагай</t>
  </si>
  <si>
    <t>Характеристика</t>
  </si>
  <si>
    <t>ключевой регион</t>
  </si>
  <si>
    <t>Таблица 1</t>
  </si>
  <si>
    <r>
      <rPr>
        <b/>
        <sz val="11"/>
        <rFont val="Calibri"/>
        <family val="2"/>
        <charset val="204"/>
        <scheme val="minor"/>
      </rPr>
      <t>Таблица 2.</t>
    </r>
    <r>
      <rPr>
        <b/>
        <sz val="11"/>
        <color rgb="FFFF0000"/>
        <rFont val="Calibri"/>
        <family val="2"/>
        <charset val="204"/>
        <scheme val="minor"/>
      </rPr>
      <t xml:space="preserve"> Многоразовый ВПР</t>
    </r>
  </si>
  <si>
    <t>Таблица 3. Одноразовый ВПР</t>
  </si>
  <si>
    <t xml:space="preserve">Регион </t>
  </si>
  <si>
    <t>Средняя заработная плата</t>
  </si>
  <si>
    <t>Средний возраст вкладчиков</t>
  </si>
  <si>
    <r>
      <t>Задание 2.</t>
    </r>
    <r>
      <rPr>
        <b/>
        <sz val="12"/>
        <color rgb="FF0000FF"/>
        <rFont val="Calibri"/>
        <family val="2"/>
        <charset val="204"/>
        <scheme val="minor"/>
      </rPr>
      <t xml:space="preserve"> Рассчитайте</t>
    </r>
    <r>
      <rPr>
        <b/>
        <sz val="12"/>
        <color rgb="FF002060"/>
        <rFont val="Calibri"/>
        <family val="2"/>
        <charset val="204"/>
        <scheme val="minor"/>
      </rPr>
      <t xml:space="preserve"> заданный процент, 
относительно данных поля "Заработная плата"</t>
    </r>
  </si>
  <si>
    <t>Задание 1. Переведите данные поля  "Заработная плата" в доллары, согласно курса валюты, приведенного в таблице.</t>
  </si>
  <si>
    <r>
      <t xml:space="preserve">Минимальное сумма </t>
    </r>
    <r>
      <rPr>
        <b/>
        <sz val="11"/>
        <color rgb="FF0000FF"/>
        <rFont val="Calibri"/>
        <family val="2"/>
        <charset val="204"/>
        <scheme val="minor"/>
      </rPr>
      <t>вознаграждение</t>
    </r>
  </si>
  <si>
    <t>Максимальный  возраст за период (январь-март)</t>
  </si>
  <si>
    <r>
      <rPr>
        <b/>
        <sz val="11"/>
        <color rgb="FF0000FF"/>
        <rFont val="Calibri"/>
        <family val="2"/>
        <charset val="204"/>
        <scheme val="minor"/>
      </rPr>
      <t>Рассчитать</t>
    </r>
    <r>
      <rPr>
        <b/>
        <sz val="11"/>
        <color rgb="FFFF0000"/>
        <rFont val="Calibri"/>
        <family val="2"/>
        <charset val="204"/>
        <scheme val="minor"/>
      </rPr>
      <t xml:space="preserve"> показатели за январь месяц, по каждому региону</t>
    </r>
  </si>
  <si>
    <r>
      <rPr>
        <b/>
        <sz val="11"/>
        <color rgb="FF0000FF"/>
        <rFont val="Calibri"/>
        <family val="2"/>
        <charset val="204"/>
        <scheme val="minor"/>
      </rPr>
      <t>Рассчитать</t>
    </r>
    <r>
      <rPr>
        <b/>
        <sz val="11"/>
        <color rgb="FFFF0000"/>
        <rFont val="Calibri"/>
        <family val="2"/>
        <charset val="204"/>
        <scheme val="minor"/>
      </rPr>
      <t xml:space="preserve"> показатели за февраль месяц, по каждой дате</t>
    </r>
  </si>
  <si>
    <r>
      <t xml:space="preserve">Задание 8. Заполните таблицу данными, 
</t>
    </r>
    <r>
      <rPr>
        <b/>
        <sz val="11"/>
        <color rgb="FF0000FF"/>
        <rFont val="Calibri"/>
        <family val="2"/>
        <charset val="204"/>
        <scheme val="minor"/>
      </rPr>
      <t>размещенными</t>
    </r>
    <r>
      <rPr>
        <b/>
        <sz val="11"/>
        <color theme="4"/>
        <rFont val="Calibri"/>
        <family val="2"/>
        <charset val="204"/>
        <scheme val="minor"/>
      </rPr>
      <t xml:space="preserve"> на листе "Март"</t>
    </r>
  </si>
  <si>
    <r>
      <t xml:space="preserve">Задание 9А. "Подтяните" данные из таблицы 2
в Таблицу 1, используя функцию ВПР(), </t>
    </r>
    <r>
      <rPr>
        <b/>
        <sz val="11"/>
        <color rgb="FF0000FF"/>
        <rFont val="Calibri"/>
        <family val="2"/>
        <charset val="204"/>
        <scheme val="minor"/>
      </rPr>
      <t>избавьтесь</t>
    </r>
    <r>
      <rPr>
        <b/>
        <sz val="11"/>
        <color theme="8" tint="-0.499984740745262"/>
        <rFont val="Calibri"/>
        <family val="2"/>
        <charset val="204"/>
        <scheme val="minor"/>
      </rPr>
      <t xml:space="preserve"> от ошибки типа Н/Д</t>
    </r>
  </si>
  <si>
    <r>
      <t xml:space="preserve">Создайте сводный отчет, </t>
    </r>
    <r>
      <rPr>
        <b/>
        <sz val="11"/>
        <color theme="1"/>
        <rFont val="Calibri"/>
        <family val="2"/>
        <charset val="204"/>
        <scheme val="minor"/>
      </rPr>
      <t>НЕ используя</t>
    </r>
    <r>
      <rPr>
        <b/>
        <sz val="11"/>
        <color rgb="FFFF0000"/>
        <rFont val="Calibri"/>
        <family val="2"/>
        <charset val="204"/>
        <scheme val="minor"/>
      </rPr>
      <t xml:space="preserve"> данные Таблицы 1.</t>
    </r>
  </si>
  <si>
    <t xml:space="preserve">Задание 9Б. "Подтяните" данные в таблицу 3, из таблицы 1, таким образом, чтобы при выборе региона в таблице появлялись "Описание" и "Характеристика" </t>
  </si>
  <si>
    <t>Задание 10.1.  Построить Сводную таблицу за март месяц, в которой отображена информация по регионам, 
с учетом пола вкладчика. Сводная таблица должна содержать информацию о средней заработной плате, общей сумме вклада и максимальном вознограждении.
Есть ли ошибки в таблице за март?</t>
  </si>
  <si>
    <t xml:space="preserve">Задание 10.2.  Построить Сводную таблицу за март месяц, в которой отображена информация по регионам, 
с учетом пола вкладчика. Сводная таблица должна содержать информацию об общей сумме вклада, перевести полученные значения в доллары, согласно текущего курса и опредилть разницу (в долларах) между общей суммы вклада в Регионах 1 и 5.
</t>
  </si>
  <si>
    <t xml:space="preserve"> </t>
  </si>
  <si>
    <t>(Все)</t>
  </si>
  <si>
    <t xml:space="preserve">Среднее по полю Заработная </t>
  </si>
  <si>
    <t>Сумма по полю Общая 
Сумм вклада</t>
  </si>
  <si>
    <t>Максимум по полю Вознаграждение</t>
  </si>
  <si>
    <t>Названия строк</t>
  </si>
  <si>
    <t>Общий итог</t>
  </si>
  <si>
    <t>Атырау</t>
  </si>
  <si>
    <t>Ошибка в таблице за месяц Март состоит в использовании как английских, так и русских букв для обозначения мужского пола.</t>
  </si>
  <si>
    <t>Сумма по полю Сумма по полю Общая Сумм вклада (в долларах)</t>
  </si>
  <si>
    <t>Разница между Регионами 1 и 5</t>
  </si>
  <si>
    <t>Курс доллара: 420.11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</si>
</sst>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2"/>
      <color rgb="FF00206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2"/>
      <color rgb="FF0000FF"/>
      <name val="Calibri"/>
      <family val="2"/>
      <charset val="204"/>
      <scheme val="minor"/>
    </font>
    <font>
      <b/>
      <sz val="11"/>
      <color rgb="FF0000FF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FF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indexed="64"/>
      </right>
      <top style="medium">
        <color rgb="FFFF0000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thin">
        <color indexed="64"/>
      </bottom>
      <diagonal/>
    </border>
    <border>
      <left style="medium">
        <color theme="4"/>
      </left>
      <right style="medium">
        <color theme="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 style="medium">
        <color theme="4"/>
      </right>
      <top style="thin">
        <color indexed="6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/>
      <top style="medium">
        <color rgb="FF0070C0"/>
      </top>
      <bottom/>
      <diagonal/>
    </border>
    <border>
      <left style="thin">
        <color indexed="64"/>
      </left>
      <right/>
      <top/>
      <bottom style="medium">
        <color rgb="FF0070C0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wrapText="1"/>
    </xf>
    <xf numFmtId="14" fontId="0" fillId="2" borderId="3" xfId="0" applyNumberFormat="1" applyFill="1" applyBorder="1"/>
    <xf numFmtId="14" fontId="0" fillId="2" borderId="4" xfId="0" applyNumberFormat="1" applyFill="1" applyBorder="1"/>
    <xf numFmtId="14" fontId="0" fillId="2" borderId="5" xfId="0" applyNumberFormat="1" applyFill="1" applyBorder="1"/>
    <xf numFmtId="14" fontId="3" fillId="3" borderId="2" xfId="0" applyNumberFormat="1" applyFont="1" applyFill="1" applyBorder="1"/>
    <xf numFmtId="14" fontId="3" fillId="3" borderId="3" xfId="0" applyNumberFormat="1" applyFont="1" applyFill="1" applyBorder="1"/>
    <xf numFmtId="14" fontId="3" fillId="3" borderId="4" xfId="0" applyNumberFormat="1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3" borderId="4" xfId="0" applyNumberFormat="1" applyFill="1" applyBorder="1"/>
    <xf numFmtId="0" fontId="4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1" fontId="0" fillId="3" borderId="3" xfId="0" applyNumberFormat="1" applyFill="1" applyBorder="1"/>
    <xf numFmtId="1" fontId="0" fillId="3" borderId="5" xfId="0" applyNumberFormat="1" applyFill="1" applyBorder="1"/>
    <xf numFmtId="0" fontId="0" fillId="3" borderId="5" xfId="0" applyFill="1" applyBorder="1"/>
    <xf numFmtId="2" fontId="0" fillId="3" borderId="5" xfId="0" applyNumberFormat="1" applyFill="1" applyBorder="1"/>
    <xf numFmtId="2" fontId="0" fillId="3" borderId="6" xfId="0" applyNumberFormat="1" applyFill="1" applyBorder="1"/>
    <xf numFmtId="0" fontId="4" fillId="4" borderId="7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/>
    </xf>
    <xf numFmtId="14" fontId="3" fillId="3" borderId="9" xfId="0" applyNumberFormat="1" applyFont="1" applyFill="1" applyBorder="1"/>
    <xf numFmtId="14" fontId="3" fillId="3" borderId="10" xfId="0" applyNumberFormat="1" applyFont="1" applyFill="1" applyBorder="1"/>
    <xf numFmtId="14" fontId="3" fillId="3" borderId="12" xfId="0" applyNumberFormat="1" applyFont="1" applyFill="1" applyBorder="1"/>
    <xf numFmtId="0" fontId="4" fillId="4" borderId="13" xfId="0" applyFont="1" applyFill="1" applyBorder="1" applyAlignment="1">
      <alignment horizontal="left" vertical="top"/>
    </xf>
    <xf numFmtId="14" fontId="0" fillId="2" borderId="14" xfId="0" applyNumberFormat="1" applyFill="1" applyBorder="1"/>
    <xf numFmtId="14" fontId="0" fillId="2" borderId="15" xfId="0" applyNumberFormat="1" applyFill="1" applyBorder="1"/>
    <xf numFmtId="14" fontId="0" fillId="2" borderId="16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4" fillId="4" borderId="26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9" fontId="7" fillId="0" borderId="29" xfId="0" applyNumberFormat="1" applyFont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2" fontId="0" fillId="4" borderId="3" xfId="0" applyNumberFormat="1" applyFill="1" applyBorder="1"/>
    <xf numFmtId="0" fontId="0" fillId="0" borderId="28" xfId="0" applyBorder="1"/>
    <xf numFmtId="0" fontId="0" fillId="0" borderId="35" xfId="0" applyBorder="1"/>
    <xf numFmtId="0" fontId="0" fillId="0" borderId="31" xfId="0" applyBorder="1"/>
    <xf numFmtId="0" fontId="1" fillId="0" borderId="36" xfId="0" applyFont="1" applyBorder="1" applyAlignment="1">
      <alignment horizontal="left" wrapText="1"/>
    </xf>
    <xf numFmtId="0" fontId="1" fillId="0" borderId="28" xfId="0" applyFont="1" applyBorder="1" applyAlignment="1">
      <alignment horizontal="left" wrapText="1"/>
    </xf>
    <xf numFmtId="0" fontId="1" fillId="0" borderId="28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0" fillId="0" borderId="30" xfId="0" applyBorder="1" applyAlignment="1">
      <alignment wrapText="1"/>
    </xf>
    <xf numFmtId="0" fontId="0" fillId="4" borderId="11" xfId="0" applyFill="1" applyBorder="1"/>
    <xf numFmtId="0" fontId="0" fillId="4" borderId="39" xfId="0" applyFill="1" applyBorder="1"/>
    <xf numFmtId="14" fontId="3" fillId="3" borderId="44" xfId="0" applyNumberFormat="1" applyFont="1" applyFill="1" applyBorder="1"/>
    <xf numFmtId="14" fontId="3" fillId="3" borderId="45" xfId="0" applyNumberFormat="1" applyFont="1" applyFill="1" applyBorder="1"/>
    <xf numFmtId="0" fontId="4" fillId="4" borderId="46" xfId="0" applyFont="1" applyFill="1" applyBorder="1"/>
    <xf numFmtId="0" fontId="4" fillId="4" borderId="1" xfId="0" applyFont="1" applyFill="1" applyBorder="1" applyAlignment="1">
      <alignment wrapText="1"/>
    </xf>
    <xf numFmtId="0" fontId="7" fillId="4" borderId="1" xfId="0" applyFont="1" applyFill="1" applyBorder="1"/>
    <xf numFmtId="0" fontId="7" fillId="4" borderId="52" xfId="0" applyFont="1" applyFill="1" applyBorder="1" applyAlignment="1">
      <alignment horizontal="center"/>
    </xf>
    <xf numFmtId="14" fontId="0" fillId="2" borderId="43" xfId="0" applyNumberFormat="1" applyFill="1" applyBorder="1"/>
    <xf numFmtId="0" fontId="0" fillId="5" borderId="2" xfId="0" applyFill="1" applyBorder="1"/>
    <xf numFmtId="0" fontId="0" fillId="5" borderId="48" xfId="0" applyFill="1" applyBorder="1"/>
    <xf numFmtId="0" fontId="0" fillId="5" borderId="51" xfId="0" applyFill="1" applyBorder="1"/>
    <xf numFmtId="0" fontId="0" fillId="5" borderId="3" xfId="0" applyFill="1" applyBorder="1"/>
    <xf numFmtId="0" fontId="0" fillId="5" borderId="49" xfId="0" applyFill="1" applyBorder="1"/>
    <xf numFmtId="0" fontId="0" fillId="5" borderId="47" xfId="0" applyFill="1" applyBorder="1"/>
    <xf numFmtId="0" fontId="0" fillId="5" borderId="9" xfId="0" applyFill="1" applyBorder="1"/>
    <xf numFmtId="0" fontId="0" fillId="5" borderId="4" xfId="0" applyFill="1" applyBorder="1"/>
    <xf numFmtId="0" fontId="0" fillId="5" borderId="50" xfId="0" applyFill="1" applyBorder="1"/>
    <xf numFmtId="0" fontId="0" fillId="5" borderId="10" xfId="0" applyFill="1" applyBorder="1"/>
    <xf numFmtId="0" fontId="9" fillId="0" borderId="0" xfId="0" applyFont="1" applyAlignment="1">
      <alignment horizontal="left"/>
    </xf>
    <xf numFmtId="0" fontId="0" fillId="0" borderId="53" xfId="0" applyBorder="1"/>
    <xf numFmtId="0" fontId="4" fillId="4" borderId="40" xfId="0" applyFont="1" applyFill="1" applyBorder="1" applyAlignment="1">
      <alignment horizontal="left" vertical="top"/>
    </xf>
    <xf numFmtId="2" fontId="0" fillId="3" borderId="49" xfId="0" applyNumberFormat="1" applyFill="1" applyBorder="1"/>
    <xf numFmtId="2" fontId="0" fillId="3" borderId="50" xfId="0" applyNumberFormat="1" applyFill="1" applyBorder="1"/>
    <xf numFmtId="0" fontId="0" fillId="0" borderId="58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0" fillId="6" borderId="53" xfId="0" applyFont="1" applyFill="1" applyBorder="1"/>
    <xf numFmtId="0" fontId="0" fillId="6" borderId="53" xfId="0" applyFill="1" applyBorder="1"/>
    <xf numFmtId="0" fontId="4" fillId="4" borderId="62" xfId="0" applyFont="1" applyFill="1" applyBorder="1" applyAlignment="1">
      <alignment horizontal="left" vertical="top"/>
    </xf>
    <xf numFmtId="0" fontId="12" fillId="0" borderId="0" xfId="0" applyFont="1"/>
    <xf numFmtId="0" fontId="0" fillId="0" borderId="0" xfId="0" applyAlignment="1">
      <alignment vertical="top"/>
    </xf>
    <xf numFmtId="0" fontId="0" fillId="0" borderId="43" xfId="0" applyBorder="1"/>
    <xf numFmtId="1" fontId="0" fillId="0" borderId="37" xfId="0" applyNumberFormat="1" applyBorder="1"/>
    <xf numFmtId="2" fontId="0" fillId="0" borderId="25" xfId="0" applyNumberFormat="1" applyBorder="1"/>
    <xf numFmtId="1" fontId="0" fillId="0" borderId="38" xfId="0" applyNumberFormat="1" applyBorder="1"/>
    <xf numFmtId="2" fontId="0" fillId="0" borderId="29" xfId="0" applyNumberFormat="1" applyBorder="1"/>
    <xf numFmtId="1" fontId="0" fillId="0" borderId="29" xfId="0" applyNumberFormat="1" applyBorder="1"/>
    <xf numFmtId="0" fontId="0" fillId="3" borderId="3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0" borderId="0" xfId="0" applyAlignment="1">
      <alignment horizontal="right"/>
    </xf>
    <xf numFmtId="14" fontId="3" fillId="3" borderId="3" xfId="0" applyNumberFormat="1" applyFont="1" applyFill="1" applyBorder="1" applyAlignment="1">
      <alignment horizontal="right"/>
    </xf>
    <xf numFmtId="14" fontId="3" fillId="3" borderId="4" xfId="0" applyNumberFormat="1" applyFont="1" applyFill="1" applyBorder="1" applyAlignment="1">
      <alignment horizontal="right"/>
    </xf>
    <xf numFmtId="0" fontId="0" fillId="0" borderId="0" xfId="0" applyBorder="1"/>
    <xf numFmtId="14" fontId="3" fillId="3" borderId="82" xfId="0" applyNumberFormat="1" applyFont="1" applyFill="1" applyBorder="1"/>
    <xf numFmtId="0" fontId="10" fillId="6" borderId="83" xfId="0" applyFont="1" applyFill="1" applyBorder="1"/>
    <xf numFmtId="14" fontId="3" fillId="3" borderId="84" xfId="0" applyNumberFormat="1" applyFont="1" applyFill="1" applyBorder="1"/>
    <xf numFmtId="14" fontId="3" fillId="3" borderId="85" xfId="0" applyNumberFormat="1" applyFont="1" applyFill="1" applyBorder="1"/>
    <xf numFmtId="14" fontId="3" fillId="3" borderId="86" xfId="0" applyNumberFormat="1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vertical="top" wrapText="1"/>
    </xf>
    <xf numFmtId="2" fontId="0" fillId="0" borderId="0" xfId="0" applyNumberFormat="1"/>
    <xf numFmtId="1" fontId="0" fillId="5" borderId="2" xfId="0" applyNumberFormat="1" applyFill="1" applyBorder="1"/>
    <xf numFmtId="1" fontId="0" fillId="5" borderId="3" xfId="0" applyNumberFormat="1" applyFill="1" applyBorder="1"/>
    <xf numFmtId="1" fontId="0" fillId="5" borderId="4" xfId="0" applyNumberFormat="1" applyFill="1" applyBorder="1"/>
    <xf numFmtId="0" fontId="8" fillId="4" borderId="17" xfId="0" applyFont="1" applyFill="1" applyBorder="1" applyAlignment="1">
      <alignment horizontal="left" vertical="top" wrapText="1"/>
    </xf>
    <xf numFmtId="0" fontId="8" fillId="4" borderId="18" xfId="0" applyFont="1" applyFill="1" applyBorder="1" applyAlignment="1">
      <alignment horizontal="left" vertical="top" wrapText="1"/>
    </xf>
    <xf numFmtId="0" fontId="8" fillId="4" borderId="19" xfId="0" applyFont="1" applyFill="1" applyBorder="1" applyAlignment="1">
      <alignment horizontal="left" vertical="top" wrapText="1"/>
    </xf>
    <xf numFmtId="0" fontId="8" fillId="4" borderId="20" xfId="0" applyFont="1" applyFill="1" applyBorder="1" applyAlignment="1">
      <alignment horizontal="left" vertical="top" wrapText="1"/>
    </xf>
    <xf numFmtId="0" fontId="8" fillId="4" borderId="0" xfId="0" applyFont="1" applyFill="1" applyBorder="1" applyAlignment="1">
      <alignment horizontal="left" vertical="top" wrapText="1"/>
    </xf>
    <xf numFmtId="0" fontId="8" fillId="4" borderId="21" xfId="0" applyFont="1" applyFill="1" applyBorder="1" applyAlignment="1">
      <alignment horizontal="left" vertical="top" wrapText="1"/>
    </xf>
    <xf numFmtId="0" fontId="8" fillId="4" borderId="22" xfId="0" applyFont="1" applyFill="1" applyBorder="1" applyAlignment="1">
      <alignment horizontal="left" vertical="top" wrapText="1"/>
    </xf>
    <xf numFmtId="0" fontId="8" fillId="4" borderId="23" xfId="0" applyFont="1" applyFill="1" applyBorder="1" applyAlignment="1">
      <alignment horizontal="left" vertical="top" wrapText="1"/>
    </xf>
    <xf numFmtId="0" fontId="8" fillId="4" borderId="24" xfId="0" applyFont="1" applyFill="1" applyBorder="1" applyAlignment="1">
      <alignment horizontal="left" vertical="top" wrapText="1"/>
    </xf>
    <xf numFmtId="0" fontId="7" fillId="0" borderId="40" xfId="0" applyFont="1" applyBorder="1" applyAlignment="1">
      <alignment horizontal="center" wrapText="1"/>
    </xf>
    <xf numFmtId="0" fontId="7" fillId="0" borderId="41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0" borderId="32" xfId="0" applyFont="1" applyBorder="1" applyAlignment="1">
      <alignment horizontal="center" wrapText="1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4" fillId="6" borderId="54" xfId="0" applyFont="1" applyFill="1" applyBorder="1" applyAlignment="1">
      <alignment horizontal="center" vertical="top" wrapText="1"/>
    </xf>
    <xf numFmtId="0" fontId="4" fillId="6" borderId="55" xfId="0" applyFont="1" applyFill="1" applyBorder="1" applyAlignment="1">
      <alignment horizontal="center" vertical="top" wrapText="1"/>
    </xf>
    <xf numFmtId="0" fontId="4" fillId="6" borderId="56" xfId="0" applyFont="1" applyFill="1" applyBorder="1" applyAlignment="1">
      <alignment horizontal="center" vertical="top" wrapText="1"/>
    </xf>
    <xf numFmtId="0" fontId="4" fillId="6" borderId="57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center" vertical="top" wrapText="1"/>
    </xf>
    <xf numFmtId="0" fontId="4" fillId="6" borderId="58" xfId="0" applyFont="1" applyFill="1" applyBorder="1" applyAlignment="1">
      <alignment horizontal="center" vertical="top" wrapText="1"/>
    </xf>
    <xf numFmtId="0" fontId="4" fillId="6" borderId="59" xfId="0" applyFont="1" applyFill="1" applyBorder="1" applyAlignment="1">
      <alignment horizontal="center" vertical="top" wrapText="1"/>
    </xf>
    <xf numFmtId="0" fontId="4" fillId="6" borderId="60" xfId="0" applyFont="1" applyFill="1" applyBorder="1" applyAlignment="1">
      <alignment horizontal="center" vertical="top" wrapText="1"/>
    </xf>
    <xf numFmtId="0" fontId="4" fillId="6" borderId="61" xfId="0" applyFont="1" applyFill="1" applyBorder="1" applyAlignment="1">
      <alignment horizontal="center" vertical="top" wrapText="1"/>
    </xf>
    <xf numFmtId="0" fontId="13" fillId="5" borderId="66" xfId="0" applyFont="1" applyFill="1" applyBorder="1" applyAlignment="1">
      <alignment horizontal="center" vertical="top" wrapText="1"/>
    </xf>
    <xf numFmtId="0" fontId="13" fillId="5" borderId="67" xfId="0" applyFont="1" applyFill="1" applyBorder="1" applyAlignment="1">
      <alignment horizontal="center" vertical="top" wrapText="1"/>
    </xf>
    <xf numFmtId="0" fontId="13" fillId="5" borderId="68" xfId="0" applyFont="1" applyFill="1" applyBorder="1" applyAlignment="1">
      <alignment horizontal="center" vertical="top" wrapText="1"/>
    </xf>
    <xf numFmtId="0" fontId="13" fillId="5" borderId="69" xfId="0" applyFont="1" applyFill="1" applyBorder="1" applyAlignment="1">
      <alignment horizontal="center" vertical="top" wrapText="1"/>
    </xf>
    <xf numFmtId="0" fontId="13" fillId="5" borderId="0" xfId="0" applyFont="1" applyFill="1" applyBorder="1" applyAlignment="1">
      <alignment horizontal="center" vertical="top" wrapText="1"/>
    </xf>
    <xf numFmtId="0" fontId="13" fillId="5" borderId="70" xfId="0" applyFont="1" applyFill="1" applyBorder="1" applyAlignment="1">
      <alignment horizontal="center" vertical="top" wrapText="1"/>
    </xf>
    <xf numFmtId="0" fontId="13" fillId="5" borderId="71" xfId="0" applyFont="1" applyFill="1" applyBorder="1" applyAlignment="1">
      <alignment horizontal="center" vertical="top" wrapText="1"/>
    </xf>
    <xf numFmtId="0" fontId="13" fillId="5" borderId="72" xfId="0" applyFont="1" applyFill="1" applyBorder="1" applyAlignment="1">
      <alignment horizontal="center" vertical="top" wrapText="1"/>
    </xf>
    <xf numFmtId="0" fontId="13" fillId="5" borderId="73" xfId="0" applyFont="1" applyFill="1" applyBorder="1" applyAlignment="1">
      <alignment horizontal="center" vertical="top" wrapText="1"/>
    </xf>
    <xf numFmtId="0" fontId="7" fillId="0" borderId="60" xfId="0" applyFont="1" applyBorder="1" applyAlignment="1">
      <alignment horizontal="center"/>
    </xf>
    <xf numFmtId="0" fontId="10" fillId="6" borderId="54" xfId="0" applyFont="1" applyFill="1" applyBorder="1" applyAlignment="1">
      <alignment horizontal="left" vertical="top" wrapText="1"/>
    </xf>
    <xf numFmtId="0" fontId="10" fillId="6" borderId="55" xfId="0" applyFont="1" applyFill="1" applyBorder="1" applyAlignment="1">
      <alignment horizontal="left" vertical="top"/>
    </xf>
    <xf numFmtId="0" fontId="10" fillId="6" borderId="56" xfId="0" applyFont="1" applyFill="1" applyBorder="1" applyAlignment="1">
      <alignment horizontal="left" vertical="top"/>
    </xf>
    <xf numFmtId="0" fontId="10" fillId="6" borderId="57" xfId="0" applyFont="1" applyFill="1" applyBorder="1" applyAlignment="1">
      <alignment horizontal="left" vertical="top"/>
    </xf>
    <xf numFmtId="0" fontId="10" fillId="6" borderId="0" xfId="0" applyFont="1" applyFill="1" applyBorder="1" applyAlignment="1">
      <alignment horizontal="left" vertical="top"/>
    </xf>
    <xf numFmtId="0" fontId="10" fillId="6" borderId="58" xfId="0" applyFont="1" applyFill="1" applyBorder="1" applyAlignment="1">
      <alignment horizontal="left" vertical="top"/>
    </xf>
    <xf numFmtId="0" fontId="10" fillId="6" borderId="59" xfId="0" applyFont="1" applyFill="1" applyBorder="1" applyAlignment="1">
      <alignment horizontal="left" vertical="top"/>
    </xf>
    <xf numFmtId="0" fontId="10" fillId="6" borderId="60" xfId="0" applyFont="1" applyFill="1" applyBorder="1" applyAlignment="1">
      <alignment horizontal="left" vertical="top"/>
    </xf>
    <xf numFmtId="0" fontId="10" fillId="6" borderId="61" xfId="0" applyFont="1" applyFill="1" applyBorder="1" applyAlignment="1">
      <alignment horizontal="left" vertical="top"/>
    </xf>
    <xf numFmtId="0" fontId="10" fillId="6" borderId="87" xfId="0" applyFont="1" applyFill="1" applyBorder="1" applyAlignment="1">
      <alignment horizontal="left" vertical="top" wrapText="1"/>
    </xf>
    <xf numFmtId="0" fontId="10" fillId="6" borderId="55" xfId="0" applyFont="1" applyFill="1" applyBorder="1" applyAlignment="1">
      <alignment horizontal="left" vertical="top" wrapText="1"/>
    </xf>
    <xf numFmtId="0" fontId="10" fillId="6" borderId="56" xfId="0" applyFont="1" applyFill="1" applyBorder="1" applyAlignment="1">
      <alignment horizontal="left" vertical="top" wrapText="1"/>
    </xf>
    <xf numFmtId="0" fontId="10" fillId="6" borderId="81" xfId="0" applyFont="1" applyFill="1" applyBorder="1" applyAlignment="1">
      <alignment horizontal="left" vertical="top" wrapText="1"/>
    </xf>
    <xf numFmtId="0" fontId="10" fillId="6" borderId="0" xfId="0" applyFont="1" applyFill="1" applyBorder="1" applyAlignment="1">
      <alignment horizontal="left" vertical="top" wrapText="1"/>
    </xf>
    <xf numFmtId="0" fontId="10" fillId="6" borderId="58" xfId="0" applyFont="1" applyFill="1" applyBorder="1" applyAlignment="1">
      <alignment horizontal="left" vertical="top" wrapText="1"/>
    </xf>
    <xf numFmtId="0" fontId="10" fillId="6" borderId="88" xfId="0" applyFont="1" applyFill="1" applyBorder="1" applyAlignment="1">
      <alignment horizontal="left" vertical="top" wrapText="1"/>
    </xf>
    <xf numFmtId="0" fontId="10" fillId="6" borderId="60" xfId="0" applyFont="1" applyFill="1" applyBorder="1" applyAlignment="1">
      <alignment horizontal="left" vertical="top" wrapText="1"/>
    </xf>
    <xf numFmtId="0" fontId="10" fillId="6" borderId="61" xfId="0" applyFont="1" applyFill="1" applyBorder="1" applyAlignment="1">
      <alignment horizontal="left" vertical="top" wrapText="1"/>
    </xf>
    <xf numFmtId="0" fontId="0" fillId="7" borderId="74" xfId="0" applyFill="1" applyBorder="1" applyAlignment="1">
      <alignment horizontal="left" vertical="top" wrapText="1"/>
    </xf>
    <xf numFmtId="0" fontId="0" fillId="7" borderId="75" xfId="0" applyFill="1" applyBorder="1" applyAlignment="1">
      <alignment horizontal="left" vertical="top"/>
    </xf>
    <xf numFmtId="0" fontId="0" fillId="7" borderId="76" xfId="0" applyFill="1" applyBorder="1" applyAlignment="1">
      <alignment horizontal="left" vertical="top"/>
    </xf>
    <xf numFmtId="0" fontId="0" fillId="7" borderId="52" xfId="0" applyFill="1" applyBorder="1" applyAlignment="1">
      <alignment horizontal="left" vertical="top"/>
    </xf>
    <xf numFmtId="0" fontId="0" fillId="7" borderId="0" xfId="0" applyFill="1" applyBorder="1" applyAlignment="1">
      <alignment horizontal="left" vertical="top"/>
    </xf>
    <xf numFmtId="0" fontId="0" fillId="7" borderId="77" xfId="0" applyFill="1" applyBorder="1" applyAlignment="1">
      <alignment horizontal="left" vertical="top"/>
    </xf>
    <xf numFmtId="0" fontId="0" fillId="7" borderId="78" xfId="0" applyFill="1" applyBorder="1" applyAlignment="1">
      <alignment horizontal="left" vertical="top"/>
    </xf>
    <xf numFmtId="0" fontId="0" fillId="7" borderId="79" xfId="0" applyFill="1" applyBorder="1" applyAlignment="1">
      <alignment horizontal="left" vertical="top"/>
    </xf>
    <xf numFmtId="0" fontId="0" fillId="7" borderId="80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y" refreshedDate="44259.896253472223" createdVersion="4" refreshedVersion="4" minRefreshableVersion="3" recordCount="129">
  <cacheSource type="worksheet">
    <worksheetSource ref="A1:G130" sheet="Март"/>
  </cacheSource>
  <cacheFields count="8">
    <cacheField name="Дата" numFmtId="14">
      <sharedItems containsSemiMixedTypes="0" containsNonDate="0" containsDate="1" containsString="0" minDate="2020-03-23T00:00:00" maxDate="2020-03-29T00:00:00"/>
    </cacheField>
    <cacheField name="Регион" numFmtId="14">
      <sharedItems count="9">
        <s v="Регион 3"/>
        <s v="Регион 4"/>
        <s v="Регион 5"/>
        <s v="Регион 2"/>
        <s v="Регион 1"/>
        <s v="Регион 7"/>
        <s v="Регион 6"/>
        <s v="Регион 8"/>
        <s v="Регион 9"/>
      </sharedItems>
    </cacheField>
    <cacheField name="Пол" numFmtId="0">
      <sharedItems count="3">
        <s v="М"/>
        <s v="F"/>
        <s v="M"/>
      </sharedItems>
    </cacheField>
    <cacheField name="Возраст" numFmtId="0">
      <sharedItems containsSemiMixedTypes="0" containsString="0" containsNumber="1" containsInteger="1" minValue="34" maxValue="62"/>
    </cacheField>
    <cacheField name="Заработная _x000a_плата" numFmtId="2">
      <sharedItems containsSemiMixedTypes="0" containsString="0" containsNumber="1" containsInteger="1" minValue="0" maxValue="2000000" count="54">
        <n v="35000"/>
        <n v="100000"/>
        <n v="210000"/>
        <n v="160000"/>
        <n v="350000"/>
        <n v="180000"/>
        <n v="97000"/>
        <n v="168000"/>
        <n v="220000"/>
        <n v="150000"/>
        <n v="500000"/>
        <n v="0"/>
        <n v="600000"/>
        <n v="400000"/>
        <n v="120000"/>
        <n v="250000"/>
        <n v="145000"/>
        <n v="300000"/>
        <n v="130000"/>
        <n v="170000"/>
        <n v="80000"/>
        <n v="60000"/>
        <n v="200000"/>
        <n v="700000"/>
        <n v="70000"/>
        <n v="750000"/>
        <n v="360000"/>
        <n v="1170000"/>
        <n v="370000"/>
        <n v="348000"/>
        <n v="570000"/>
        <n v="460000"/>
        <n v="890000"/>
        <n v="900000"/>
        <n v="450000"/>
        <n v="650000"/>
        <n v="345000"/>
        <n v="470000"/>
        <n v="175000"/>
        <n v="420000"/>
        <n v="85000"/>
        <n v="230000"/>
        <n v="55000"/>
        <n v="71000"/>
        <n v="103000"/>
        <n v="92000"/>
        <n v="110000"/>
        <n v="920000"/>
        <n v="98000"/>
        <n v="320000"/>
        <n v="640000"/>
        <n v="95000"/>
        <n v="530000"/>
        <n v="2000000"/>
      </sharedItems>
    </cacheField>
    <cacheField name="Общая _x000a_Сумм вклада" numFmtId="2">
      <sharedItems containsSemiMixedTypes="0" containsString="0" containsNumber="1" containsInteger="1" minValue="0" maxValue="3380000" count="69">
        <n v="92000"/>
        <n v="20000"/>
        <n v="200000"/>
        <n v="1050000"/>
        <n v="1000000"/>
        <n v="250000"/>
        <n v="237000"/>
        <n v="288000"/>
        <n v="900000"/>
        <n v="880000"/>
        <n v="170000"/>
        <n v="500000"/>
        <n v="400000"/>
        <n v="30000"/>
        <n v="120000"/>
        <n v="720000"/>
        <n v="0"/>
        <n v="78000"/>
        <n v="450000"/>
        <n v="1200000"/>
        <n v="125000"/>
        <n v="160000"/>
        <n v="100000"/>
        <n v="390000"/>
        <n v="300000"/>
        <n v="220000"/>
        <n v="140000"/>
        <n v="180000"/>
        <n v="230000"/>
        <n v="1030000"/>
        <n v="380000"/>
        <n v="280000"/>
        <n v="290000"/>
        <n v="920000"/>
        <n v="249000"/>
        <n v="780000"/>
        <n v="630000"/>
        <n v="150000"/>
        <n v="80000"/>
        <n v="480000"/>
        <n v="580000"/>
        <n v="330000"/>
        <n v="240000"/>
        <n v="190000"/>
        <n v="105000"/>
        <n v="368000"/>
        <n v="145000"/>
        <n v="159200"/>
        <n v="350000"/>
        <n v="50000"/>
        <n v="270000"/>
        <n v="565000"/>
        <n v="3380000"/>
        <n v="800000"/>
        <n v="650000"/>
        <n v="90000"/>
        <n v="420000"/>
        <n v="370000"/>
        <n v="950000"/>
        <n v="210000"/>
        <n v="310000"/>
        <n v="840000"/>
        <n v="169000"/>
        <n v="700000"/>
        <n v="550000"/>
        <n v="70000"/>
        <n v="40000"/>
        <n v="85000"/>
        <n v="2000000"/>
      </sharedItems>
    </cacheField>
    <cacheField name="Вознаграждение" numFmtId="2">
      <sharedItems containsSemiMixedTypes="0" containsString="0" containsNumber="1" containsInteger="1" minValue="0" maxValue="1040000" count="57">
        <n v="3000"/>
        <n v="2000"/>
        <n v="20000"/>
        <n v="60000"/>
        <n v="10000"/>
        <n v="72000"/>
        <n v="5000"/>
        <n v="15000"/>
        <n v="45000"/>
        <n v="4000"/>
        <n v="36000"/>
        <n v="8500"/>
        <n v="70000"/>
        <n v="1000"/>
        <n v="200"/>
        <n v="24000"/>
        <n v="2500"/>
        <n v="240000"/>
        <n v="1040000"/>
        <n v="390000"/>
        <n v="290000"/>
        <n v="300000"/>
        <n v="210000"/>
        <n v="400000"/>
        <n v="930000"/>
        <n v="259000"/>
        <n v="790000"/>
        <n v="640000"/>
        <n v="170000"/>
        <n v="160000"/>
        <n v="190000"/>
        <n v="130000"/>
        <n v="90000"/>
        <n v="490000"/>
        <n v="590000"/>
        <n v="340000"/>
        <n v="250000"/>
        <n v="7000"/>
        <n v="7200"/>
        <n v="35000"/>
        <n v="0"/>
        <n v="5200"/>
        <n v="30000"/>
        <n v="8000"/>
        <n v="3693"/>
        <n v="100000"/>
        <n v="12000"/>
        <n v="13000"/>
        <n v="6000"/>
        <n v="40000"/>
        <n v="14000"/>
        <n v="50000"/>
        <n v="23000"/>
        <n v="16000"/>
        <n v="25000"/>
        <n v="18000"/>
        <n v="9500"/>
      </sharedItems>
    </cacheField>
    <cacheField name="Поле1" numFmtId="0" formula="'Общая _x000a_Сумм вклада'/420.11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ny" refreshedDate="44259.992283680556" createdVersion="4" refreshedVersion="4" minRefreshableVersion="3" recordCount="129">
  <cacheSource type="worksheet">
    <worksheetSource ref="A2:G131" sheet="Задание 8"/>
  </cacheSource>
  <cacheFields count="8">
    <cacheField name="Дата" numFmtId="14">
      <sharedItems containsSemiMixedTypes="0" containsNonDate="0" containsDate="1" containsString="0" minDate="2020-03-23T00:00:00" maxDate="2020-03-29T00:00:00"/>
    </cacheField>
    <cacheField name="Регион" numFmtId="14">
      <sharedItems count="10">
        <s v="Регион 3"/>
        <s v="Регион 4"/>
        <s v="Регион 5"/>
        <s v="Регион 2"/>
        <s v="Регион 1"/>
        <s v="Регион 7"/>
        <s v="Регион 6"/>
        <s v="Регион 8"/>
        <s v="Регион 9"/>
        <s v="Разница между Регионами 1 и 5" f="1"/>
      </sharedItems>
    </cacheField>
    <cacheField name="Пол" numFmtId="0">
      <sharedItems count="3">
        <s v="М"/>
        <s v="F"/>
        <s v="M"/>
      </sharedItems>
    </cacheField>
    <cacheField name="Возраст" numFmtId="0">
      <sharedItems containsSemiMixedTypes="0" containsString="0" containsNumber="1" containsInteger="1" minValue="34" maxValue="62"/>
    </cacheField>
    <cacheField name="Заработная _x000a_плата" numFmtId="2">
      <sharedItems containsSemiMixedTypes="0" containsString="0" containsNumber="1" containsInteger="1" minValue="0" maxValue="2000000"/>
    </cacheField>
    <cacheField name="Общая _x000a_Сумм вклада" numFmtId="2">
      <sharedItems containsSemiMixedTypes="0" containsString="0" containsNumber="1" containsInteger="1" minValue="0" maxValue="3380000"/>
    </cacheField>
    <cacheField name="Вознаграждение" numFmtId="2">
      <sharedItems containsSemiMixedTypes="0" containsString="0" containsNumber="1" containsInteger="1" minValue="0" maxValue="1040000"/>
    </cacheField>
    <cacheField name="Сумма по полю Общая Сумм вклада (в долларах)" numFmtId="0" formula="'Общая _x000a_Сумм вклада'/420.11" databaseField="0"/>
  </cacheFields>
  <calculatedItems count="1">
    <calculatedItem formula="Регион['Регион 1']-Регион['Регион 5']">
      <pivotArea cacheIndex="1" outline="0" fieldPosition="0">
        <references count="1">
          <reference field="1" count="1">
            <x v="9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d v="2020-03-28T00:00:00"/>
    <x v="0"/>
    <x v="0"/>
    <n v="49"/>
    <x v="0"/>
    <x v="0"/>
    <x v="0"/>
  </r>
  <r>
    <d v="2020-03-23T00:00:00"/>
    <x v="1"/>
    <x v="0"/>
    <n v="53"/>
    <x v="1"/>
    <x v="1"/>
    <x v="1"/>
  </r>
  <r>
    <d v="2020-03-24T00:00:00"/>
    <x v="2"/>
    <x v="1"/>
    <n v="37"/>
    <x v="2"/>
    <x v="2"/>
    <x v="2"/>
  </r>
  <r>
    <d v="2020-03-25T00:00:00"/>
    <x v="1"/>
    <x v="1"/>
    <n v="45"/>
    <x v="3"/>
    <x v="3"/>
    <x v="3"/>
  </r>
  <r>
    <d v="2020-03-26T00:00:00"/>
    <x v="0"/>
    <x v="1"/>
    <n v="53"/>
    <x v="4"/>
    <x v="4"/>
    <x v="4"/>
  </r>
  <r>
    <d v="2020-03-27T00:00:00"/>
    <x v="3"/>
    <x v="0"/>
    <n v="45"/>
    <x v="5"/>
    <x v="5"/>
    <x v="5"/>
  </r>
  <r>
    <d v="2020-03-28T00:00:00"/>
    <x v="4"/>
    <x v="1"/>
    <n v="62"/>
    <x v="6"/>
    <x v="6"/>
    <x v="6"/>
  </r>
  <r>
    <d v="2020-03-23T00:00:00"/>
    <x v="1"/>
    <x v="1"/>
    <n v="61"/>
    <x v="7"/>
    <x v="7"/>
    <x v="7"/>
  </r>
  <r>
    <d v="2020-03-24T00:00:00"/>
    <x v="1"/>
    <x v="1"/>
    <n v="40"/>
    <x v="8"/>
    <x v="2"/>
    <x v="1"/>
  </r>
  <r>
    <d v="2020-03-25T00:00:00"/>
    <x v="5"/>
    <x v="1"/>
    <n v="53"/>
    <x v="9"/>
    <x v="5"/>
    <x v="6"/>
  </r>
  <r>
    <d v="2020-03-26T00:00:00"/>
    <x v="4"/>
    <x v="0"/>
    <n v="53"/>
    <x v="10"/>
    <x v="8"/>
    <x v="8"/>
  </r>
  <r>
    <d v="2020-03-27T00:00:00"/>
    <x v="2"/>
    <x v="1"/>
    <n v="34"/>
    <x v="1"/>
    <x v="2"/>
    <x v="7"/>
  </r>
  <r>
    <d v="2020-03-28T00:00:00"/>
    <x v="2"/>
    <x v="1"/>
    <n v="36"/>
    <x v="11"/>
    <x v="9"/>
    <x v="9"/>
  </r>
  <r>
    <d v="2020-03-23T00:00:00"/>
    <x v="3"/>
    <x v="1"/>
    <n v="39"/>
    <x v="9"/>
    <x v="10"/>
    <x v="6"/>
  </r>
  <r>
    <d v="2020-03-24T00:00:00"/>
    <x v="0"/>
    <x v="0"/>
    <n v="39"/>
    <x v="12"/>
    <x v="11"/>
    <x v="6"/>
  </r>
  <r>
    <d v="2020-03-25T00:00:00"/>
    <x v="0"/>
    <x v="1"/>
    <n v="45"/>
    <x v="13"/>
    <x v="12"/>
    <x v="7"/>
  </r>
  <r>
    <d v="2020-03-26T00:00:00"/>
    <x v="1"/>
    <x v="1"/>
    <n v="41"/>
    <x v="14"/>
    <x v="13"/>
    <x v="4"/>
  </r>
  <r>
    <d v="2020-03-27T00:00:00"/>
    <x v="2"/>
    <x v="1"/>
    <n v="38"/>
    <x v="15"/>
    <x v="14"/>
    <x v="4"/>
  </r>
  <r>
    <d v="2020-03-28T00:00:00"/>
    <x v="1"/>
    <x v="1"/>
    <n v="46"/>
    <x v="9"/>
    <x v="15"/>
    <x v="3"/>
  </r>
  <r>
    <d v="2020-03-23T00:00:00"/>
    <x v="0"/>
    <x v="1"/>
    <n v="45"/>
    <x v="4"/>
    <x v="16"/>
    <x v="10"/>
  </r>
  <r>
    <d v="2020-03-24T00:00:00"/>
    <x v="3"/>
    <x v="1"/>
    <n v="61"/>
    <x v="9"/>
    <x v="17"/>
    <x v="7"/>
  </r>
  <r>
    <d v="2020-03-25T00:00:00"/>
    <x v="4"/>
    <x v="1"/>
    <n v="48"/>
    <x v="16"/>
    <x v="13"/>
    <x v="6"/>
  </r>
  <r>
    <d v="2020-03-26T00:00:00"/>
    <x v="2"/>
    <x v="1"/>
    <n v="51"/>
    <x v="17"/>
    <x v="11"/>
    <x v="2"/>
  </r>
  <r>
    <d v="2020-03-27T00:00:00"/>
    <x v="1"/>
    <x v="1"/>
    <n v="46"/>
    <x v="18"/>
    <x v="2"/>
    <x v="6"/>
  </r>
  <r>
    <d v="2020-03-28T00:00:00"/>
    <x v="5"/>
    <x v="1"/>
    <n v="51"/>
    <x v="19"/>
    <x v="18"/>
    <x v="2"/>
  </r>
  <r>
    <d v="2020-03-23T00:00:00"/>
    <x v="4"/>
    <x v="1"/>
    <n v="45"/>
    <x v="20"/>
    <x v="19"/>
    <x v="4"/>
  </r>
  <r>
    <d v="2020-03-24T00:00:00"/>
    <x v="6"/>
    <x v="1"/>
    <n v="54"/>
    <x v="21"/>
    <x v="10"/>
    <x v="11"/>
  </r>
  <r>
    <d v="2020-03-25T00:00:00"/>
    <x v="2"/>
    <x v="1"/>
    <n v="59"/>
    <x v="9"/>
    <x v="16"/>
    <x v="12"/>
  </r>
  <r>
    <d v="2020-03-26T00:00:00"/>
    <x v="3"/>
    <x v="1"/>
    <n v="40"/>
    <x v="1"/>
    <x v="20"/>
    <x v="6"/>
  </r>
  <r>
    <d v="2020-03-27T00:00:00"/>
    <x v="0"/>
    <x v="1"/>
    <n v="46"/>
    <x v="20"/>
    <x v="21"/>
    <x v="13"/>
  </r>
  <r>
    <d v="2020-03-28T00:00:00"/>
    <x v="0"/>
    <x v="1"/>
    <n v="41"/>
    <x v="22"/>
    <x v="22"/>
    <x v="2"/>
  </r>
  <r>
    <d v="2020-03-23T00:00:00"/>
    <x v="1"/>
    <x v="1"/>
    <n v="41"/>
    <x v="5"/>
    <x v="16"/>
    <x v="0"/>
  </r>
  <r>
    <d v="2020-03-24T00:00:00"/>
    <x v="2"/>
    <x v="1"/>
    <n v="57"/>
    <x v="9"/>
    <x v="22"/>
    <x v="7"/>
  </r>
  <r>
    <d v="2020-03-25T00:00:00"/>
    <x v="1"/>
    <x v="1"/>
    <n v="35"/>
    <x v="22"/>
    <x v="23"/>
    <x v="4"/>
  </r>
  <r>
    <d v="2020-03-26T00:00:00"/>
    <x v="0"/>
    <x v="1"/>
    <n v="40"/>
    <x v="23"/>
    <x v="11"/>
    <x v="6"/>
  </r>
  <r>
    <d v="2020-03-27T00:00:00"/>
    <x v="3"/>
    <x v="1"/>
    <n v="52"/>
    <x v="9"/>
    <x v="24"/>
    <x v="4"/>
  </r>
  <r>
    <d v="2020-03-28T00:00:00"/>
    <x v="4"/>
    <x v="1"/>
    <n v="59"/>
    <x v="9"/>
    <x v="25"/>
    <x v="6"/>
  </r>
  <r>
    <d v="2020-03-23T00:00:00"/>
    <x v="6"/>
    <x v="1"/>
    <n v="43"/>
    <x v="9"/>
    <x v="16"/>
    <x v="2"/>
  </r>
  <r>
    <d v="2020-03-24T00:00:00"/>
    <x v="1"/>
    <x v="1"/>
    <n v="34"/>
    <x v="22"/>
    <x v="4"/>
    <x v="4"/>
  </r>
  <r>
    <d v="2020-03-25T00:00:00"/>
    <x v="5"/>
    <x v="1"/>
    <n v="39"/>
    <x v="1"/>
    <x v="26"/>
    <x v="14"/>
  </r>
  <r>
    <d v="2020-03-26T00:00:00"/>
    <x v="4"/>
    <x v="1"/>
    <n v="42"/>
    <x v="9"/>
    <x v="12"/>
    <x v="15"/>
  </r>
  <r>
    <d v="2020-03-27T00:00:00"/>
    <x v="5"/>
    <x v="1"/>
    <n v="51"/>
    <x v="9"/>
    <x v="27"/>
    <x v="6"/>
  </r>
  <r>
    <d v="2020-03-28T00:00:00"/>
    <x v="2"/>
    <x v="1"/>
    <n v="41"/>
    <x v="9"/>
    <x v="2"/>
    <x v="9"/>
  </r>
  <r>
    <d v="2020-03-23T00:00:00"/>
    <x v="3"/>
    <x v="1"/>
    <n v="37"/>
    <x v="24"/>
    <x v="14"/>
    <x v="16"/>
  </r>
  <r>
    <d v="2020-03-28T00:00:00"/>
    <x v="5"/>
    <x v="2"/>
    <n v="44"/>
    <x v="25"/>
    <x v="28"/>
    <x v="17"/>
  </r>
  <r>
    <d v="2020-03-23T00:00:00"/>
    <x v="4"/>
    <x v="2"/>
    <n v="46"/>
    <x v="26"/>
    <x v="29"/>
    <x v="18"/>
  </r>
  <r>
    <d v="2020-03-24T00:00:00"/>
    <x v="0"/>
    <x v="2"/>
    <n v="39"/>
    <x v="27"/>
    <x v="30"/>
    <x v="19"/>
  </r>
  <r>
    <d v="2020-03-25T00:00:00"/>
    <x v="2"/>
    <x v="2"/>
    <n v="47"/>
    <x v="28"/>
    <x v="31"/>
    <x v="20"/>
  </r>
  <r>
    <d v="2020-03-26T00:00:00"/>
    <x v="3"/>
    <x v="2"/>
    <n v="34"/>
    <x v="29"/>
    <x v="32"/>
    <x v="21"/>
  </r>
  <r>
    <d v="2020-03-27T00:00:00"/>
    <x v="0"/>
    <x v="2"/>
    <n v="43"/>
    <x v="13"/>
    <x v="2"/>
    <x v="22"/>
  </r>
  <r>
    <d v="2020-03-28T00:00:00"/>
    <x v="0"/>
    <x v="2"/>
    <n v="38"/>
    <x v="4"/>
    <x v="23"/>
    <x v="23"/>
  </r>
  <r>
    <d v="2020-03-23T00:00:00"/>
    <x v="1"/>
    <x v="2"/>
    <n v="37"/>
    <x v="12"/>
    <x v="33"/>
    <x v="24"/>
  </r>
  <r>
    <d v="2020-03-24T00:00:00"/>
    <x v="2"/>
    <x v="2"/>
    <n v="34"/>
    <x v="30"/>
    <x v="34"/>
    <x v="25"/>
  </r>
  <r>
    <d v="2020-03-25T00:00:00"/>
    <x v="1"/>
    <x v="2"/>
    <n v="49"/>
    <x v="31"/>
    <x v="35"/>
    <x v="26"/>
  </r>
  <r>
    <d v="2020-03-26T00:00:00"/>
    <x v="0"/>
    <x v="2"/>
    <n v="41"/>
    <x v="32"/>
    <x v="31"/>
    <x v="20"/>
  </r>
  <r>
    <d v="2020-03-27T00:00:00"/>
    <x v="3"/>
    <x v="2"/>
    <n v="44"/>
    <x v="33"/>
    <x v="36"/>
    <x v="27"/>
  </r>
  <r>
    <d v="2020-03-28T00:00:00"/>
    <x v="4"/>
    <x v="2"/>
    <n v="42"/>
    <x v="34"/>
    <x v="21"/>
    <x v="28"/>
  </r>
  <r>
    <d v="2020-03-23T00:00:00"/>
    <x v="0"/>
    <x v="2"/>
    <n v="40"/>
    <x v="34"/>
    <x v="37"/>
    <x v="29"/>
  </r>
  <r>
    <d v="2020-03-24T00:00:00"/>
    <x v="1"/>
    <x v="2"/>
    <n v="39"/>
    <x v="35"/>
    <x v="27"/>
    <x v="30"/>
  </r>
  <r>
    <d v="2020-03-25T00:00:00"/>
    <x v="5"/>
    <x v="2"/>
    <n v="48"/>
    <x v="25"/>
    <x v="14"/>
    <x v="31"/>
  </r>
  <r>
    <d v="2020-03-26T00:00:00"/>
    <x v="4"/>
    <x v="2"/>
    <n v="41"/>
    <x v="13"/>
    <x v="38"/>
    <x v="32"/>
  </r>
  <r>
    <d v="2020-03-27T00:00:00"/>
    <x v="4"/>
    <x v="2"/>
    <n v="42"/>
    <x v="12"/>
    <x v="39"/>
    <x v="33"/>
  </r>
  <r>
    <d v="2020-03-28T00:00:00"/>
    <x v="2"/>
    <x v="2"/>
    <n v="43"/>
    <x v="12"/>
    <x v="40"/>
    <x v="34"/>
  </r>
  <r>
    <d v="2020-03-23T00:00:00"/>
    <x v="3"/>
    <x v="2"/>
    <n v="35"/>
    <x v="34"/>
    <x v="41"/>
    <x v="35"/>
  </r>
  <r>
    <d v="2020-03-24T00:00:00"/>
    <x v="0"/>
    <x v="2"/>
    <n v="46"/>
    <x v="35"/>
    <x v="42"/>
    <x v="36"/>
  </r>
  <r>
    <d v="2020-03-25T00:00:00"/>
    <x v="0"/>
    <x v="2"/>
    <n v="39"/>
    <x v="28"/>
    <x v="21"/>
    <x v="28"/>
  </r>
  <r>
    <d v="2020-03-26T00:00:00"/>
    <x v="1"/>
    <x v="2"/>
    <n v="35"/>
    <x v="36"/>
    <x v="38"/>
    <x v="32"/>
  </r>
  <r>
    <d v="2020-03-27T00:00:00"/>
    <x v="2"/>
    <x v="2"/>
    <n v="37"/>
    <x v="37"/>
    <x v="31"/>
    <x v="20"/>
  </r>
  <r>
    <d v="2020-03-25T00:00:00"/>
    <x v="4"/>
    <x v="1"/>
    <n v="44"/>
    <x v="38"/>
    <x v="43"/>
    <x v="2"/>
  </r>
  <r>
    <d v="2020-03-26T00:00:00"/>
    <x v="5"/>
    <x v="1"/>
    <n v="47"/>
    <x v="22"/>
    <x v="10"/>
    <x v="4"/>
  </r>
  <r>
    <d v="2020-03-27T00:00:00"/>
    <x v="1"/>
    <x v="1"/>
    <n v="47"/>
    <x v="39"/>
    <x v="38"/>
    <x v="0"/>
  </r>
  <r>
    <d v="2020-03-28T00:00:00"/>
    <x v="5"/>
    <x v="1"/>
    <n v="42"/>
    <x v="9"/>
    <x v="22"/>
    <x v="37"/>
  </r>
  <r>
    <d v="2020-03-23T00:00:00"/>
    <x v="4"/>
    <x v="1"/>
    <n v="39"/>
    <x v="15"/>
    <x v="24"/>
    <x v="4"/>
  </r>
  <r>
    <d v="2020-03-24T00:00:00"/>
    <x v="7"/>
    <x v="1"/>
    <n v="38"/>
    <x v="40"/>
    <x v="44"/>
    <x v="6"/>
  </r>
  <r>
    <d v="2020-03-25T00:00:00"/>
    <x v="2"/>
    <x v="1"/>
    <n v="36"/>
    <x v="15"/>
    <x v="45"/>
    <x v="7"/>
  </r>
  <r>
    <d v="2020-03-26T00:00:00"/>
    <x v="3"/>
    <x v="1"/>
    <n v="34"/>
    <x v="14"/>
    <x v="46"/>
    <x v="6"/>
  </r>
  <r>
    <d v="2020-03-27T00:00:00"/>
    <x v="0"/>
    <x v="1"/>
    <n v="35"/>
    <x v="24"/>
    <x v="21"/>
    <x v="0"/>
  </r>
  <r>
    <d v="2020-03-28T00:00:00"/>
    <x v="0"/>
    <x v="1"/>
    <n v="45"/>
    <x v="41"/>
    <x v="31"/>
    <x v="6"/>
  </r>
  <r>
    <d v="2020-03-23T00:00:00"/>
    <x v="1"/>
    <x v="1"/>
    <n v="44"/>
    <x v="42"/>
    <x v="47"/>
    <x v="38"/>
  </r>
  <r>
    <d v="2020-03-24T00:00:00"/>
    <x v="2"/>
    <x v="1"/>
    <n v="39"/>
    <x v="3"/>
    <x v="11"/>
    <x v="4"/>
  </r>
  <r>
    <d v="2020-03-25T00:00:00"/>
    <x v="1"/>
    <x v="1"/>
    <n v="37"/>
    <x v="17"/>
    <x v="48"/>
    <x v="6"/>
  </r>
  <r>
    <d v="2020-03-26T00:00:00"/>
    <x v="0"/>
    <x v="1"/>
    <n v="41"/>
    <x v="43"/>
    <x v="13"/>
    <x v="1"/>
  </r>
  <r>
    <d v="2020-03-27T00:00:00"/>
    <x v="3"/>
    <x v="1"/>
    <n v="51"/>
    <x v="44"/>
    <x v="49"/>
    <x v="2"/>
  </r>
  <r>
    <d v="2020-03-28T00:00:00"/>
    <x v="4"/>
    <x v="1"/>
    <n v="44"/>
    <x v="15"/>
    <x v="25"/>
    <x v="39"/>
  </r>
  <r>
    <d v="2020-03-23T00:00:00"/>
    <x v="7"/>
    <x v="1"/>
    <n v="35"/>
    <x v="17"/>
    <x v="2"/>
    <x v="4"/>
  </r>
  <r>
    <d v="2020-03-24T00:00:00"/>
    <x v="1"/>
    <x v="1"/>
    <n v="50"/>
    <x v="9"/>
    <x v="50"/>
    <x v="6"/>
  </r>
  <r>
    <d v="2020-03-25T00:00:00"/>
    <x v="5"/>
    <x v="1"/>
    <n v="37"/>
    <x v="11"/>
    <x v="16"/>
    <x v="40"/>
  </r>
  <r>
    <d v="2020-03-26T00:00:00"/>
    <x v="4"/>
    <x v="1"/>
    <n v="47"/>
    <x v="9"/>
    <x v="16"/>
    <x v="41"/>
  </r>
  <r>
    <d v="2020-03-27T00:00:00"/>
    <x v="8"/>
    <x v="1"/>
    <n v="44"/>
    <x v="1"/>
    <x v="48"/>
    <x v="42"/>
  </r>
  <r>
    <d v="2020-03-28T00:00:00"/>
    <x v="2"/>
    <x v="1"/>
    <n v="35"/>
    <x v="15"/>
    <x v="51"/>
    <x v="7"/>
  </r>
  <r>
    <d v="2020-03-23T00:00:00"/>
    <x v="3"/>
    <x v="1"/>
    <n v="38"/>
    <x v="22"/>
    <x v="49"/>
    <x v="43"/>
  </r>
  <r>
    <d v="2020-03-24T00:00:00"/>
    <x v="0"/>
    <x v="1"/>
    <n v="38"/>
    <x v="21"/>
    <x v="52"/>
    <x v="44"/>
  </r>
  <r>
    <d v="2020-03-25T00:00:00"/>
    <x v="0"/>
    <x v="1"/>
    <n v="42"/>
    <x v="10"/>
    <x v="53"/>
    <x v="4"/>
  </r>
  <r>
    <d v="2020-03-26T00:00:00"/>
    <x v="1"/>
    <x v="1"/>
    <n v="40"/>
    <x v="9"/>
    <x v="24"/>
    <x v="45"/>
  </r>
  <r>
    <d v="2020-03-27T00:00:00"/>
    <x v="2"/>
    <x v="1"/>
    <n v="39"/>
    <x v="5"/>
    <x v="11"/>
    <x v="2"/>
  </r>
  <r>
    <d v="2020-03-28T00:00:00"/>
    <x v="1"/>
    <x v="1"/>
    <n v="42"/>
    <x v="3"/>
    <x v="54"/>
    <x v="46"/>
  </r>
  <r>
    <d v="2020-03-23T00:00:00"/>
    <x v="0"/>
    <x v="1"/>
    <n v="37"/>
    <x v="10"/>
    <x v="32"/>
    <x v="47"/>
  </r>
  <r>
    <d v="2020-03-24T00:00:00"/>
    <x v="3"/>
    <x v="1"/>
    <n v="39"/>
    <x v="45"/>
    <x v="22"/>
    <x v="1"/>
  </r>
  <r>
    <d v="2020-03-25T00:00:00"/>
    <x v="4"/>
    <x v="1"/>
    <n v="35"/>
    <x v="21"/>
    <x v="55"/>
    <x v="9"/>
  </r>
  <r>
    <d v="2020-03-26T00:00:00"/>
    <x v="8"/>
    <x v="1"/>
    <n v="40"/>
    <x v="17"/>
    <x v="56"/>
    <x v="42"/>
  </r>
  <r>
    <d v="2020-03-27T00:00:00"/>
    <x v="1"/>
    <x v="1"/>
    <n v="53"/>
    <x v="14"/>
    <x v="57"/>
    <x v="48"/>
  </r>
  <r>
    <d v="2020-03-28T00:00:00"/>
    <x v="5"/>
    <x v="2"/>
    <n v="44"/>
    <x v="10"/>
    <x v="37"/>
    <x v="4"/>
  </r>
  <r>
    <d v="2020-03-23T00:00:00"/>
    <x v="4"/>
    <x v="2"/>
    <n v="46"/>
    <x v="46"/>
    <x v="58"/>
    <x v="4"/>
  </r>
  <r>
    <d v="2020-03-24T00:00:00"/>
    <x v="0"/>
    <x v="2"/>
    <n v="39"/>
    <x v="47"/>
    <x v="24"/>
    <x v="49"/>
  </r>
  <r>
    <d v="2020-03-25T00:00:00"/>
    <x v="2"/>
    <x v="2"/>
    <n v="47"/>
    <x v="14"/>
    <x v="2"/>
    <x v="4"/>
  </r>
  <r>
    <d v="2020-03-26T00:00:00"/>
    <x v="3"/>
    <x v="2"/>
    <n v="34"/>
    <x v="48"/>
    <x v="59"/>
    <x v="50"/>
  </r>
  <r>
    <d v="2020-03-27T00:00:00"/>
    <x v="0"/>
    <x v="2"/>
    <n v="43"/>
    <x v="9"/>
    <x v="14"/>
    <x v="51"/>
  </r>
  <r>
    <d v="2020-03-28T00:00:00"/>
    <x v="0"/>
    <x v="2"/>
    <n v="38"/>
    <x v="1"/>
    <x v="60"/>
    <x v="6"/>
  </r>
  <r>
    <d v="2020-03-23T00:00:00"/>
    <x v="1"/>
    <x v="2"/>
    <n v="37"/>
    <x v="4"/>
    <x v="61"/>
    <x v="40"/>
  </r>
  <r>
    <d v="2020-03-24T00:00:00"/>
    <x v="2"/>
    <x v="2"/>
    <n v="34"/>
    <x v="49"/>
    <x v="62"/>
    <x v="4"/>
  </r>
  <r>
    <d v="2020-03-25T00:00:00"/>
    <x v="1"/>
    <x v="2"/>
    <n v="49"/>
    <x v="2"/>
    <x v="63"/>
    <x v="52"/>
  </r>
  <r>
    <d v="2020-03-26T00:00:00"/>
    <x v="0"/>
    <x v="2"/>
    <n v="41"/>
    <x v="50"/>
    <x v="2"/>
    <x v="4"/>
  </r>
  <r>
    <d v="2020-03-27T00:00:00"/>
    <x v="3"/>
    <x v="2"/>
    <n v="44"/>
    <x v="35"/>
    <x v="64"/>
    <x v="53"/>
  </r>
  <r>
    <d v="2020-03-28T00:00:00"/>
    <x v="4"/>
    <x v="2"/>
    <n v="42"/>
    <x v="22"/>
    <x v="38"/>
    <x v="6"/>
  </r>
  <r>
    <d v="2020-03-23T00:00:00"/>
    <x v="0"/>
    <x v="2"/>
    <n v="40"/>
    <x v="22"/>
    <x v="65"/>
    <x v="4"/>
  </r>
  <r>
    <d v="2020-03-24T00:00:00"/>
    <x v="1"/>
    <x v="2"/>
    <n v="39"/>
    <x v="13"/>
    <x v="22"/>
    <x v="54"/>
  </r>
  <r>
    <d v="2020-03-25T00:00:00"/>
    <x v="5"/>
    <x v="2"/>
    <n v="48"/>
    <x v="10"/>
    <x v="66"/>
    <x v="6"/>
  </r>
  <r>
    <d v="2020-03-26T00:00:00"/>
    <x v="4"/>
    <x v="2"/>
    <n v="41"/>
    <x v="9"/>
    <x v="16"/>
    <x v="16"/>
  </r>
  <r>
    <d v="2020-03-27T00:00:00"/>
    <x v="4"/>
    <x v="2"/>
    <n v="42"/>
    <x v="4"/>
    <x v="12"/>
    <x v="6"/>
  </r>
  <r>
    <d v="2020-03-28T00:00:00"/>
    <x v="2"/>
    <x v="2"/>
    <n v="43"/>
    <x v="4"/>
    <x v="11"/>
    <x v="2"/>
  </r>
  <r>
    <d v="2020-03-23T00:00:00"/>
    <x v="3"/>
    <x v="2"/>
    <n v="35"/>
    <x v="22"/>
    <x v="5"/>
    <x v="6"/>
  </r>
  <r>
    <d v="2020-03-24T00:00:00"/>
    <x v="0"/>
    <x v="2"/>
    <n v="46"/>
    <x v="13"/>
    <x v="21"/>
    <x v="6"/>
  </r>
  <r>
    <d v="2020-03-25T00:00:00"/>
    <x v="0"/>
    <x v="2"/>
    <n v="39"/>
    <x v="14"/>
    <x v="38"/>
    <x v="4"/>
  </r>
  <r>
    <d v="2020-03-26T00:00:00"/>
    <x v="1"/>
    <x v="2"/>
    <n v="35"/>
    <x v="51"/>
    <x v="16"/>
    <x v="16"/>
  </r>
  <r>
    <d v="2020-03-27T00:00:00"/>
    <x v="2"/>
    <x v="2"/>
    <n v="37"/>
    <x v="8"/>
    <x v="2"/>
    <x v="6"/>
  </r>
  <r>
    <d v="2020-03-28T00:00:00"/>
    <x v="1"/>
    <x v="2"/>
    <n v="48"/>
    <x v="22"/>
    <x v="16"/>
    <x v="55"/>
  </r>
  <r>
    <d v="2020-03-23T00:00:00"/>
    <x v="0"/>
    <x v="2"/>
    <n v="48"/>
    <x v="52"/>
    <x v="67"/>
    <x v="56"/>
  </r>
  <r>
    <d v="2020-03-24T00:00:00"/>
    <x v="3"/>
    <x v="2"/>
    <n v="36"/>
    <x v="53"/>
    <x v="68"/>
    <x v="2"/>
  </r>
  <r>
    <d v="2020-03-25T00:00:00"/>
    <x v="4"/>
    <x v="2"/>
    <n v="45"/>
    <x v="46"/>
    <x v="16"/>
    <x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9">
  <r>
    <d v="2020-03-28T00:00:00"/>
    <x v="0"/>
    <x v="0"/>
    <n v="49"/>
    <n v="35000"/>
    <n v="92000"/>
    <n v="3000"/>
  </r>
  <r>
    <d v="2020-03-23T00:00:00"/>
    <x v="1"/>
    <x v="0"/>
    <n v="53"/>
    <n v="100000"/>
    <n v="20000"/>
    <n v="2000"/>
  </r>
  <r>
    <d v="2020-03-24T00:00:00"/>
    <x v="2"/>
    <x v="1"/>
    <n v="37"/>
    <n v="210000"/>
    <n v="200000"/>
    <n v="20000"/>
  </r>
  <r>
    <d v="2020-03-25T00:00:00"/>
    <x v="1"/>
    <x v="1"/>
    <n v="45"/>
    <n v="160000"/>
    <n v="1050000"/>
    <n v="60000"/>
  </r>
  <r>
    <d v="2020-03-26T00:00:00"/>
    <x v="0"/>
    <x v="1"/>
    <n v="53"/>
    <n v="350000"/>
    <n v="1000000"/>
    <n v="10000"/>
  </r>
  <r>
    <d v="2020-03-27T00:00:00"/>
    <x v="3"/>
    <x v="0"/>
    <n v="45"/>
    <n v="180000"/>
    <n v="250000"/>
    <n v="72000"/>
  </r>
  <r>
    <d v="2020-03-28T00:00:00"/>
    <x v="4"/>
    <x v="1"/>
    <n v="62"/>
    <n v="97000"/>
    <n v="237000"/>
    <n v="5000"/>
  </r>
  <r>
    <d v="2020-03-23T00:00:00"/>
    <x v="1"/>
    <x v="1"/>
    <n v="61"/>
    <n v="168000"/>
    <n v="288000"/>
    <n v="15000"/>
  </r>
  <r>
    <d v="2020-03-24T00:00:00"/>
    <x v="1"/>
    <x v="1"/>
    <n v="40"/>
    <n v="220000"/>
    <n v="200000"/>
    <n v="2000"/>
  </r>
  <r>
    <d v="2020-03-25T00:00:00"/>
    <x v="5"/>
    <x v="1"/>
    <n v="53"/>
    <n v="150000"/>
    <n v="250000"/>
    <n v="5000"/>
  </r>
  <r>
    <d v="2020-03-26T00:00:00"/>
    <x v="4"/>
    <x v="0"/>
    <n v="53"/>
    <n v="500000"/>
    <n v="900000"/>
    <n v="45000"/>
  </r>
  <r>
    <d v="2020-03-27T00:00:00"/>
    <x v="2"/>
    <x v="1"/>
    <n v="34"/>
    <n v="100000"/>
    <n v="200000"/>
    <n v="15000"/>
  </r>
  <r>
    <d v="2020-03-28T00:00:00"/>
    <x v="2"/>
    <x v="1"/>
    <n v="36"/>
    <n v="0"/>
    <n v="880000"/>
    <n v="4000"/>
  </r>
  <r>
    <d v="2020-03-23T00:00:00"/>
    <x v="3"/>
    <x v="1"/>
    <n v="39"/>
    <n v="150000"/>
    <n v="170000"/>
    <n v="5000"/>
  </r>
  <r>
    <d v="2020-03-24T00:00:00"/>
    <x v="0"/>
    <x v="0"/>
    <n v="39"/>
    <n v="600000"/>
    <n v="500000"/>
    <n v="5000"/>
  </r>
  <r>
    <d v="2020-03-25T00:00:00"/>
    <x v="0"/>
    <x v="1"/>
    <n v="45"/>
    <n v="400000"/>
    <n v="400000"/>
    <n v="15000"/>
  </r>
  <r>
    <d v="2020-03-26T00:00:00"/>
    <x v="1"/>
    <x v="1"/>
    <n v="41"/>
    <n v="120000"/>
    <n v="30000"/>
    <n v="10000"/>
  </r>
  <r>
    <d v="2020-03-27T00:00:00"/>
    <x v="2"/>
    <x v="1"/>
    <n v="38"/>
    <n v="250000"/>
    <n v="120000"/>
    <n v="10000"/>
  </r>
  <r>
    <d v="2020-03-28T00:00:00"/>
    <x v="1"/>
    <x v="1"/>
    <n v="46"/>
    <n v="150000"/>
    <n v="720000"/>
    <n v="60000"/>
  </r>
  <r>
    <d v="2020-03-23T00:00:00"/>
    <x v="0"/>
    <x v="1"/>
    <n v="45"/>
    <n v="350000"/>
    <n v="0"/>
    <n v="36000"/>
  </r>
  <r>
    <d v="2020-03-24T00:00:00"/>
    <x v="3"/>
    <x v="1"/>
    <n v="61"/>
    <n v="150000"/>
    <n v="78000"/>
    <n v="15000"/>
  </r>
  <r>
    <d v="2020-03-25T00:00:00"/>
    <x v="4"/>
    <x v="1"/>
    <n v="48"/>
    <n v="145000"/>
    <n v="30000"/>
    <n v="5000"/>
  </r>
  <r>
    <d v="2020-03-26T00:00:00"/>
    <x v="2"/>
    <x v="1"/>
    <n v="51"/>
    <n v="300000"/>
    <n v="500000"/>
    <n v="20000"/>
  </r>
  <r>
    <d v="2020-03-27T00:00:00"/>
    <x v="1"/>
    <x v="1"/>
    <n v="46"/>
    <n v="130000"/>
    <n v="200000"/>
    <n v="5000"/>
  </r>
  <r>
    <d v="2020-03-28T00:00:00"/>
    <x v="5"/>
    <x v="1"/>
    <n v="51"/>
    <n v="170000"/>
    <n v="450000"/>
    <n v="20000"/>
  </r>
  <r>
    <d v="2020-03-23T00:00:00"/>
    <x v="4"/>
    <x v="1"/>
    <n v="45"/>
    <n v="80000"/>
    <n v="1200000"/>
    <n v="10000"/>
  </r>
  <r>
    <d v="2020-03-24T00:00:00"/>
    <x v="6"/>
    <x v="1"/>
    <n v="54"/>
    <n v="60000"/>
    <n v="170000"/>
    <n v="8500"/>
  </r>
  <r>
    <d v="2020-03-25T00:00:00"/>
    <x v="2"/>
    <x v="1"/>
    <n v="59"/>
    <n v="150000"/>
    <n v="0"/>
    <n v="70000"/>
  </r>
  <r>
    <d v="2020-03-26T00:00:00"/>
    <x v="3"/>
    <x v="1"/>
    <n v="40"/>
    <n v="100000"/>
    <n v="125000"/>
    <n v="5000"/>
  </r>
  <r>
    <d v="2020-03-27T00:00:00"/>
    <x v="0"/>
    <x v="1"/>
    <n v="46"/>
    <n v="80000"/>
    <n v="160000"/>
    <n v="1000"/>
  </r>
  <r>
    <d v="2020-03-28T00:00:00"/>
    <x v="0"/>
    <x v="1"/>
    <n v="41"/>
    <n v="200000"/>
    <n v="100000"/>
    <n v="20000"/>
  </r>
  <r>
    <d v="2020-03-23T00:00:00"/>
    <x v="1"/>
    <x v="1"/>
    <n v="41"/>
    <n v="180000"/>
    <n v="0"/>
    <n v="3000"/>
  </r>
  <r>
    <d v="2020-03-24T00:00:00"/>
    <x v="2"/>
    <x v="1"/>
    <n v="57"/>
    <n v="150000"/>
    <n v="100000"/>
    <n v="15000"/>
  </r>
  <r>
    <d v="2020-03-25T00:00:00"/>
    <x v="1"/>
    <x v="1"/>
    <n v="35"/>
    <n v="200000"/>
    <n v="390000"/>
    <n v="10000"/>
  </r>
  <r>
    <d v="2020-03-26T00:00:00"/>
    <x v="0"/>
    <x v="1"/>
    <n v="40"/>
    <n v="700000"/>
    <n v="500000"/>
    <n v="5000"/>
  </r>
  <r>
    <d v="2020-03-27T00:00:00"/>
    <x v="3"/>
    <x v="1"/>
    <n v="52"/>
    <n v="150000"/>
    <n v="300000"/>
    <n v="10000"/>
  </r>
  <r>
    <d v="2020-03-28T00:00:00"/>
    <x v="4"/>
    <x v="1"/>
    <n v="59"/>
    <n v="150000"/>
    <n v="220000"/>
    <n v="5000"/>
  </r>
  <r>
    <d v="2020-03-23T00:00:00"/>
    <x v="6"/>
    <x v="1"/>
    <n v="43"/>
    <n v="150000"/>
    <n v="0"/>
    <n v="20000"/>
  </r>
  <r>
    <d v="2020-03-24T00:00:00"/>
    <x v="1"/>
    <x v="1"/>
    <n v="34"/>
    <n v="200000"/>
    <n v="1000000"/>
    <n v="10000"/>
  </r>
  <r>
    <d v="2020-03-25T00:00:00"/>
    <x v="5"/>
    <x v="1"/>
    <n v="39"/>
    <n v="100000"/>
    <n v="140000"/>
    <n v="200"/>
  </r>
  <r>
    <d v="2020-03-26T00:00:00"/>
    <x v="4"/>
    <x v="1"/>
    <n v="42"/>
    <n v="150000"/>
    <n v="400000"/>
    <n v="24000"/>
  </r>
  <r>
    <d v="2020-03-27T00:00:00"/>
    <x v="5"/>
    <x v="1"/>
    <n v="51"/>
    <n v="150000"/>
    <n v="180000"/>
    <n v="5000"/>
  </r>
  <r>
    <d v="2020-03-28T00:00:00"/>
    <x v="2"/>
    <x v="1"/>
    <n v="41"/>
    <n v="150000"/>
    <n v="200000"/>
    <n v="4000"/>
  </r>
  <r>
    <d v="2020-03-23T00:00:00"/>
    <x v="3"/>
    <x v="1"/>
    <n v="37"/>
    <n v="70000"/>
    <n v="120000"/>
    <n v="2500"/>
  </r>
  <r>
    <d v="2020-03-28T00:00:00"/>
    <x v="5"/>
    <x v="2"/>
    <n v="44"/>
    <n v="750000"/>
    <n v="230000"/>
    <n v="240000"/>
  </r>
  <r>
    <d v="2020-03-23T00:00:00"/>
    <x v="4"/>
    <x v="2"/>
    <n v="46"/>
    <n v="360000"/>
    <n v="1030000"/>
    <n v="1040000"/>
  </r>
  <r>
    <d v="2020-03-24T00:00:00"/>
    <x v="0"/>
    <x v="2"/>
    <n v="39"/>
    <n v="1170000"/>
    <n v="380000"/>
    <n v="390000"/>
  </r>
  <r>
    <d v="2020-03-25T00:00:00"/>
    <x v="2"/>
    <x v="2"/>
    <n v="47"/>
    <n v="370000"/>
    <n v="280000"/>
    <n v="290000"/>
  </r>
  <r>
    <d v="2020-03-26T00:00:00"/>
    <x v="3"/>
    <x v="2"/>
    <n v="34"/>
    <n v="348000"/>
    <n v="290000"/>
    <n v="300000"/>
  </r>
  <r>
    <d v="2020-03-27T00:00:00"/>
    <x v="0"/>
    <x v="2"/>
    <n v="43"/>
    <n v="400000"/>
    <n v="200000"/>
    <n v="210000"/>
  </r>
  <r>
    <d v="2020-03-28T00:00:00"/>
    <x v="0"/>
    <x v="2"/>
    <n v="38"/>
    <n v="350000"/>
    <n v="390000"/>
    <n v="400000"/>
  </r>
  <r>
    <d v="2020-03-23T00:00:00"/>
    <x v="1"/>
    <x v="2"/>
    <n v="37"/>
    <n v="600000"/>
    <n v="920000"/>
    <n v="930000"/>
  </r>
  <r>
    <d v="2020-03-24T00:00:00"/>
    <x v="2"/>
    <x v="2"/>
    <n v="34"/>
    <n v="570000"/>
    <n v="249000"/>
    <n v="259000"/>
  </r>
  <r>
    <d v="2020-03-25T00:00:00"/>
    <x v="1"/>
    <x v="2"/>
    <n v="49"/>
    <n v="460000"/>
    <n v="780000"/>
    <n v="790000"/>
  </r>
  <r>
    <d v="2020-03-26T00:00:00"/>
    <x v="0"/>
    <x v="2"/>
    <n v="41"/>
    <n v="890000"/>
    <n v="280000"/>
    <n v="290000"/>
  </r>
  <r>
    <d v="2020-03-27T00:00:00"/>
    <x v="3"/>
    <x v="2"/>
    <n v="44"/>
    <n v="900000"/>
    <n v="630000"/>
    <n v="640000"/>
  </r>
  <r>
    <d v="2020-03-28T00:00:00"/>
    <x v="4"/>
    <x v="2"/>
    <n v="42"/>
    <n v="450000"/>
    <n v="160000"/>
    <n v="170000"/>
  </r>
  <r>
    <d v="2020-03-23T00:00:00"/>
    <x v="0"/>
    <x v="2"/>
    <n v="40"/>
    <n v="450000"/>
    <n v="150000"/>
    <n v="160000"/>
  </r>
  <r>
    <d v="2020-03-24T00:00:00"/>
    <x v="1"/>
    <x v="2"/>
    <n v="39"/>
    <n v="650000"/>
    <n v="180000"/>
    <n v="190000"/>
  </r>
  <r>
    <d v="2020-03-25T00:00:00"/>
    <x v="5"/>
    <x v="2"/>
    <n v="48"/>
    <n v="750000"/>
    <n v="120000"/>
    <n v="130000"/>
  </r>
  <r>
    <d v="2020-03-26T00:00:00"/>
    <x v="4"/>
    <x v="2"/>
    <n v="41"/>
    <n v="400000"/>
    <n v="80000"/>
    <n v="90000"/>
  </r>
  <r>
    <d v="2020-03-27T00:00:00"/>
    <x v="4"/>
    <x v="2"/>
    <n v="42"/>
    <n v="600000"/>
    <n v="480000"/>
    <n v="490000"/>
  </r>
  <r>
    <d v="2020-03-28T00:00:00"/>
    <x v="2"/>
    <x v="2"/>
    <n v="43"/>
    <n v="600000"/>
    <n v="580000"/>
    <n v="590000"/>
  </r>
  <r>
    <d v="2020-03-23T00:00:00"/>
    <x v="3"/>
    <x v="2"/>
    <n v="35"/>
    <n v="450000"/>
    <n v="330000"/>
    <n v="340000"/>
  </r>
  <r>
    <d v="2020-03-24T00:00:00"/>
    <x v="0"/>
    <x v="2"/>
    <n v="46"/>
    <n v="650000"/>
    <n v="240000"/>
    <n v="250000"/>
  </r>
  <r>
    <d v="2020-03-25T00:00:00"/>
    <x v="0"/>
    <x v="2"/>
    <n v="39"/>
    <n v="370000"/>
    <n v="160000"/>
    <n v="170000"/>
  </r>
  <r>
    <d v="2020-03-26T00:00:00"/>
    <x v="1"/>
    <x v="2"/>
    <n v="35"/>
    <n v="345000"/>
    <n v="80000"/>
    <n v="90000"/>
  </r>
  <r>
    <d v="2020-03-27T00:00:00"/>
    <x v="2"/>
    <x v="2"/>
    <n v="37"/>
    <n v="470000"/>
    <n v="280000"/>
    <n v="290000"/>
  </r>
  <r>
    <d v="2020-03-25T00:00:00"/>
    <x v="4"/>
    <x v="1"/>
    <n v="44"/>
    <n v="175000"/>
    <n v="190000"/>
    <n v="20000"/>
  </r>
  <r>
    <d v="2020-03-26T00:00:00"/>
    <x v="5"/>
    <x v="1"/>
    <n v="47"/>
    <n v="200000"/>
    <n v="170000"/>
    <n v="10000"/>
  </r>
  <r>
    <d v="2020-03-27T00:00:00"/>
    <x v="1"/>
    <x v="1"/>
    <n v="47"/>
    <n v="420000"/>
    <n v="80000"/>
    <n v="3000"/>
  </r>
  <r>
    <d v="2020-03-28T00:00:00"/>
    <x v="5"/>
    <x v="1"/>
    <n v="42"/>
    <n v="150000"/>
    <n v="100000"/>
    <n v="7000"/>
  </r>
  <r>
    <d v="2020-03-23T00:00:00"/>
    <x v="4"/>
    <x v="1"/>
    <n v="39"/>
    <n v="250000"/>
    <n v="300000"/>
    <n v="10000"/>
  </r>
  <r>
    <d v="2020-03-24T00:00:00"/>
    <x v="7"/>
    <x v="1"/>
    <n v="38"/>
    <n v="85000"/>
    <n v="105000"/>
    <n v="5000"/>
  </r>
  <r>
    <d v="2020-03-25T00:00:00"/>
    <x v="2"/>
    <x v="1"/>
    <n v="36"/>
    <n v="250000"/>
    <n v="368000"/>
    <n v="15000"/>
  </r>
  <r>
    <d v="2020-03-26T00:00:00"/>
    <x v="3"/>
    <x v="1"/>
    <n v="34"/>
    <n v="120000"/>
    <n v="145000"/>
    <n v="5000"/>
  </r>
  <r>
    <d v="2020-03-27T00:00:00"/>
    <x v="0"/>
    <x v="1"/>
    <n v="35"/>
    <n v="70000"/>
    <n v="160000"/>
    <n v="3000"/>
  </r>
  <r>
    <d v="2020-03-28T00:00:00"/>
    <x v="0"/>
    <x v="1"/>
    <n v="45"/>
    <n v="230000"/>
    <n v="280000"/>
    <n v="5000"/>
  </r>
  <r>
    <d v="2020-03-23T00:00:00"/>
    <x v="1"/>
    <x v="1"/>
    <n v="44"/>
    <n v="55000"/>
    <n v="159200"/>
    <n v="7200"/>
  </r>
  <r>
    <d v="2020-03-24T00:00:00"/>
    <x v="2"/>
    <x v="1"/>
    <n v="39"/>
    <n v="160000"/>
    <n v="500000"/>
    <n v="10000"/>
  </r>
  <r>
    <d v="2020-03-25T00:00:00"/>
    <x v="1"/>
    <x v="1"/>
    <n v="37"/>
    <n v="300000"/>
    <n v="350000"/>
    <n v="5000"/>
  </r>
  <r>
    <d v="2020-03-26T00:00:00"/>
    <x v="0"/>
    <x v="1"/>
    <n v="41"/>
    <n v="71000"/>
    <n v="30000"/>
    <n v="2000"/>
  </r>
  <r>
    <d v="2020-03-27T00:00:00"/>
    <x v="3"/>
    <x v="1"/>
    <n v="51"/>
    <n v="103000"/>
    <n v="50000"/>
    <n v="20000"/>
  </r>
  <r>
    <d v="2020-03-28T00:00:00"/>
    <x v="4"/>
    <x v="1"/>
    <n v="44"/>
    <n v="250000"/>
    <n v="220000"/>
    <n v="35000"/>
  </r>
  <r>
    <d v="2020-03-23T00:00:00"/>
    <x v="7"/>
    <x v="1"/>
    <n v="35"/>
    <n v="300000"/>
    <n v="200000"/>
    <n v="10000"/>
  </r>
  <r>
    <d v="2020-03-24T00:00:00"/>
    <x v="1"/>
    <x v="1"/>
    <n v="50"/>
    <n v="150000"/>
    <n v="270000"/>
    <n v="5000"/>
  </r>
  <r>
    <d v="2020-03-25T00:00:00"/>
    <x v="5"/>
    <x v="1"/>
    <n v="37"/>
    <n v="0"/>
    <n v="0"/>
    <n v="0"/>
  </r>
  <r>
    <d v="2020-03-26T00:00:00"/>
    <x v="4"/>
    <x v="1"/>
    <n v="47"/>
    <n v="150000"/>
    <n v="0"/>
    <n v="5200"/>
  </r>
  <r>
    <d v="2020-03-27T00:00:00"/>
    <x v="8"/>
    <x v="1"/>
    <n v="44"/>
    <n v="100000"/>
    <n v="350000"/>
    <n v="30000"/>
  </r>
  <r>
    <d v="2020-03-28T00:00:00"/>
    <x v="2"/>
    <x v="1"/>
    <n v="35"/>
    <n v="250000"/>
    <n v="565000"/>
    <n v="15000"/>
  </r>
  <r>
    <d v="2020-03-23T00:00:00"/>
    <x v="3"/>
    <x v="1"/>
    <n v="38"/>
    <n v="200000"/>
    <n v="50000"/>
    <n v="8000"/>
  </r>
  <r>
    <d v="2020-03-24T00:00:00"/>
    <x v="0"/>
    <x v="1"/>
    <n v="38"/>
    <n v="60000"/>
    <n v="3380000"/>
    <n v="3693"/>
  </r>
  <r>
    <d v="2020-03-25T00:00:00"/>
    <x v="0"/>
    <x v="1"/>
    <n v="42"/>
    <n v="500000"/>
    <n v="800000"/>
    <n v="10000"/>
  </r>
  <r>
    <d v="2020-03-26T00:00:00"/>
    <x v="1"/>
    <x v="1"/>
    <n v="40"/>
    <n v="150000"/>
    <n v="300000"/>
    <n v="100000"/>
  </r>
  <r>
    <d v="2020-03-27T00:00:00"/>
    <x v="2"/>
    <x v="1"/>
    <n v="39"/>
    <n v="180000"/>
    <n v="500000"/>
    <n v="20000"/>
  </r>
  <r>
    <d v="2020-03-28T00:00:00"/>
    <x v="1"/>
    <x v="1"/>
    <n v="42"/>
    <n v="160000"/>
    <n v="650000"/>
    <n v="12000"/>
  </r>
  <r>
    <d v="2020-03-23T00:00:00"/>
    <x v="0"/>
    <x v="1"/>
    <n v="37"/>
    <n v="500000"/>
    <n v="290000"/>
    <n v="13000"/>
  </r>
  <r>
    <d v="2020-03-24T00:00:00"/>
    <x v="3"/>
    <x v="1"/>
    <n v="39"/>
    <n v="92000"/>
    <n v="100000"/>
    <n v="2000"/>
  </r>
  <r>
    <d v="2020-03-25T00:00:00"/>
    <x v="4"/>
    <x v="1"/>
    <n v="35"/>
    <n v="60000"/>
    <n v="90000"/>
    <n v="4000"/>
  </r>
  <r>
    <d v="2020-03-26T00:00:00"/>
    <x v="8"/>
    <x v="1"/>
    <n v="40"/>
    <n v="300000"/>
    <n v="420000"/>
    <n v="30000"/>
  </r>
  <r>
    <d v="2020-03-27T00:00:00"/>
    <x v="1"/>
    <x v="1"/>
    <n v="53"/>
    <n v="120000"/>
    <n v="370000"/>
    <n v="6000"/>
  </r>
  <r>
    <d v="2020-03-28T00:00:00"/>
    <x v="5"/>
    <x v="2"/>
    <n v="44"/>
    <n v="500000"/>
    <n v="150000"/>
    <n v="10000"/>
  </r>
  <r>
    <d v="2020-03-23T00:00:00"/>
    <x v="4"/>
    <x v="2"/>
    <n v="46"/>
    <n v="110000"/>
    <n v="950000"/>
    <n v="10000"/>
  </r>
  <r>
    <d v="2020-03-24T00:00:00"/>
    <x v="0"/>
    <x v="2"/>
    <n v="39"/>
    <n v="920000"/>
    <n v="300000"/>
    <n v="40000"/>
  </r>
  <r>
    <d v="2020-03-25T00:00:00"/>
    <x v="2"/>
    <x v="2"/>
    <n v="47"/>
    <n v="120000"/>
    <n v="200000"/>
    <n v="10000"/>
  </r>
  <r>
    <d v="2020-03-26T00:00:00"/>
    <x v="3"/>
    <x v="2"/>
    <n v="34"/>
    <n v="98000"/>
    <n v="210000"/>
    <n v="14000"/>
  </r>
  <r>
    <d v="2020-03-27T00:00:00"/>
    <x v="0"/>
    <x v="2"/>
    <n v="43"/>
    <n v="150000"/>
    <n v="120000"/>
    <n v="50000"/>
  </r>
  <r>
    <d v="2020-03-28T00:00:00"/>
    <x v="0"/>
    <x v="2"/>
    <n v="38"/>
    <n v="100000"/>
    <n v="310000"/>
    <n v="5000"/>
  </r>
  <r>
    <d v="2020-03-23T00:00:00"/>
    <x v="1"/>
    <x v="2"/>
    <n v="37"/>
    <n v="350000"/>
    <n v="840000"/>
    <n v="0"/>
  </r>
  <r>
    <d v="2020-03-24T00:00:00"/>
    <x v="2"/>
    <x v="2"/>
    <n v="34"/>
    <n v="320000"/>
    <n v="169000"/>
    <n v="10000"/>
  </r>
  <r>
    <d v="2020-03-25T00:00:00"/>
    <x v="1"/>
    <x v="2"/>
    <n v="49"/>
    <n v="210000"/>
    <n v="700000"/>
    <n v="23000"/>
  </r>
  <r>
    <d v="2020-03-26T00:00:00"/>
    <x v="0"/>
    <x v="2"/>
    <n v="41"/>
    <n v="640000"/>
    <n v="200000"/>
    <n v="10000"/>
  </r>
  <r>
    <d v="2020-03-27T00:00:00"/>
    <x v="3"/>
    <x v="2"/>
    <n v="44"/>
    <n v="650000"/>
    <n v="550000"/>
    <n v="16000"/>
  </r>
  <r>
    <d v="2020-03-28T00:00:00"/>
    <x v="4"/>
    <x v="2"/>
    <n v="42"/>
    <n v="200000"/>
    <n v="80000"/>
    <n v="5000"/>
  </r>
  <r>
    <d v="2020-03-23T00:00:00"/>
    <x v="0"/>
    <x v="2"/>
    <n v="40"/>
    <n v="200000"/>
    <n v="70000"/>
    <n v="10000"/>
  </r>
  <r>
    <d v="2020-03-24T00:00:00"/>
    <x v="1"/>
    <x v="2"/>
    <n v="39"/>
    <n v="400000"/>
    <n v="100000"/>
    <n v="25000"/>
  </r>
  <r>
    <d v="2020-03-25T00:00:00"/>
    <x v="5"/>
    <x v="2"/>
    <n v="48"/>
    <n v="500000"/>
    <n v="40000"/>
    <n v="5000"/>
  </r>
  <r>
    <d v="2020-03-26T00:00:00"/>
    <x v="4"/>
    <x v="2"/>
    <n v="41"/>
    <n v="150000"/>
    <n v="0"/>
    <n v="2500"/>
  </r>
  <r>
    <d v="2020-03-27T00:00:00"/>
    <x v="4"/>
    <x v="2"/>
    <n v="42"/>
    <n v="350000"/>
    <n v="400000"/>
    <n v="5000"/>
  </r>
  <r>
    <d v="2020-03-28T00:00:00"/>
    <x v="2"/>
    <x v="2"/>
    <n v="43"/>
    <n v="350000"/>
    <n v="500000"/>
    <n v="20000"/>
  </r>
  <r>
    <d v="2020-03-23T00:00:00"/>
    <x v="3"/>
    <x v="2"/>
    <n v="35"/>
    <n v="200000"/>
    <n v="250000"/>
    <n v="5000"/>
  </r>
  <r>
    <d v="2020-03-24T00:00:00"/>
    <x v="0"/>
    <x v="2"/>
    <n v="46"/>
    <n v="400000"/>
    <n v="160000"/>
    <n v="5000"/>
  </r>
  <r>
    <d v="2020-03-25T00:00:00"/>
    <x v="0"/>
    <x v="2"/>
    <n v="39"/>
    <n v="120000"/>
    <n v="80000"/>
    <n v="10000"/>
  </r>
  <r>
    <d v="2020-03-26T00:00:00"/>
    <x v="1"/>
    <x v="2"/>
    <n v="35"/>
    <n v="95000"/>
    <n v="0"/>
    <n v="2500"/>
  </r>
  <r>
    <d v="2020-03-27T00:00:00"/>
    <x v="2"/>
    <x v="2"/>
    <n v="37"/>
    <n v="220000"/>
    <n v="200000"/>
    <n v="5000"/>
  </r>
  <r>
    <d v="2020-03-28T00:00:00"/>
    <x v="1"/>
    <x v="2"/>
    <n v="48"/>
    <n v="200000"/>
    <n v="0"/>
    <n v="18000"/>
  </r>
  <r>
    <d v="2020-03-23T00:00:00"/>
    <x v="0"/>
    <x v="2"/>
    <n v="48"/>
    <n v="530000"/>
    <n v="85000"/>
    <n v="9500"/>
  </r>
  <r>
    <d v="2020-03-24T00:00:00"/>
    <x v="3"/>
    <x v="2"/>
    <n v="36"/>
    <n v="2000000"/>
    <n v="2000000"/>
    <n v="20000"/>
  </r>
  <r>
    <d v="2020-03-25T00:00:00"/>
    <x v="4"/>
    <x v="2"/>
    <n v="45"/>
    <n v="110000"/>
    <n v="0"/>
    <n v="1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4:D33" firstHeaderRow="0" firstDataRow="1" firstDataCol="1"/>
  <pivotFields count="8">
    <pivotField numFmtId="14" showAll="0"/>
    <pivotField axis="axisRow" showAll="0">
      <items count="10">
        <item x="4"/>
        <item x="3"/>
        <item x="0"/>
        <item x="1"/>
        <item x="2"/>
        <item x="6"/>
        <item x="5"/>
        <item x="7"/>
        <item x="8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dataField="1" numFmtId="2" showAll="0"/>
    <pivotField dataField="1" numFmtId="2" showAll="0"/>
    <pivotField dataField="1" numFmtId="2" showAll="0"/>
    <pivotField dragToRow="0" dragToCol="0" dragToPage="0" showAll="0" defaultSubtotal="0"/>
  </pivotFields>
  <rowFields count="2">
    <field x="1"/>
    <field x="2"/>
  </rowFields>
  <rowItems count="2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>
      <x v="5"/>
    </i>
    <i r="1">
      <x/>
    </i>
    <i>
      <x v="6"/>
    </i>
    <i r="1">
      <x/>
    </i>
    <i r="1">
      <x v="1"/>
    </i>
    <i>
      <x v="7"/>
    </i>
    <i r="1">
      <x/>
    </i>
    <i>
      <x v="8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реднее по полю Заработная " fld="4" subtotal="average" baseField="1" baseItem="0"/>
    <dataField name="Сумма по полю Общая _x000a_Сумм вклада" fld="5" baseField="0" baseItem="0"/>
    <dataField name="Максимум по полю Вознаграждение" fld="6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C14" firstHeaderRow="0" firstDataRow="1" firstDataCol="1" rowPageCount="1" colPageCount="1"/>
  <pivotFields count="8">
    <pivotField numFmtId="14" showAll="0"/>
    <pivotField axis="axisRow" showAll="0">
      <items count="11">
        <item x="4"/>
        <item x="3"/>
        <item x="0"/>
        <item x="1"/>
        <item x="2"/>
        <item x="6"/>
        <item x="5"/>
        <item x="7"/>
        <item x="8"/>
        <item f="1" x="9"/>
        <item t="default"/>
      </items>
    </pivotField>
    <pivotField axis="axisPage" multipleItemSelectionAllowed="1" showAll="0">
      <items count="4">
        <item x="1"/>
        <item x="2"/>
        <item x="0"/>
        <item t="default"/>
      </items>
    </pivotField>
    <pivotField showAll="0"/>
    <pivotField numFmtId="2" showAll="0"/>
    <pivotField dataField="1" numFmtId="2" showAll="0"/>
    <pivotField numFmtId="2" showAll="0"/>
    <pivotField dataField="1" dragToRow="0" dragToCol="0" dragToPage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Сумма по полю Общая _x000a_Сумм вклада" fld="5" baseField="0" baseItem="0"/>
    <dataField name="Сумма по полю Сумма по полю Общая Сумм вклада (в долларах)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0"/>
  <sheetViews>
    <sheetView workbookViewId="0">
      <selection activeCell="J17" sqref="J17"/>
    </sheetView>
  </sheetViews>
  <sheetFormatPr defaultRowHeight="14.4" x14ac:dyDescent="0.3"/>
  <cols>
    <col min="1" max="1" width="12.109375" customWidth="1"/>
    <col min="2" max="2" width="10.109375" customWidth="1"/>
    <col min="5" max="5" width="13.44140625" customWidth="1"/>
    <col min="6" max="6" width="15.44140625" customWidth="1"/>
    <col min="7" max="7" width="16.44140625" bestFit="1" customWidth="1"/>
  </cols>
  <sheetData>
    <row r="1" spans="1:7" ht="35.25" customHeight="1" thickBot="1" x14ac:dyDescent="0.35">
      <c r="A1" s="27" t="s">
        <v>2</v>
      </c>
      <c r="B1" s="21" t="s">
        <v>8</v>
      </c>
      <c r="C1" s="21" t="s">
        <v>3</v>
      </c>
      <c r="D1" s="21" t="s">
        <v>4</v>
      </c>
      <c r="E1" s="22" t="s">
        <v>5</v>
      </c>
      <c r="F1" s="22" t="s">
        <v>15</v>
      </c>
      <c r="G1" s="23" t="s">
        <v>6</v>
      </c>
    </row>
    <row r="2" spans="1:7" x14ac:dyDescent="0.3">
      <c r="A2" s="28">
        <v>43834</v>
      </c>
      <c r="B2" s="26" t="s">
        <v>14</v>
      </c>
      <c r="C2" s="18" t="s">
        <v>1</v>
      </c>
      <c r="D2" s="17">
        <v>53</v>
      </c>
      <c r="E2" s="19">
        <v>900000</v>
      </c>
      <c r="F2" s="19">
        <v>660000</v>
      </c>
      <c r="G2" s="20">
        <v>15000</v>
      </c>
    </row>
    <row r="3" spans="1:7" x14ac:dyDescent="0.3">
      <c r="A3" s="29">
        <v>43835</v>
      </c>
      <c r="B3" s="24" t="s">
        <v>12</v>
      </c>
      <c r="C3" s="9" t="s">
        <v>1</v>
      </c>
      <c r="D3" s="16">
        <v>52</v>
      </c>
      <c r="E3" s="12">
        <v>550000</v>
      </c>
      <c r="F3" s="12">
        <v>230000</v>
      </c>
      <c r="G3" s="12">
        <v>240000</v>
      </c>
    </row>
    <row r="4" spans="1:7" x14ac:dyDescent="0.3">
      <c r="A4" s="29">
        <v>43836</v>
      </c>
      <c r="B4" s="24" t="s">
        <v>14</v>
      </c>
      <c r="C4" s="9" t="s">
        <v>1</v>
      </c>
      <c r="D4" s="16">
        <v>58</v>
      </c>
      <c r="E4" s="12">
        <v>420000</v>
      </c>
      <c r="F4" s="12">
        <v>218000</v>
      </c>
      <c r="G4" s="12">
        <v>228000</v>
      </c>
    </row>
    <row r="5" spans="1:7" x14ac:dyDescent="0.3">
      <c r="A5" s="29">
        <v>43837</v>
      </c>
      <c r="B5" s="24" t="s">
        <v>9</v>
      </c>
      <c r="C5" s="9" t="s">
        <v>1</v>
      </c>
      <c r="D5" s="17">
        <v>59.3333333333333</v>
      </c>
      <c r="E5" s="12">
        <v>480000</v>
      </c>
      <c r="F5" s="12">
        <v>80000</v>
      </c>
      <c r="G5" s="12">
        <v>90000</v>
      </c>
    </row>
    <row r="6" spans="1:7" x14ac:dyDescent="0.3">
      <c r="A6" s="29">
        <v>43838</v>
      </c>
      <c r="B6" s="24" t="s">
        <v>36</v>
      </c>
      <c r="C6" s="9" t="s">
        <v>1</v>
      </c>
      <c r="D6" s="16">
        <v>61.8333333333333</v>
      </c>
      <c r="E6" s="12">
        <v>360000</v>
      </c>
      <c r="F6" s="12">
        <v>160000</v>
      </c>
      <c r="G6" s="12">
        <v>170000</v>
      </c>
    </row>
    <row r="7" spans="1:7" x14ac:dyDescent="0.3">
      <c r="A7" s="29">
        <v>43839</v>
      </c>
      <c r="B7" s="24" t="s">
        <v>13</v>
      </c>
      <c r="C7" s="9" t="s">
        <v>1</v>
      </c>
      <c r="D7" s="16">
        <v>64.3333333333333</v>
      </c>
      <c r="E7" s="12">
        <v>380000</v>
      </c>
      <c r="F7" s="12">
        <v>380000</v>
      </c>
      <c r="G7" s="12">
        <v>390000</v>
      </c>
    </row>
    <row r="8" spans="1:7" x14ac:dyDescent="0.3">
      <c r="A8" s="29">
        <v>43840</v>
      </c>
      <c r="B8" s="24" t="s">
        <v>10</v>
      </c>
      <c r="C8" s="9" t="s">
        <v>1</v>
      </c>
      <c r="D8" s="9">
        <v>46</v>
      </c>
      <c r="E8" s="12">
        <v>550000</v>
      </c>
      <c r="F8" s="12">
        <v>130000</v>
      </c>
      <c r="G8" s="12">
        <v>140000</v>
      </c>
    </row>
    <row r="9" spans="1:7" x14ac:dyDescent="0.3">
      <c r="A9" s="29">
        <v>43841</v>
      </c>
      <c r="B9" s="24" t="s">
        <v>11</v>
      </c>
      <c r="C9" s="9" t="s">
        <v>1</v>
      </c>
      <c r="D9" s="9">
        <v>55</v>
      </c>
      <c r="E9" s="12">
        <v>307000</v>
      </c>
      <c r="F9" s="12">
        <v>113000</v>
      </c>
      <c r="G9" s="12">
        <v>123000</v>
      </c>
    </row>
    <row r="10" spans="1:7" x14ac:dyDescent="0.3">
      <c r="A10" s="29">
        <v>43842</v>
      </c>
      <c r="B10" s="24" t="s">
        <v>11</v>
      </c>
      <c r="C10" s="9" t="s">
        <v>1</v>
      </c>
      <c r="D10" s="9">
        <v>34</v>
      </c>
      <c r="E10" s="12">
        <v>750000</v>
      </c>
      <c r="F10" s="12">
        <v>511000</v>
      </c>
      <c r="G10" s="12">
        <v>521000</v>
      </c>
    </row>
    <row r="11" spans="1:7" x14ac:dyDescent="0.3">
      <c r="A11" s="29">
        <v>43843</v>
      </c>
      <c r="B11" s="24" t="s">
        <v>12</v>
      </c>
      <c r="C11" s="9" t="s">
        <v>1</v>
      </c>
      <c r="D11" s="9">
        <v>52</v>
      </c>
      <c r="E11" s="12">
        <v>430000</v>
      </c>
      <c r="F11" s="12">
        <v>580000</v>
      </c>
      <c r="G11" s="12">
        <v>590000</v>
      </c>
    </row>
    <row r="12" spans="1:7" x14ac:dyDescent="0.3">
      <c r="A12" s="29">
        <v>43844</v>
      </c>
      <c r="B12" s="24" t="s">
        <v>13</v>
      </c>
      <c r="C12" s="9" t="s">
        <v>1</v>
      </c>
      <c r="D12" s="9">
        <v>47</v>
      </c>
      <c r="E12" s="12">
        <v>370000</v>
      </c>
      <c r="F12" s="12">
        <v>210000</v>
      </c>
      <c r="G12" s="12">
        <v>220000</v>
      </c>
    </row>
    <row r="13" spans="1:7" x14ac:dyDescent="0.3">
      <c r="A13" s="29">
        <v>43845</v>
      </c>
      <c r="B13" s="24" t="s">
        <v>12</v>
      </c>
      <c r="C13" s="9" t="s">
        <v>1</v>
      </c>
      <c r="D13" s="9">
        <v>29</v>
      </c>
      <c r="E13" s="12">
        <v>350000</v>
      </c>
      <c r="F13" s="12">
        <v>180000</v>
      </c>
      <c r="G13" s="12">
        <v>190000</v>
      </c>
    </row>
    <row r="14" spans="1:7" x14ac:dyDescent="0.3">
      <c r="A14" s="29">
        <v>43846</v>
      </c>
      <c r="B14" s="24" t="s">
        <v>11</v>
      </c>
      <c r="C14" s="9" t="s">
        <v>1</v>
      </c>
      <c r="D14" s="9">
        <v>30</v>
      </c>
      <c r="E14" s="12">
        <v>280000</v>
      </c>
      <c r="F14" s="12">
        <v>180000</v>
      </c>
      <c r="G14" s="12">
        <v>190000</v>
      </c>
    </row>
    <row r="15" spans="1:7" x14ac:dyDescent="0.3">
      <c r="A15" s="29">
        <v>43847</v>
      </c>
      <c r="B15" s="24" t="s">
        <v>10</v>
      </c>
      <c r="C15" s="9" t="s">
        <v>1</v>
      </c>
      <c r="D15" s="9">
        <v>31</v>
      </c>
      <c r="E15" s="12">
        <v>750000</v>
      </c>
      <c r="F15" s="12">
        <v>130000</v>
      </c>
      <c r="G15" s="12">
        <v>140000</v>
      </c>
    </row>
    <row r="16" spans="1:7" x14ac:dyDescent="0.3">
      <c r="A16" s="29">
        <v>43848</v>
      </c>
      <c r="B16" s="24" t="s">
        <v>13</v>
      </c>
      <c r="C16" s="9" t="s">
        <v>1</v>
      </c>
      <c r="D16" s="9">
        <v>32</v>
      </c>
      <c r="E16" s="12">
        <v>350000</v>
      </c>
      <c r="F16" s="12">
        <v>540000</v>
      </c>
      <c r="G16" s="12">
        <v>550000</v>
      </c>
    </row>
    <row r="17" spans="1:7" x14ac:dyDescent="0.3">
      <c r="A17" s="29">
        <v>43849</v>
      </c>
      <c r="B17" s="24" t="s">
        <v>10</v>
      </c>
      <c r="C17" s="9" t="s">
        <v>1</v>
      </c>
      <c r="D17" s="9">
        <v>33</v>
      </c>
      <c r="E17" s="12">
        <v>350000</v>
      </c>
      <c r="F17" s="12">
        <v>155000</v>
      </c>
      <c r="G17" s="12">
        <v>165000</v>
      </c>
    </row>
    <row r="18" spans="1:7" x14ac:dyDescent="0.3">
      <c r="A18" s="29">
        <v>43850</v>
      </c>
      <c r="B18" s="24" t="s">
        <v>11</v>
      </c>
      <c r="C18" s="9" t="s">
        <v>1</v>
      </c>
      <c r="D18" s="9">
        <v>34</v>
      </c>
      <c r="E18" s="12">
        <v>370000</v>
      </c>
      <c r="F18" s="12">
        <v>160000</v>
      </c>
      <c r="G18" s="12">
        <v>170000</v>
      </c>
    </row>
    <row r="19" spans="1:7" x14ac:dyDescent="0.3">
      <c r="A19" s="29">
        <v>43851</v>
      </c>
      <c r="B19" s="24" t="s">
        <v>11</v>
      </c>
      <c r="C19" s="9" t="s">
        <v>1</v>
      </c>
      <c r="D19" s="9">
        <v>35</v>
      </c>
      <c r="E19" s="12">
        <v>285000</v>
      </c>
      <c r="F19" s="12">
        <v>172000</v>
      </c>
      <c r="G19" s="12">
        <v>182000</v>
      </c>
    </row>
    <row r="20" spans="1:7" x14ac:dyDescent="0.3">
      <c r="A20" s="29">
        <v>43852</v>
      </c>
      <c r="B20" s="24" t="s">
        <v>12</v>
      </c>
      <c r="C20" s="9" t="s">
        <v>1</v>
      </c>
      <c r="D20" s="9">
        <v>36</v>
      </c>
      <c r="E20" s="12">
        <v>350000</v>
      </c>
      <c r="F20" s="12">
        <v>100000</v>
      </c>
      <c r="G20" s="12">
        <v>110000</v>
      </c>
    </row>
    <row r="21" spans="1:7" x14ac:dyDescent="0.3">
      <c r="A21" s="29">
        <v>43853</v>
      </c>
      <c r="B21" s="24" t="s">
        <v>13</v>
      </c>
      <c r="C21" s="9" t="s">
        <v>1</v>
      </c>
      <c r="D21" s="9">
        <v>37</v>
      </c>
      <c r="E21" s="12">
        <v>460000</v>
      </c>
      <c r="F21" s="12">
        <v>280000</v>
      </c>
      <c r="G21" s="12">
        <v>290000</v>
      </c>
    </row>
    <row r="22" spans="1:7" x14ac:dyDescent="0.3">
      <c r="A22" s="29">
        <v>43854</v>
      </c>
      <c r="B22" s="24" t="s">
        <v>12</v>
      </c>
      <c r="C22" s="9" t="s">
        <v>1</v>
      </c>
      <c r="D22" s="9">
        <v>45</v>
      </c>
      <c r="E22" s="12">
        <v>410000</v>
      </c>
      <c r="F22" s="12">
        <v>1130000</v>
      </c>
      <c r="G22" s="12">
        <v>1140000</v>
      </c>
    </row>
    <row r="23" spans="1:7" x14ac:dyDescent="0.3">
      <c r="A23" s="29">
        <v>43855</v>
      </c>
      <c r="B23" s="24" t="s">
        <v>11</v>
      </c>
      <c r="C23" s="9" t="s">
        <v>1</v>
      </c>
      <c r="D23" s="9">
        <v>53</v>
      </c>
      <c r="E23" s="12">
        <v>600000</v>
      </c>
      <c r="F23" s="12">
        <v>1080000</v>
      </c>
      <c r="G23" s="12">
        <v>1090000</v>
      </c>
    </row>
    <row r="24" spans="1:7" x14ac:dyDescent="0.3">
      <c r="A24" s="29">
        <v>43856</v>
      </c>
      <c r="B24" s="24" t="s">
        <v>10</v>
      </c>
      <c r="C24" s="9" t="s">
        <v>7</v>
      </c>
      <c r="D24" s="9">
        <v>45</v>
      </c>
      <c r="E24" s="12">
        <v>430000</v>
      </c>
      <c r="F24" s="12">
        <v>330000</v>
      </c>
      <c r="G24" s="12">
        <v>340000</v>
      </c>
    </row>
    <row r="25" spans="1:7" x14ac:dyDescent="0.3">
      <c r="A25" s="29">
        <v>43857</v>
      </c>
      <c r="B25" s="24" t="s">
        <v>9</v>
      </c>
      <c r="C25" s="9" t="s">
        <v>1</v>
      </c>
      <c r="D25" s="9">
        <v>62</v>
      </c>
      <c r="E25" s="12">
        <v>347000</v>
      </c>
      <c r="F25" s="12">
        <v>317000</v>
      </c>
      <c r="G25" s="12">
        <v>327000</v>
      </c>
    </row>
    <row r="26" spans="1:7" x14ac:dyDescent="0.3">
      <c r="A26" s="29">
        <v>43853</v>
      </c>
      <c r="B26" s="24" t="s">
        <v>12</v>
      </c>
      <c r="C26" s="9" t="s">
        <v>1</v>
      </c>
      <c r="D26" s="9">
        <v>61</v>
      </c>
      <c r="E26" s="12">
        <v>418000</v>
      </c>
      <c r="F26" s="12">
        <v>368000</v>
      </c>
      <c r="G26" s="12">
        <v>378000</v>
      </c>
    </row>
    <row r="27" spans="1:7" x14ac:dyDescent="0.3">
      <c r="A27" s="29">
        <v>43854</v>
      </c>
      <c r="B27" s="24" t="s">
        <v>12</v>
      </c>
      <c r="C27" s="9" t="s">
        <v>1</v>
      </c>
      <c r="D27" s="9">
        <v>40</v>
      </c>
      <c r="E27" s="12">
        <v>470000</v>
      </c>
      <c r="F27" s="12">
        <v>280000</v>
      </c>
      <c r="G27" s="12">
        <v>290000</v>
      </c>
    </row>
    <row r="28" spans="1:7" x14ac:dyDescent="0.3">
      <c r="A28" s="29">
        <v>43855</v>
      </c>
      <c r="B28" s="24" t="s">
        <v>14</v>
      </c>
      <c r="C28" s="9" t="s">
        <v>1</v>
      </c>
      <c r="D28" s="9">
        <v>53</v>
      </c>
      <c r="E28" s="12">
        <v>400000</v>
      </c>
      <c r="F28" s="12">
        <v>330000</v>
      </c>
      <c r="G28" s="12">
        <v>340000</v>
      </c>
    </row>
    <row r="29" spans="1:7" x14ac:dyDescent="0.3">
      <c r="A29" s="29">
        <v>43856</v>
      </c>
      <c r="B29" s="24" t="s">
        <v>9</v>
      </c>
      <c r="C29" s="9" t="s">
        <v>7</v>
      </c>
      <c r="D29" s="9">
        <v>53</v>
      </c>
      <c r="E29" s="12">
        <v>750000</v>
      </c>
      <c r="F29" s="12">
        <v>980000</v>
      </c>
      <c r="G29" s="12">
        <v>990000</v>
      </c>
    </row>
    <row r="30" spans="1:7" x14ac:dyDescent="0.3">
      <c r="A30" s="29">
        <v>43857</v>
      </c>
      <c r="B30" s="24" t="s">
        <v>13</v>
      </c>
      <c r="C30" s="9" t="s">
        <v>1</v>
      </c>
      <c r="D30" s="9">
        <v>34</v>
      </c>
      <c r="E30" s="12">
        <v>350000</v>
      </c>
      <c r="F30" s="12">
        <v>280000</v>
      </c>
      <c r="G30" s="12">
        <v>290000</v>
      </c>
    </row>
    <row r="31" spans="1:7" x14ac:dyDescent="0.3">
      <c r="A31" s="29">
        <v>43858</v>
      </c>
      <c r="B31" s="24" t="s">
        <v>13</v>
      </c>
      <c r="C31" s="9" t="s">
        <v>1</v>
      </c>
      <c r="D31" s="9">
        <v>36</v>
      </c>
      <c r="E31" s="12">
        <v>250000</v>
      </c>
      <c r="F31" s="12">
        <v>960000</v>
      </c>
      <c r="G31" s="12">
        <v>970000</v>
      </c>
    </row>
    <row r="32" spans="1:7" x14ac:dyDescent="0.3">
      <c r="A32" s="29">
        <v>43853</v>
      </c>
      <c r="B32" s="24" t="s">
        <v>10</v>
      </c>
      <c r="C32" s="9" t="s">
        <v>1</v>
      </c>
      <c r="D32" s="9">
        <v>39</v>
      </c>
      <c r="E32" s="12">
        <v>400000</v>
      </c>
      <c r="F32" s="12">
        <v>250000</v>
      </c>
      <c r="G32" s="12">
        <v>260000</v>
      </c>
    </row>
    <row r="33" spans="1:7" x14ac:dyDescent="0.3">
      <c r="A33" s="29">
        <v>43854</v>
      </c>
      <c r="B33" s="24" t="s">
        <v>11</v>
      </c>
      <c r="C33" s="9" t="s">
        <v>7</v>
      </c>
      <c r="D33" s="9">
        <v>39</v>
      </c>
      <c r="E33" s="12">
        <v>850000</v>
      </c>
      <c r="F33" s="12">
        <v>580000</v>
      </c>
      <c r="G33" s="12">
        <v>590000</v>
      </c>
    </row>
    <row r="34" spans="1:7" x14ac:dyDescent="0.3">
      <c r="A34" s="29">
        <v>43855</v>
      </c>
      <c r="B34" s="24" t="s">
        <v>11</v>
      </c>
      <c r="C34" s="9" t="s">
        <v>1</v>
      </c>
      <c r="D34" s="9">
        <v>45</v>
      </c>
      <c r="E34" s="12">
        <v>650000</v>
      </c>
      <c r="F34" s="12">
        <v>480000</v>
      </c>
      <c r="G34" s="12">
        <v>490000</v>
      </c>
    </row>
    <row r="35" spans="1:7" x14ac:dyDescent="0.3">
      <c r="A35" s="29">
        <v>43856</v>
      </c>
      <c r="B35" s="24" t="s">
        <v>12</v>
      </c>
      <c r="C35" s="9" t="s">
        <v>1</v>
      </c>
      <c r="D35" s="9">
        <v>41</v>
      </c>
      <c r="E35" s="12">
        <v>370000</v>
      </c>
      <c r="F35" s="12">
        <v>110000</v>
      </c>
      <c r="G35" s="12">
        <v>120000</v>
      </c>
    </row>
    <row r="36" spans="1:7" x14ac:dyDescent="0.3">
      <c r="A36" s="29">
        <v>43857</v>
      </c>
      <c r="B36" s="24" t="s">
        <v>13</v>
      </c>
      <c r="C36" s="9" t="s">
        <v>1</v>
      </c>
      <c r="D36" s="9">
        <v>38</v>
      </c>
      <c r="E36" s="12">
        <v>500000</v>
      </c>
      <c r="F36" s="12">
        <v>200000</v>
      </c>
      <c r="G36" s="12">
        <v>210000</v>
      </c>
    </row>
    <row r="37" spans="1:7" x14ac:dyDescent="0.3">
      <c r="A37" s="29">
        <v>43858</v>
      </c>
      <c r="B37" s="24" t="s">
        <v>12</v>
      </c>
      <c r="C37" s="9" t="s">
        <v>1</v>
      </c>
      <c r="D37" s="9">
        <v>46</v>
      </c>
      <c r="E37" s="12">
        <v>400000</v>
      </c>
      <c r="F37" s="12">
        <v>800000</v>
      </c>
      <c r="G37" s="12">
        <v>810000</v>
      </c>
    </row>
    <row r="38" spans="1:7" x14ac:dyDescent="0.3">
      <c r="A38" s="29">
        <v>43853</v>
      </c>
      <c r="B38" s="24" t="s">
        <v>11</v>
      </c>
      <c r="C38" s="9" t="s">
        <v>1</v>
      </c>
      <c r="D38" s="9">
        <v>45</v>
      </c>
      <c r="E38" s="12">
        <v>600000</v>
      </c>
      <c r="F38" s="12">
        <v>80000</v>
      </c>
      <c r="G38" s="12">
        <v>90000</v>
      </c>
    </row>
    <row r="39" spans="1:7" x14ac:dyDescent="0.3">
      <c r="A39" s="29">
        <v>43854</v>
      </c>
      <c r="B39" s="24" t="s">
        <v>10</v>
      </c>
      <c r="C39" s="9" t="s">
        <v>1</v>
      </c>
      <c r="D39" s="9">
        <v>61</v>
      </c>
      <c r="E39" s="12">
        <v>400000</v>
      </c>
      <c r="F39" s="12">
        <v>158000</v>
      </c>
      <c r="G39" s="12">
        <v>168000</v>
      </c>
    </row>
    <row r="40" spans="1:7" x14ac:dyDescent="0.3">
      <c r="A40" s="29">
        <v>43855</v>
      </c>
      <c r="B40" s="24" t="s">
        <v>9</v>
      </c>
      <c r="C40" s="9" t="s">
        <v>1</v>
      </c>
      <c r="D40" s="9">
        <v>48</v>
      </c>
      <c r="E40" s="12">
        <v>395000</v>
      </c>
      <c r="F40" s="12">
        <v>110000</v>
      </c>
      <c r="G40" s="12">
        <v>120000</v>
      </c>
    </row>
    <row r="41" spans="1:7" x14ac:dyDescent="0.3">
      <c r="A41" s="29">
        <v>43856</v>
      </c>
      <c r="B41" s="24" t="s">
        <v>13</v>
      </c>
      <c r="C41" s="9" t="s">
        <v>1</v>
      </c>
      <c r="D41" s="9">
        <v>51</v>
      </c>
      <c r="E41" s="12">
        <v>550000</v>
      </c>
      <c r="F41" s="12">
        <v>580000</v>
      </c>
      <c r="G41" s="12">
        <v>590000</v>
      </c>
    </row>
    <row r="42" spans="1:7" x14ac:dyDescent="0.3">
      <c r="A42" s="29">
        <v>43834</v>
      </c>
      <c r="B42" s="24" t="s">
        <v>12</v>
      </c>
      <c r="C42" s="9" t="s">
        <v>1</v>
      </c>
      <c r="D42" s="9">
        <v>46</v>
      </c>
      <c r="E42" s="12">
        <v>380000</v>
      </c>
      <c r="F42" s="12">
        <v>280000</v>
      </c>
      <c r="G42" s="12">
        <v>290000</v>
      </c>
    </row>
    <row r="43" spans="1:7" x14ac:dyDescent="0.3">
      <c r="A43" s="29">
        <v>43835</v>
      </c>
      <c r="B43" s="24" t="s">
        <v>14</v>
      </c>
      <c r="C43" s="9" t="s">
        <v>1</v>
      </c>
      <c r="D43" s="9">
        <v>51</v>
      </c>
      <c r="E43" s="12">
        <v>420000</v>
      </c>
      <c r="F43" s="12">
        <v>530000</v>
      </c>
      <c r="G43" s="12">
        <v>540000</v>
      </c>
    </row>
    <row r="44" spans="1:7" x14ac:dyDescent="0.3">
      <c r="A44" s="29">
        <v>43836</v>
      </c>
      <c r="B44" s="24" t="s">
        <v>9</v>
      </c>
      <c r="C44" s="9" t="s">
        <v>1</v>
      </c>
      <c r="D44" s="9">
        <v>45</v>
      </c>
      <c r="E44" s="12">
        <v>330000</v>
      </c>
      <c r="F44" s="12">
        <v>1280000</v>
      </c>
      <c r="G44" s="12">
        <v>1290000</v>
      </c>
    </row>
    <row r="45" spans="1:7" x14ac:dyDescent="0.3">
      <c r="A45" s="29">
        <v>43837</v>
      </c>
      <c r="B45" s="24" t="s">
        <v>37</v>
      </c>
      <c r="C45" s="9" t="s">
        <v>1</v>
      </c>
      <c r="D45" s="9">
        <v>54</v>
      </c>
      <c r="E45" s="12">
        <v>310000</v>
      </c>
      <c r="F45" s="12">
        <v>250000</v>
      </c>
      <c r="G45" s="12">
        <v>260000</v>
      </c>
    </row>
    <row r="46" spans="1:7" x14ac:dyDescent="0.3">
      <c r="A46" s="29">
        <v>43838</v>
      </c>
      <c r="B46" s="24" t="s">
        <v>13</v>
      </c>
      <c r="C46" s="9" t="s">
        <v>1</v>
      </c>
      <c r="D46" s="9">
        <v>59</v>
      </c>
      <c r="E46" s="12">
        <v>400000</v>
      </c>
      <c r="F46" s="12">
        <v>80000</v>
      </c>
      <c r="G46" s="12">
        <v>90000</v>
      </c>
    </row>
    <row r="47" spans="1:7" x14ac:dyDescent="0.3">
      <c r="A47" s="29">
        <v>43839</v>
      </c>
      <c r="B47" s="24" t="s">
        <v>10</v>
      </c>
      <c r="C47" s="9" t="s">
        <v>1</v>
      </c>
      <c r="D47" s="9">
        <v>40</v>
      </c>
      <c r="E47" s="12">
        <v>350000</v>
      </c>
      <c r="F47" s="12">
        <v>205000</v>
      </c>
      <c r="G47" s="12">
        <v>215000</v>
      </c>
    </row>
    <row r="48" spans="1:7" x14ac:dyDescent="0.3">
      <c r="A48" s="29">
        <v>43840</v>
      </c>
      <c r="B48" s="24" t="s">
        <v>11</v>
      </c>
      <c r="C48" s="9" t="s">
        <v>1</v>
      </c>
      <c r="D48" s="9">
        <v>46</v>
      </c>
      <c r="E48" s="12">
        <v>330000</v>
      </c>
      <c r="F48" s="12">
        <v>240000</v>
      </c>
      <c r="G48" s="12">
        <v>250000</v>
      </c>
    </row>
    <row r="49" spans="1:7" x14ac:dyDescent="0.3">
      <c r="A49" s="29">
        <v>43841</v>
      </c>
      <c r="B49" s="24" t="s">
        <v>11</v>
      </c>
      <c r="C49" s="9" t="s">
        <v>1</v>
      </c>
      <c r="D49" s="9">
        <v>41</v>
      </c>
      <c r="E49" s="12">
        <v>450000</v>
      </c>
      <c r="F49" s="12">
        <v>180000</v>
      </c>
      <c r="G49" s="12">
        <v>190000</v>
      </c>
    </row>
    <row r="50" spans="1:7" x14ac:dyDescent="0.3">
      <c r="A50" s="29">
        <v>43842</v>
      </c>
      <c r="B50" s="24" t="s">
        <v>12</v>
      </c>
      <c r="C50" s="9" t="s">
        <v>1</v>
      </c>
      <c r="D50" s="9">
        <v>41</v>
      </c>
      <c r="E50" s="12">
        <v>430000</v>
      </c>
      <c r="F50" s="12">
        <v>80000</v>
      </c>
      <c r="G50" s="12">
        <v>90000</v>
      </c>
    </row>
    <row r="51" spans="1:7" x14ac:dyDescent="0.3">
      <c r="A51" s="29">
        <v>43843</v>
      </c>
      <c r="B51" s="24" t="s">
        <v>13</v>
      </c>
      <c r="C51" s="9" t="s">
        <v>1</v>
      </c>
      <c r="D51" s="9">
        <v>57</v>
      </c>
      <c r="E51" s="12">
        <v>400000</v>
      </c>
      <c r="F51" s="12">
        <v>180000</v>
      </c>
      <c r="G51" s="12">
        <v>190000</v>
      </c>
    </row>
    <row r="52" spans="1:7" x14ac:dyDescent="0.3">
      <c r="A52" s="29">
        <v>43844</v>
      </c>
      <c r="B52" s="24" t="s">
        <v>12</v>
      </c>
      <c r="C52" s="9" t="s">
        <v>1</v>
      </c>
      <c r="D52" s="9">
        <v>35</v>
      </c>
      <c r="E52" s="12">
        <v>450000</v>
      </c>
      <c r="F52" s="12">
        <v>470000</v>
      </c>
      <c r="G52" s="12">
        <v>480000</v>
      </c>
    </row>
    <row r="53" spans="1:7" x14ac:dyDescent="0.3">
      <c r="A53" s="29">
        <v>43845</v>
      </c>
      <c r="B53" s="24" t="s">
        <v>11</v>
      </c>
      <c r="C53" s="9" t="s">
        <v>1</v>
      </c>
      <c r="D53" s="9">
        <v>40</v>
      </c>
      <c r="E53" s="12">
        <v>950000</v>
      </c>
      <c r="F53" s="12">
        <v>580000</v>
      </c>
      <c r="G53" s="12">
        <v>590000</v>
      </c>
    </row>
    <row r="54" spans="1:7" x14ac:dyDescent="0.3">
      <c r="A54" s="29">
        <v>43846</v>
      </c>
      <c r="B54" s="24" t="s">
        <v>10</v>
      </c>
      <c r="C54" s="9" t="s">
        <v>1</v>
      </c>
      <c r="D54" s="9">
        <v>52</v>
      </c>
      <c r="E54" s="12">
        <v>400000</v>
      </c>
      <c r="F54" s="12">
        <v>380000</v>
      </c>
      <c r="G54" s="12">
        <v>390000</v>
      </c>
    </row>
    <row r="55" spans="1:7" x14ac:dyDescent="0.3">
      <c r="A55" s="29">
        <v>43847</v>
      </c>
      <c r="B55" s="24" t="s">
        <v>9</v>
      </c>
      <c r="C55" s="9" t="s">
        <v>1</v>
      </c>
      <c r="D55" s="9">
        <v>59</v>
      </c>
      <c r="E55" s="12">
        <v>400000</v>
      </c>
      <c r="F55" s="12">
        <v>300000</v>
      </c>
      <c r="G55" s="12">
        <v>310000</v>
      </c>
    </row>
    <row r="56" spans="1:7" x14ac:dyDescent="0.3">
      <c r="A56" s="29">
        <v>43848</v>
      </c>
      <c r="B56" s="24" t="s">
        <v>37</v>
      </c>
      <c r="C56" s="9" t="s">
        <v>1</v>
      </c>
      <c r="D56" s="9">
        <v>43</v>
      </c>
      <c r="E56" s="12">
        <v>400000</v>
      </c>
      <c r="F56" s="12">
        <v>80000</v>
      </c>
      <c r="G56" s="12">
        <v>90000</v>
      </c>
    </row>
    <row r="57" spans="1:7" x14ac:dyDescent="0.3">
      <c r="A57" s="29">
        <v>43849</v>
      </c>
      <c r="B57" s="24" t="s">
        <v>12</v>
      </c>
      <c r="C57" s="9" t="s">
        <v>1</v>
      </c>
      <c r="D57" s="9">
        <v>34</v>
      </c>
      <c r="E57" s="12">
        <v>450000</v>
      </c>
      <c r="F57" s="12">
        <v>1080000</v>
      </c>
      <c r="G57" s="12">
        <v>1090000</v>
      </c>
    </row>
    <row r="58" spans="1:7" x14ac:dyDescent="0.3">
      <c r="A58" s="29">
        <v>43850</v>
      </c>
      <c r="B58" s="24" t="s">
        <v>14</v>
      </c>
      <c r="C58" s="9" t="s">
        <v>1</v>
      </c>
      <c r="D58" s="9">
        <v>39</v>
      </c>
      <c r="E58" s="12">
        <v>350000</v>
      </c>
      <c r="F58" s="12">
        <v>220000</v>
      </c>
      <c r="G58" s="12">
        <v>230000</v>
      </c>
    </row>
    <row r="59" spans="1:7" x14ac:dyDescent="0.3">
      <c r="A59" s="29">
        <v>43851</v>
      </c>
      <c r="B59" s="24" t="s">
        <v>9</v>
      </c>
      <c r="C59" s="9" t="s">
        <v>1</v>
      </c>
      <c r="D59" s="9">
        <v>42</v>
      </c>
      <c r="E59" s="12">
        <v>400000</v>
      </c>
      <c r="F59" s="12">
        <v>480000</v>
      </c>
      <c r="G59" s="12">
        <v>490000</v>
      </c>
    </row>
    <row r="60" spans="1:7" x14ac:dyDescent="0.3">
      <c r="A60" s="29">
        <v>43852</v>
      </c>
      <c r="B60" s="24" t="s">
        <v>14</v>
      </c>
      <c r="C60" s="9" t="s">
        <v>1</v>
      </c>
      <c r="D60" s="9">
        <v>51</v>
      </c>
      <c r="E60" s="12">
        <v>400000</v>
      </c>
      <c r="F60" s="12">
        <v>260000</v>
      </c>
      <c r="G60" s="12">
        <v>270000</v>
      </c>
    </row>
    <row r="61" spans="1:7" x14ac:dyDescent="0.3">
      <c r="A61" s="29">
        <v>43858</v>
      </c>
      <c r="B61" s="24" t="s">
        <v>13</v>
      </c>
      <c r="C61" s="9" t="s">
        <v>1</v>
      </c>
      <c r="D61" s="9">
        <v>41</v>
      </c>
      <c r="E61" s="12">
        <v>400000</v>
      </c>
      <c r="F61" s="12">
        <v>280000</v>
      </c>
      <c r="G61" s="12">
        <v>290000</v>
      </c>
    </row>
    <row r="62" spans="1:7" x14ac:dyDescent="0.3">
      <c r="A62" s="29">
        <v>43853</v>
      </c>
      <c r="B62" s="24" t="s">
        <v>10</v>
      </c>
      <c r="C62" s="9" t="s">
        <v>1</v>
      </c>
      <c r="D62" s="9">
        <v>37</v>
      </c>
      <c r="E62" s="12">
        <v>320000</v>
      </c>
      <c r="F62" s="12">
        <v>200000</v>
      </c>
      <c r="G62" s="12">
        <v>210000</v>
      </c>
    </row>
    <row r="63" spans="1:7" x14ac:dyDescent="0.3">
      <c r="A63" s="29">
        <v>43854</v>
      </c>
      <c r="B63" s="24" t="s">
        <v>11</v>
      </c>
      <c r="C63" s="9" t="s">
        <v>1</v>
      </c>
      <c r="D63" s="9">
        <v>35</v>
      </c>
      <c r="E63" s="12">
        <v>500000</v>
      </c>
      <c r="F63" s="12">
        <v>230000</v>
      </c>
      <c r="G63" s="12">
        <v>240000</v>
      </c>
    </row>
    <row r="64" spans="1:7" x14ac:dyDescent="0.3">
      <c r="A64" s="29">
        <v>43855</v>
      </c>
      <c r="B64" s="24" t="s">
        <v>11</v>
      </c>
      <c r="C64" s="9" t="s">
        <v>1</v>
      </c>
      <c r="D64" s="9">
        <v>60</v>
      </c>
      <c r="E64" s="12">
        <v>400000</v>
      </c>
      <c r="F64" s="12">
        <v>287000</v>
      </c>
      <c r="G64" s="12">
        <v>297000</v>
      </c>
    </row>
    <row r="65" spans="1:7" x14ac:dyDescent="0.3">
      <c r="A65" s="29">
        <v>43856</v>
      </c>
      <c r="B65" s="24" t="s">
        <v>12</v>
      </c>
      <c r="C65" s="9" t="s">
        <v>1</v>
      </c>
      <c r="D65" s="9">
        <v>37</v>
      </c>
      <c r="E65" s="12">
        <v>450000</v>
      </c>
      <c r="F65" s="12">
        <v>430000</v>
      </c>
      <c r="G65" s="12">
        <v>440000</v>
      </c>
    </row>
    <row r="66" spans="1:7" x14ac:dyDescent="0.3">
      <c r="A66" s="29">
        <v>43857</v>
      </c>
      <c r="B66" s="24" t="s">
        <v>13</v>
      </c>
      <c r="C66" s="9" t="s">
        <v>1</v>
      </c>
      <c r="D66" s="9">
        <v>50</v>
      </c>
      <c r="E66" s="12">
        <v>450000</v>
      </c>
      <c r="F66" s="12">
        <v>280000</v>
      </c>
      <c r="G66" s="12">
        <v>290000</v>
      </c>
    </row>
    <row r="67" spans="1:7" x14ac:dyDescent="0.3">
      <c r="A67" s="29">
        <v>43858</v>
      </c>
      <c r="B67" s="24" t="s">
        <v>12</v>
      </c>
      <c r="C67" s="9" t="s">
        <v>1</v>
      </c>
      <c r="D67" s="9">
        <v>37</v>
      </c>
      <c r="E67" s="12">
        <v>500000</v>
      </c>
      <c r="F67" s="12">
        <v>130000</v>
      </c>
      <c r="G67" s="12">
        <v>140000</v>
      </c>
    </row>
    <row r="68" spans="1:7" x14ac:dyDescent="0.3">
      <c r="A68" s="29">
        <v>43853</v>
      </c>
      <c r="B68" s="24" t="s">
        <v>11</v>
      </c>
      <c r="C68" s="9" t="s">
        <v>1</v>
      </c>
      <c r="D68" s="9">
        <v>33</v>
      </c>
      <c r="E68" s="12">
        <v>350000</v>
      </c>
      <c r="F68" s="12">
        <v>205000</v>
      </c>
      <c r="G68" s="12">
        <v>215000</v>
      </c>
    </row>
    <row r="69" spans="1:7" x14ac:dyDescent="0.3">
      <c r="A69" s="29">
        <v>43854</v>
      </c>
      <c r="B69" s="24" t="s">
        <v>10</v>
      </c>
      <c r="C69" s="9" t="s">
        <v>1</v>
      </c>
      <c r="D69" s="9">
        <v>41</v>
      </c>
      <c r="E69" s="12">
        <v>550000</v>
      </c>
      <c r="F69" s="12">
        <v>400000</v>
      </c>
      <c r="G69" s="12">
        <v>410000</v>
      </c>
    </row>
    <row r="70" spans="1:7" x14ac:dyDescent="0.3">
      <c r="A70" s="29">
        <v>43855</v>
      </c>
      <c r="B70" s="24" t="s">
        <v>9</v>
      </c>
      <c r="C70" s="9" t="s">
        <v>1</v>
      </c>
      <c r="D70" s="9">
        <v>44</v>
      </c>
      <c r="E70" s="12">
        <v>425000</v>
      </c>
      <c r="F70" s="12">
        <v>270000</v>
      </c>
      <c r="G70" s="12">
        <v>280000</v>
      </c>
    </row>
    <row r="71" spans="1:7" x14ac:dyDescent="0.3">
      <c r="A71" s="29">
        <v>43856</v>
      </c>
      <c r="B71" s="24" t="s">
        <v>14</v>
      </c>
      <c r="C71" s="9" t="s">
        <v>1</v>
      </c>
      <c r="D71" s="9">
        <v>47</v>
      </c>
      <c r="E71" s="12">
        <v>450000</v>
      </c>
      <c r="F71" s="12">
        <v>250000</v>
      </c>
      <c r="G71" s="12">
        <v>260000</v>
      </c>
    </row>
    <row r="72" spans="1:7" x14ac:dyDescent="0.3">
      <c r="A72" s="29">
        <v>43857</v>
      </c>
      <c r="B72" s="24" t="s">
        <v>12</v>
      </c>
      <c r="C72" s="9" t="s">
        <v>1</v>
      </c>
      <c r="D72" s="9">
        <v>47</v>
      </c>
      <c r="E72" s="12">
        <v>670000</v>
      </c>
      <c r="F72" s="12">
        <v>160000</v>
      </c>
      <c r="G72" s="12">
        <v>170000</v>
      </c>
    </row>
    <row r="73" spans="1:7" x14ac:dyDescent="0.3">
      <c r="A73" s="29">
        <v>43858</v>
      </c>
      <c r="B73" s="24" t="s">
        <v>14</v>
      </c>
      <c r="C73" s="9" t="s">
        <v>1</v>
      </c>
      <c r="D73" s="9">
        <v>42</v>
      </c>
      <c r="E73" s="12">
        <v>400000</v>
      </c>
      <c r="F73" s="12">
        <v>180000</v>
      </c>
      <c r="G73" s="12">
        <v>190000</v>
      </c>
    </row>
    <row r="74" spans="1:7" x14ac:dyDescent="0.3">
      <c r="A74" s="29">
        <v>43853</v>
      </c>
      <c r="B74" s="24" t="s">
        <v>9</v>
      </c>
      <c r="C74" s="9" t="s">
        <v>1</v>
      </c>
      <c r="D74" s="9">
        <v>39</v>
      </c>
      <c r="E74" s="12">
        <v>500000</v>
      </c>
      <c r="F74" s="12">
        <v>380000</v>
      </c>
      <c r="G74" s="12">
        <v>390000</v>
      </c>
    </row>
    <row r="75" spans="1:7" x14ac:dyDescent="0.3">
      <c r="A75" s="29">
        <v>43854</v>
      </c>
      <c r="B75" s="24" t="s">
        <v>36</v>
      </c>
      <c r="C75" s="9" t="s">
        <v>1</v>
      </c>
      <c r="D75" s="9">
        <v>38</v>
      </c>
      <c r="E75" s="12">
        <v>335000</v>
      </c>
      <c r="F75" s="12">
        <v>185000</v>
      </c>
      <c r="G75" s="12">
        <v>195000</v>
      </c>
    </row>
    <row r="76" spans="1:7" x14ac:dyDescent="0.3">
      <c r="A76" s="29">
        <v>43855</v>
      </c>
      <c r="B76" s="24" t="s">
        <v>13</v>
      </c>
      <c r="C76" s="9" t="s">
        <v>1</v>
      </c>
      <c r="D76" s="9">
        <v>36</v>
      </c>
      <c r="E76" s="12">
        <v>500000</v>
      </c>
      <c r="F76" s="12">
        <v>448000</v>
      </c>
      <c r="G76" s="12">
        <v>458000</v>
      </c>
    </row>
    <row r="77" spans="1:7" x14ac:dyDescent="0.3">
      <c r="A77" s="29">
        <v>43856</v>
      </c>
      <c r="B77" s="24" t="s">
        <v>10</v>
      </c>
      <c r="C77" s="9" t="s">
        <v>1</v>
      </c>
      <c r="D77" s="9">
        <v>34</v>
      </c>
      <c r="E77" s="12">
        <v>370000</v>
      </c>
      <c r="F77" s="12">
        <v>225000</v>
      </c>
      <c r="G77" s="12">
        <v>235000</v>
      </c>
    </row>
    <row r="78" spans="1:7" x14ac:dyDescent="0.3">
      <c r="A78" s="29">
        <v>43857</v>
      </c>
      <c r="B78" s="24" t="s">
        <v>11</v>
      </c>
      <c r="C78" s="9" t="s">
        <v>1</v>
      </c>
      <c r="D78" s="9">
        <v>35</v>
      </c>
      <c r="E78" s="12">
        <v>320000</v>
      </c>
      <c r="F78" s="12">
        <v>240000</v>
      </c>
      <c r="G78" s="12">
        <v>250000</v>
      </c>
    </row>
    <row r="79" spans="1:7" x14ac:dyDescent="0.3">
      <c r="A79" s="29">
        <v>43858</v>
      </c>
      <c r="B79" s="24" t="s">
        <v>11</v>
      </c>
      <c r="C79" s="9" t="s">
        <v>1</v>
      </c>
      <c r="D79" s="9">
        <v>45</v>
      </c>
      <c r="E79" s="12">
        <v>480000</v>
      </c>
      <c r="F79" s="12">
        <v>360000</v>
      </c>
      <c r="G79" s="12">
        <v>370000</v>
      </c>
    </row>
    <row r="80" spans="1:7" x14ac:dyDescent="0.3">
      <c r="A80" s="29">
        <v>43853</v>
      </c>
      <c r="B80" s="24" t="s">
        <v>12</v>
      </c>
      <c r="C80" s="9" t="s">
        <v>1</v>
      </c>
      <c r="D80" s="9">
        <v>44</v>
      </c>
      <c r="E80" s="12">
        <v>305000</v>
      </c>
      <c r="F80" s="12">
        <v>239200</v>
      </c>
      <c r="G80" s="12">
        <v>249200</v>
      </c>
    </row>
    <row r="81" spans="1:7" x14ac:dyDescent="0.3">
      <c r="A81" s="29">
        <v>43854</v>
      </c>
      <c r="B81" s="24" t="s">
        <v>13</v>
      </c>
      <c r="C81" s="9" t="s">
        <v>1</v>
      </c>
      <c r="D81" s="9">
        <v>39</v>
      </c>
      <c r="E81" s="12">
        <v>410000</v>
      </c>
      <c r="F81" s="12">
        <v>580000</v>
      </c>
      <c r="G81" s="12">
        <v>590000</v>
      </c>
    </row>
    <row r="82" spans="1:7" x14ac:dyDescent="0.3">
      <c r="A82" s="29">
        <v>43855</v>
      </c>
      <c r="B82" s="24" t="s">
        <v>12</v>
      </c>
      <c r="C82" s="9" t="s">
        <v>1</v>
      </c>
      <c r="D82" s="9">
        <v>37</v>
      </c>
      <c r="E82" s="12">
        <v>550000</v>
      </c>
      <c r="F82" s="12">
        <v>430000</v>
      </c>
      <c r="G82" s="12">
        <v>440000</v>
      </c>
    </row>
    <row r="83" spans="1:7" x14ac:dyDescent="0.3">
      <c r="A83" s="29">
        <v>43856</v>
      </c>
      <c r="B83" s="24" t="s">
        <v>11</v>
      </c>
      <c r="C83" s="9" t="s">
        <v>1</v>
      </c>
      <c r="D83" s="9">
        <v>41</v>
      </c>
      <c r="E83" s="12">
        <v>321000</v>
      </c>
      <c r="F83" s="12">
        <v>110000</v>
      </c>
      <c r="G83" s="12">
        <v>120000</v>
      </c>
    </row>
    <row r="84" spans="1:7" x14ac:dyDescent="0.3">
      <c r="A84" s="29">
        <v>43857</v>
      </c>
      <c r="B84" s="24" t="s">
        <v>10</v>
      </c>
      <c r="C84" s="9" t="s">
        <v>1</v>
      </c>
      <c r="D84" s="9">
        <v>51</v>
      </c>
      <c r="E84" s="12">
        <v>353000</v>
      </c>
      <c r="F84" s="12">
        <v>130000</v>
      </c>
      <c r="G84" s="12">
        <v>140000</v>
      </c>
    </row>
    <row r="85" spans="1:7" x14ac:dyDescent="0.3">
      <c r="A85" s="29">
        <v>43858</v>
      </c>
      <c r="B85" s="24" t="s">
        <v>9</v>
      </c>
      <c r="C85" s="9" t="s">
        <v>1</v>
      </c>
      <c r="D85" s="9">
        <v>44</v>
      </c>
      <c r="E85" s="12">
        <v>500000</v>
      </c>
      <c r="F85" s="12">
        <v>300000</v>
      </c>
      <c r="G85" s="12">
        <v>310000</v>
      </c>
    </row>
    <row r="86" spans="1:7" x14ac:dyDescent="0.3">
      <c r="A86" s="29">
        <v>43853</v>
      </c>
      <c r="B86" s="24" t="s">
        <v>36</v>
      </c>
      <c r="C86" s="9" t="s">
        <v>1</v>
      </c>
      <c r="D86" s="9">
        <v>35</v>
      </c>
      <c r="E86" s="12">
        <v>550000</v>
      </c>
      <c r="F86" s="12">
        <v>280000</v>
      </c>
      <c r="G86" s="12">
        <v>290000</v>
      </c>
    </row>
    <row r="87" spans="1:7" x14ac:dyDescent="0.3">
      <c r="A87" s="29">
        <v>43854</v>
      </c>
      <c r="B87" s="24" t="s">
        <v>12</v>
      </c>
      <c r="C87" s="9" t="s">
        <v>1</v>
      </c>
      <c r="D87" s="9">
        <v>50</v>
      </c>
      <c r="E87" s="12">
        <v>400000</v>
      </c>
      <c r="F87" s="12">
        <v>350000</v>
      </c>
      <c r="G87" s="12">
        <v>360000</v>
      </c>
    </row>
    <row r="88" spans="1:7" x14ac:dyDescent="0.3">
      <c r="A88" s="29">
        <v>43855</v>
      </c>
      <c r="B88" s="24" t="s">
        <v>14</v>
      </c>
      <c r="C88" s="9" t="s">
        <v>1</v>
      </c>
      <c r="D88" s="9">
        <v>37</v>
      </c>
      <c r="E88" s="12">
        <v>250000</v>
      </c>
      <c r="F88" s="12">
        <v>80000</v>
      </c>
      <c r="G88" s="12">
        <v>90000</v>
      </c>
    </row>
    <row r="89" spans="1:7" x14ac:dyDescent="0.3">
      <c r="A89" s="29">
        <v>43856</v>
      </c>
      <c r="B89" s="24" t="s">
        <v>9</v>
      </c>
      <c r="C89" s="9" t="s">
        <v>1</v>
      </c>
      <c r="D89" s="9">
        <v>47</v>
      </c>
      <c r="E89" s="12">
        <v>400000</v>
      </c>
      <c r="F89" s="12">
        <v>80000</v>
      </c>
      <c r="G89" s="12">
        <v>90000</v>
      </c>
    </row>
    <row r="90" spans="1:7" x14ac:dyDescent="0.3">
      <c r="A90" s="29">
        <v>43857</v>
      </c>
      <c r="B90" s="24" t="s">
        <v>38</v>
      </c>
      <c r="C90" s="9" t="s">
        <v>1</v>
      </c>
      <c r="D90" s="9">
        <v>44</v>
      </c>
      <c r="E90" s="12">
        <v>350000</v>
      </c>
      <c r="F90" s="12">
        <v>430000</v>
      </c>
      <c r="G90" s="12">
        <v>440000</v>
      </c>
    </row>
    <row r="91" spans="1:7" x14ac:dyDescent="0.3">
      <c r="A91" s="29">
        <v>43858</v>
      </c>
      <c r="B91" s="24" t="s">
        <v>13</v>
      </c>
      <c r="C91" s="9" t="s">
        <v>1</v>
      </c>
      <c r="D91" s="9">
        <v>35</v>
      </c>
      <c r="E91" s="12">
        <v>500000</v>
      </c>
      <c r="F91" s="12">
        <v>645000</v>
      </c>
      <c r="G91" s="12">
        <v>655000</v>
      </c>
    </row>
    <row r="92" spans="1:7" x14ac:dyDescent="0.3">
      <c r="A92" s="29">
        <v>43853</v>
      </c>
      <c r="B92" s="24" t="s">
        <v>10</v>
      </c>
      <c r="C92" s="9" t="s">
        <v>1</v>
      </c>
      <c r="D92" s="9">
        <v>38</v>
      </c>
      <c r="E92" s="12">
        <v>450000</v>
      </c>
      <c r="F92" s="12">
        <v>130000</v>
      </c>
      <c r="G92" s="12">
        <v>140000</v>
      </c>
    </row>
    <row r="93" spans="1:7" x14ac:dyDescent="0.3">
      <c r="A93" s="29">
        <v>43854</v>
      </c>
      <c r="B93" s="24" t="s">
        <v>11</v>
      </c>
      <c r="C93" s="9" t="s">
        <v>1</v>
      </c>
      <c r="D93" s="9">
        <v>38</v>
      </c>
      <c r="E93" s="12">
        <v>310000</v>
      </c>
      <c r="F93" s="12">
        <v>3460000</v>
      </c>
      <c r="G93" s="12">
        <v>3470000</v>
      </c>
    </row>
    <row r="94" spans="1:7" x14ac:dyDescent="0.3">
      <c r="A94" s="29">
        <v>43855</v>
      </c>
      <c r="B94" s="24" t="s">
        <v>11</v>
      </c>
      <c r="C94" s="9" t="s">
        <v>1</v>
      </c>
      <c r="D94" s="9">
        <v>42</v>
      </c>
      <c r="E94" s="12">
        <v>750000</v>
      </c>
      <c r="F94" s="12">
        <v>880000</v>
      </c>
      <c r="G94" s="12">
        <v>890000</v>
      </c>
    </row>
    <row r="95" spans="1:7" x14ac:dyDescent="0.3">
      <c r="A95" s="29">
        <v>43856</v>
      </c>
      <c r="B95" s="24" t="s">
        <v>12</v>
      </c>
      <c r="C95" s="9" t="s">
        <v>1</v>
      </c>
      <c r="D95" s="9">
        <v>40</v>
      </c>
      <c r="E95" s="12">
        <v>400000</v>
      </c>
      <c r="F95" s="12">
        <v>380000</v>
      </c>
      <c r="G95" s="12">
        <v>390000</v>
      </c>
    </row>
    <row r="96" spans="1:7" x14ac:dyDescent="0.3">
      <c r="A96" s="29">
        <v>43857</v>
      </c>
      <c r="B96" s="24" t="s">
        <v>13</v>
      </c>
      <c r="C96" s="9" t="s">
        <v>1</v>
      </c>
      <c r="D96" s="9">
        <v>39</v>
      </c>
      <c r="E96" s="12">
        <v>430000</v>
      </c>
      <c r="F96" s="12">
        <v>580000</v>
      </c>
      <c r="G96" s="12">
        <v>590000</v>
      </c>
    </row>
    <row r="97" spans="1:7" x14ac:dyDescent="0.3">
      <c r="A97" s="29">
        <v>43858</v>
      </c>
      <c r="B97" s="24" t="s">
        <v>12</v>
      </c>
      <c r="C97" s="9" t="s">
        <v>1</v>
      </c>
      <c r="D97" s="9">
        <v>42</v>
      </c>
      <c r="E97" s="12">
        <v>410000</v>
      </c>
      <c r="F97" s="12">
        <v>730000</v>
      </c>
      <c r="G97" s="12">
        <v>740000</v>
      </c>
    </row>
    <row r="98" spans="1:7" x14ac:dyDescent="0.3">
      <c r="A98" s="29">
        <v>43853</v>
      </c>
      <c r="B98" s="24" t="s">
        <v>11</v>
      </c>
      <c r="C98" s="9" t="s">
        <v>1</v>
      </c>
      <c r="D98" s="9">
        <v>37</v>
      </c>
      <c r="E98" s="12">
        <v>750000</v>
      </c>
      <c r="F98" s="12">
        <v>370000</v>
      </c>
      <c r="G98" s="12">
        <v>380000</v>
      </c>
    </row>
    <row r="99" spans="1:7" x14ac:dyDescent="0.3">
      <c r="A99" s="29">
        <v>43854</v>
      </c>
      <c r="B99" s="24" t="s">
        <v>10</v>
      </c>
      <c r="C99" s="9" t="s">
        <v>1</v>
      </c>
      <c r="D99" s="9">
        <v>39</v>
      </c>
      <c r="E99" s="12">
        <v>342000</v>
      </c>
      <c r="F99" s="12">
        <v>180000</v>
      </c>
      <c r="G99" s="12">
        <v>190000</v>
      </c>
    </row>
    <row r="100" spans="1:7" x14ac:dyDescent="0.3">
      <c r="A100" s="29">
        <v>43855</v>
      </c>
      <c r="B100" s="24" t="s">
        <v>9</v>
      </c>
      <c r="C100" s="9" t="s">
        <v>1</v>
      </c>
      <c r="D100" s="9">
        <v>35</v>
      </c>
      <c r="E100" s="12">
        <v>310000</v>
      </c>
      <c r="F100" s="12">
        <v>170000</v>
      </c>
      <c r="G100" s="12">
        <v>180000</v>
      </c>
    </row>
    <row r="101" spans="1:7" x14ac:dyDescent="0.3">
      <c r="A101" s="29">
        <v>43856</v>
      </c>
      <c r="B101" s="24" t="s">
        <v>38</v>
      </c>
      <c r="C101" s="9" t="s">
        <v>1</v>
      </c>
      <c r="D101" s="9">
        <v>40</v>
      </c>
      <c r="E101" s="12">
        <v>550000</v>
      </c>
      <c r="F101" s="12">
        <v>500000</v>
      </c>
      <c r="G101" s="12">
        <v>510000</v>
      </c>
    </row>
    <row r="102" spans="1:7" x14ac:dyDescent="0.3">
      <c r="A102" s="29">
        <v>43857</v>
      </c>
      <c r="B102" s="24" t="s">
        <v>12</v>
      </c>
      <c r="C102" s="9" t="s">
        <v>1</v>
      </c>
      <c r="D102" s="9">
        <v>53</v>
      </c>
      <c r="E102" s="12">
        <v>370000</v>
      </c>
      <c r="F102" s="12">
        <v>450000</v>
      </c>
      <c r="G102" s="12">
        <v>460000</v>
      </c>
    </row>
    <row r="103" spans="1:7" x14ac:dyDescent="0.3">
      <c r="A103" s="29">
        <v>43858</v>
      </c>
      <c r="B103" s="24" t="s">
        <v>14</v>
      </c>
      <c r="C103" s="9" t="s">
        <v>0</v>
      </c>
      <c r="D103" s="9">
        <v>44</v>
      </c>
      <c r="E103" s="12">
        <v>750000</v>
      </c>
      <c r="F103" s="12">
        <v>230000</v>
      </c>
      <c r="G103" s="12">
        <v>240000</v>
      </c>
    </row>
    <row r="104" spans="1:7" x14ac:dyDescent="0.3">
      <c r="A104" s="29">
        <v>43853</v>
      </c>
      <c r="B104" s="24" t="s">
        <v>9</v>
      </c>
      <c r="C104" s="9" t="s">
        <v>0</v>
      </c>
      <c r="D104" s="9">
        <v>46</v>
      </c>
      <c r="E104" s="12">
        <v>360000</v>
      </c>
      <c r="F104" s="12">
        <v>1030000</v>
      </c>
      <c r="G104" s="12">
        <v>1040000</v>
      </c>
    </row>
    <row r="105" spans="1:7" x14ac:dyDescent="0.3">
      <c r="A105" s="29">
        <v>43854</v>
      </c>
      <c r="B105" s="24" t="s">
        <v>11</v>
      </c>
      <c r="C105" s="9" t="s">
        <v>0</v>
      </c>
      <c r="D105" s="9">
        <v>39</v>
      </c>
      <c r="E105" s="12">
        <v>1170000</v>
      </c>
      <c r="F105" s="12">
        <v>380000</v>
      </c>
      <c r="G105" s="12">
        <v>390000</v>
      </c>
    </row>
    <row r="106" spans="1:7" x14ac:dyDescent="0.3">
      <c r="A106" s="29">
        <v>43855</v>
      </c>
      <c r="B106" s="24" t="s">
        <v>13</v>
      </c>
      <c r="C106" s="9" t="s">
        <v>0</v>
      </c>
      <c r="D106" s="9">
        <v>47</v>
      </c>
      <c r="E106" s="12">
        <v>370000</v>
      </c>
      <c r="F106" s="12">
        <v>280000</v>
      </c>
      <c r="G106" s="12">
        <v>290000</v>
      </c>
    </row>
    <row r="107" spans="1:7" x14ac:dyDescent="0.3">
      <c r="A107" s="29">
        <v>43856</v>
      </c>
      <c r="B107" s="24" t="s">
        <v>10</v>
      </c>
      <c r="C107" s="9" t="s">
        <v>0</v>
      </c>
      <c r="D107" s="9">
        <v>34</v>
      </c>
      <c r="E107" s="12">
        <v>348000</v>
      </c>
      <c r="F107" s="12">
        <v>290000</v>
      </c>
      <c r="G107" s="12">
        <v>300000</v>
      </c>
    </row>
    <row r="108" spans="1:7" x14ac:dyDescent="0.3">
      <c r="A108" s="29">
        <v>43857</v>
      </c>
      <c r="B108" s="24" t="s">
        <v>11</v>
      </c>
      <c r="C108" s="9" t="s">
        <v>0</v>
      </c>
      <c r="D108" s="9">
        <v>43</v>
      </c>
      <c r="E108" s="12">
        <v>400000</v>
      </c>
      <c r="F108" s="12">
        <v>200000</v>
      </c>
      <c r="G108" s="12">
        <v>210000</v>
      </c>
    </row>
    <row r="109" spans="1:7" x14ac:dyDescent="0.3">
      <c r="A109" s="29">
        <v>43858</v>
      </c>
      <c r="B109" s="24" t="s">
        <v>11</v>
      </c>
      <c r="C109" s="9" t="s">
        <v>0</v>
      </c>
      <c r="D109" s="9">
        <v>38</v>
      </c>
      <c r="E109" s="12">
        <v>350000</v>
      </c>
      <c r="F109" s="12">
        <v>390000</v>
      </c>
      <c r="G109" s="12">
        <v>400000</v>
      </c>
    </row>
    <row r="110" spans="1:7" x14ac:dyDescent="0.3">
      <c r="A110" s="29">
        <v>43853</v>
      </c>
      <c r="B110" s="24" t="s">
        <v>12</v>
      </c>
      <c r="C110" s="9" t="s">
        <v>0</v>
      </c>
      <c r="D110" s="9">
        <v>37</v>
      </c>
      <c r="E110" s="12">
        <v>600000</v>
      </c>
      <c r="F110" s="12">
        <v>920000</v>
      </c>
      <c r="G110" s="12">
        <v>930000</v>
      </c>
    </row>
    <row r="111" spans="1:7" x14ac:dyDescent="0.3">
      <c r="A111" s="29">
        <v>43854</v>
      </c>
      <c r="B111" s="24" t="s">
        <v>13</v>
      </c>
      <c r="C111" s="9" t="s">
        <v>0</v>
      </c>
      <c r="D111" s="9">
        <v>34</v>
      </c>
      <c r="E111" s="12">
        <v>570000</v>
      </c>
      <c r="F111" s="12">
        <v>249000</v>
      </c>
      <c r="G111" s="12">
        <v>259000</v>
      </c>
    </row>
    <row r="112" spans="1:7" x14ac:dyDescent="0.3">
      <c r="A112" s="29">
        <v>43855</v>
      </c>
      <c r="B112" s="24" t="s">
        <v>12</v>
      </c>
      <c r="C112" s="9" t="s">
        <v>0</v>
      </c>
      <c r="D112" s="9">
        <v>49</v>
      </c>
      <c r="E112" s="12">
        <v>460000</v>
      </c>
      <c r="F112" s="12">
        <v>780000</v>
      </c>
      <c r="G112" s="12">
        <v>790000</v>
      </c>
    </row>
    <row r="113" spans="1:7" x14ac:dyDescent="0.3">
      <c r="A113" s="29">
        <v>43856</v>
      </c>
      <c r="B113" s="24" t="s">
        <v>11</v>
      </c>
      <c r="C113" s="9" t="s">
        <v>0</v>
      </c>
      <c r="D113" s="9">
        <v>41</v>
      </c>
      <c r="E113" s="12">
        <v>890000</v>
      </c>
      <c r="F113" s="12">
        <v>280000</v>
      </c>
      <c r="G113" s="12">
        <v>290000</v>
      </c>
    </row>
    <row r="114" spans="1:7" x14ac:dyDescent="0.3">
      <c r="A114" s="29">
        <v>43857</v>
      </c>
      <c r="B114" s="24" t="s">
        <v>10</v>
      </c>
      <c r="C114" s="9" t="s">
        <v>0</v>
      </c>
      <c r="D114" s="9">
        <v>44</v>
      </c>
      <c r="E114" s="12">
        <v>900000</v>
      </c>
      <c r="F114" s="12">
        <v>630000</v>
      </c>
      <c r="G114" s="12">
        <v>640000</v>
      </c>
    </row>
    <row r="115" spans="1:7" x14ac:dyDescent="0.3">
      <c r="A115" s="29">
        <v>43858</v>
      </c>
      <c r="B115" s="24" t="s">
        <v>9</v>
      </c>
      <c r="C115" s="9" t="s">
        <v>0</v>
      </c>
      <c r="D115" s="9">
        <v>42</v>
      </c>
      <c r="E115" s="12">
        <v>450000</v>
      </c>
      <c r="F115" s="12">
        <v>160000</v>
      </c>
      <c r="G115" s="12">
        <v>170000</v>
      </c>
    </row>
    <row r="116" spans="1:7" x14ac:dyDescent="0.3">
      <c r="A116" s="29">
        <v>43853</v>
      </c>
      <c r="B116" s="24" t="s">
        <v>11</v>
      </c>
      <c r="C116" s="9" t="s">
        <v>0</v>
      </c>
      <c r="D116" s="9">
        <v>40</v>
      </c>
      <c r="E116" s="12">
        <v>450000</v>
      </c>
      <c r="F116" s="12">
        <v>150000</v>
      </c>
      <c r="G116" s="12">
        <v>160000</v>
      </c>
    </row>
    <row r="117" spans="1:7" x14ac:dyDescent="0.3">
      <c r="A117" s="29">
        <v>43854</v>
      </c>
      <c r="B117" s="24" t="s">
        <v>12</v>
      </c>
      <c r="C117" s="9" t="s">
        <v>0</v>
      </c>
      <c r="D117" s="9">
        <v>39</v>
      </c>
      <c r="E117" s="12">
        <v>650000</v>
      </c>
      <c r="F117" s="12">
        <v>180000</v>
      </c>
      <c r="G117" s="12">
        <v>190000</v>
      </c>
    </row>
    <row r="118" spans="1:7" x14ac:dyDescent="0.3">
      <c r="A118" s="29">
        <v>43855</v>
      </c>
      <c r="B118" s="24" t="s">
        <v>14</v>
      </c>
      <c r="C118" s="9" t="s">
        <v>0</v>
      </c>
      <c r="D118" s="9">
        <v>48</v>
      </c>
      <c r="E118" s="12">
        <v>750000</v>
      </c>
      <c r="F118" s="12">
        <v>120000</v>
      </c>
      <c r="G118" s="12">
        <v>130000</v>
      </c>
    </row>
    <row r="119" spans="1:7" x14ac:dyDescent="0.3">
      <c r="A119" s="29">
        <v>43856</v>
      </c>
      <c r="B119" s="24" t="s">
        <v>9</v>
      </c>
      <c r="C119" s="9" t="s">
        <v>0</v>
      </c>
      <c r="D119" s="9">
        <v>41</v>
      </c>
      <c r="E119" s="12">
        <v>400000</v>
      </c>
      <c r="F119" s="12">
        <v>80000</v>
      </c>
      <c r="G119" s="12">
        <v>90000</v>
      </c>
    </row>
    <row r="120" spans="1:7" x14ac:dyDescent="0.3">
      <c r="A120" s="29">
        <v>43857</v>
      </c>
      <c r="B120" s="24" t="s">
        <v>9</v>
      </c>
      <c r="C120" s="9" t="s">
        <v>0</v>
      </c>
      <c r="D120" s="9">
        <v>42</v>
      </c>
      <c r="E120" s="12">
        <v>600000</v>
      </c>
      <c r="F120" s="12">
        <v>480000</v>
      </c>
      <c r="G120" s="12">
        <v>490000</v>
      </c>
    </row>
    <row r="121" spans="1:7" x14ac:dyDescent="0.3">
      <c r="A121" s="29">
        <v>43858</v>
      </c>
      <c r="B121" s="24" t="s">
        <v>13</v>
      </c>
      <c r="C121" s="9" t="s">
        <v>0</v>
      </c>
      <c r="D121" s="9">
        <v>43</v>
      </c>
      <c r="E121" s="12">
        <v>600000</v>
      </c>
      <c r="F121" s="12">
        <v>580000</v>
      </c>
      <c r="G121" s="12">
        <v>590000</v>
      </c>
    </row>
    <row r="122" spans="1:7" x14ac:dyDescent="0.3">
      <c r="A122" s="29">
        <v>43853</v>
      </c>
      <c r="B122" s="24" t="s">
        <v>10</v>
      </c>
      <c r="C122" s="9" t="s">
        <v>0</v>
      </c>
      <c r="D122" s="9">
        <v>35</v>
      </c>
      <c r="E122" s="12">
        <v>450000</v>
      </c>
      <c r="F122" s="12">
        <v>330000</v>
      </c>
      <c r="G122" s="12">
        <v>340000</v>
      </c>
    </row>
    <row r="123" spans="1:7" x14ac:dyDescent="0.3">
      <c r="A123" s="29">
        <v>43854</v>
      </c>
      <c r="B123" s="24" t="s">
        <v>11</v>
      </c>
      <c r="C123" s="9" t="s">
        <v>0</v>
      </c>
      <c r="D123" s="9">
        <v>46</v>
      </c>
      <c r="E123" s="12">
        <v>650000</v>
      </c>
      <c r="F123" s="12">
        <v>240000</v>
      </c>
      <c r="G123" s="12">
        <v>250000</v>
      </c>
    </row>
    <row r="124" spans="1:7" x14ac:dyDescent="0.3">
      <c r="A124" s="29">
        <v>43855</v>
      </c>
      <c r="B124" s="24" t="s">
        <v>11</v>
      </c>
      <c r="C124" s="9" t="s">
        <v>0</v>
      </c>
      <c r="D124" s="9">
        <v>39</v>
      </c>
      <c r="E124" s="12">
        <v>370000</v>
      </c>
      <c r="F124" s="12">
        <v>160000</v>
      </c>
      <c r="G124" s="12">
        <v>170000</v>
      </c>
    </row>
    <row r="125" spans="1:7" x14ac:dyDescent="0.3">
      <c r="A125" s="29">
        <v>43856</v>
      </c>
      <c r="B125" s="24" t="s">
        <v>12</v>
      </c>
      <c r="C125" s="9" t="s">
        <v>0</v>
      </c>
      <c r="D125" s="9">
        <v>35</v>
      </c>
      <c r="E125" s="12">
        <v>345000</v>
      </c>
      <c r="F125" s="12">
        <v>80000</v>
      </c>
      <c r="G125" s="12">
        <v>90000</v>
      </c>
    </row>
    <row r="126" spans="1:7" x14ac:dyDescent="0.3">
      <c r="A126" s="29">
        <v>43857</v>
      </c>
      <c r="B126" s="24" t="s">
        <v>13</v>
      </c>
      <c r="C126" s="9" t="s">
        <v>0</v>
      </c>
      <c r="D126" s="9">
        <v>37</v>
      </c>
      <c r="E126" s="12">
        <v>470000</v>
      </c>
      <c r="F126" s="12">
        <v>280000</v>
      </c>
      <c r="G126" s="12">
        <v>290000</v>
      </c>
    </row>
    <row r="127" spans="1:7" x14ac:dyDescent="0.3">
      <c r="A127" s="29">
        <v>43858</v>
      </c>
      <c r="B127" s="24" t="s">
        <v>12</v>
      </c>
      <c r="C127" s="9" t="s">
        <v>0</v>
      </c>
      <c r="D127" s="9">
        <v>48</v>
      </c>
      <c r="E127" s="12">
        <v>450000</v>
      </c>
      <c r="F127" s="12">
        <v>80000</v>
      </c>
      <c r="G127" s="12">
        <v>90000</v>
      </c>
    </row>
    <row r="128" spans="1:7" x14ac:dyDescent="0.3">
      <c r="A128" s="29">
        <v>43853</v>
      </c>
      <c r="B128" s="24" t="s">
        <v>11</v>
      </c>
      <c r="C128" s="9" t="s">
        <v>0</v>
      </c>
      <c r="D128" s="9">
        <v>48</v>
      </c>
      <c r="E128" s="12">
        <v>780000</v>
      </c>
      <c r="F128" s="12">
        <v>165000</v>
      </c>
      <c r="G128" s="12">
        <v>175000</v>
      </c>
    </row>
    <row r="129" spans="1:7" x14ac:dyDescent="0.3">
      <c r="A129" s="29">
        <v>43854</v>
      </c>
      <c r="B129" s="24" t="s">
        <v>10</v>
      </c>
      <c r="C129" s="9" t="s">
        <v>0</v>
      </c>
      <c r="D129" s="9">
        <v>36</v>
      </c>
      <c r="E129" s="12">
        <v>2250000</v>
      </c>
      <c r="F129" s="12">
        <v>2080000</v>
      </c>
      <c r="G129" s="12">
        <v>2090000</v>
      </c>
    </row>
    <row r="130" spans="1:7" ht="15" thickBot="1" x14ac:dyDescent="0.35">
      <c r="A130" s="30">
        <v>43855</v>
      </c>
      <c r="B130" s="25" t="s">
        <v>9</v>
      </c>
      <c r="C130" s="10" t="s">
        <v>0</v>
      </c>
      <c r="D130" s="10">
        <v>45</v>
      </c>
      <c r="E130" s="13">
        <v>360000</v>
      </c>
      <c r="F130" s="13">
        <v>80000</v>
      </c>
      <c r="G130" s="13">
        <v>90000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9" sqref="C19"/>
    </sheetView>
  </sheetViews>
  <sheetFormatPr defaultRowHeight="14.4" x14ac:dyDescent="0.3"/>
  <cols>
    <col min="1" max="1" width="29.109375" customWidth="1"/>
    <col min="2" max="2" width="34" bestFit="1" customWidth="1"/>
    <col min="3" max="3" width="60.44140625" bestFit="1" customWidth="1"/>
  </cols>
  <sheetData>
    <row r="1" spans="1:3" x14ac:dyDescent="0.3">
      <c r="A1" s="100" t="s">
        <v>3</v>
      </c>
      <c r="B1" t="s">
        <v>79</v>
      </c>
      <c r="C1" s="91" t="s">
        <v>89</v>
      </c>
    </row>
    <row r="2" spans="1:3" x14ac:dyDescent="0.3">
      <c r="C2" s="91"/>
    </row>
    <row r="3" spans="1:3" x14ac:dyDescent="0.3">
      <c r="A3" s="100" t="s">
        <v>83</v>
      </c>
      <c r="B3" t="s">
        <v>81</v>
      </c>
      <c r="C3" t="s">
        <v>87</v>
      </c>
    </row>
    <row r="4" spans="1:3" x14ac:dyDescent="0.3">
      <c r="A4" s="102" t="s">
        <v>9</v>
      </c>
      <c r="B4" s="101">
        <v>6967000</v>
      </c>
      <c r="C4" s="105">
        <v>16583.751874509057</v>
      </c>
    </row>
    <row r="5" spans="1:3" x14ac:dyDescent="0.3">
      <c r="A5" s="102" t="s">
        <v>10</v>
      </c>
      <c r="B5" s="101">
        <v>5648000</v>
      </c>
      <c r="C5" s="105">
        <v>13444.097974340053</v>
      </c>
    </row>
    <row r="6" spans="1:3" x14ac:dyDescent="0.3">
      <c r="A6" s="102" t="s">
        <v>11</v>
      </c>
      <c r="B6" s="101">
        <v>10817000</v>
      </c>
      <c r="C6" s="105">
        <v>25748.018376139582</v>
      </c>
    </row>
    <row r="7" spans="1:3" x14ac:dyDescent="0.3">
      <c r="A7" s="102" t="s">
        <v>12</v>
      </c>
      <c r="B7" s="101">
        <v>9677200</v>
      </c>
      <c r="C7" s="105">
        <v>23034.919425864653</v>
      </c>
    </row>
    <row r="8" spans="1:3" x14ac:dyDescent="0.3">
      <c r="A8" s="102" t="s">
        <v>13</v>
      </c>
      <c r="B8" s="101">
        <v>6591000</v>
      </c>
      <c r="C8" s="105">
        <v>15688.748184999167</v>
      </c>
    </row>
    <row r="9" spans="1:3" x14ac:dyDescent="0.3">
      <c r="A9" s="102" t="s">
        <v>37</v>
      </c>
      <c r="B9" s="101">
        <v>170000</v>
      </c>
      <c r="C9" s="105">
        <v>404.65592344862057</v>
      </c>
    </row>
    <row r="10" spans="1:3" x14ac:dyDescent="0.3">
      <c r="A10" s="102" t="s">
        <v>14</v>
      </c>
      <c r="B10" s="101">
        <v>1830000</v>
      </c>
      <c r="C10" s="105">
        <v>4356.0019994763279</v>
      </c>
    </row>
    <row r="11" spans="1:3" x14ac:dyDescent="0.3">
      <c r="A11" s="102" t="s">
        <v>36</v>
      </c>
      <c r="B11" s="101">
        <v>305000</v>
      </c>
      <c r="C11" s="105">
        <v>726.00033324605454</v>
      </c>
    </row>
    <row r="12" spans="1:3" x14ac:dyDescent="0.3">
      <c r="A12" s="102" t="s">
        <v>38</v>
      </c>
      <c r="B12" s="101">
        <v>770000</v>
      </c>
      <c r="C12" s="105">
        <v>1832.853300326105</v>
      </c>
    </row>
    <row r="13" spans="1:3" x14ac:dyDescent="0.3">
      <c r="A13" s="102" t="s">
        <v>88</v>
      </c>
      <c r="B13" s="101">
        <v>376000</v>
      </c>
      <c r="C13" s="105">
        <v>895.00368950989025</v>
      </c>
    </row>
    <row r="14" spans="1:3" x14ac:dyDescent="0.3">
      <c r="A14" s="102" t="s">
        <v>84</v>
      </c>
      <c r="B14" s="101">
        <v>43151200</v>
      </c>
      <c r="C14" s="105">
        <v>102714.05108185951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tabSelected="1" zoomScale="91" zoomScaleNormal="91" workbookViewId="0">
      <selection activeCell="C32" sqref="C32"/>
    </sheetView>
  </sheetViews>
  <sheetFormatPr defaultRowHeight="14.4" x14ac:dyDescent="0.3"/>
  <cols>
    <col min="1" max="1" width="12.109375" customWidth="1"/>
    <col min="2" max="2" width="10.109375" customWidth="1"/>
    <col min="5" max="5" width="13.44140625" customWidth="1"/>
    <col min="6" max="6" width="15.44140625" customWidth="1"/>
    <col min="7" max="7" width="16.44140625" bestFit="1" customWidth="1"/>
    <col min="8" max="8" width="12.6640625" customWidth="1"/>
    <col min="9" max="9" width="10.33203125" bestFit="1" customWidth="1"/>
    <col min="10" max="10" width="10.33203125" customWidth="1"/>
    <col min="12" max="12" width="22.33203125" customWidth="1"/>
  </cols>
  <sheetData>
    <row r="1" spans="1:16" ht="35.25" customHeight="1" thickBot="1" x14ac:dyDescent="0.35">
      <c r="A1" s="14" t="s">
        <v>2</v>
      </c>
      <c r="B1" s="14" t="s">
        <v>8</v>
      </c>
      <c r="C1" s="14" t="s">
        <v>3</v>
      </c>
      <c r="D1" s="14" t="s">
        <v>4</v>
      </c>
      <c r="E1" s="15" t="s">
        <v>5</v>
      </c>
      <c r="F1" s="15" t="s">
        <v>15</v>
      </c>
      <c r="G1" s="15" t="s">
        <v>6</v>
      </c>
      <c r="H1" s="15" t="s">
        <v>19</v>
      </c>
      <c r="I1" s="15" t="s">
        <v>20</v>
      </c>
      <c r="J1" s="15" t="s">
        <v>18</v>
      </c>
      <c r="L1" s="33" t="s">
        <v>16</v>
      </c>
      <c r="M1" s="34">
        <v>385.6</v>
      </c>
    </row>
    <row r="2" spans="1:16" x14ac:dyDescent="0.3">
      <c r="A2" s="4">
        <v>43884</v>
      </c>
      <c r="B2" s="5" t="s">
        <v>11</v>
      </c>
      <c r="C2" s="8" t="s">
        <v>0</v>
      </c>
      <c r="D2" s="8">
        <v>52</v>
      </c>
      <c r="E2" s="11">
        <v>400000</v>
      </c>
      <c r="F2" s="11">
        <v>580000</v>
      </c>
      <c r="G2" s="11">
        <v>25000</v>
      </c>
      <c r="H2" s="39">
        <f>E2/$M$1</f>
        <v>1037.344398340249</v>
      </c>
      <c r="I2" s="39">
        <f>E2*$M$2</f>
        <v>100000</v>
      </c>
      <c r="J2" s="39">
        <f>G2+$M$3</f>
        <v>35000</v>
      </c>
      <c r="L2" s="35" t="s">
        <v>17</v>
      </c>
      <c r="M2" s="36">
        <v>0.25</v>
      </c>
    </row>
    <row r="3" spans="1:16" ht="15" thickBot="1" x14ac:dyDescent="0.35">
      <c r="A3" s="2">
        <v>43885</v>
      </c>
      <c r="B3" s="6" t="s">
        <v>11</v>
      </c>
      <c r="C3" s="9" t="s">
        <v>0</v>
      </c>
      <c r="D3" s="9">
        <v>42</v>
      </c>
      <c r="E3" s="12">
        <v>300000</v>
      </c>
      <c r="F3" s="12">
        <v>150000</v>
      </c>
      <c r="G3" s="12">
        <v>95000</v>
      </c>
      <c r="H3" s="39">
        <f>E3/$M$1</f>
        <v>778.00829875518673</v>
      </c>
      <c r="I3" s="39">
        <f t="shared" ref="I3:I66" si="0">E3*$M$2</f>
        <v>75000</v>
      </c>
      <c r="J3" s="39">
        <f t="shared" ref="J3:J66" si="1">G3+$M$3</f>
        <v>105000</v>
      </c>
      <c r="L3" s="37" t="s">
        <v>18</v>
      </c>
      <c r="M3" s="38">
        <v>10000</v>
      </c>
    </row>
    <row r="4" spans="1:16" ht="15" thickBot="1" x14ac:dyDescent="0.35">
      <c r="A4" s="2">
        <v>43886</v>
      </c>
      <c r="B4" s="6" t="s">
        <v>12</v>
      </c>
      <c r="C4" s="9" t="s">
        <v>0</v>
      </c>
      <c r="D4" s="9">
        <v>58</v>
      </c>
      <c r="E4" s="12">
        <v>170000</v>
      </c>
      <c r="F4" s="12">
        <v>138000</v>
      </c>
      <c r="G4" s="12">
        <v>35000</v>
      </c>
      <c r="H4" s="39">
        <f>E4/$M$1</f>
        <v>440.87136929460576</v>
      </c>
      <c r="I4" s="39">
        <f t="shared" si="0"/>
        <v>42500</v>
      </c>
      <c r="J4" s="39">
        <f t="shared" si="1"/>
        <v>45000</v>
      </c>
    </row>
    <row r="5" spans="1:16" ht="15" customHeight="1" x14ac:dyDescent="0.3">
      <c r="A5" s="2">
        <v>43887</v>
      </c>
      <c r="B5" s="6" t="s">
        <v>13</v>
      </c>
      <c r="C5" s="9" t="s">
        <v>1</v>
      </c>
      <c r="D5" s="9">
        <v>36</v>
      </c>
      <c r="E5" s="12">
        <v>230000</v>
      </c>
      <c r="F5" s="12">
        <v>0</v>
      </c>
      <c r="G5" s="12">
        <v>0</v>
      </c>
      <c r="H5" s="39">
        <f t="shared" ref="H5:H68" si="2">E5/$M$1</f>
        <v>596.4730290456431</v>
      </c>
      <c r="I5" s="39">
        <f t="shared" si="0"/>
        <v>57500</v>
      </c>
      <c r="J5" s="39">
        <f t="shared" si="1"/>
        <v>10000</v>
      </c>
      <c r="K5" s="31"/>
      <c r="L5" s="109" t="s">
        <v>67</v>
      </c>
      <c r="M5" s="110"/>
      <c r="N5" s="110"/>
      <c r="O5" s="110"/>
      <c r="P5" s="111"/>
    </row>
    <row r="6" spans="1:16" x14ac:dyDescent="0.3">
      <c r="A6" s="2">
        <v>43888</v>
      </c>
      <c r="B6" s="6" t="s">
        <v>11</v>
      </c>
      <c r="C6" s="9" t="s">
        <v>0</v>
      </c>
      <c r="D6" s="9">
        <v>36</v>
      </c>
      <c r="E6" s="12">
        <v>110000</v>
      </c>
      <c r="F6" s="12">
        <v>80000</v>
      </c>
      <c r="G6" s="12">
        <v>15000</v>
      </c>
      <c r="H6" s="39">
        <f t="shared" si="2"/>
        <v>285.26970954356847</v>
      </c>
      <c r="I6" s="39">
        <f t="shared" si="0"/>
        <v>27500</v>
      </c>
      <c r="J6" s="39">
        <f t="shared" si="1"/>
        <v>25000</v>
      </c>
      <c r="L6" s="112"/>
      <c r="M6" s="113"/>
      <c r="N6" s="113"/>
      <c r="O6" s="113"/>
      <c r="P6" s="114"/>
    </row>
    <row r="7" spans="1:16" ht="15" thickBot="1" x14ac:dyDescent="0.35">
      <c r="A7" s="2">
        <v>43889</v>
      </c>
      <c r="B7" s="6" t="s">
        <v>11</v>
      </c>
      <c r="C7" s="9" t="s">
        <v>1</v>
      </c>
      <c r="D7" s="9">
        <v>47</v>
      </c>
      <c r="E7" s="12">
        <v>130000</v>
      </c>
      <c r="F7" s="12">
        <v>300000</v>
      </c>
      <c r="G7" s="12">
        <v>10000</v>
      </c>
      <c r="H7" s="39">
        <f t="shared" si="2"/>
        <v>337.13692946058092</v>
      </c>
      <c r="I7" s="39">
        <f t="shared" si="0"/>
        <v>32500</v>
      </c>
      <c r="J7" s="39">
        <f t="shared" si="1"/>
        <v>20000</v>
      </c>
      <c r="L7" s="115"/>
      <c r="M7" s="116"/>
      <c r="N7" s="116"/>
      <c r="O7" s="116"/>
      <c r="P7" s="117"/>
    </row>
    <row r="8" spans="1:16" ht="16.2" thickBot="1" x14ac:dyDescent="0.35">
      <c r="A8" s="2">
        <v>43884</v>
      </c>
      <c r="B8" s="6" t="s">
        <v>13</v>
      </c>
      <c r="C8" s="9" t="s">
        <v>1</v>
      </c>
      <c r="D8" s="9">
        <v>46</v>
      </c>
      <c r="E8" s="12">
        <v>300000</v>
      </c>
      <c r="F8" s="12">
        <v>50000</v>
      </c>
      <c r="G8" s="12">
        <v>5000</v>
      </c>
      <c r="H8" s="39">
        <f t="shared" si="2"/>
        <v>778.00829875518673</v>
      </c>
      <c r="I8" s="39">
        <f t="shared" si="0"/>
        <v>75000</v>
      </c>
      <c r="J8" s="39">
        <f t="shared" si="1"/>
        <v>15000</v>
      </c>
      <c r="L8" s="67"/>
      <c r="M8" s="67"/>
      <c r="N8" s="67"/>
      <c r="O8" s="67"/>
      <c r="P8" s="67"/>
    </row>
    <row r="9" spans="1:16" ht="15" customHeight="1" x14ac:dyDescent="0.3">
      <c r="A9" s="2">
        <v>43885</v>
      </c>
      <c r="B9" s="6" t="s">
        <v>10</v>
      </c>
      <c r="C9" s="9" t="s">
        <v>1</v>
      </c>
      <c r="D9" s="9">
        <v>55</v>
      </c>
      <c r="E9" s="12">
        <v>57000</v>
      </c>
      <c r="F9" s="12">
        <v>33000</v>
      </c>
      <c r="G9" s="12">
        <v>7000</v>
      </c>
      <c r="H9" s="39">
        <f t="shared" si="2"/>
        <v>147.82157676348547</v>
      </c>
      <c r="I9" s="39">
        <f t="shared" si="0"/>
        <v>14250</v>
      </c>
      <c r="J9" s="39">
        <f t="shared" si="1"/>
        <v>17000</v>
      </c>
      <c r="L9" s="109" t="s">
        <v>66</v>
      </c>
      <c r="M9" s="110"/>
      <c r="N9" s="110"/>
      <c r="O9" s="110"/>
      <c r="P9" s="111"/>
    </row>
    <row r="10" spans="1:16" x14ac:dyDescent="0.3">
      <c r="A10" s="2">
        <v>43886</v>
      </c>
      <c r="B10" s="6" t="s">
        <v>11</v>
      </c>
      <c r="C10" s="9" t="s">
        <v>1</v>
      </c>
      <c r="D10" s="9">
        <v>34</v>
      </c>
      <c r="E10" s="12">
        <v>500000</v>
      </c>
      <c r="F10" s="12">
        <v>431000</v>
      </c>
      <c r="G10" s="12">
        <v>25000</v>
      </c>
      <c r="H10" s="39">
        <f t="shared" si="2"/>
        <v>1296.6804979253111</v>
      </c>
      <c r="I10" s="39">
        <f t="shared" si="0"/>
        <v>125000</v>
      </c>
      <c r="J10" s="39">
        <f t="shared" si="1"/>
        <v>35000</v>
      </c>
      <c r="L10" s="112"/>
      <c r="M10" s="113"/>
      <c r="N10" s="113"/>
      <c r="O10" s="113"/>
      <c r="P10" s="114"/>
    </row>
    <row r="11" spans="1:16" ht="15" thickBot="1" x14ac:dyDescent="0.35">
      <c r="A11" s="2">
        <v>43887</v>
      </c>
      <c r="B11" s="6" t="s">
        <v>11</v>
      </c>
      <c r="C11" s="9" t="s">
        <v>1</v>
      </c>
      <c r="D11" s="9">
        <v>52</v>
      </c>
      <c r="E11" s="12">
        <v>180000</v>
      </c>
      <c r="F11" s="12">
        <v>500000</v>
      </c>
      <c r="G11" s="12">
        <v>15000</v>
      </c>
      <c r="H11" s="39">
        <f t="shared" si="2"/>
        <v>466.80497925311198</v>
      </c>
      <c r="I11" s="39">
        <f t="shared" si="0"/>
        <v>45000</v>
      </c>
      <c r="J11" s="39">
        <f t="shared" si="1"/>
        <v>25000</v>
      </c>
      <c r="L11" s="115"/>
      <c r="M11" s="116"/>
      <c r="N11" s="116"/>
      <c r="O11" s="116"/>
      <c r="P11" s="117"/>
    </row>
    <row r="12" spans="1:16" ht="16.2" thickBot="1" x14ac:dyDescent="0.35">
      <c r="A12" s="2">
        <v>43888</v>
      </c>
      <c r="B12" s="6" t="s">
        <v>12</v>
      </c>
      <c r="C12" s="9" t="s">
        <v>1</v>
      </c>
      <c r="D12" s="9">
        <v>47</v>
      </c>
      <c r="E12" s="12">
        <v>120000</v>
      </c>
      <c r="F12" s="12">
        <v>130000</v>
      </c>
      <c r="G12" s="12">
        <v>10000</v>
      </c>
      <c r="H12" s="39">
        <f t="shared" si="2"/>
        <v>311.20331950207469</v>
      </c>
      <c r="I12" s="39">
        <f t="shared" si="0"/>
        <v>30000</v>
      </c>
      <c r="J12" s="39">
        <f t="shared" si="1"/>
        <v>20000</v>
      </c>
      <c r="L12" s="67"/>
      <c r="M12" s="67"/>
      <c r="N12" s="67"/>
      <c r="O12" s="67"/>
      <c r="P12" s="67"/>
    </row>
    <row r="13" spans="1:16" x14ac:dyDescent="0.3">
      <c r="A13" s="2">
        <v>43889</v>
      </c>
      <c r="B13" s="6" t="s">
        <v>14</v>
      </c>
      <c r="C13" s="9" t="s">
        <v>1</v>
      </c>
      <c r="D13" s="9">
        <v>56</v>
      </c>
      <c r="E13" s="12">
        <v>100000</v>
      </c>
      <c r="F13" s="12">
        <v>100000</v>
      </c>
      <c r="G13" s="12">
        <v>6000</v>
      </c>
      <c r="H13" s="39">
        <f t="shared" si="2"/>
        <v>259.33609958506224</v>
      </c>
      <c r="I13" s="39">
        <f t="shared" si="0"/>
        <v>25000</v>
      </c>
      <c r="J13" s="39">
        <f t="shared" si="1"/>
        <v>16000</v>
      </c>
      <c r="L13" s="109" t="s">
        <v>21</v>
      </c>
      <c r="M13" s="110"/>
      <c r="N13" s="110"/>
      <c r="O13" s="110"/>
      <c r="P13" s="111"/>
    </row>
    <row r="14" spans="1:16" x14ac:dyDescent="0.3">
      <c r="A14" s="2">
        <v>43884</v>
      </c>
      <c r="B14" s="6" t="s">
        <v>9</v>
      </c>
      <c r="C14" s="9" t="s">
        <v>1</v>
      </c>
      <c r="D14" s="9">
        <v>49</v>
      </c>
      <c r="E14" s="12">
        <v>30000</v>
      </c>
      <c r="F14" s="12">
        <v>100000</v>
      </c>
      <c r="G14" s="12">
        <v>68000</v>
      </c>
      <c r="H14" s="39">
        <f t="shared" si="2"/>
        <v>77.800829875518673</v>
      </c>
      <c r="I14" s="39">
        <f t="shared" si="0"/>
        <v>7500</v>
      </c>
      <c r="J14" s="39">
        <f t="shared" si="1"/>
        <v>78000</v>
      </c>
      <c r="L14" s="112"/>
      <c r="M14" s="113"/>
      <c r="N14" s="113"/>
      <c r="O14" s="113"/>
      <c r="P14" s="114"/>
    </row>
    <row r="15" spans="1:16" ht="15" thickBot="1" x14ac:dyDescent="0.35">
      <c r="A15" s="2">
        <v>43885</v>
      </c>
      <c r="B15" s="6" t="s">
        <v>12</v>
      </c>
      <c r="C15" s="9" t="s">
        <v>1</v>
      </c>
      <c r="D15" s="9">
        <v>56</v>
      </c>
      <c r="E15" s="12">
        <v>500000</v>
      </c>
      <c r="F15" s="12">
        <v>50000</v>
      </c>
      <c r="G15" s="12">
        <v>5000</v>
      </c>
      <c r="H15" s="39">
        <f t="shared" si="2"/>
        <v>1296.6804979253111</v>
      </c>
      <c r="I15" s="39">
        <f t="shared" si="0"/>
        <v>125000</v>
      </c>
      <c r="J15" s="39">
        <f t="shared" si="1"/>
        <v>15000</v>
      </c>
      <c r="L15" s="115"/>
      <c r="M15" s="116"/>
      <c r="N15" s="116"/>
      <c r="O15" s="116"/>
      <c r="P15" s="117"/>
    </row>
    <row r="16" spans="1:16" x14ac:dyDescent="0.3">
      <c r="A16" s="2">
        <v>43886</v>
      </c>
      <c r="B16" s="6" t="s">
        <v>13</v>
      </c>
      <c r="C16" s="9" t="s">
        <v>1</v>
      </c>
      <c r="D16" s="9">
        <v>49</v>
      </c>
      <c r="E16" s="12">
        <v>100000</v>
      </c>
      <c r="F16" s="12">
        <v>460000</v>
      </c>
      <c r="G16" s="12">
        <v>2000</v>
      </c>
      <c r="H16" s="39">
        <f t="shared" si="2"/>
        <v>259.33609958506224</v>
      </c>
      <c r="I16" s="39">
        <f t="shared" si="0"/>
        <v>25000</v>
      </c>
      <c r="J16" s="39">
        <f t="shared" si="1"/>
        <v>12000</v>
      </c>
    </row>
    <row r="17" spans="1:16" x14ac:dyDescent="0.3">
      <c r="A17" s="2">
        <v>43887</v>
      </c>
      <c r="B17" s="6" t="s">
        <v>10</v>
      </c>
      <c r="C17" s="9" t="s">
        <v>1</v>
      </c>
      <c r="D17" s="9">
        <v>38</v>
      </c>
      <c r="E17" s="12">
        <v>100000</v>
      </c>
      <c r="F17" s="12">
        <v>75000</v>
      </c>
      <c r="G17" s="12">
        <v>4500</v>
      </c>
      <c r="H17" s="39">
        <f t="shared" si="2"/>
        <v>259.33609958506224</v>
      </c>
      <c r="I17" s="39">
        <f t="shared" si="0"/>
        <v>25000</v>
      </c>
      <c r="J17" s="39">
        <f t="shared" si="1"/>
        <v>14500</v>
      </c>
      <c r="L17" s="1"/>
      <c r="M17" s="32"/>
      <c r="N17" s="32"/>
      <c r="O17" s="32"/>
      <c r="P17" s="32"/>
    </row>
    <row r="18" spans="1:16" x14ac:dyDescent="0.3">
      <c r="A18" s="2">
        <v>43888</v>
      </c>
      <c r="B18" s="6" t="s">
        <v>11</v>
      </c>
      <c r="C18" s="9" t="s">
        <v>1</v>
      </c>
      <c r="D18" s="9">
        <v>49</v>
      </c>
      <c r="E18" s="12">
        <v>120000</v>
      </c>
      <c r="F18" s="12">
        <v>80000</v>
      </c>
      <c r="G18" s="12">
        <v>4000</v>
      </c>
      <c r="H18" s="39">
        <f t="shared" si="2"/>
        <v>311.20331950207469</v>
      </c>
      <c r="I18" s="39">
        <f t="shared" si="0"/>
        <v>30000</v>
      </c>
      <c r="J18" s="39">
        <f t="shared" si="1"/>
        <v>14000</v>
      </c>
      <c r="L18" s="32"/>
      <c r="M18" s="32"/>
      <c r="N18" s="32"/>
      <c r="O18" s="32"/>
      <c r="P18" s="32"/>
    </row>
    <row r="19" spans="1:16" x14ac:dyDescent="0.3">
      <c r="A19" s="2">
        <v>43889</v>
      </c>
      <c r="B19" s="6" t="s">
        <v>11</v>
      </c>
      <c r="C19" s="9" t="s">
        <v>7</v>
      </c>
      <c r="D19" s="9">
        <v>49</v>
      </c>
      <c r="E19" s="12">
        <v>35000</v>
      </c>
      <c r="F19" s="12">
        <v>92000</v>
      </c>
      <c r="G19" s="12">
        <v>3000</v>
      </c>
      <c r="H19" s="39">
        <f t="shared" si="2"/>
        <v>90.767634854771785</v>
      </c>
      <c r="I19" s="39">
        <f t="shared" si="0"/>
        <v>8750</v>
      </c>
      <c r="J19" s="39">
        <f t="shared" si="1"/>
        <v>13000</v>
      </c>
      <c r="L19" s="32"/>
      <c r="M19" s="32"/>
      <c r="N19" s="32"/>
      <c r="O19" s="32"/>
      <c r="P19" s="32"/>
    </row>
    <row r="20" spans="1:16" x14ac:dyDescent="0.3">
      <c r="A20" s="2">
        <v>43884</v>
      </c>
      <c r="B20" s="6" t="s">
        <v>12</v>
      </c>
      <c r="C20" s="9" t="s">
        <v>7</v>
      </c>
      <c r="D20" s="9">
        <v>53</v>
      </c>
      <c r="E20" s="12">
        <v>100000</v>
      </c>
      <c r="F20" s="12">
        <v>20000</v>
      </c>
      <c r="G20" s="12">
        <v>2000</v>
      </c>
      <c r="H20" s="39">
        <f t="shared" si="2"/>
        <v>259.33609958506224</v>
      </c>
      <c r="I20" s="39">
        <f t="shared" si="0"/>
        <v>25000</v>
      </c>
      <c r="J20" s="39">
        <f t="shared" si="1"/>
        <v>12000</v>
      </c>
    </row>
    <row r="21" spans="1:16" ht="23.25" customHeight="1" x14ac:dyDescent="0.3">
      <c r="A21" s="2">
        <v>43885</v>
      </c>
      <c r="B21" s="6" t="s">
        <v>13</v>
      </c>
      <c r="C21" s="9" t="s">
        <v>1</v>
      </c>
      <c r="D21" s="9">
        <v>37</v>
      </c>
      <c r="E21" s="12">
        <v>210000</v>
      </c>
      <c r="F21" s="12">
        <v>200000</v>
      </c>
      <c r="G21" s="12">
        <v>20000</v>
      </c>
      <c r="H21" s="39">
        <f t="shared" si="2"/>
        <v>544.60580912863065</v>
      </c>
      <c r="I21" s="39">
        <f t="shared" si="0"/>
        <v>52500</v>
      </c>
      <c r="J21" s="39">
        <f t="shared" si="1"/>
        <v>30000</v>
      </c>
      <c r="L21" s="1"/>
      <c r="M21" s="32"/>
      <c r="N21" s="32"/>
      <c r="O21" s="32"/>
      <c r="P21" s="32"/>
    </row>
    <row r="22" spans="1:16" x14ac:dyDescent="0.3">
      <c r="A22" s="2">
        <v>43886</v>
      </c>
      <c r="B22" s="6" t="s">
        <v>12</v>
      </c>
      <c r="C22" s="9" t="s">
        <v>1</v>
      </c>
      <c r="D22" s="9">
        <v>45</v>
      </c>
      <c r="E22" s="12">
        <v>160000</v>
      </c>
      <c r="F22" s="12">
        <v>1050000</v>
      </c>
      <c r="G22" s="12">
        <v>60000</v>
      </c>
      <c r="H22" s="39">
        <f t="shared" si="2"/>
        <v>414.93775933609959</v>
      </c>
      <c r="I22" s="39">
        <f t="shared" si="0"/>
        <v>40000</v>
      </c>
      <c r="J22" s="39">
        <f t="shared" si="1"/>
        <v>70000</v>
      </c>
      <c r="L22" s="32"/>
      <c r="M22" s="32"/>
      <c r="N22" s="32"/>
      <c r="O22" s="32"/>
      <c r="P22" s="32"/>
    </row>
    <row r="23" spans="1:16" x14ac:dyDescent="0.3">
      <c r="A23" s="2">
        <v>43887</v>
      </c>
      <c r="B23" s="6" t="s">
        <v>11</v>
      </c>
      <c r="C23" s="9" t="s">
        <v>1</v>
      </c>
      <c r="D23" s="9">
        <v>53</v>
      </c>
      <c r="E23" s="12">
        <v>350000</v>
      </c>
      <c r="F23" s="12">
        <v>1000000</v>
      </c>
      <c r="G23" s="12">
        <v>10000</v>
      </c>
      <c r="H23" s="39">
        <f t="shared" si="2"/>
        <v>907.67634854771779</v>
      </c>
      <c r="I23" s="39">
        <f t="shared" si="0"/>
        <v>87500</v>
      </c>
      <c r="J23" s="39">
        <f t="shared" si="1"/>
        <v>20000</v>
      </c>
      <c r="L23" s="32"/>
      <c r="M23" s="32"/>
      <c r="N23" s="32"/>
      <c r="O23" s="32"/>
      <c r="P23" s="32"/>
    </row>
    <row r="24" spans="1:16" x14ac:dyDescent="0.3">
      <c r="A24" s="2">
        <v>43888</v>
      </c>
      <c r="B24" s="6" t="s">
        <v>10</v>
      </c>
      <c r="C24" s="9" t="s">
        <v>7</v>
      </c>
      <c r="D24" s="9">
        <v>45</v>
      </c>
      <c r="E24" s="12">
        <v>180000</v>
      </c>
      <c r="F24" s="12">
        <v>250000</v>
      </c>
      <c r="G24" s="12">
        <v>72000</v>
      </c>
      <c r="H24" s="39">
        <f t="shared" si="2"/>
        <v>466.80497925311198</v>
      </c>
      <c r="I24" s="39">
        <f t="shared" si="0"/>
        <v>45000</v>
      </c>
      <c r="J24" s="39">
        <f t="shared" si="1"/>
        <v>82000</v>
      </c>
    </row>
    <row r="25" spans="1:16" x14ac:dyDescent="0.3">
      <c r="A25" s="2">
        <v>43889</v>
      </c>
      <c r="B25" s="6" t="s">
        <v>9</v>
      </c>
      <c r="C25" s="9" t="s">
        <v>1</v>
      </c>
      <c r="D25" s="9">
        <v>62</v>
      </c>
      <c r="E25" s="12">
        <v>97000</v>
      </c>
      <c r="F25" s="12">
        <v>237000</v>
      </c>
      <c r="G25" s="12">
        <v>5000</v>
      </c>
      <c r="H25" s="39">
        <f t="shared" si="2"/>
        <v>251.55601659751036</v>
      </c>
      <c r="I25" s="39">
        <f t="shared" si="0"/>
        <v>24250</v>
      </c>
      <c r="J25" s="39">
        <f t="shared" si="1"/>
        <v>15000</v>
      </c>
    </row>
    <row r="26" spans="1:16" x14ac:dyDescent="0.3">
      <c r="A26" s="2">
        <v>43884</v>
      </c>
      <c r="B26" s="6" t="s">
        <v>12</v>
      </c>
      <c r="C26" s="9" t="s">
        <v>1</v>
      </c>
      <c r="D26" s="9">
        <v>61</v>
      </c>
      <c r="E26" s="12">
        <v>168000</v>
      </c>
      <c r="F26" s="12">
        <v>288000</v>
      </c>
      <c r="G26" s="12">
        <v>15000</v>
      </c>
      <c r="H26" s="39">
        <f t="shared" si="2"/>
        <v>435.68464730290452</v>
      </c>
      <c r="I26" s="39">
        <f t="shared" si="0"/>
        <v>42000</v>
      </c>
      <c r="J26" s="39">
        <f t="shared" si="1"/>
        <v>25000</v>
      </c>
    </row>
    <row r="27" spans="1:16" x14ac:dyDescent="0.3">
      <c r="A27" s="2">
        <v>43885</v>
      </c>
      <c r="B27" s="6" t="s">
        <v>12</v>
      </c>
      <c r="C27" s="9" t="s">
        <v>1</v>
      </c>
      <c r="D27" s="9">
        <v>40</v>
      </c>
      <c r="E27" s="12">
        <v>220000</v>
      </c>
      <c r="F27" s="12">
        <v>200000</v>
      </c>
      <c r="G27" s="12">
        <v>2000</v>
      </c>
      <c r="H27" s="39">
        <f t="shared" si="2"/>
        <v>570.53941908713693</v>
      </c>
      <c r="I27" s="39">
        <f t="shared" si="0"/>
        <v>55000</v>
      </c>
      <c r="J27" s="39">
        <f t="shared" si="1"/>
        <v>12000</v>
      </c>
    </row>
    <row r="28" spans="1:16" x14ac:dyDescent="0.3">
      <c r="A28" s="2">
        <v>43886</v>
      </c>
      <c r="B28" s="6" t="s">
        <v>14</v>
      </c>
      <c r="C28" s="9" t="s">
        <v>1</v>
      </c>
      <c r="D28" s="9">
        <v>53</v>
      </c>
      <c r="E28" s="12">
        <v>150000</v>
      </c>
      <c r="F28" s="12">
        <v>250000</v>
      </c>
      <c r="G28" s="12">
        <v>5000</v>
      </c>
      <c r="H28" s="39">
        <f t="shared" si="2"/>
        <v>389.00414937759336</v>
      </c>
      <c r="I28" s="39">
        <f t="shared" si="0"/>
        <v>37500</v>
      </c>
      <c r="J28" s="39">
        <f t="shared" si="1"/>
        <v>15000</v>
      </c>
    </row>
    <row r="29" spans="1:16" x14ac:dyDescent="0.3">
      <c r="A29" s="2">
        <v>43887</v>
      </c>
      <c r="B29" s="6" t="s">
        <v>9</v>
      </c>
      <c r="C29" s="9" t="s">
        <v>7</v>
      </c>
      <c r="D29" s="9">
        <v>53</v>
      </c>
      <c r="E29" s="12">
        <v>500000</v>
      </c>
      <c r="F29" s="12">
        <v>900000</v>
      </c>
      <c r="G29" s="12">
        <v>45000</v>
      </c>
      <c r="H29" s="39">
        <f t="shared" si="2"/>
        <v>1296.6804979253111</v>
      </c>
      <c r="I29" s="39">
        <f t="shared" si="0"/>
        <v>125000</v>
      </c>
      <c r="J29" s="39">
        <f t="shared" si="1"/>
        <v>55000</v>
      </c>
    </row>
    <row r="30" spans="1:16" x14ac:dyDescent="0.3">
      <c r="A30" s="2">
        <v>43888</v>
      </c>
      <c r="B30" s="6" t="s">
        <v>13</v>
      </c>
      <c r="C30" s="9" t="s">
        <v>1</v>
      </c>
      <c r="D30" s="9">
        <v>34</v>
      </c>
      <c r="E30" s="12">
        <v>100000</v>
      </c>
      <c r="F30" s="12">
        <v>200000</v>
      </c>
      <c r="G30" s="12">
        <v>15000</v>
      </c>
      <c r="H30" s="39">
        <f t="shared" si="2"/>
        <v>259.33609958506224</v>
      </c>
      <c r="I30" s="39">
        <f t="shared" si="0"/>
        <v>25000</v>
      </c>
      <c r="J30" s="39">
        <f t="shared" si="1"/>
        <v>25000</v>
      </c>
    </row>
    <row r="31" spans="1:16" x14ac:dyDescent="0.3">
      <c r="A31" s="2">
        <v>43889</v>
      </c>
      <c r="B31" s="6" t="s">
        <v>13</v>
      </c>
      <c r="C31" s="9" t="s">
        <v>1</v>
      </c>
      <c r="D31" s="9">
        <v>36</v>
      </c>
      <c r="E31" s="12">
        <v>0</v>
      </c>
      <c r="F31" s="12">
        <v>880000</v>
      </c>
      <c r="G31" s="12">
        <v>4000</v>
      </c>
      <c r="H31" s="39">
        <f t="shared" si="2"/>
        <v>0</v>
      </c>
      <c r="I31" s="39">
        <f t="shared" si="0"/>
        <v>0</v>
      </c>
      <c r="J31" s="39">
        <f t="shared" si="1"/>
        <v>14000</v>
      </c>
    </row>
    <row r="32" spans="1:16" x14ac:dyDescent="0.3">
      <c r="A32" s="2">
        <v>43884</v>
      </c>
      <c r="B32" s="6" t="s">
        <v>10</v>
      </c>
      <c r="C32" s="9" t="s">
        <v>1</v>
      </c>
      <c r="D32" s="9">
        <v>39</v>
      </c>
      <c r="E32" s="12">
        <v>150000</v>
      </c>
      <c r="F32" s="12">
        <v>170000</v>
      </c>
      <c r="G32" s="12">
        <v>5000</v>
      </c>
      <c r="H32" s="39">
        <f t="shared" si="2"/>
        <v>389.00414937759336</v>
      </c>
      <c r="I32" s="39">
        <f t="shared" si="0"/>
        <v>37500</v>
      </c>
      <c r="J32" s="39">
        <f t="shared" si="1"/>
        <v>15000</v>
      </c>
    </row>
    <row r="33" spans="1:10" x14ac:dyDescent="0.3">
      <c r="A33" s="2">
        <v>43885</v>
      </c>
      <c r="B33" s="6" t="s">
        <v>11</v>
      </c>
      <c r="C33" s="9" t="s">
        <v>7</v>
      </c>
      <c r="D33" s="9">
        <v>39</v>
      </c>
      <c r="E33" s="12">
        <v>600000</v>
      </c>
      <c r="F33" s="12">
        <v>500000</v>
      </c>
      <c r="G33" s="12">
        <v>5000</v>
      </c>
      <c r="H33" s="39">
        <f t="shared" si="2"/>
        <v>1556.0165975103735</v>
      </c>
      <c r="I33" s="39">
        <f t="shared" si="0"/>
        <v>150000</v>
      </c>
      <c r="J33" s="39">
        <f t="shared" si="1"/>
        <v>15000</v>
      </c>
    </row>
    <row r="34" spans="1:10" x14ac:dyDescent="0.3">
      <c r="A34" s="2">
        <v>43886</v>
      </c>
      <c r="B34" s="6" t="s">
        <v>11</v>
      </c>
      <c r="C34" s="9" t="s">
        <v>1</v>
      </c>
      <c r="D34" s="9">
        <v>45</v>
      </c>
      <c r="E34" s="12">
        <v>400000</v>
      </c>
      <c r="F34" s="12">
        <v>400000</v>
      </c>
      <c r="G34" s="12">
        <v>15000</v>
      </c>
      <c r="H34" s="39">
        <f t="shared" si="2"/>
        <v>1037.344398340249</v>
      </c>
      <c r="I34" s="39">
        <f t="shared" si="0"/>
        <v>100000</v>
      </c>
      <c r="J34" s="39">
        <f t="shared" si="1"/>
        <v>25000</v>
      </c>
    </row>
    <row r="35" spans="1:10" x14ac:dyDescent="0.3">
      <c r="A35" s="2">
        <v>43887</v>
      </c>
      <c r="B35" s="6" t="s">
        <v>12</v>
      </c>
      <c r="C35" s="9" t="s">
        <v>1</v>
      </c>
      <c r="D35" s="9">
        <v>41</v>
      </c>
      <c r="E35" s="12">
        <v>120000</v>
      </c>
      <c r="F35" s="12">
        <v>30000</v>
      </c>
      <c r="G35" s="12">
        <v>10000</v>
      </c>
      <c r="H35" s="39">
        <f t="shared" si="2"/>
        <v>311.20331950207469</v>
      </c>
      <c r="I35" s="39">
        <f t="shared" si="0"/>
        <v>30000</v>
      </c>
      <c r="J35" s="39">
        <f t="shared" si="1"/>
        <v>20000</v>
      </c>
    </row>
    <row r="36" spans="1:10" x14ac:dyDescent="0.3">
      <c r="A36" s="2">
        <v>43888</v>
      </c>
      <c r="B36" s="6" t="s">
        <v>13</v>
      </c>
      <c r="C36" s="9" t="s">
        <v>1</v>
      </c>
      <c r="D36" s="9">
        <v>38</v>
      </c>
      <c r="E36" s="12">
        <v>250000</v>
      </c>
      <c r="F36" s="12">
        <v>120000</v>
      </c>
      <c r="G36" s="12">
        <v>10000</v>
      </c>
      <c r="H36" s="39">
        <f t="shared" si="2"/>
        <v>648.34024896265555</v>
      </c>
      <c r="I36" s="39">
        <f t="shared" si="0"/>
        <v>62500</v>
      </c>
      <c r="J36" s="39">
        <f t="shared" si="1"/>
        <v>20000</v>
      </c>
    </row>
    <row r="37" spans="1:10" x14ac:dyDescent="0.3">
      <c r="A37" s="2">
        <v>43889</v>
      </c>
      <c r="B37" s="6" t="s">
        <v>12</v>
      </c>
      <c r="C37" s="9" t="s">
        <v>1</v>
      </c>
      <c r="D37" s="9">
        <v>46</v>
      </c>
      <c r="E37" s="12">
        <v>150000</v>
      </c>
      <c r="F37" s="12">
        <v>720000</v>
      </c>
      <c r="G37" s="12">
        <v>60000</v>
      </c>
      <c r="H37" s="39">
        <f t="shared" si="2"/>
        <v>389.00414937759336</v>
      </c>
      <c r="I37" s="39">
        <f t="shared" si="0"/>
        <v>37500</v>
      </c>
      <c r="J37" s="39">
        <f t="shared" si="1"/>
        <v>70000</v>
      </c>
    </row>
    <row r="38" spans="1:10" x14ac:dyDescent="0.3">
      <c r="A38" s="2">
        <v>43884</v>
      </c>
      <c r="B38" s="6" t="s">
        <v>11</v>
      </c>
      <c r="C38" s="9" t="s">
        <v>1</v>
      </c>
      <c r="D38" s="9">
        <v>45</v>
      </c>
      <c r="E38" s="12">
        <v>350000</v>
      </c>
      <c r="F38" s="12">
        <v>0</v>
      </c>
      <c r="G38" s="12">
        <v>36000</v>
      </c>
      <c r="H38" s="39">
        <f t="shared" si="2"/>
        <v>907.67634854771779</v>
      </c>
      <c r="I38" s="39">
        <f t="shared" si="0"/>
        <v>87500</v>
      </c>
      <c r="J38" s="39">
        <f t="shared" si="1"/>
        <v>46000</v>
      </c>
    </row>
    <row r="39" spans="1:10" x14ac:dyDescent="0.3">
      <c r="A39" s="2">
        <v>43885</v>
      </c>
      <c r="B39" s="6" t="s">
        <v>10</v>
      </c>
      <c r="C39" s="9" t="s">
        <v>1</v>
      </c>
      <c r="D39" s="9">
        <v>61</v>
      </c>
      <c r="E39" s="12">
        <v>150000</v>
      </c>
      <c r="F39" s="12">
        <v>78000</v>
      </c>
      <c r="G39" s="12">
        <v>15000</v>
      </c>
      <c r="H39" s="39">
        <f t="shared" si="2"/>
        <v>389.00414937759336</v>
      </c>
      <c r="I39" s="39">
        <f t="shared" si="0"/>
        <v>37500</v>
      </c>
      <c r="J39" s="39">
        <f t="shared" si="1"/>
        <v>25000</v>
      </c>
    </row>
    <row r="40" spans="1:10" x14ac:dyDescent="0.3">
      <c r="A40" s="2">
        <v>43886</v>
      </c>
      <c r="B40" s="6" t="s">
        <v>9</v>
      </c>
      <c r="C40" s="9" t="s">
        <v>1</v>
      </c>
      <c r="D40" s="9">
        <v>48</v>
      </c>
      <c r="E40" s="12">
        <v>145000</v>
      </c>
      <c r="F40" s="12">
        <v>30000</v>
      </c>
      <c r="G40" s="12">
        <v>5000</v>
      </c>
      <c r="H40" s="39">
        <f t="shared" si="2"/>
        <v>376.03734439834022</v>
      </c>
      <c r="I40" s="39">
        <f t="shared" si="0"/>
        <v>36250</v>
      </c>
      <c r="J40" s="39">
        <f t="shared" si="1"/>
        <v>15000</v>
      </c>
    </row>
    <row r="41" spans="1:10" x14ac:dyDescent="0.3">
      <c r="A41" s="2">
        <v>43887</v>
      </c>
      <c r="B41" s="6" t="s">
        <v>13</v>
      </c>
      <c r="C41" s="9" t="s">
        <v>1</v>
      </c>
      <c r="D41" s="9">
        <v>51</v>
      </c>
      <c r="E41" s="12">
        <v>300000</v>
      </c>
      <c r="F41" s="12">
        <v>500000</v>
      </c>
      <c r="G41" s="12">
        <v>20000</v>
      </c>
      <c r="H41" s="39">
        <f t="shared" si="2"/>
        <v>778.00829875518673</v>
      </c>
      <c r="I41" s="39">
        <f t="shared" si="0"/>
        <v>75000</v>
      </c>
      <c r="J41" s="39">
        <f t="shared" si="1"/>
        <v>30000</v>
      </c>
    </row>
    <row r="42" spans="1:10" x14ac:dyDescent="0.3">
      <c r="A42" s="2">
        <v>43888</v>
      </c>
      <c r="B42" s="6" t="s">
        <v>12</v>
      </c>
      <c r="C42" s="9" t="s">
        <v>1</v>
      </c>
      <c r="D42" s="9">
        <v>46</v>
      </c>
      <c r="E42" s="12">
        <v>130000</v>
      </c>
      <c r="F42" s="12">
        <v>200000</v>
      </c>
      <c r="G42" s="12">
        <v>5000</v>
      </c>
      <c r="H42" s="39">
        <f t="shared" si="2"/>
        <v>337.13692946058092</v>
      </c>
      <c r="I42" s="39">
        <f t="shared" si="0"/>
        <v>32500</v>
      </c>
      <c r="J42" s="39">
        <f t="shared" si="1"/>
        <v>15000</v>
      </c>
    </row>
    <row r="43" spans="1:10" x14ac:dyDescent="0.3">
      <c r="A43" s="2">
        <v>43889</v>
      </c>
      <c r="B43" s="6" t="s">
        <v>14</v>
      </c>
      <c r="C43" s="9" t="s">
        <v>1</v>
      </c>
      <c r="D43" s="9">
        <v>51</v>
      </c>
      <c r="E43" s="12">
        <v>170000</v>
      </c>
      <c r="F43" s="12">
        <v>450000</v>
      </c>
      <c r="G43" s="12">
        <v>20000</v>
      </c>
      <c r="H43" s="39">
        <f t="shared" si="2"/>
        <v>440.87136929460576</v>
      </c>
      <c r="I43" s="39">
        <f t="shared" si="0"/>
        <v>42500</v>
      </c>
      <c r="J43" s="39">
        <f t="shared" si="1"/>
        <v>30000</v>
      </c>
    </row>
    <row r="44" spans="1:10" x14ac:dyDescent="0.3">
      <c r="A44" s="2">
        <v>43884</v>
      </c>
      <c r="B44" s="6" t="s">
        <v>9</v>
      </c>
      <c r="C44" s="9" t="s">
        <v>1</v>
      </c>
      <c r="D44" s="9">
        <v>45</v>
      </c>
      <c r="E44" s="12">
        <v>80000</v>
      </c>
      <c r="F44" s="12">
        <v>1200000</v>
      </c>
      <c r="G44" s="12">
        <v>10000</v>
      </c>
      <c r="H44" s="39">
        <f t="shared" si="2"/>
        <v>207.46887966804979</v>
      </c>
      <c r="I44" s="39">
        <f t="shared" si="0"/>
        <v>20000</v>
      </c>
      <c r="J44" s="39">
        <f t="shared" si="1"/>
        <v>20000</v>
      </c>
    </row>
    <row r="45" spans="1:10" x14ac:dyDescent="0.3">
      <c r="A45" s="2">
        <v>43885</v>
      </c>
      <c r="B45" s="6" t="s">
        <v>37</v>
      </c>
      <c r="C45" s="9" t="s">
        <v>1</v>
      </c>
      <c r="D45" s="9">
        <v>54</v>
      </c>
      <c r="E45" s="12">
        <v>60000</v>
      </c>
      <c r="F45" s="12">
        <v>170000</v>
      </c>
      <c r="G45" s="12">
        <v>8500</v>
      </c>
      <c r="H45" s="39">
        <f t="shared" si="2"/>
        <v>155.60165975103735</v>
      </c>
      <c r="I45" s="39">
        <f t="shared" si="0"/>
        <v>15000</v>
      </c>
      <c r="J45" s="39">
        <f t="shared" si="1"/>
        <v>18500</v>
      </c>
    </row>
    <row r="46" spans="1:10" x14ac:dyDescent="0.3">
      <c r="A46" s="2">
        <v>43886</v>
      </c>
      <c r="B46" s="6" t="s">
        <v>13</v>
      </c>
      <c r="C46" s="9" t="s">
        <v>1</v>
      </c>
      <c r="D46" s="9">
        <v>59</v>
      </c>
      <c r="E46" s="12">
        <v>150000</v>
      </c>
      <c r="F46" s="12">
        <v>0</v>
      </c>
      <c r="G46" s="12">
        <v>70000</v>
      </c>
      <c r="H46" s="39">
        <f t="shared" si="2"/>
        <v>389.00414937759336</v>
      </c>
      <c r="I46" s="39">
        <f t="shared" si="0"/>
        <v>37500</v>
      </c>
      <c r="J46" s="39">
        <f t="shared" si="1"/>
        <v>80000</v>
      </c>
    </row>
    <row r="47" spans="1:10" x14ac:dyDescent="0.3">
      <c r="A47" s="2">
        <v>43887</v>
      </c>
      <c r="B47" s="6" t="s">
        <v>10</v>
      </c>
      <c r="C47" s="9" t="s">
        <v>1</v>
      </c>
      <c r="D47" s="9">
        <v>40</v>
      </c>
      <c r="E47" s="12">
        <v>100000</v>
      </c>
      <c r="F47" s="12">
        <v>125000</v>
      </c>
      <c r="G47" s="12">
        <v>5000</v>
      </c>
      <c r="H47" s="39">
        <f t="shared" si="2"/>
        <v>259.33609958506224</v>
      </c>
      <c r="I47" s="39">
        <f t="shared" si="0"/>
        <v>25000</v>
      </c>
      <c r="J47" s="39">
        <f t="shared" si="1"/>
        <v>15000</v>
      </c>
    </row>
    <row r="48" spans="1:10" x14ac:dyDescent="0.3">
      <c r="A48" s="2">
        <v>43888</v>
      </c>
      <c r="B48" s="6" t="s">
        <v>11</v>
      </c>
      <c r="C48" s="9" t="s">
        <v>1</v>
      </c>
      <c r="D48" s="9">
        <v>46</v>
      </c>
      <c r="E48" s="12">
        <v>80000</v>
      </c>
      <c r="F48" s="12">
        <v>160000</v>
      </c>
      <c r="G48" s="12">
        <v>1000</v>
      </c>
      <c r="H48" s="39">
        <f t="shared" si="2"/>
        <v>207.46887966804979</v>
      </c>
      <c r="I48" s="39">
        <f t="shared" si="0"/>
        <v>20000</v>
      </c>
      <c r="J48" s="39">
        <f t="shared" si="1"/>
        <v>11000</v>
      </c>
    </row>
    <row r="49" spans="1:10" x14ac:dyDescent="0.3">
      <c r="A49" s="2">
        <v>43889</v>
      </c>
      <c r="B49" s="6" t="s">
        <v>11</v>
      </c>
      <c r="C49" s="9" t="s">
        <v>1</v>
      </c>
      <c r="D49" s="9">
        <v>41</v>
      </c>
      <c r="E49" s="12">
        <v>200000</v>
      </c>
      <c r="F49" s="12">
        <v>100000</v>
      </c>
      <c r="G49" s="12">
        <v>20000</v>
      </c>
      <c r="H49" s="39">
        <f t="shared" si="2"/>
        <v>518.67219917012449</v>
      </c>
      <c r="I49" s="39">
        <f t="shared" si="0"/>
        <v>50000</v>
      </c>
      <c r="J49" s="39">
        <f t="shared" si="1"/>
        <v>30000</v>
      </c>
    </row>
    <row r="50" spans="1:10" x14ac:dyDescent="0.3">
      <c r="A50" s="2">
        <v>43884</v>
      </c>
      <c r="B50" s="6" t="s">
        <v>12</v>
      </c>
      <c r="C50" s="9" t="s">
        <v>1</v>
      </c>
      <c r="D50" s="9">
        <v>41</v>
      </c>
      <c r="E50" s="12">
        <v>180000</v>
      </c>
      <c r="F50" s="12">
        <v>0</v>
      </c>
      <c r="G50" s="12">
        <v>3000</v>
      </c>
      <c r="H50" s="39">
        <f t="shared" si="2"/>
        <v>466.80497925311198</v>
      </c>
      <c r="I50" s="39">
        <f t="shared" si="0"/>
        <v>45000</v>
      </c>
      <c r="J50" s="39">
        <f t="shared" si="1"/>
        <v>13000</v>
      </c>
    </row>
    <row r="51" spans="1:10" x14ac:dyDescent="0.3">
      <c r="A51" s="2">
        <v>43885</v>
      </c>
      <c r="B51" s="6" t="s">
        <v>13</v>
      </c>
      <c r="C51" s="9" t="s">
        <v>1</v>
      </c>
      <c r="D51" s="9">
        <v>57</v>
      </c>
      <c r="E51" s="12">
        <v>150000</v>
      </c>
      <c r="F51" s="12">
        <v>100000</v>
      </c>
      <c r="G51" s="12">
        <v>15000</v>
      </c>
      <c r="H51" s="39">
        <f t="shared" si="2"/>
        <v>389.00414937759336</v>
      </c>
      <c r="I51" s="39">
        <f t="shared" si="0"/>
        <v>37500</v>
      </c>
      <c r="J51" s="39">
        <f t="shared" si="1"/>
        <v>25000</v>
      </c>
    </row>
    <row r="52" spans="1:10" x14ac:dyDescent="0.3">
      <c r="A52" s="2">
        <v>43886</v>
      </c>
      <c r="B52" s="6" t="s">
        <v>12</v>
      </c>
      <c r="C52" s="9" t="s">
        <v>1</v>
      </c>
      <c r="D52" s="9">
        <v>35</v>
      </c>
      <c r="E52" s="12">
        <v>200000</v>
      </c>
      <c r="F52" s="12">
        <v>390000</v>
      </c>
      <c r="G52" s="12">
        <v>10000</v>
      </c>
      <c r="H52" s="39">
        <f t="shared" si="2"/>
        <v>518.67219917012449</v>
      </c>
      <c r="I52" s="39">
        <f t="shared" si="0"/>
        <v>50000</v>
      </c>
      <c r="J52" s="39">
        <f t="shared" si="1"/>
        <v>20000</v>
      </c>
    </row>
    <row r="53" spans="1:10" x14ac:dyDescent="0.3">
      <c r="A53" s="2">
        <v>43887</v>
      </c>
      <c r="B53" s="6" t="s">
        <v>11</v>
      </c>
      <c r="C53" s="9" t="s">
        <v>1</v>
      </c>
      <c r="D53" s="9">
        <v>40</v>
      </c>
      <c r="E53" s="12">
        <v>700000</v>
      </c>
      <c r="F53" s="12">
        <v>500000</v>
      </c>
      <c r="G53" s="12">
        <v>5000</v>
      </c>
      <c r="H53" s="39">
        <f t="shared" si="2"/>
        <v>1815.3526970954356</v>
      </c>
      <c r="I53" s="39">
        <f t="shared" si="0"/>
        <v>175000</v>
      </c>
      <c r="J53" s="39">
        <f t="shared" si="1"/>
        <v>15000</v>
      </c>
    </row>
    <row r="54" spans="1:10" x14ac:dyDescent="0.3">
      <c r="A54" s="2">
        <v>43888</v>
      </c>
      <c r="B54" s="6" t="s">
        <v>10</v>
      </c>
      <c r="C54" s="9" t="s">
        <v>1</v>
      </c>
      <c r="D54" s="9">
        <v>52</v>
      </c>
      <c r="E54" s="12">
        <v>150000</v>
      </c>
      <c r="F54" s="12">
        <v>300000</v>
      </c>
      <c r="G54" s="12">
        <v>10000</v>
      </c>
      <c r="H54" s="39">
        <f t="shared" si="2"/>
        <v>389.00414937759336</v>
      </c>
      <c r="I54" s="39">
        <f t="shared" si="0"/>
        <v>37500</v>
      </c>
      <c r="J54" s="39">
        <f t="shared" si="1"/>
        <v>20000</v>
      </c>
    </row>
    <row r="55" spans="1:10" x14ac:dyDescent="0.3">
      <c r="A55" s="2">
        <v>43889</v>
      </c>
      <c r="B55" s="6" t="s">
        <v>9</v>
      </c>
      <c r="C55" s="9" t="s">
        <v>1</v>
      </c>
      <c r="D55" s="9">
        <v>59</v>
      </c>
      <c r="E55" s="12">
        <v>150000</v>
      </c>
      <c r="F55" s="12">
        <v>220000</v>
      </c>
      <c r="G55" s="12">
        <v>5000</v>
      </c>
      <c r="H55" s="39">
        <f t="shared" si="2"/>
        <v>389.00414937759336</v>
      </c>
      <c r="I55" s="39">
        <f t="shared" si="0"/>
        <v>37500</v>
      </c>
      <c r="J55" s="39">
        <f t="shared" si="1"/>
        <v>15000</v>
      </c>
    </row>
    <row r="56" spans="1:10" x14ac:dyDescent="0.3">
      <c r="A56" s="2">
        <v>43884</v>
      </c>
      <c r="B56" s="6" t="s">
        <v>37</v>
      </c>
      <c r="C56" s="9" t="s">
        <v>1</v>
      </c>
      <c r="D56" s="9">
        <v>43</v>
      </c>
      <c r="E56" s="12">
        <v>150000</v>
      </c>
      <c r="F56" s="12">
        <v>0</v>
      </c>
      <c r="G56" s="12">
        <v>20000</v>
      </c>
      <c r="H56" s="39">
        <f t="shared" si="2"/>
        <v>389.00414937759336</v>
      </c>
      <c r="I56" s="39">
        <f t="shared" si="0"/>
        <v>37500</v>
      </c>
      <c r="J56" s="39">
        <f t="shared" si="1"/>
        <v>30000</v>
      </c>
    </row>
    <row r="57" spans="1:10" x14ac:dyDescent="0.3">
      <c r="A57" s="2">
        <v>43885</v>
      </c>
      <c r="B57" s="6" t="s">
        <v>12</v>
      </c>
      <c r="C57" s="9" t="s">
        <v>1</v>
      </c>
      <c r="D57" s="9">
        <v>34</v>
      </c>
      <c r="E57" s="12">
        <v>200000</v>
      </c>
      <c r="F57" s="12">
        <v>1000000</v>
      </c>
      <c r="G57" s="12">
        <v>10000</v>
      </c>
      <c r="H57" s="39">
        <f t="shared" si="2"/>
        <v>518.67219917012449</v>
      </c>
      <c r="I57" s="39">
        <f t="shared" si="0"/>
        <v>50000</v>
      </c>
      <c r="J57" s="39">
        <f t="shared" si="1"/>
        <v>20000</v>
      </c>
    </row>
    <row r="58" spans="1:10" x14ac:dyDescent="0.3">
      <c r="A58" s="2">
        <v>43886</v>
      </c>
      <c r="B58" s="6" t="s">
        <v>14</v>
      </c>
      <c r="C58" s="9" t="s">
        <v>1</v>
      </c>
      <c r="D58" s="9">
        <v>39</v>
      </c>
      <c r="E58" s="12">
        <v>100000</v>
      </c>
      <c r="F58" s="12">
        <v>140000</v>
      </c>
      <c r="G58" s="12">
        <v>200</v>
      </c>
      <c r="H58" s="39">
        <f t="shared" si="2"/>
        <v>259.33609958506224</v>
      </c>
      <c r="I58" s="39">
        <f t="shared" si="0"/>
        <v>25000</v>
      </c>
      <c r="J58" s="39">
        <f t="shared" si="1"/>
        <v>10200</v>
      </c>
    </row>
    <row r="59" spans="1:10" x14ac:dyDescent="0.3">
      <c r="A59" s="2">
        <v>43887</v>
      </c>
      <c r="B59" s="6" t="s">
        <v>9</v>
      </c>
      <c r="C59" s="9" t="s">
        <v>1</v>
      </c>
      <c r="D59" s="9">
        <v>42</v>
      </c>
      <c r="E59" s="12">
        <v>150000</v>
      </c>
      <c r="F59" s="12">
        <v>400000</v>
      </c>
      <c r="G59" s="12">
        <v>24000</v>
      </c>
      <c r="H59" s="39">
        <f t="shared" si="2"/>
        <v>389.00414937759336</v>
      </c>
      <c r="I59" s="39">
        <f t="shared" si="0"/>
        <v>37500</v>
      </c>
      <c r="J59" s="39">
        <f t="shared" si="1"/>
        <v>34000</v>
      </c>
    </row>
    <row r="60" spans="1:10" x14ac:dyDescent="0.3">
      <c r="A60" s="2">
        <v>43888</v>
      </c>
      <c r="B60" s="6" t="s">
        <v>14</v>
      </c>
      <c r="C60" s="9" t="s">
        <v>1</v>
      </c>
      <c r="D60" s="9">
        <v>51</v>
      </c>
      <c r="E60" s="12">
        <v>150000</v>
      </c>
      <c r="F60" s="12">
        <v>180000</v>
      </c>
      <c r="G60" s="12">
        <v>5000</v>
      </c>
      <c r="H60" s="39">
        <f t="shared" si="2"/>
        <v>389.00414937759336</v>
      </c>
      <c r="I60" s="39">
        <f t="shared" si="0"/>
        <v>37500</v>
      </c>
      <c r="J60" s="39">
        <f t="shared" si="1"/>
        <v>15000</v>
      </c>
    </row>
    <row r="61" spans="1:10" x14ac:dyDescent="0.3">
      <c r="A61" s="2">
        <v>43889</v>
      </c>
      <c r="B61" s="6" t="s">
        <v>13</v>
      </c>
      <c r="C61" s="9" t="s">
        <v>1</v>
      </c>
      <c r="D61" s="9">
        <v>41</v>
      </c>
      <c r="E61" s="12">
        <v>150000</v>
      </c>
      <c r="F61" s="12">
        <v>200000</v>
      </c>
      <c r="G61" s="12">
        <v>4000</v>
      </c>
      <c r="H61" s="39">
        <f t="shared" si="2"/>
        <v>389.00414937759336</v>
      </c>
      <c r="I61" s="39">
        <f t="shared" si="0"/>
        <v>37500</v>
      </c>
      <c r="J61" s="39">
        <f t="shared" si="1"/>
        <v>14000</v>
      </c>
    </row>
    <row r="62" spans="1:10" x14ac:dyDescent="0.3">
      <c r="A62" s="2">
        <v>43884</v>
      </c>
      <c r="B62" s="6" t="s">
        <v>10</v>
      </c>
      <c r="C62" s="9" t="s">
        <v>1</v>
      </c>
      <c r="D62" s="9">
        <v>37</v>
      </c>
      <c r="E62" s="12">
        <v>70000</v>
      </c>
      <c r="F62" s="12">
        <v>120000</v>
      </c>
      <c r="G62" s="12">
        <v>2500</v>
      </c>
      <c r="H62" s="39">
        <f t="shared" si="2"/>
        <v>181.53526970954357</v>
      </c>
      <c r="I62" s="39">
        <f t="shared" si="0"/>
        <v>17500</v>
      </c>
      <c r="J62" s="39">
        <f t="shared" si="1"/>
        <v>12500</v>
      </c>
    </row>
    <row r="63" spans="1:10" x14ac:dyDescent="0.3">
      <c r="A63" s="2">
        <v>43885</v>
      </c>
      <c r="B63" s="6" t="s">
        <v>11</v>
      </c>
      <c r="C63" s="9" t="s">
        <v>1</v>
      </c>
      <c r="D63" s="9">
        <v>35</v>
      </c>
      <c r="E63" s="12">
        <v>250000</v>
      </c>
      <c r="F63" s="12">
        <v>150000</v>
      </c>
      <c r="G63" s="12">
        <v>10000</v>
      </c>
      <c r="H63" s="39">
        <f t="shared" si="2"/>
        <v>648.34024896265555</v>
      </c>
      <c r="I63" s="39">
        <f t="shared" si="0"/>
        <v>62500</v>
      </c>
      <c r="J63" s="39">
        <f t="shared" si="1"/>
        <v>20000</v>
      </c>
    </row>
    <row r="64" spans="1:10" x14ac:dyDescent="0.3">
      <c r="A64" s="2">
        <v>43886</v>
      </c>
      <c r="B64" s="6" t="s">
        <v>11</v>
      </c>
      <c r="C64" s="9" t="s">
        <v>1</v>
      </c>
      <c r="D64" s="9">
        <v>60</v>
      </c>
      <c r="E64" s="12">
        <v>150000</v>
      </c>
      <c r="F64" s="12">
        <v>207000</v>
      </c>
      <c r="G64" s="12">
        <v>1000</v>
      </c>
      <c r="H64" s="39">
        <f t="shared" si="2"/>
        <v>389.00414937759336</v>
      </c>
      <c r="I64" s="39">
        <f t="shared" si="0"/>
        <v>37500</v>
      </c>
      <c r="J64" s="39">
        <f t="shared" si="1"/>
        <v>11000</v>
      </c>
    </row>
    <row r="65" spans="1:10" x14ac:dyDescent="0.3">
      <c r="A65" s="2">
        <v>43887</v>
      </c>
      <c r="B65" s="6" t="s">
        <v>12</v>
      </c>
      <c r="C65" s="9" t="s">
        <v>1</v>
      </c>
      <c r="D65" s="9">
        <v>37</v>
      </c>
      <c r="E65" s="12">
        <v>200000</v>
      </c>
      <c r="F65" s="12">
        <v>350000</v>
      </c>
      <c r="G65" s="12">
        <v>5000</v>
      </c>
      <c r="H65" s="39">
        <f t="shared" si="2"/>
        <v>518.67219917012449</v>
      </c>
      <c r="I65" s="39">
        <f t="shared" si="0"/>
        <v>50000</v>
      </c>
      <c r="J65" s="39">
        <f t="shared" si="1"/>
        <v>15000</v>
      </c>
    </row>
    <row r="66" spans="1:10" x14ac:dyDescent="0.3">
      <c r="A66" s="2">
        <v>43888</v>
      </c>
      <c r="B66" s="6" t="s">
        <v>13</v>
      </c>
      <c r="C66" s="9" t="s">
        <v>1</v>
      </c>
      <c r="D66" s="9">
        <v>50</v>
      </c>
      <c r="E66" s="12">
        <v>200000</v>
      </c>
      <c r="F66" s="12">
        <v>200000</v>
      </c>
      <c r="G66" s="12">
        <v>40000</v>
      </c>
      <c r="H66" s="39">
        <f t="shared" si="2"/>
        <v>518.67219917012449</v>
      </c>
      <c r="I66" s="39">
        <f t="shared" si="0"/>
        <v>50000</v>
      </c>
      <c r="J66" s="39">
        <f t="shared" si="1"/>
        <v>50000</v>
      </c>
    </row>
    <row r="67" spans="1:10" x14ac:dyDescent="0.3">
      <c r="A67" s="2">
        <v>43889</v>
      </c>
      <c r="B67" s="6" t="s">
        <v>12</v>
      </c>
      <c r="C67" s="9" t="s">
        <v>1</v>
      </c>
      <c r="D67" s="9">
        <v>37</v>
      </c>
      <c r="E67" s="12">
        <v>250000</v>
      </c>
      <c r="F67" s="12">
        <v>50000</v>
      </c>
      <c r="G67" s="12">
        <v>4000</v>
      </c>
      <c r="H67" s="39">
        <f t="shared" si="2"/>
        <v>648.34024896265555</v>
      </c>
      <c r="I67" s="39">
        <f t="shared" ref="I67:I130" si="3">E67*$M$2</f>
        <v>62500</v>
      </c>
      <c r="J67" s="39">
        <f t="shared" ref="J67:J130" si="4">G67+$M$3</f>
        <v>14000</v>
      </c>
    </row>
    <row r="68" spans="1:10" x14ac:dyDescent="0.3">
      <c r="A68" s="2">
        <v>43884</v>
      </c>
      <c r="B68" s="6" t="s">
        <v>11</v>
      </c>
      <c r="C68" s="9" t="s">
        <v>1</v>
      </c>
      <c r="D68" s="9">
        <v>33</v>
      </c>
      <c r="E68" s="12">
        <v>100000</v>
      </c>
      <c r="F68" s="12">
        <v>125000</v>
      </c>
      <c r="G68" s="12">
        <v>3000</v>
      </c>
      <c r="H68" s="39">
        <f t="shared" si="2"/>
        <v>259.33609958506224</v>
      </c>
      <c r="I68" s="39">
        <f t="shared" si="3"/>
        <v>25000</v>
      </c>
      <c r="J68" s="39">
        <f t="shared" si="4"/>
        <v>13000</v>
      </c>
    </row>
    <row r="69" spans="1:10" x14ac:dyDescent="0.3">
      <c r="A69" s="2">
        <v>43885</v>
      </c>
      <c r="B69" s="6" t="s">
        <v>10</v>
      </c>
      <c r="C69" s="9" t="s">
        <v>1</v>
      </c>
      <c r="D69" s="9">
        <v>41</v>
      </c>
      <c r="E69" s="12">
        <v>300000</v>
      </c>
      <c r="F69" s="12">
        <v>320000</v>
      </c>
      <c r="G69" s="12">
        <v>5000</v>
      </c>
      <c r="H69" s="39">
        <f t="shared" ref="H69:H129" si="5">E69/$M$1</f>
        <v>778.00829875518673</v>
      </c>
      <c r="I69" s="39">
        <f t="shared" si="3"/>
        <v>75000</v>
      </c>
      <c r="J69" s="39">
        <f t="shared" si="4"/>
        <v>15000</v>
      </c>
    </row>
    <row r="70" spans="1:10" x14ac:dyDescent="0.3">
      <c r="A70" s="2">
        <v>43886</v>
      </c>
      <c r="B70" s="6" t="s">
        <v>9</v>
      </c>
      <c r="C70" s="9" t="s">
        <v>1</v>
      </c>
      <c r="D70" s="9">
        <v>44</v>
      </c>
      <c r="E70" s="12">
        <v>175000</v>
      </c>
      <c r="F70" s="12">
        <v>190000</v>
      </c>
      <c r="G70" s="12">
        <v>20000</v>
      </c>
      <c r="H70" s="39">
        <f t="shared" si="5"/>
        <v>453.8381742738589</v>
      </c>
      <c r="I70" s="39">
        <f t="shared" si="3"/>
        <v>43750</v>
      </c>
      <c r="J70" s="39">
        <f t="shared" si="4"/>
        <v>30000</v>
      </c>
    </row>
    <row r="71" spans="1:10" x14ac:dyDescent="0.3">
      <c r="A71" s="2">
        <v>43887</v>
      </c>
      <c r="B71" s="6" t="s">
        <v>14</v>
      </c>
      <c r="C71" s="9" t="s">
        <v>1</v>
      </c>
      <c r="D71" s="9">
        <v>47</v>
      </c>
      <c r="E71" s="12">
        <v>200000</v>
      </c>
      <c r="F71" s="12">
        <v>170000</v>
      </c>
      <c r="G71" s="12">
        <v>10000</v>
      </c>
      <c r="H71" s="39">
        <f t="shared" si="5"/>
        <v>518.67219917012449</v>
      </c>
      <c r="I71" s="39">
        <f t="shared" si="3"/>
        <v>50000</v>
      </c>
      <c r="J71" s="39">
        <f t="shared" si="4"/>
        <v>20000</v>
      </c>
    </row>
    <row r="72" spans="1:10" x14ac:dyDescent="0.3">
      <c r="A72" s="2">
        <v>43888</v>
      </c>
      <c r="B72" s="6" t="s">
        <v>12</v>
      </c>
      <c r="C72" s="9" t="s">
        <v>1</v>
      </c>
      <c r="D72" s="9">
        <v>47</v>
      </c>
      <c r="E72" s="12">
        <v>420000</v>
      </c>
      <c r="F72" s="12">
        <v>80000</v>
      </c>
      <c r="G72" s="12">
        <v>3000</v>
      </c>
      <c r="H72" s="39">
        <f t="shared" si="5"/>
        <v>1089.2116182572613</v>
      </c>
      <c r="I72" s="39">
        <f t="shared" si="3"/>
        <v>105000</v>
      </c>
      <c r="J72" s="39">
        <f t="shared" si="4"/>
        <v>13000</v>
      </c>
    </row>
    <row r="73" spans="1:10" x14ac:dyDescent="0.3">
      <c r="A73" s="2">
        <v>43889</v>
      </c>
      <c r="B73" s="6" t="s">
        <v>14</v>
      </c>
      <c r="C73" s="9" t="s">
        <v>1</v>
      </c>
      <c r="D73" s="9">
        <v>42</v>
      </c>
      <c r="E73" s="12">
        <v>150000</v>
      </c>
      <c r="F73" s="12">
        <v>100000</v>
      </c>
      <c r="G73" s="12">
        <v>7000</v>
      </c>
      <c r="H73" s="39">
        <f t="shared" si="5"/>
        <v>389.00414937759336</v>
      </c>
      <c r="I73" s="39">
        <f t="shared" si="3"/>
        <v>37500</v>
      </c>
      <c r="J73" s="39">
        <f t="shared" si="4"/>
        <v>17000</v>
      </c>
    </row>
    <row r="74" spans="1:10" x14ac:dyDescent="0.3">
      <c r="A74" s="2">
        <v>43884</v>
      </c>
      <c r="B74" s="6" t="s">
        <v>9</v>
      </c>
      <c r="C74" s="9" t="s">
        <v>1</v>
      </c>
      <c r="D74" s="9">
        <v>39</v>
      </c>
      <c r="E74" s="12">
        <v>250000</v>
      </c>
      <c r="F74" s="12">
        <v>300000</v>
      </c>
      <c r="G74" s="12">
        <v>10000</v>
      </c>
      <c r="H74" s="39">
        <f t="shared" si="5"/>
        <v>648.34024896265555</v>
      </c>
      <c r="I74" s="39">
        <f t="shared" si="3"/>
        <v>62500</v>
      </c>
      <c r="J74" s="39">
        <f t="shared" si="4"/>
        <v>20000</v>
      </c>
    </row>
    <row r="75" spans="1:10" x14ac:dyDescent="0.3">
      <c r="A75" s="2">
        <v>43885</v>
      </c>
      <c r="B75" s="6" t="s">
        <v>36</v>
      </c>
      <c r="C75" s="9" t="s">
        <v>1</v>
      </c>
      <c r="D75" s="9">
        <v>38</v>
      </c>
      <c r="E75" s="12">
        <v>85000</v>
      </c>
      <c r="F75" s="12">
        <v>105000</v>
      </c>
      <c r="G75" s="12">
        <v>5000</v>
      </c>
      <c r="H75" s="39">
        <f t="shared" si="5"/>
        <v>220.43568464730288</v>
      </c>
      <c r="I75" s="39">
        <f t="shared" si="3"/>
        <v>21250</v>
      </c>
      <c r="J75" s="39">
        <f t="shared" si="4"/>
        <v>15000</v>
      </c>
    </row>
    <row r="76" spans="1:10" x14ac:dyDescent="0.3">
      <c r="A76" s="2">
        <v>43886</v>
      </c>
      <c r="B76" s="6" t="s">
        <v>13</v>
      </c>
      <c r="C76" s="9" t="s">
        <v>1</v>
      </c>
      <c r="D76" s="9">
        <v>36</v>
      </c>
      <c r="E76" s="12">
        <v>250000</v>
      </c>
      <c r="F76" s="12">
        <v>368000</v>
      </c>
      <c r="G76" s="12">
        <v>15000</v>
      </c>
      <c r="H76" s="39">
        <f t="shared" si="5"/>
        <v>648.34024896265555</v>
      </c>
      <c r="I76" s="39">
        <f t="shared" si="3"/>
        <v>62500</v>
      </c>
      <c r="J76" s="39">
        <f t="shared" si="4"/>
        <v>25000</v>
      </c>
    </row>
    <row r="77" spans="1:10" x14ac:dyDescent="0.3">
      <c r="A77" s="2">
        <v>43887</v>
      </c>
      <c r="B77" s="6" t="s">
        <v>10</v>
      </c>
      <c r="C77" s="9" t="s">
        <v>1</v>
      </c>
      <c r="D77" s="9">
        <v>34</v>
      </c>
      <c r="E77" s="12">
        <v>120000</v>
      </c>
      <c r="F77" s="12">
        <v>145000</v>
      </c>
      <c r="G77" s="12">
        <v>5000</v>
      </c>
      <c r="H77" s="39">
        <f t="shared" si="5"/>
        <v>311.20331950207469</v>
      </c>
      <c r="I77" s="39">
        <f t="shared" si="3"/>
        <v>30000</v>
      </c>
      <c r="J77" s="39">
        <f t="shared" si="4"/>
        <v>15000</v>
      </c>
    </row>
    <row r="78" spans="1:10" x14ac:dyDescent="0.3">
      <c r="A78" s="2">
        <v>43888</v>
      </c>
      <c r="B78" s="6" t="s">
        <v>11</v>
      </c>
      <c r="C78" s="9" t="s">
        <v>1</v>
      </c>
      <c r="D78" s="9">
        <v>35</v>
      </c>
      <c r="E78" s="12">
        <v>70000</v>
      </c>
      <c r="F78" s="12">
        <v>160000</v>
      </c>
      <c r="G78" s="12">
        <v>3000</v>
      </c>
      <c r="H78" s="39">
        <f t="shared" si="5"/>
        <v>181.53526970954357</v>
      </c>
      <c r="I78" s="39">
        <f t="shared" si="3"/>
        <v>17500</v>
      </c>
      <c r="J78" s="39">
        <f t="shared" si="4"/>
        <v>13000</v>
      </c>
    </row>
    <row r="79" spans="1:10" x14ac:dyDescent="0.3">
      <c r="A79" s="2">
        <v>43889</v>
      </c>
      <c r="B79" s="6" t="s">
        <v>11</v>
      </c>
      <c r="C79" s="9" t="s">
        <v>1</v>
      </c>
      <c r="D79" s="9">
        <v>45</v>
      </c>
      <c r="E79" s="12">
        <v>230000</v>
      </c>
      <c r="F79" s="12">
        <v>280000</v>
      </c>
      <c r="G79" s="12">
        <v>5000</v>
      </c>
      <c r="H79" s="39">
        <f t="shared" si="5"/>
        <v>596.4730290456431</v>
      </c>
      <c r="I79" s="39">
        <f t="shared" si="3"/>
        <v>57500</v>
      </c>
      <c r="J79" s="39">
        <f t="shared" si="4"/>
        <v>15000</v>
      </c>
    </row>
    <row r="80" spans="1:10" x14ac:dyDescent="0.3">
      <c r="A80" s="2">
        <v>43884</v>
      </c>
      <c r="B80" s="6" t="s">
        <v>12</v>
      </c>
      <c r="C80" s="9" t="s">
        <v>1</v>
      </c>
      <c r="D80" s="9">
        <v>44</v>
      </c>
      <c r="E80" s="12">
        <v>55000</v>
      </c>
      <c r="F80" s="12">
        <v>159200</v>
      </c>
      <c r="G80" s="12">
        <v>7200</v>
      </c>
      <c r="H80" s="39">
        <f t="shared" si="5"/>
        <v>142.63485477178423</v>
      </c>
      <c r="I80" s="39">
        <f t="shared" si="3"/>
        <v>13750</v>
      </c>
      <c r="J80" s="39">
        <f t="shared" si="4"/>
        <v>17200</v>
      </c>
    </row>
    <row r="81" spans="1:10" x14ac:dyDescent="0.3">
      <c r="A81" s="2">
        <v>43885</v>
      </c>
      <c r="B81" s="6" t="s">
        <v>13</v>
      </c>
      <c r="C81" s="9" t="s">
        <v>1</v>
      </c>
      <c r="D81" s="9">
        <v>39</v>
      </c>
      <c r="E81" s="12">
        <v>160000</v>
      </c>
      <c r="F81" s="12">
        <v>500000</v>
      </c>
      <c r="G81" s="12">
        <v>10000</v>
      </c>
      <c r="H81" s="39">
        <f t="shared" si="5"/>
        <v>414.93775933609959</v>
      </c>
      <c r="I81" s="39">
        <f t="shared" si="3"/>
        <v>40000</v>
      </c>
      <c r="J81" s="39">
        <f t="shared" si="4"/>
        <v>20000</v>
      </c>
    </row>
    <row r="82" spans="1:10" x14ac:dyDescent="0.3">
      <c r="A82" s="2">
        <v>43886</v>
      </c>
      <c r="B82" s="6" t="s">
        <v>12</v>
      </c>
      <c r="C82" s="9" t="s">
        <v>1</v>
      </c>
      <c r="D82" s="9">
        <v>37</v>
      </c>
      <c r="E82" s="12">
        <v>300000</v>
      </c>
      <c r="F82" s="12">
        <v>350000</v>
      </c>
      <c r="G82" s="12">
        <v>5000</v>
      </c>
      <c r="H82" s="39">
        <f t="shared" si="5"/>
        <v>778.00829875518673</v>
      </c>
      <c r="I82" s="39">
        <f t="shared" si="3"/>
        <v>75000</v>
      </c>
      <c r="J82" s="39">
        <f t="shared" si="4"/>
        <v>15000</v>
      </c>
    </row>
    <row r="83" spans="1:10" x14ac:dyDescent="0.3">
      <c r="A83" s="2">
        <v>43887</v>
      </c>
      <c r="B83" s="6" t="s">
        <v>11</v>
      </c>
      <c r="C83" s="9" t="s">
        <v>1</v>
      </c>
      <c r="D83" s="9">
        <v>41</v>
      </c>
      <c r="E83" s="12">
        <v>71000</v>
      </c>
      <c r="F83" s="12">
        <v>30000</v>
      </c>
      <c r="G83" s="12">
        <v>2000</v>
      </c>
      <c r="H83" s="39">
        <f t="shared" si="5"/>
        <v>184.12863070539419</v>
      </c>
      <c r="I83" s="39">
        <f t="shared" si="3"/>
        <v>17750</v>
      </c>
      <c r="J83" s="39">
        <f t="shared" si="4"/>
        <v>12000</v>
      </c>
    </row>
    <row r="84" spans="1:10" x14ac:dyDescent="0.3">
      <c r="A84" s="2">
        <v>43888</v>
      </c>
      <c r="B84" s="6" t="s">
        <v>10</v>
      </c>
      <c r="C84" s="9" t="s">
        <v>1</v>
      </c>
      <c r="D84" s="9">
        <v>51</v>
      </c>
      <c r="E84" s="12">
        <v>103000</v>
      </c>
      <c r="F84" s="12">
        <v>50000</v>
      </c>
      <c r="G84" s="12">
        <v>20000</v>
      </c>
      <c r="H84" s="39">
        <f t="shared" si="5"/>
        <v>267.11618257261409</v>
      </c>
      <c r="I84" s="39">
        <f t="shared" si="3"/>
        <v>25750</v>
      </c>
      <c r="J84" s="39">
        <f t="shared" si="4"/>
        <v>30000</v>
      </c>
    </row>
    <row r="85" spans="1:10" x14ac:dyDescent="0.3">
      <c r="A85" s="2">
        <v>43889</v>
      </c>
      <c r="B85" s="6" t="s">
        <v>9</v>
      </c>
      <c r="C85" s="9" t="s">
        <v>1</v>
      </c>
      <c r="D85" s="9">
        <v>44</v>
      </c>
      <c r="E85" s="12">
        <v>250000</v>
      </c>
      <c r="F85" s="12">
        <v>220000</v>
      </c>
      <c r="G85" s="12">
        <v>35000</v>
      </c>
      <c r="H85" s="39">
        <f t="shared" si="5"/>
        <v>648.34024896265555</v>
      </c>
      <c r="I85" s="39">
        <f t="shared" si="3"/>
        <v>62500</v>
      </c>
      <c r="J85" s="39">
        <f t="shared" si="4"/>
        <v>45000</v>
      </c>
    </row>
    <row r="86" spans="1:10" x14ac:dyDescent="0.3">
      <c r="A86" s="2">
        <v>43884</v>
      </c>
      <c r="B86" s="6" t="s">
        <v>36</v>
      </c>
      <c r="C86" s="9" t="s">
        <v>1</v>
      </c>
      <c r="D86" s="9">
        <v>35</v>
      </c>
      <c r="E86" s="12">
        <v>300000</v>
      </c>
      <c r="F86" s="12">
        <v>200000</v>
      </c>
      <c r="G86" s="12">
        <v>10000</v>
      </c>
      <c r="H86" s="39">
        <f t="shared" si="5"/>
        <v>778.00829875518673</v>
      </c>
      <c r="I86" s="39">
        <f t="shared" si="3"/>
        <v>75000</v>
      </c>
      <c r="J86" s="39">
        <f t="shared" si="4"/>
        <v>20000</v>
      </c>
    </row>
    <row r="87" spans="1:10" x14ac:dyDescent="0.3">
      <c r="A87" s="2">
        <v>43885</v>
      </c>
      <c r="B87" s="6" t="s">
        <v>12</v>
      </c>
      <c r="C87" s="9" t="s">
        <v>1</v>
      </c>
      <c r="D87" s="9">
        <v>50</v>
      </c>
      <c r="E87" s="12">
        <v>150000</v>
      </c>
      <c r="F87" s="12">
        <v>270000</v>
      </c>
      <c r="G87" s="12">
        <v>5000</v>
      </c>
      <c r="H87" s="39">
        <f t="shared" si="5"/>
        <v>389.00414937759336</v>
      </c>
      <c r="I87" s="39">
        <f t="shared" si="3"/>
        <v>37500</v>
      </c>
      <c r="J87" s="39">
        <f t="shared" si="4"/>
        <v>15000</v>
      </c>
    </row>
    <row r="88" spans="1:10" x14ac:dyDescent="0.3">
      <c r="A88" s="2">
        <v>43886</v>
      </c>
      <c r="B88" s="6" t="s">
        <v>14</v>
      </c>
      <c r="C88" s="9" t="s">
        <v>1</v>
      </c>
      <c r="D88" s="9">
        <v>37</v>
      </c>
      <c r="E88" s="12">
        <v>0</v>
      </c>
      <c r="F88" s="12">
        <v>0</v>
      </c>
      <c r="G88" s="12">
        <v>0</v>
      </c>
      <c r="H88" s="39">
        <f t="shared" si="5"/>
        <v>0</v>
      </c>
      <c r="I88" s="39">
        <f t="shared" si="3"/>
        <v>0</v>
      </c>
      <c r="J88" s="39">
        <f t="shared" si="4"/>
        <v>10000</v>
      </c>
    </row>
    <row r="89" spans="1:10" x14ac:dyDescent="0.3">
      <c r="A89" s="2">
        <v>43887</v>
      </c>
      <c r="B89" s="6" t="s">
        <v>9</v>
      </c>
      <c r="C89" s="9" t="s">
        <v>1</v>
      </c>
      <c r="D89" s="9">
        <v>47</v>
      </c>
      <c r="E89" s="12">
        <v>150000</v>
      </c>
      <c r="F89" s="12">
        <v>0</v>
      </c>
      <c r="G89" s="12">
        <v>5200</v>
      </c>
      <c r="H89" s="39">
        <f t="shared" si="5"/>
        <v>389.00414937759336</v>
      </c>
      <c r="I89" s="39">
        <f t="shared" si="3"/>
        <v>37500</v>
      </c>
      <c r="J89" s="39">
        <f t="shared" si="4"/>
        <v>15200</v>
      </c>
    </row>
    <row r="90" spans="1:10" x14ac:dyDescent="0.3">
      <c r="A90" s="2">
        <v>43888</v>
      </c>
      <c r="B90" s="6" t="s">
        <v>38</v>
      </c>
      <c r="C90" s="9" t="s">
        <v>1</v>
      </c>
      <c r="D90" s="9">
        <v>44</v>
      </c>
      <c r="E90" s="12">
        <v>100000</v>
      </c>
      <c r="F90" s="12">
        <v>350000</v>
      </c>
      <c r="G90" s="12">
        <v>30000</v>
      </c>
      <c r="H90" s="39">
        <f t="shared" si="5"/>
        <v>259.33609958506224</v>
      </c>
      <c r="I90" s="39">
        <f t="shared" si="3"/>
        <v>25000</v>
      </c>
      <c r="J90" s="39">
        <f t="shared" si="4"/>
        <v>40000</v>
      </c>
    </row>
    <row r="91" spans="1:10" x14ac:dyDescent="0.3">
      <c r="A91" s="2">
        <v>43889</v>
      </c>
      <c r="B91" s="6" t="s">
        <v>13</v>
      </c>
      <c r="C91" s="9" t="s">
        <v>1</v>
      </c>
      <c r="D91" s="9">
        <v>35</v>
      </c>
      <c r="E91" s="12">
        <v>250000</v>
      </c>
      <c r="F91" s="12">
        <v>565000</v>
      </c>
      <c r="G91" s="12">
        <v>15000</v>
      </c>
      <c r="H91" s="39">
        <f t="shared" si="5"/>
        <v>648.34024896265555</v>
      </c>
      <c r="I91" s="39">
        <f t="shared" si="3"/>
        <v>62500</v>
      </c>
      <c r="J91" s="39">
        <f t="shared" si="4"/>
        <v>25000</v>
      </c>
    </row>
    <row r="92" spans="1:10" x14ac:dyDescent="0.3">
      <c r="A92" s="2">
        <v>43884</v>
      </c>
      <c r="B92" s="6" t="s">
        <v>10</v>
      </c>
      <c r="C92" s="9" t="s">
        <v>1</v>
      </c>
      <c r="D92" s="9">
        <v>38</v>
      </c>
      <c r="E92" s="12">
        <v>200000</v>
      </c>
      <c r="F92" s="12">
        <v>50000</v>
      </c>
      <c r="G92" s="12">
        <v>8000</v>
      </c>
      <c r="H92" s="39">
        <f t="shared" si="5"/>
        <v>518.67219917012449</v>
      </c>
      <c r="I92" s="39">
        <f t="shared" si="3"/>
        <v>50000</v>
      </c>
      <c r="J92" s="39">
        <f t="shared" si="4"/>
        <v>18000</v>
      </c>
    </row>
    <row r="93" spans="1:10" x14ac:dyDescent="0.3">
      <c r="A93" s="2">
        <v>43885</v>
      </c>
      <c r="B93" s="6" t="s">
        <v>11</v>
      </c>
      <c r="C93" s="9" t="s">
        <v>1</v>
      </c>
      <c r="D93" s="9">
        <v>38</v>
      </c>
      <c r="E93" s="12">
        <v>60000</v>
      </c>
      <c r="F93" s="12">
        <v>3380000</v>
      </c>
      <c r="G93" s="12">
        <v>3693</v>
      </c>
      <c r="H93" s="39">
        <f t="shared" si="5"/>
        <v>155.60165975103735</v>
      </c>
      <c r="I93" s="39">
        <f t="shared" si="3"/>
        <v>15000</v>
      </c>
      <c r="J93" s="39">
        <f t="shared" si="4"/>
        <v>13693</v>
      </c>
    </row>
    <row r="94" spans="1:10" x14ac:dyDescent="0.3">
      <c r="A94" s="2">
        <v>43886</v>
      </c>
      <c r="B94" s="6" t="s">
        <v>11</v>
      </c>
      <c r="C94" s="9" t="s">
        <v>1</v>
      </c>
      <c r="D94" s="9">
        <v>42</v>
      </c>
      <c r="E94" s="12">
        <v>500000</v>
      </c>
      <c r="F94" s="12">
        <v>800000</v>
      </c>
      <c r="G94" s="12">
        <v>10000</v>
      </c>
      <c r="H94" s="39">
        <f t="shared" si="5"/>
        <v>1296.6804979253111</v>
      </c>
      <c r="I94" s="39">
        <f t="shared" si="3"/>
        <v>125000</v>
      </c>
      <c r="J94" s="39">
        <f t="shared" si="4"/>
        <v>20000</v>
      </c>
    </row>
    <row r="95" spans="1:10" x14ac:dyDescent="0.3">
      <c r="A95" s="2">
        <v>43887</v>
      </c>
      <c r="B95" s="6" t="s">
        <v>12</v>
      </c>
      <c r="C95" s="9" t="s">
        <v>1</v>
      </c>
      <c r="D95" s="9">
        <v>40</v>
      </c>
      <c r="E95" s="12">
        <v>150000</v>
      </c>
      <c r="F95" s="12">
        <v>300000</v>
      </c>
      <c r="G95" s="12">
        <v>100000</v>
      </c>
      <c r="H95" s="39">
        <f t="shared" si="5"/>
        <v>389.00414937759336</v>
      </c>
      <c r="I95" s="39">
        <f t="shared" si="3"/>
        <v>37500</v>
      </c>
      <c r="J95" s="39">
        <f t="shared" si="4"/>
        <v>110000</v>
      </c>
    </row>
    <row r="96" spans="1:10" x14ac:dyDescent="0.3">
      <c r="A96" s="2">
        <v>43888</v>
      </c>
      <c r="B96" s="6" t="s">
        <v>13</v>
      </c>
      <c r="C96" s="9" t="s">
        <v>1</v>
      </c>
      <c r="D96" s="9">
        <v>39</v>
      </c>
      <c r="E96" s="12">
        <v>180000</v>
      </c>
      <c r="F96" s="12">
        <v>500000</v>
      </c>
      <c r="G96" s="12">
        <v>20000</v>
      </c>
      <c r="H96" s="39">
        <f t="shared" si="5"/>
        <v>466.80497925311198</v>
      </c>
      <c r="I96" s="39">
        <f t="shared" si="3"/>
        <v>45000</v>
      </c>
      <c r="J96" s="39">
        <f t="shared" si="4"/>
        <v>30000</v>
      </c>
    </row>
    <row r="97" spans="1:10" x14ac:dyDescent="0.3">
      <c r="A97" s="2">
        <v>43889</v>
      </c>
      <c r="B97" s="6" t="s">
        <v>12</v>
      </c>
      <c r="C97" s="9" t="s">
        <v>1</v>
      </c>
      <c r="D97" s="9">
        <v>42</v>
      </c>
      <c r="E97" s="12">
        <v>160000</v>
      </c>
      <c r="F97" s="12">
        <v>650000</v>
      </c>
      <c r="G97" s="12">
        <v>12000</v>
      </c>
      <c r="H97" s="39">
        <f t="shared" si="5"/>
        <v>414.93775933609959</v>
      </c>
      <c r="I97" s="39">
        <f t="shared" si="3"/>
        <v>40000</v>
      </c>
      <c r="J97" s="39">
        <f t="shared" si="4"/>
        <v>22000</v>
      </c>
    </row>
    <row r="98" spans="1:10" x14ac:dyDescent="0.3">
      <c r="A98" s="2">
        <v>43884</v>
      </c>
      <c r="B98" s="6" t="s">
        <v>11</v>
      </c>
      <c r="C98" s="9" t="s">
        <v>1</v>
      </c>
      <c r="D98" s="9">
        <v>37</v>
      </c>
      <c r="E98" s="12">
        <v>500000</v>
      </c>
      <c r="F98" s="12">
        <v>290000</v>
      </c>
      <c r="G98" s="12">
        <v>13000</v>
      </c>
      <c r="H98" s="39">
        <f t="shared" si="5"/>
        <v>1296.6804979253111</v>
      </c>
      <c r="I98" s="39">
        <f t="shared" si="3"/>
        <v>125000</v>
      </c>
      <c r="J98" s="39">
        <f t="shared" si="4"/>
        <v>23000</v>
      </c>
    </row>
    <row r="99" spans="1:10" x14ac:dyDescent="0.3">
      <c r="A99" s="2">
        <v>43885</v>
      </c>
      <c r="B99" s="6" t="s">
        <v>10</v>
      </c>
      <c r="C99" s="9" t="s">
        <v>1</v>
      </c>
      <c r="D99" s="9">
        <v>39</v>
      </c>
      <c r="E99" s="12">
        <v>92000</v>
      </c>
      <c r="F99" s="12">
        <v>100000</v>
      </c>
      <c r="G99" s="12">
        <v>2000</v>
      </c>
      <c r="H99" s="39">
        <f t="shared" si="5"/>
        <v>238.58921161825725</v>
      </c>
      <c r="I99" s="39">
        <f t="shared" si="3"/>
        <v>23000</v>
      </c>
      <c r="J99" s="39">
        <f t="shared" si="4"/>
        <v>12000</v>
      </c>
    </row>
    <row r="100" spans="1:10" x14ac:dyDescent="0.3">
      <c r="A100" s="2">
        <v>43886</v>
      </c>
      <c r="B100" s="6" t="s">
        <v>9</v>
      </c>
      <c r="C100" s="9" t="s">
        <v>1</v>
      </c>
      <c r="D100" s="9">
        <v>35</v>
      </c>
      <c r="E100" s="12">
        <v>60000</v>
      </c>
      <c r="F100" s="12">
        <v>90000</v>
      </c>
      <c r="G100" s="12">
        <v>4000</v>
      </c>
      <c r="H100" s="39">
        <f t="shared" si="5"/>
        <v>155.60165975103735</v>
      </c>
      <c r="I100" s="39">
        <f t="shared" si="3"/>
        <v>15000</v>
      </c>
      <c r="J100" s="39">
        <f t="shared" si="4"/>
        <v>14000</v>
      </c>
    </row>
    <row r="101" spans="1:10" x14ac:dyDescent="0.3">
      <c r="A101" s="2">
        <v>43887</v>
      </c>
      <c r="B101" s="6" t="s">
        <v>38</v>
      </c>
      <c r="C101" s="9" t="s">
        <v>1</v>
      </c>
      <c r="D101" s="9">
        <v>40</v>
      </c>
      <c r="E101" s="12">
        <v>300000</v>
      </c>
      <c r="F101" s="12">
        <v>420000</v>
      </c>
      <c r="G101" s="12">
        <v>30000</v>
      </c>
      <c r="H101" s="39">
        <f t="shared" si="5"/>
        <v>778.00829875518673</v>
      </c>
      <c r="I101" s="39">
        <f t="shared" si="3"/>
        <v>75000</v>
      </c>
      <c r="J101" s="39">
        <f t="shared" si="4"/>
        <v>40000</v>
      </c>
    </row>
    <row r="102" spans="1:10" x14ac:dyDescent="0.3">
      <c r="A102" s="2">
        <v>43888</v>
      </c>
      <c r="B102" s="6" t="s">
        <v>12</v>
      </c>
      <c r="C102" s="9" t="s">
        <v>1</v>
      </c>
      <c r="D102" s="9">
        <v>53</v>
      </c>
      <c r="E102" s="12">
        <v>120000</v>
      </c>
      <c r="F102" s="12">
        <v>370000</v>
      </c>
      <c r="G102" s="12">
        <v>6000</v>
      </c>
      <c r="H102" s="39">
        <f t="shared" si="5"/>
        <v>311.20331950207469</v>
      </c>
      <c r="I102" s="39">
        <f t="shared" si="3"/>
        <v>30000</v>
      </c>
      <c r="J102" s="39">
        <f t="shared" si="4"/>
        <v>16000</v>
      </c>
    </row>
    <row r="103" spans="1:10" x14ac:dyDescent="0.3">
      <c r="A103" s="2">
        <v>43889</v>
      </c>
      <c r="B103" s="6" t="s">
        <v>14</v>
      </c>
      <c r="C103" s="9" t="s">
        <v>0</v>
      </c>
      <c r="D103" s="9">
        <v>44</v>
      </c>
      <c r="E103" s="12">
        <v>500000</v>
      </c>
      <c r="F103" s="12">
        <v>150000</v>
      </c>
      <c r="G103" s="12">
        <v>10000</v>
      </c>
      <c r="H103" s="39">
        <f t="shared" si="5"/>
        <v>1296.6804979253111</v>
      </c>
      <c r="I103" s="39">
        <f t="shared" si="3"/>
        <v>125000</v>
      </c>
      <c r="J103" s="39">
        <f t="shared" si="4"/>
        <v>20000</v>
      </c>
    </row>
    <row r="104" spans="1:10" x14ac:dyDescent="0.3">
      <c r="A104" s="2">
        <v>43884</v>
      </c>
      <c r="B104" s="6" t="s">
        <v>9</v>
      </c>
      <c r="C104" s="9" t="s">
        <v>0</v>
      </c>
      <c r="D104" s="9">
        <v>46</v>
      </c>
      <c r="E104" s="12">
        <v>110000</v>
      </c>
      <c r="F104" s="12">
        <v>950000</v>
      </c>
      <c r="G104" s="12">
        <v>10000</v>
      </c>
      <c r="H104" s="39">
        <f t="shared" si="5"/>
        <v>285.26970954356847</v>
      </c>
      <c r="I104" s="39">
        <f t="shared" si="3"/>
        <v>27500</v>
      </c>
      <c r="J104" s="39">
        <f t="shared" si="4"/>
        <v>20000</v>
      </c>
    </row>
    <row r="105" spans="1:10" x14ac:dyDescent="0.3">
      <c r="A105" s="2">
        <v>43885</v>
      </c>
      <c r="B105" s="6" t="s">
        <v>39</v>
      </c>
      <c r="C105" s="9" t="s">
        <v>0</v>
      </c>
      <c r="D105" s="9">
        <v>39</v>
      </c>
      <c r="E105" s="12">
        <v>920000</v>
      </c>
      <c r="F105" s="12">
        <v>300000</v>
      </c>
      <c r="G105" s="12">
        <v>40000</v>
      </c>
      <c r="H105" s="39">
        <f t="shared" si="5"/>
        <v>2385.8921161825724</v>
      </c>
      <c r="I105" s="39">
        <f t="shared" si="3"/>
        <v>230000</v>
      </c>
      <c r="J105" s="39">
        <f t="shared" si="4"/>
        <v>50000</v>
      </c>
    </row>
    <row r="106" spans="1:10" x14ac:dyDescent="0.3">
      <c r="A106" s="2">
        <v>43886</v>
      </c>
      <c r="B106" s="6" t="s">
        <v>13</v>
      </c>
      <c r="C106" s="9" t="s">
        <v>0</v>
      </c>
      <c r="D106" s="9">
        <v>47</v>
      </c>
      <c r="E106" s="12">
        <v>120000</v>
      </c>
      <c r="F106" s="12">
        <v>200000</v>
      </c>
      <c r="G106" s="12">
        <v>10000</v>
      </c>
      <c r="H106" s="39">
        <f t="shared" si="5"/>
        <v>311.20331950207469</v>
      </c>
      <c r="I106" s="39">
        <f t="shared" si="3"/>
        <v>30000</v>
      </c>
      <c r="J106" s="39">
        <f t="shared" si="4"/>
        <v>20000</v>
      </c>
    </row>
    <row r="107" spans="1:10" x14ac:dyDescent="0.3">
      <c r="A107" s="2">
        <v>43887</v>
      </c>
      <c r="B107" s="6" t="s">
        <v>10</v>
      </c>
      <c r="C107" s="9" t="s">
        <v>0</v>
      </c>
      <c r="D107" s="9">
        <v>34</v>
      </c>
      <c r="E107" s="12">
        <v>98000</v>
      </c>
      <c r="F107" s="12">
        <v>210000</v>
      </c>
      <c r="G107" s="12">
        <v>14000</v>
      </c>
      <c r="H107" s="39">
        <f t="shared" si="5"/>
        <v>254.14937759336098</v>
      </c>
      <c r="I107" s="39">
        <f t="shared" si="3"/>
        <v>24500</v>
      </c>
      <c r="J107" s="39">
        <f t="shared" si="4"/>
        <v>24000</v>
      </c>
    </row>
    <row r="108" spans="1:10" x14ac:dyDescent="0.3">
      <c r="A108" s="2">
        <v>43888</v>
      </c>
      <c r="B108" s="6" t="s">
        <v>11</v>
      </c>
      <c r="C108" s="9" t="s">
        <v>0</v>
      </c>
      <c r="D108" s="9">
        <v>43</v>
      </c>
      <c r="E108" s="12">
        <v>150000</v>
      </c>
      <c r="F108" s="12">
        <v>120000</v>
      </c>
      <c r="G108" s="12">
        <v>50000</v>
      </c>
      <c r="H108" s="39">
        <f t="shared" si="5"/>
        <v>389.00414937759336</v>
      </c>
      <c r="I108" s="39">
        <f t="shared" si="3"/>
        <v>37500</v>
      </c>
      <c r="J108" s="39">
        <f t="shared" si="4"/>
        <v>60000</v>
      </c>
    </row>
    <row r="109" spans="1:10" x14ac:dyDescent="0.3">
      <c r="A109" s="2">
        <v>43889</v>
      </c>
      <c r="B109" s="6" t="s">
        <v>11</v>
      </c>
      <c r="C109" s="9" t="s">
        <v>0</v>
      </c>
      <c r="D109" s="9">
        <v>38</v>
      </c>
      <c r="E109" s="12">
        <v>100000</v>
      </c>
      <c r="F109" s="12">
        <v>310000</v>
      </c>
      <c r="G109" s="12">
        <v>5000</v>
      </c>
      <c r="H109" s="39">
        <f t="shared" si="5"/>
        <v>259.33609958506224</v>
      </c>
      <c r="I109" s="39">
        <f t="shared" si="3"/>
        <v>25000</v>
      </c>
      <c r="J109" s="39">
        <f t="shared" si="4"/>
        <v>15000</v>
      </c>
    </row>
    <row r="110" spans="1:10" x14ac:dyDescent="0.3">
      <c r="A110" s="2">
        <v>43884</v>
      </c>
      <c r="B110" s="6" t="s">
        <v>12</v>
      </c>
      <c r="C110" s="9" t="s">
        <v>0</v>
      </c>
      <c r="D110" s="9">
        <v>37</v>
      </c>
      <c r="E110" s="12">
        <v>350000</v>
      </c>
      <c r="F110" s="12">
        <v>840000</v>
      </c>
      <c r="G110" s="12">
        <v>0</v>
      </c>
      <c r="H110" s="39">
        <f t="shared" si="5"/>
        <v>907.67634854771779</v>
      </c>
      <c r="I110" s="39">
        <f t="shared" si="3"/>
        <v>87500</v>
      </c>
      <c r="J110" s="39">
        <f t="shared" si="4"/>
        <v>10000</v>
      </c>
    </row>
    <row r="111" spans="1:10" x14ac:dyDescent="0.3">
      <c r="A111" s="2">
        <v>43885</v>
      </c>
      <c r="B111" s="6" t="s">
        <v>13</v>
      </c>
      <c r="C111" s="9" t="s">
        <v>0</v>
      </c>
      <c r="D111" s="9">
        <v>34</v>
      </c>
      <c r="E111" s="12">
        <v>320000</v>
      </c>
      <c r="F111" s="12">
        <v>169000</v>
      </c>
      <c r="G111" s="12">
        <v>10000</v>
      </c>
      <c r="H111" s="39">
        <f t="shared" si="5"/>
        <v>829.87551867219918</v>
      </c>
      <c r="I111" s="39">
        <f t="shared" si="3"/>
        <v>80000</v>
      </c>
      <c r="J111" s="39">
        <f t="shared" si="4"/>
        <v>20000</v>
      </c>
    </row>
    <row r="112" spans="1:10" x14ac:dyDescent="0.3">
      <c r="A112" s="2">
        <v>43886</v>
      </c>
      <c r="B112" s="6" t="s">
        <v>12</v>
      </c>
      <c r="C112" s="9" t="s">
        <v>0</v>
      </c>
      <c r="D112" s="9">
        <v>49</v>
      </c>
      <c r="E112" s="12">
        <v>210000</v>
      </c>
      <c r="F112" s="12">
        <v>700000</v>
      </c>
      <c r="G112" s="12">
        <v>23000</v>
      </c>
      <c r="H112" s="39">
        <f t="shared" si="5"/>
        <v>544.60580912863065</v>
      </c>
      <c r="I112" s="39">
        <f t="shared" si="3"/>
        <v>52500</v>
      </c>
      <c r="J112" s="39">
        <f t="shared" si="4"/>
        <v>33000</v>
      </c>
    </row>
    <row r="113" spans="1:10" x14ac:dyDescent="0.3">
      <c r="A113" s="2">
        <v>43887</v>
      </c>
      <c r="B113" s="6" t="s">
        <v>11</v>
      </c>
      <c r="C113" s="9" t="s">
        <v>0</v>
      </c>
      <c r="D113" s="9">
        <v>41</v>
      </c>
      <c r="E113" s="12">
        <v>640000</v>
      </c>
      <c r="F113" s="12">
        <v>200000</v>
      </c>
      <c r="G113" s="12">
        <v>10000</v>
      </c>
      <c r="H113" s="39">
        <f t="shared" si="5"/>
        <v>1659.7510373443984</v>
      </c>
      <c r="I113" s="39">
        <f t="shared" si="3"/>
        <v>160000</v>
      </c>
      <c r="J113" s="39">
        <f t="shared" si="4"/>
        <v>20000</v>
      </c>
    </row>
    <row r="114" spans="1:10" x14ac:dyDescent="0.3">
      <c r="A114" s="2">
        <v>43888</v>
      </c>
      <c r="B114" s="6" t="s">
        <v>10</v>
      </c>
      <c r="C114" s="9" t="s">
        <v>0</v>
      </c>
      <c r="D114" s="9">
        <v>44</v>
      </c>
      <c r="E114" s="12">
        <v>650000</v>
      </c>
      <c r="F114" s="12">
        <v>550000</v>
      </c>
      <c r="G114" s="12">
        <v>16000</v>
      </c>
      <c r="H114" s="39">
        <f t="shared" si="5"/>
        <v>1685.6846473029045</v>
      </c>
      <c r="I114" s="39">
        <f t="shared" si="3"/>
        <v>162500</v>
      </c>
      <c r="J114" s="39">
        <f t="shared" si="4"/>
        <v>26000</v>
      </c>
    </row>
    <row r="115" spans="1:10" x14ac:dyDescent="0.3">
      <c r="A115" s="2">
        <v>43889</v>
      </c>
      <c r="B115" s="6" t="s">
        <v>9</v>
      </c>
      <c r="C115" s="9" t="s">
        <v>0</v>
      </c>
      <c r="D115" s="9">
        <v>42</v>
      </c>
      <c r="E115" s="12">
        <v>200000</v>
      </c>
      <c r="F115" s="12">
        <v>80000</v>
      </c>
      <c r="G115" s="12">
        <v>5000</v>
      </c>
      <c r="H115" s="39">
        <f t="shared" si="5"/>
        <v>518.67219917012449</v>
      </c>
      <c r="I115" s="39">
        <f t="shared" si="3"/>
        <v>50000</v>
      </c>
      <c r="J115" s="39">
        <f t="shared" si="4"/>
        <v>15000</v>
      </c>
    </row>
    <row r="116" spans="1:10" x14ac:dyDescent="0.3">
      <c r="A116" s="2">
        <v>43884</v>
      </c>
      <c r="B116" s="6" t="s">
        <v>39</v>
      </c>
      <c r="C116" s="9" t="s">
        <v>0</v>
      </c>
      <c r="D116" s="9">
        <v>40</v>
      </c>
      <c r="E116" s="12">
        <v>200000</v>
      </c>
      <c r="F116" s="12">
        <v>70000</v>
      </c>
      <c r="G116" s="12">
        <v>10000</v>
      </c>
      <c r="H116" s="39">
        <f t="shared" si="5"/>
        <v>518.67219917012449</v>
      </c>
      <c r="I116" s="39">
        <f t="shared" si="3"/>
        <v>50000</v>
      </c>
      <c r="J116" s="39">
        <f t="shared" si="4"/>
        <v>20000</v>
      </c>
    </row>
    <row r="117" spans="1:10" x14ac:dyDescent="0.3">
      <c r="A117" s="2">
        <v>43885</v>
      </c>
      <c r="B117" s="6" t="s">
        <v>12</v>
      </c>
      <c r="C117" s="9" t="s">
        <v>0</v>
      </c>
      <c r="D117" s="9">
        <v>39</v>
      </c>
      <c r="E117" s="12">
        <v>400000</v>
      </c>
      <c r="F117" s="12">
        <v>100000</v>
      </c>
      <c r="G117" s="12">
        <v>25000</v>
      </c>
      <c r="H117" s="39">
        <f t="shared" si="5"/>
        <v>1037.344398340249</v>
      </c>
      <c r="I117" s="39">
        <f t="shared" si="3"/>
        <v>100000</v>
      </c>
      <c r="J117" s="39">
        <f t="shared" si="4"/>
        <v>35000</v>
      </c>
    </row>
    <row r="118" spans="1:10" x14ac:dyDescent="0.3">
      <c r="A118" s="2">
        <v>43886</v>
      </c>
      <c r="B118" s="6" t="s">
        <v>14</v>
      </c>
      <c r="C118" s="9" t="s">
        <v>0</v>
      </c>
      <c r="D118" s="9">
        <v>48</v>
      </c>
      <c r="E118" s="12">
        <v>500000</v>
      </c>
      <c r="F118" s="12">
        <v>40000</v>
      </c>
      <c r="G118" s="12">
        <v>5000</v>
      </c>
      <c r="H118" s="39">
        <f t="shared" si="5"/>
        <v>1296.6804979253111</v>
      </c>
      <c r="I118" s="39">
        <f t="shared" si="3"/>
        <v>125000</v>
      </c>
      <c r="J118" s="39">
        <f t="shared" si="4"/>
        <v>15000</v>
      </c>
    </row>
    <row r="119" spans="1:10" x14ac:dyDescent="0.3">
      <c r="A119" s="2">
        <v>43887</v>
      </c>
      <c r="B119" s="6" t="s">
        <v>9</v>
      </c>
      <c r="C119" s="9" t="s">
        <v>0</v>
      </c>
      <c r="D119" s="9">
        <v>41</v>
      </c>
      <c r="E119" s="12">
        <v>150000</v>
      </c>
      <c r="F119" s="12">
        <v>0</v>
      </c>
      <c r="G119" s="12">
        <v>2500</v>
      </c>
      <c r="H119" s="39">
        <f t="shared" si="5"/>
        <v>389.00414937759336</v>
      </c>
      <c r="I119" s="39">
        <f t="shared" si="3"/>
        <v>37500</v>
      </c>
      <c r="J119" s="39">
        <f t="shared" si="4"/>
        <v>12500</v>
      </c>
    </row>
    <row r="120" spans="1:10" x14ac:dyDescent="0.3">
      <c r="A120" s="2">
        <v>43888</v>
      </c>
      <c r="B120" s="6" t="s">
        <v>9</v>
      </c>
      <c r="C120" s="9" t="s">
        <v>0</v>
      </c>
      <c r="D120" s="9">
        <v>42</v>
      </c>
      <c r="E120" s="12">
        <v>350000</v>
      </c>
      <c r="F120" s="12">
        <v>400000</v>
      </c>
      <c r="G120" s="12">
        <v>5000</v>
      </c>
      <c r="H120" s="39">
        <f t="shared" si="5"/>
        <v>907.67634854771779</v>
      </c>
      <c r="I120" s="39">
        <f t="shared" si="3"/>
        <v>87500</v>
      </c>
      <c r="J120" s="39">
        <f t="shared" si="4"/>
        <v>15000</v>
      </c>
    </row>
    <row r="121" spans="1:10" x14ac:dyDescent="0.3">
      <c r="A121" s="2">
        <v>43889</v>
      </c>
      <c r="B121" s="6" t="s">
        <v>13</v>
      </c>
      <c r="C121" s="9" t="s">
        <v>0</v>
      </c>
      <c r="D121" s="9">
        <v>43</v>
      </c>
      <c r="E121" s="12">
        <v>350000</v>
      </c>
      <c r="F121" s="12">
        <v>500000</v>
      </c>
      <c r="G121" s="12">
        <v>20000</v>
      </c>
      <c r="H121" s="39">
        <f t="shared" si="5"/>
        <v>907.67634854771779</v>
      </c>
      <c r="I121" s="39">
        <f t="shared" si="3"/>
        <v>87500</v>
      </c>
      <c r="J121" s="39">
        <f t="shared" si="4"/>
        <v>30000</v>
      </c>
    </row>
    <row r="122" spans="1:10" x14ac:dyDescent="0.3">
      <c r="A122" s="2">
        <v>43884</v>
      </c>
      <c r="B122" s="6" t="s">
        <v>10</v>
      </c>
      <c r="C122" s="9" t="s">
        <v>0</v>
      </c>
      <c r="D122" s="9">
        <v>35</v>
      </c>
      <c r="E122" s="12">
        <v>200000</v>
      </c>
      <c r="F122" s="12">
        <v>250000</v>
      </c>
      <c r="G122" s="12">
        <v>5000</v>
      </c>
      <c r="H122" s="39">
        <f t="shared" si="5"/>
        <v>518.67219917012449</v>
      </c>
      <c r="I122" s="39">
        <f t="shared" si="3"/>
        <v>50000</v>
      </c>
      <c r="J122" s="39">
        <f t="shared" si="4"/>
        <v>15000</v>
      </c>
    </row>
    <row r="123" spans="1:10" x14ac:dyDescent="0.3">
      <c r="A123" s="2">
        <v>43885</v>
      </c>
      <c r="B123" s="6" t="s">
        <v>11</v>
      </c>
      <c r="C123" s="9" t="s">
        <v>0</v>
      </c>
      <c r="D123" s="9">
        <v>46</v>
      </c>
      <c r="E123" s="12">
        <v>400000</v>
      </c>
      <c r="F123" s="12">
        <v>160000</v>
      </c>
      <c r="G123" s="12">
        <v>5000</v>
      </c>
      <c r="H123" s="39">
        <f t="shared" si="5"/>
        <v>1037.344398340249</v>
      </c>
      <c r="I123" s="39">
        <f t="shared" si="3"/>
        <v>100000</v>
      </c>
      <c r="J123" s="39">
        <f t="shared" si="4"/>
        <v>15000</v>
      </c>
    </row>
    <row r="124" spans="1:10" x14ac:dyDescent="0.3">
      <c r="A124" s="2">
        <v>43886</v>
      </c>
      <c r="B124" s="6" t="s">
        <v>11</v>
      </c>
      <c r="C124" s="9" t="s">
        <v>0</v>
      </c>
      <c r="D124" s="9">
        <v>39</v>
      </c>
      <c r="E124" s="12">
        <v>120000</v>
      </c>
      <c r="F124" s="12">
        <v>80000</v>
      </c>
      <c r="G124" s="12">
        <v>10000</v>
      </c>
      <c r="H124" s="39">
        <f t="shared" si="5"/>
        <v>311.20331950207469</v>
      </c>
      <c r="I124" s="39">
        <f t="shared" si="3"/>
        <v>30000</v>
      </c>
      <c r="J124" s="39">
        <f t="shared" si="4"/>
        <v>20000</v>
      </c>
    </row>
    <row r="125" spans="1:10" x14ac:dyDescent="0.3">
      <c r="A125" s="2">
        <v>43887</v>
      </c>
      <c r="B125" s="6" t="s">
        <v>12</v>
      </c>
      <c r="C125" s="9" t="s">
        <v>0</v>
      </c>
      <c r="D125" s="9">
        <v>35</v>
      </c>
      <c r="E125" s="12">
        <v>95000</v>
      </c>
      <c r="F125" s="12">
        <v>0</v>
      </c>
      <c r="G125" s="12">
        <v>2500</v>
      </c>
      <c r="H125" s="39">
        <f t="shared" si="5"/>
        <v>246.3692946058091</v>
      </c>
      <c r="I125" s="39">
        <f t="shared" si="3"/>
        <v>23750</v>
      </c>
      <c r="J125" s="39">
        <f t="shared" si="4"/>
        <v>12500</v>
      </c>
    </row>
    <row r="126" spans="1:10" x14ac:dyDescent="0.3">
      <c r="A126" s="2">
        <v>43888</v>
      </c>
      <c r="B126" s="6" t="s">
        <v>13</v>
      </c>
      <c r="C126" s="9" t="s">
        <v>0</v>
      </c>
      <c r="D126" s="9">
        <v>37</v>
      </c>
      <c r="E126" s="12">
        <v>220000</v>
      </c>
      <c r="F126" s="12">
        <v>200000</v>
      </c>
      <c r="G126" s="12">
        <v>5000</v>
      </c>
      <c r="H126" s="39">
        <f t="shared" si="5"/>
        <v>570.53941908713693</v>
      </c>
      <c r="I126" s="39">
        <f t="shared" si="3"/>
        <v>55000</v>
      </c>
      <c r="J126" s="39">
        <f t="shared" si="4"/>
        <v>15000</v>
      </c>
    </row>
    <row r="127" spans="1:10" x14ac:dyDescent="0.3">
      <c r="A127" s="2">
        <v>43889</v>
      </c>
      <c r="B127" s="6" t="s">
        <v>12</v>
      </c>
      <c r="C127" s="9" t="s">
        <v>0</v>
      </c>
      <c r="D127" s="9">
        <v>48</v>
      </c>
      <c r="E127" s="12">
        <v>200000</v>
      </c>
      <c r="F127" s="12">
        <v>0</v>
      </c>
      <c r="G127" s="12">
        <v>18000</v>
      </c>
      <c r="H127" s="39">
        <f t="shared" si="5"/>
        <v>518.67219917012449</v>
      </c>
      <c r="I127" s="39">
        <f t="shared" si="3"/>
        <v>50000</v>
      </c>
      <c r="J127" s="39">
        <f t="shared" si="4"/>
        <v>28000</v>
      </c>
    </row>
    <row r="128" spans="1:10" x14ac:dyDescent="0.3">
      <c r="A128" s="2">
        <v>43884</v>
      </c>
      <c r="B128" s="6" t="s">
        <v>11</v>
      </c>
      <c r="C128" s="9" t="s">
        <v>0</v>
      </c>
      <c r="D128" s="9">
        <v>48</v>
      </c>
      <c r="E128" s="12">
        <v>530000</v>
      </c>
      <c r="F128" s="12">
        <v>85000</v>
      </c>
      <c r="G128" s="12">
        <v>9500</v>
      </c>
      <c r="H128" s="39">
        <f t="shared" si="5"/>
        <v>1374.4813278008298</v>
      </c>
      <c r="I128" s="39">
        <f t="shared" si="3"/>
        <v>132500</v>
      </c>
      <c r="J128" s="39">
        <f t="shared" si="4"/>
        <v>19500</v>
      </c>
    </row>
    <row r="129" spans="1:10" x14ac:dyDescent="0.3">
      <c r="A129" s="2">
        <v>43885</v>
      </c>
      <c r="B129" s="6" t="s">
        <v>10</v>
      </c>
      <c r="C129" s="9" t="s">
        <v>0</v>
      </c>
      <c r="D129" s="9">
        <v>36</v>
      </c>
      <c r="E129" s="12">
        <v>2000000</v>
      </c>
      <c r="F129" s="12">
        <v>2000000</v>
      </c>
      <c r="G129" s="12">
        <v>20000</v>
      </c>
      <c r="H129" s="39">
        <f t="shared" si="5"/>
        <v>5186.7219917012444</v>
      </c>
      <c r="I129" s="39">
        <f t="shared" si="3"/>
        <v>500000</v>
      </c>
      <c r="J129" s="39">
        <f t="shared" si="4"/>
        <v>30000</v>
      </c>
    </row>
    <row r="130" spans="1:10" ht="15" thickBot="1" x14ac:dyDescent="0.35">
      <c r="A130" s="3">
        <v>43886</v>
      </c>
      <c r="B130" s="7" t="s">
        <v>9</v>
      </c>
      <c r="C130" s="10" t="s">
        <v>0</v>
      </c>
      <c r="D130" s="10">
        <v>45</v>
      </c>
      <c r="E130" s="13">
        <v>110000</v>
      </c>
      <c r="F130" s="13">
        <v>0</v>
      </c>
      <c r="G130" s="13">
        <v>14000</v>
      </c>
      <c r="H130" s="39">
        <f>E130/$M$1</f>
        <v>285.26970954356847</v>
      </c>
      <c r="I130" s="39">
        <f t="shared" si="3"/>
        <v>27500</v>
      </c>
      <c r="J130" s="39">
        <f t="shared" si="4"/>
        <v>24000</v>
      </c>
    </row>
  </sheetData>
  <mergeCells count="3">
    <mergeCell ref="L5:P7"/>
    <mergeCell ref="L9:P11"/>
    <mergeCell ref="L13:P1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M19" sqref="M19"/>
    </sheetView>
  </sheetViews>
  <sheetFormatPr defaultRowHeight="14.4" x14ac:dyDescent="0.3"/>
  <cols>
    <col min="1" max="1" width="12.109375" customWidth="1"/>
    <col min="2" max="2" width="10.109375" customWidth="1"/>
    <col min="5" max="5" width="13.44140625" customWidth="1"/>
    <col min="6" max="6" width="15.44140625" customWidth="1"/>
    <col min="7" max="7" width="16.44140625" bestFit="1" customWidth="1"/>
  </cols>
  <sheetData>
    <row r="1" spans="1:7" ht="35.25" customHeight="1" thickBot="1" x14ac:dyDescent="0.35">
      <c r="A1" s="14" t="s">
        <v>2</v>
      </c>
      <c r="B1" s="14" t="s">
        <v>8</v>
      </c>
      <c r="C1" s="14" t="s">
        <v>3</v>
      </c>
      <c r="D1" s="14" t="s">
        <v>4</v>
      </c>
      <c r="E1" s="15" t="s">
        <v>5</v>
      </c>
      <c r="F1" s="15" t="s">
        <v>15</v>
      </c>
      <c r="G1" s="14" t="s">
        <v>6</v>
      </c>
    </row>
    <row r="2" spans="1:7" x14ac:dyDescent="0.3">
      <c r="A2" s="2">
        <v>43918</v>
      </c>
      <c r="B2" s="6" t="s">
        <v>11</v>
      </c>
      <c r="C2" s="9" t="s">
        <v>7</v>
      </c>
      <c r="D2" s="9">
        <v>49</v>
      </c>
      <c r="E2" s="12">
        <v>35000</v>
      </c>
      <c r="F2" s="12">
        <v>92000</v>
      </c>
      <c r="G2" s="12">
        <v>3000</v>
      </c>
    </row>
    <row r="3" spans="1:7" x14ac:dyDescent="0.3">
      <c r="A3" s="2">
        <v>43913</v>
      </c>
      <c r="B3" s="6" t="s">
        <v>12</v>
      </c>
      <c r="C3" s="9" t="s">
        <v>7</v>
      </c>
      <c r="D3" s="9">
        <v>53</v>
      </c>
      <c r="E3" s="12">
        <v>100000</v>
      </c>
      <c r="F3" s="12">
        <v>20000</v>
      </c>
      <c r="G3" s="12">
        <v>2000</v>
      </c>
    </row>
    <row r="4" spans="1:7" x14ac:dyDescent="0.3">
      <c r="A4" s="2">
        <v>43914</v>
      </c>
      <c r="B4" s="6" t="s">
        <v>13</v>
      </c>
      <c r="C4" s="9" t="s">
        <v>1</v>
      </c>
      <c r="D4" s="9">
        <v>37</v>
      </c>
      <c r="E4" s="12">
        <v>210000</v>
      </c>
      <c r="F4" s="12">
        <v>200000</v>
      </c>
      <c r="G4" s="12">
        <v>20000</v>
      </c>
    </row>
    <row r="5" spans="1:7" x14ac:dyDescent="0.3">
      <c r="A5" s="2">
        <v>43915</v>
      </c>
      <c r="B5" s="6" t="s">
        <v>12</v>
      </c>
      <c r="C5" s="9" t="s">
        <v>1</v>
      </c>
      <c r="D5" s="9">
        <v>45</v>
      </c>
      <c r="E5" s="12">
        <v>160000</v>
      </c>
      <c r="F5" s="12">
        <v>1050000</v>
      </c>
      <c r="G5" s="12">
        <v>60000</v>
      </c>
    </row>
    <row r="6" spans="1:7" x14ac:dyDescent="0.3">
      <c r="A6" s="2">
        <v>43916</v>
      </c>
      <c r="B6" s="6" t="s">
        <v>11</v>
      </c>
      <c r="C6" s="9" t="s">
        <v>1</v>
      </c>
      <c r="D6" s="9">
        <v>53</v>
      </c>
      <c r="E6" s="12">
        <v>350000</v>
      </c>
      <c r="F6" s="12">
        <v>1000000</v>
      </c>
      <c r="G6" s="12">
        <v>10000</v>
      </c>
    </row>
    <row r="7" spans="1:7" x14ac:dyDescent="0.3">
      <c r="A7" s="2">
        <v>43917</v>
      </c>
      <c r="B7" s="6" t="s">
        <v>10</v>
      </c>
      <c r="C7" s="9" t="s">
        <v>7</v>
      </c>
      <c r="D7" s="9">
        <v>45</v>
      </c>
      <c r="E7" s="12">
        <v>180000</v>
      </c>
      <c r="F7" s="12">
        <v>250000</v>
      </c>
      <c r="G7" s="12">
        <v>72000</v>
      </c>
    </row>
    <row r="8" spans="1:7" x14ac:dyDescent="0.3">
      <c r="A8" s="2">
        <v>43918</v>
      </c>
      <c r="B8" s="6" t="s">
        <v>9</v>
      </c>
      <c r="C8" s="9" t="s">
        <v>1</v>
      </c>
      <c r="D8" s="9">
        <v>62</v>
      </c>
      <c r="E8" s="12">
        <v>97000</v>
      </c>
      <c r="F8" s="12">
        <v>237000</v>
      </c>
      <c r="G8" s="12">
        <v>5000</v>
      </c>
    </row>
    <row r="9" spans="1:7" x14ac:dyDescent="0.3">
      <c r="A9" s="2">
        <v>43913</v>
      </c>
      <c r="B9" s="6" t="s">
        <v>12</v>
      </c>
      <c r="C9" s="9" t="s">
        <v>1</v>
      </c>
      <c r="D9" s="9">
        <v>61</v>
      </c>
      <c r="E9" s="12">
        <v>168000</v>
      </c>
      <c r="F9" s="12">
        <v>288000</v>
      </c>
      <c r="G9" s="12">
        <v>15000</v>
      </c>
    </row>
    <row r="10" spans="1:7" x14ac:dyDescent="0.3">
      <c r="A10" s="2">
        <v>43914</v>
      </c>
      <c r="B10" s="6" t="s">
        <v>12</v>
      </c>
      <c r="C10" s="9" t="s">
        <v>1</v>
      </c>
      <c r="D10" s="9">
        <v>40</v>
      </c>
      <c r="E10" s="12">
        <v>220000</v>
      </c>
      <c r="F10" s="12">
        <v>200000</v>
      </c>
      <c r="G10" s="12">
        <v>2000</v>
      </c>
    </row>
    <row r="11" spans="1:7" x14ac:dyDescent="0.3">
      <c r="A11" s="2">
        <v>43915</v>
      </c>
      <c r="B11" s="6" t="s">
        <v>14</v>
      </c>
      <c r="C11" s="9" t="s">
        <v>1</v>
      </c>
      <c r="D11" s="9">
        <v>53</v>
      </c>
      <c r="E11" s="12">
        <v>150000</v>
      </c>
      <c r="F11" s="12">
        <v>250000</v>
      </c>
      <c r="G11" s="12">
        <v>5000</v>
      </c>
    </row>
    <row r="12" spans="1:7" x14ac:dyDescent="0.3">
      <c r="A12" s="2">
        <v>43916</v>
      </c>
      <c r="B12" s="6" t="s">
        <v>9</v>
      </c>
      <c r="C12" s="9" t="s">
        <v>7</v>
      </c>
      <c r="D12" s="9">
        <v>53</v>
      </c>
      <c r="E12" s="12">
        <v>500000</v>
      </c>
      <c r="F12" s="12">
        <v>900000</v>
      </c>
      <c r="G12" s="12">
        <v>45000</v>
      </c>
    </row>
    <row r="13" spans="1:7" x14ac:dyDescent="0.3">
      <c r="A13" s="2">
        <v>43917</v>
      </c>
      <c r="B13" s="6" t="s">
        <v>13</v>
      </c>
      <c r="C13" s="9" t="s">
        <v>1</v>
      </c>
      <c r="D13" s="9">
        <v>34</v>
      </c>
      <c r="E13" s="12">
        <v>100000</v>
      </c>
      <c r="F13" s="12">
        <v>200000</v>
      </c>
      <c r="G13" s="12">
        <v>15000</v>
      </c>
    </row>
    <row r="14" spans="1:7" x14ac:dyDescent="0.3">
      <c r="A14" s="2">
        <v>43918</v>
      </c>
      <c r="B14" s="6" t="s">
        <v>13</v>
      </c>
      <c r="C14" s="9" t="s">
        <v>1</v>
      </c>
      <c r="D14" s="9">
        <v>36</v>
      </c>
      <c r="E14" s="12">
        <v>0</v>
      </c>
      <c r="F14" s="12">
        <v>880000</v>
      </c>
      <c r="G14" s="12">
        <v>4000</v>
      </c>
    </row>
    <row r="15" spans="1:7" x14ac:dyDescent="0.3">
      <c r="A15" s="2">
        <v>43913</v>
      </c>
      <c r="B15" s="6" t="s">
        <v>10</v>
      </c>
      <c r="C15" s="9" t="s">
        <v>1</v>
      </c>
      <c r="D15" s="9">
        <v>39</v>
      </c>
      <c r="E15" s="12">
        <v>150000</v>
      </c>
      <c r="F15" s="12">
        <v>170000</v>
      </c>
      <c r="G15" s="12">
        <v>5000</v>
      </c>
    </row>
    <row r="16" spans="1:7" x14ac:dyDescent="0.3">
      <c r="A16" s="2">
        <v>43914</v>
      </c>
      <c r="B16" s="6" t="s">
        <v>11</v>
      </c>
      <c r="C16" s="9" t="s">
        <v>7</v>
      </c>
      <c r="D16" s="9">
        <v>39</v>
      </c>
      <c r="E16" s="12">
        <v>600000</v>
      </c>
      <c r="F16" s="12">
        <v>500000</v>
      </c>
      <c r="G16" s="12">
        <v>5000</v>
      </c>
    </row>
    <row r="17" spans="1:7" x14ac:dyDescent="0.3">
      <c r="A17" s="2">
        <v>43915</v>
      </c>
      <c r="B17" s="6" t="s">
        <v>11</v>
      </c>
      <c r="C17" s="9" t="s">
        <v>1</v>
      </c>
      <c r="D17" s="9">
        <v>45</v>
      </c>
      <c r="E17" s="12">
        <v>400000</v>
      </c>
      <c r="F17" s="12">
        <v>400000</v>
      </c>
      <c r="G17" s="12">
        <v>15000</v>
      </c>
    </row>
    <row r="18" spans="1:7" x14ac:dyDescent="0.3">
      <c r="A18" s="2">
        <v>43916</v>
      </c>
      <c r="B18" s="6" t="s">
        <v>12</v>
      </c>
      <c r="C18" s="9" t="s">
        <v>1</v>
      </c>
      <c r="D18" s="9">
        <v>41</v>
      </c>
      <c r="E18" s="12">
        <v>120000</v>
      </c>
      <c r="F18" s="12">
        <v>30000</v>
      </c>
      <c r="G18" s="12">
        <v>10000</v>
      </c>
    </row>
    <row r="19" spans="1:7" x14ac:dyDescent="0.3">
      <c r="A19" s="2">
        <v>43917</v>
      </c>
      <c r="B19" s="6" t="s">
        <v>13</v>
      </c>
      <c r="C19" s="9" t="s">
        <v>1</v>
      </c>
      <c r="D19" s="9">
        <v>38</v>
      </c>
      <c r="E19" s="12">
        <v>250000</v>
      </c>
      <c r="F19" s="12">
        <v>120000</v>
      </c>
      <c r="G19" s="12">
        <v>10000</v>
      </c>
    </row>
    <row r="20" spans="1:7" x14ac:dyDescent="0.3">
      <c r="A20" s="2">
        <v>43918</v>
      </c>
      <c r="B20" s="6" t="s">
        <v>12</v>
      </c>
      <c r="C20" s="9" t="s">
        <v>1</v>
      </c>
      <c r="D20" s="9">
        <v>46</v>
      </c>
      <c r="E20" s="12">
        <v>150000</v>
      </c>
      <c r="F20" s="12">
        <v>720000</v>
      </c>
      <c r="G20" s="12">
        <v>60000</v>
      </c>
    </row>
    <row r="21" spans="1:7" x14ac:dyDescent="0.3">
      <c r="A21" s="2">
        <v>43913</v>
      </c>
      <c r="B21" s="6" t="s">
        <v>11</v>
      </c>
      <c r="C21" s="9" t="s">
        <v>1</v>
      </c>
      <c r="D21" s="9">
        <v>45</v>
      </c>
      <c r="E21" s="12">
        <v>350000</v>
      </c>
      <c r="F21" s="12">
        <v>0</v>
      </c>
      <c r="G21" s="12">
        <v>36000</v>
      </c>
    </row>
    <row r="22" spans="1:7" x14ac:dyDescent="0.3">
      <c r="A22" s="2">
        <v>43914</v>
      </c>
      <c r="B22" s="6" t="s">
        <v>10</v>
      </c>
      <c r="C22" s="9" t="s">
        <v>1</v>
      </c>
      <c r="D22" s="9">
        <v>61</v>
      </c>
      <c r="E22" s="12">
        <v>150000</v>
      </c>
      <c r="F22" s="12">
        <v>78000</v>
      </c>
      <c r="G22" s="12">
        <v>15000</v>
      </c>
    </row>
    <row r="23" spans="1:7" x14ac:dyDescent="0.3">
      <c r="A23" s="2">
        <v>43915</v>
      </c>
      <c r="B23" s="6" t="s">
        <v>9</v>
      </c>
      <c r="C23" s="9" t="s">
        <v>1</v>
      </c>
      <c r="D23" s="9">
        <v>48</v>
      </c>
      <c r="E23" s="12">
        <v>145000</v>
      </c>
      <c r="F23" s="12">
        <v>30000</v>
      </c>
      <c r="G23" s="12">
        <v>5000</v>
      </c>
    </row>
    <row r="24" spans="1:7" x14ac:dyDescent="0.3">
      <c r="A24" s="2">
        <v>43916</v>
      </c>
      <c r="B24" s="6" t="s">
        <v>13</v>
      </c>
      <c r="C24" s="9" t="s">
        <v>1</v>
      </c>
      <c r="D24" s="9">
        <v>51</v>
      </c>
      <c r="E24" s="12">
        <v>300000</v>
      </c>
      <c r="F24" s="12">
        <v>500000</v>
      </c>
      <c r="G24" s="12">
        <v>20000</v>
      </c>
    </row>
    <row r="25" spans="1:7" x14ac:dyDescent="0.3">
      <c r="A25" s="2">
        <v>43917</v>
      </c>
      <c r="B25" s="6" t="s">
        <v>12</v>
      </c>
      <c r="C25" s="9" t="s">
        <v>1</v>
      </c>
      <c r="D25" s="9">
        <v>46</v>
      </c>
      <c r="E25" s="12">
        <v>130000</v>
      </c>
      <c r="F25" s="12">
        <v>200000</v>
      </c>
      <c r="G25" s="12">
        <v>5000</v>
      </c>
    </row>
    <row r="26" spans="1:7" x14ac:dyDescent="0.3">
      <c r="A26" s="2">
        <v>43918</v>
      </c>
      <c r="B26" s="6" t="s">
        <v>14</v>
      </c>
      <c r="C26" s="9" t="s">
        <v>1</v>
      </c>
      <c r="D26" s="9">
        <v>51</v>
      </c>
      <c r="E26" s="12">
        <v>170000</v>
      </c>
      <c r="F26" s="12">
        <v>450000</v>
      </c>
      <c r="G26" s="12">
        <v>20000</v>
      </c>
    </row>
    <row r="27" spans="1:7" x14ac:dyDescent="0.3">
      <c r="A27" s="2">
        <v>43913</v>
      </c>
      <c r="B27" s="6" t="s">
        <v>9</v>
      </c>
      <c r="C27" s="9" t="s">
        <v>1</v>
      </c>
      <c r="D27" s="9">
        <v>45</v>
      </c>
      <c r="E27" s="12">
        <v>80000</v>
      </c>
      <c r="F27" s="12">
        <v>1200000</v>
      </c>
      <c r="G27" s="12">
        <v>10000</v>
      </c>
    </row>
    <row r="28" spans="1:7" x14ac:dyDescent="0.3">
      <c r="A28" s="2">
        <v>43914</v>
      </c>
      <c r="B28" s="6" t="s">
        <v>37</v>
      </c>
      <c r="C28" s="9" t="s">
        <v>1</v>
      </c>
      <c r="D28" s="9">
        <v>54</v>
      </c>
      <c r="E28" s="12">
        <v>60000</v>
      </c>
      <c r="F28" s="12">
        <v>170000</v>
      </c>
      <c r="G28" s="12">
        <v>8500</v>
      </c>
    </row>
    <row r="29" spans="1:7" x14ac:dyDescent="0.3">
      <c r="A29" s="2">
        <v>43915</v>
      </c>
      <c r="B29" s="6" t="s">
        <v>13</v>
      </c>
      <c r="C29" s="9" t="s">
        <v>1</v>
      </c>
      <c r="D29" s="9">
        <v>59</v>
      </c>
      <c r="E29" s="12">
        <v>150000</v>
      </c>
      <c r="F29" s="12">
        <v>0</v>
      </c>
      <c r="G29" s="12">
        <v>70000</v>
      </c>
    </row>
    <row r="30" spans="1:7" x14ac:dyDescent="0.3">
      <c r="A30" s="2">
        <v>43916</v>
      </c>
      <c r="B30" s="6" t="s">
        <v>10</v>
      </c>
      <c r="C30" s="9" t="s">
        <v>1</v>
      </c>
      <c r="D30" s="9">
        <v>40</v>
      </c>
      <c r="E30" s="12">
        <v>100000</v>
      </c>
      <c r="F30" s="12">
        <v>125000</v>
      </c>
      <c r="G30" s="12">
        <v>5000</v>
      </c>
    </row>
    <row r="31" spans="1:7" x14ac:dyDescent="0.3">
      <c r="A31" s="2">
        <v>43917</v>
      </c>
      <c r="B31" s="6" t="s">
        <v>11</v>
      </c>
      <c r="C31" s="9" t="s">
        <v>1</v>
      </c>
      <c r="D31" s="9">
        <v>46</v>
      </c>
      <c r="E31" s="12">
        <v>80000</v>
      </c>
      <c r="F31" s="12">
        <v>160000</v>
      </c>
      <c r="G31" s="12">
        <v>1000</v>
      </c>
    </row>
    <row r="32" spans="1:7" x14ac:dyDescent="0.3">
      <c r="A32" s="2">
        <v>43918</v>
      </c>
      <c r="B32" s="6" t="s">
        <v>11</v>
      </c>
      <c r="C32" s="9" t="s">
        <v>1</v>
      </c>
      <c r="D32" s="9">
        <v>41</v>
      </c>
      <c r="E32" s="12">
        <v>200000</v>
      </c>
      <c r="F32" s="12">
        <v>100000</v>
      </c>
      <c r="G32" s="12">
        <v>20000</v>
      </c>
    </row>
    <row r="33" spans="1:7" x14ac:dyDescent="0.3">
      <c r="A33" s="2">
        <v>43913</v>
      </c>
      <c r="B33" s="6" t="s">
        <v>12</v>
      </c>
      <c r="C33" s="9" t="s">
        <v>1</v>
      </c>
      <c r="D33" s="9">
        <v>41</v>
      </c>
      <c r="E33" s="12">
        <v>180000</v>
      </c>
      <c r="F33" s="12">
        <v>0</v>
      </c>
      <c r="G33" s="12">
        <v>3000</v>
      </c>
    </row>
    <row r="34" spans="1:7" x14ac:dyDescent="0.3">
      <c r="A34" s="2">
        <v>43914</v>
      </c>
      <c r="B34" s="6" t="s">
        <v>13</v>
      </c>
      <c r="C34" s="9" t="s">
        <v>1</v>
      </c>
      <c r="D34" s="9">
        <v>57</v>
      </c>
      <c r="E34" s="12">
        <v>150000</v>
      </c>
      <c r="F34" s="12">
        <v>100000</v>
      </c>
      <c r="G34" s="12">
        <v>15000</v>
      </c>
    </row>
    <row r="35" spans="1:7" x14ac:dyDescent="0.3">
      <c r="A35" s="2">
        <v>43915</v>
      </c>
      <c r="B35" s="6" t="s">
        <v>12</v>
      </c>
      <c r="C35" s="9" t="s">
        <v>1</v>
      </c>
      <c r="D35" s="9">
        <v>35</v>
      </c>
      <c r="E35" s="12">
        <v>200000</v>
      </c>
      <c r="F35" s="12">
        <v>390000</v>
      </c>
      <c r="G35" s="12">
        <v>10000</v>
      </c>
    </row>
    <row r="36" spans="1:7" x14ac:dyDescent="0.3">
      <c r="A36" s="2">
        <v>43916</v>
      </c>
      <c r="B36" s="6" t="s">
        <v>11</v>
      </c>
      <c r="C36" s="9" t="s">
        <v>1</v>
      </c>
      <c r="D36" s="9">
        <v>40</v>
      </c>
      <c r="E36" s="12">
        <v>700000</v>
      </c>
      <c r="F36" s="12">
        <v>500000</v>
      </c>
      <c r="G36" s="12">
        <v>5000</v>
      </c>
    </row>
    <row r="37" spans="1:7" x14ac:dyDescent="0.3">
      <c r="A37" s="2">
        <v>43917</v>
      </c>
      <c r="B37" s="6" t="s">
        <v>10</v>
      </c>
      <c r="C37" s="9" t="s">
        <v>1</v>
      </c>
      <c r="D37" s="9">
        <v>52</v>
      </c>
      <c r="E37" s="12">
        <v>150000</v>
      </c>
      <c r="F37" s="12">
        <v>300000</v>
      </c>
      <c r="G37" s="12">
        <v>10000</v>
      </c>
    </row>
    <row r="38" spans="1:7" x14ac:dyDescent="0.3">
      <c r="A38" s="2">
        <v>43918</v>
      </c>
      <c r="B38" s="6" t="s">
        <v>9</v>
      </c>
      <c r="C38" s="9" t="s">
        <v>1</v>
      </c>
      <c r="D38" s="9">
        <v>59</v>
      </c>
      <c r="E38" s="12">
        <v>150000</v>
      </c>
      <c r="F38" s="12">
        <v>220000</v>
      </c>
      <c r="G38" s="12">
        <v>5000</v>
      </c>
    </row>
    <row r="39" spans="1:7" x14ac:dyDescent="0.3">
      <c r="A39" s="2">
        <v>43913</v>
      </c>
      <c r="B39" s="6" t="s">
        <v>37</v>
      </c>
      <c r="C39" s="9" t="s">
        <v>1</v>
      </c>
      <c r="D39" s="9">
        <v>43</v>
      </c>
      <c r="E39" s="12">
        <v>150000</v>
      </c>
      <c r="F39" s="12">
        <v>0</v>
      </c>
      <c r="G39" s="12">
        <v>20000</v>
      </c>
    </row>
    <row r="40" spans="1:7" x14ac:dyDescent="0.3">
      <c r="A40" s="2">
        <v>43914</v>
      </c>
      <c r="B40" s="6" t="s">
        <v>12</v>
      </c>
      <c r="C40" s="9" t="s">
        <v>1</v>
      </c>
      <c r="D40" s="9">
        <v>34</v>
      </c>
      <c r="E40" s="12">
        <v>200000</v>
      </c>
      <c r="F40" s="12">
        <v>1000000</v>
      </c>
      <c r="G40" s="12">
        <v>10000</v>
      </c>
    </row>
    <row r="41" spans="1:7" x14ac:dyDescent="0.3">
      <c r="A41" s="2">
        <v>43915</v>
      </c>
      <c r="B41" s="6" t="s">
        <v>14</v>
      </c>
      <c r="C41" s="9" t="s">
        <v>1</v>
      </c>
      <c r="D41" s="9">
        <v>39</v>
      </c>
      <c r="E41" s="12">
        <v>100000</v>
      </c>
      <c r="F41" s="12">
        <v>140000</v>
      </c>
      <c r="G41" s="12">
        <v>200</v>
      </c>
    </row>
    <row r="42" spans="1:7" x14ac:dyDescent="0.3">
      <c r="A42" s="2">
        <v>43916</v>
      </c>
      <c r="B42" s="6" t="s">
        <v>9</v>
      </c>
      <c r="C42" s="9" t="s">
        <v>1</v>
      </c>
      <c r="D42" s="9">
        <v>42</v>
      </c>
      <c r="E42" s="12">
        <v>150000</v>
      </c>
      <c r="F42" s="12">
        <v>400000</v>
      </c>
      <c r="G42" s="12">
        <v>24000</v>
      </c>
    </row>
    <row r="43" spans="1:7" x14ac:dyDescent="0.3">
      <c r="A43" s="2">
        <v>43917</v>
      </c>
      <c r="B43" s="6" t="s">
        <v>14</v>
      </c>
      <c r="C43" s="9" t="s">
        <v>1</v>
      </c>
      <c r="D43" s="9">
        <v>51</v>
      </c>
      <c r="E43" s="12">
        <v>150000</v>
      </c>
      <c r="F43" s="12">
        <v>180000</v>
      </c>
      <c r="G43" s="12">
        <v>5000</v>
      </c>
    </row>
    <row r="44" spans="1:7" x14ac:dyDescent="0.3">
      <c r="A44" s="2">
        <v>43918</v>
      </c>
      <c r="B44" s="6" t="s">
        <v>13</v>
      </c>
      <c r="C44" s="9" t="s">
        <v>1</v>
      </c>
      <c r="D44" s="9">
        <v>41</v>
      </c>
      <c r="E44" s="12">
        <v>150000</v>
      </c>
      <c r="F44" s="12">
        <v>200000</v>
      </c>
      <c r="G44" s="12">
        <v>4000</v>
      </c>
    </row>
    <row r="45" spans="1:7" x14ac:dyDescent="0.3">
      <c r="A45" s="2">
        <v>43913</v>
      </c>
      <c r="B45" s="6" t="s">
        <v>10</v>
      </c>
      <c r="C45" s="9" t="s">
        <v>1</v>
      </c>
      <c r="D45" s="9">
        <v>37</v>
      </c>
      <c r="E45" s="12">
        <v>70000</v>
      </c>
      <c r="F45" s="12">
        <v>120000</v>
      </c>
      <c r="G45" s="12">
        <v>2500</v>
      </c>
    </row>
    <row r="46" spans="1:7" x14ac:dyDescent="0.3">
      <c r="A46" s="2">
        <v>43918</v>
      </c>
      <c r="B46" s="6" t="s">
        <v>14</v>
      </c>
      <c r="C46" s="9" t="s">
        <v>0</v>
      </c>
      <c r="D46" s="9">
        <v>44</v>
      </c>
      <c r="E46" s="12">
        <v>750000</v>
      </c>
      <c r="F46" s="12">
        <v>230000</v>
      </c>
      <c r="G46" s="12">
        <v>240000</v>
      </c>
    </row>
    <row r="47" spans="1:7" x14ac:dyDescent="0.3">
      <c r="A47" s="2">
        <v>43913</v>
      </c>
      <c r="B47" s="6" t="s">
        <v>9</v>
      </c>
      <c r="C47" s="9" t="s">
        <v>0</v>
      </c>
      <c r="D47" s="9">
        <v>46</v>
      </c>
      <c r="E47" s="12">
        <v>360000</v>
      </c>
      <c r="F47" s="12">
        <v>1030000</v>
      </c>
      <c r="G47" s="12">
        <v>1040000</v>
      </c>
    </row>
    <row r="48" spans="1:7" x14ac:dyDescent="0.3">
      <c r="A48" s="2">
        <v>43914</v>
      </c>
      <c r="B48" s="6" t="s">
        <v>11</v>
      </c>
      <c r="C48" s="9" t="s">
        <v>0</v>
      </c>
      <c r="D48" s="9">
        <v>39</v>
      </c>
      <c r="E48" s="12">
        <v>1170000</v>
      </c>
      <c r="F48" s="12">
        <v>380000</v>
      </c>
      <c r="G48" s="12">
        <v>390000</v>
      </c>
    </row>
    <row r="49" spans="1:7" x14ac:dyDescent="0.3">
      <c r="A49" s="2">
        <v>43915</v>
      </c>
      <c r="B49" s="6" t="s">
        <v>13</v>
      </c>
      <c r="C49" s="9" t="s">
        <v>0</v>
      </c>
      <c r="D49" s="9">
        <v>47</v>
      </c>
      <c r="E49" s="12">
        <v>370000</v>
      </c>
      <c r="F49" s="12">
        <v>280000</v>
      </c>
      <c r="G49" s="12">
        <v>290000</v>
      </c>
    </row>
    <row r="50" spans="1:7" x14ac:dyDescent="0.3">
      <c r="A50" s="2">
        <v>43916</v>
      </c>
      <c r="B50" s="6" t="s">
        <v>10</v>
      </c>
      <c r="C50" s="9" t="s">
        <v>0</v>
      </c>
      <c r="D50" s="9">
        <v>34</v>
      </c>
      <c r="E50" s="12">
        <v>348000</v>
      </c>
      <c r="F50" s="12">
        <v>290000</v>
      </c>
      <c r="G50" s="12">
        <v>300000</v>
      </c>
    </row>
    <row r="51" spans="1:7" x14ac:dyDescent="0.3">
      <c r="A51" s="2">
        <v>43917</v>
      </c>
      <c r="B51" s="6" t="s">
        <v>11</v>
      </c>
      <c r="C51" s="9" t="s">
        <v>0</v>
      </c>
      <c r="D51" s="9">
        <v>43</v>
      </c>
      <c r="E51" s="12">
        <v>400000</v>
      </c>
      <c r="F51" s="12">
        <v>200000</v>
      </c>
      <c r="G51" s="12">
        <v>210000</v>
      </c>
    </row>
    <row r="52" spans="1:7" x14ac:dyDescent="0.3">
      <c r="A52" s="2">
        <v>43918</v>
      </c>
      <c r="B52" s="6" t="s">
        <v>11</v>
      </c>
      <c r="C52" s="9" t="s">
        <v>0</v>
      </c>
      <c r="D52" s="9">
        <v>38</v>
      </c>
      <c r="E52" s="12">
        <v>350000</v>
      </c>
      <c r="F52" s="12">
        <v>390000</v>
      </c>
      <c r="G52" s="12">
        <v>400000</v>
      </c>
    </row>
    <row r="53" spans="1:7" x14ac:dyDescent="0.3">
      <c r="A53" s="2">
        <v>43913</v>
      </c>
      <c r="B53" s="6" t="s">
        <v>12</v>
      </c>
      <c r="C53" s="9" t="s">
        <v>0</v>
      </c>
      <c r="D53" s="9">
        <v>37</v>
      </c>
      <c r="E53" s="12">
        <v>600000</v>
      </c>
      <c r="F53" s="12">
        <v>920000</v>
      </c>
      <c r="G53" s="12">
        <v>930000</v>
      </c>
    </row>
    <row r="54" spans="1:7" x14ac:dyDescent="0.3">
      <c r="A54" s="2">
        <v>43914</v>
      </c>
      <c r="B54" s="6" t="s">
        <v>13</v>
      </c>
      <c r="C54" s="9" t="s">
        <v>0</v>
      </c>
      <c r="D54" s="9">
        <v>34</v>
      </c>
      <c r="E54" s="12">
        <v>570000</v>
      </c>
      <c r="F54" s="12">
        <v>249000</v>
      </c>
      <c r="G54" s="12">
        <v>259000</v>
      </c>
    </row>
    <row r="55" spans="1:7" x14ac:dyDescent="0.3">
      <c r="A55" s="2">
        <v>43915</v>
      </c>
      <c r="B55" s="6" t="s">
        <v>12</v>
      </c>
      <c r="C55" s="9" t="s">
        <v>0</v>
      </c>
      <c r="D55" s="9">
        <v>49</v>
      </c>
      <c r="E55" s="12">
        <v>460000</v>
      </c>
      <c r="F55" s="12">
        <v>780000</v>
      </c>
      <c r="G55" s="12">
        <v>790000</v>
      </c>
    </row>
    <row r="56" spans="1:7" x14ac:dyDescent="0.3">
      <c r="A56" s="2">
        <v>43916</v>
      </c>
      <c r="B56" s="6" t="s">
        <v>11</v>
      </c>
      <c r="C56" s="9" t="s">
        <v>0</v>
      </c>
      <c r="D56" s="9">
        <v>41</v>
      </c>
      <c r="E56" s="12">
        <v>890000</v>
      </c>
      <c r="F56" s="12">
        <v>280000</v>
      </c>
      <c r="G56" s="12">
        <v>290000</v>
      </c>
    </row>
    <row r="57" spans="1:7" x14ac:dyDescent="0.3">
      <c r="A57" s="2">
        <v>43917</v>
      </c>
      <c r="B57" s="6" t="s">
        <v>10</v>
      </c>
      <c r="C57" s="9" t="s">
        <v>0</v>
      </c>
      <c r="D57" s="9">
        <v>44</v>
      </c>
      <c r="E57" s="12">
        <v>900000</v>
      </c>
      <c r="F57" s="12">
        <v>630000</v>
      </c>
      <c r="G57" s="12">
        <v>640000</v>
      </c>
    </row>
    <row r="58" spans="1:7" x14ac:dyDescent="0.3">
      <c r="A58" s="2">
        <v>43918</v>
      </c>
      <c r="B58" s="6" t="s">
        <v>9</v>
      </c>
      <c r="C58" s="9" t="s">
        <v>0</v>
      </c>
      <c r="D58" s="9">
        <v>42</v>
      </c>
      <c r="E58" s="12">
        <v>450000</v>
      </c>
      <c r="F58" s="12">
        <v>160000</v>
      </c>
      <c r="G58" s="12">
        <v>170000</v>
      </c>
    </row>
    <row r="59" spans="1:7" x14ac:dyDescent="0.3">
      <c r="A59" s="2">
        <v>43913</v>
      </c>
      <c r="B59" s="6" t="s">
        <v>11</v>
      </c>
      <c r="C59" s="9" t="s">
        <v>0</v>
      </c>
      <c r="D59" s="9">
        <v>40</v>
      </c>
      <c r="E59" s="12">
        <v>450000</v>
      </c>
      <c r="F59" s="12">
        <v>150000</v>
      </c>
      <c r="G59" s="12">
        <v>160000</v>
      </c>
    </row>
    <row r="60" spans="1:7" x14ac:dyDescent="0.3">
      <c r="A60" s="2">
        <v>43914</v>
      </c>
      <c r="B60" s="6" t="s">
        <v>12</v>
      </c>
      <c r="C60" s="9" t="s">
        <v>0</v>
      </c>
      <c r="D60" s="9">
        <v>39</v>
      </c>
      <c r="E60" s="12">
        <v>650000</v>
      </c>
      <c r="F60" s="12">
        <v>180000</v>
      </c>
      <c r="G60" s="12">
        <v>190000</v>
      </c>
    </row>
    <row r="61" spans="1:7" x14ac:dyDescent="0.3">
      <c r="A61" s="2">
        <v>43915</v>
      </c>
      <c r="B61" s="6" t="s">
        <v>14</v>
      </c>
      <c r="C61" s="9" t="s">
        <v>0</v>
      </c>
      <c r="D61" s="9">
        <v>48</v>
      </c>
      <c r="E61" s="12">
        <v>750000</v>
      </c>
      <c r="F61" s="12">
        <v>120000</v>
      </c>
      <c r="G61" s="12">
        <v>130000</v>
      </c>
    </row>
    <row r="62" spans="1:7" x14ac:dyDescent="0.3">
      <c r="A62" s="2">
        <v>43916</v>
      </c>
      <c r="B62" s="6" t="s">
        <v>9</v>
      </c>
      <c r="C62" s="9" t="s">
        <v>0</v>
      </c>
      <c r="D62" s="9">
        <v>41</v>
      </c>
      <c r="E62" s="12">
        <v>400000</v>
      </c>
      <c r="F62" s="12">
        <v>80000</v>
      </c>
      <c r="G62" s="12">
        <v>90000</v>
      </c>
    </row>
    <row r="63" spans="1:7" x14ac:dyDescent="0.3">
      <c r="A63" s="2">
        <v>43917</v>
      </c>
      <c r="B63" s="6" t="s">
        <v>9</v>
      </c>
      <c r="C63" s="9" t="s">
        <v>0</v>
      </c>
      <c r="D63" s="9">
        <v>42</v>
      </c>
      <c r="E63" s="12">
        <v>600000</v>
      </c>
      <c r="F63" s="12">
        <v>480000</v>
      </c>
      <c r="G63" s="12">
        <v>490000</v>
      </c>
    </row>
    <row r="64" spans="1:7" x14ac:dyDescent="0.3">
      <c r="A64" s="2">
        <v>43918</v>
      </c>
      <c r="B64" s="6" t="s">
        <v>13</v>
      </c>
      <c r="C64" s="9" t="s">
        <v>0</v>
      </c>
      <c r="D64" s="9">
        <v>43</v>
      </c>
      <c r="E64" s="12">
        <v>600000</v>
      </c>
      <c r="F64" s="12">
        <v>580000</v>
      </c>
      <c r="G64" s="12">
        <v>590000</v>
      </c>
    </row>
    <row r="65" spans="1:7" x14ac:dyDescent="0.3">
      <c r="A65" s="2">
        <v>43913</v>
      </c>
      <c r="B65" s="6" t="s">
        <v>10</v>
      </c>
      <c r="C65" s="9" t="s">
        <v>0</v>
      </c>
      <c r="D65" s="9">
        <v>35</v>
      </c>
      <c r="E65" s="12">
        <v>450000</v>
      </c>
      <c r="F65" s="12">
        <v>330000</v>
      </c>
      <c r="G65" s="12">
        <v>340000</v>
      </c>
    </row>
    <row r="66" spans="1:7" x14ac:dyDescent="0.3">
      <c r="A66" s="2">
        <v>43914</v>
      </c>
      <c r="B66" s="6" t="s">
        <v>11</v>
      </c>
      <c r="C66" s="9" t="s">
        <v>0</v>
      </c>
      <c r="D66" s="9">
        <v>46</v>
      </c>
      <c r="E66" s="12">
        <v>650000</v>
      </c>
      <c r="F66" s="12">
        <v>240000</v>
      </c>
      <c r="G66" s="12">
        <v>250000</v>
      </c>
    </row>
    <row r="67" spans="1:7" x14ac:dyDescent="0.3">
      <c r="A67" s="2">
        <v>43915</v>
      </c>
      <c r="B67" s="6" t="s">
        <v>11</v>
      </c>
      <c r="C67" s="9" t="s">
        <v>0</v>
      </c>
      <c r="D67" s="9">
        <v>39</v>
      </c>
      <c r="E67" s="12">
        <v>370000</v>
      </c>
      <c r="F67" s="12">
        <v>160000</v>
      </c>
      <c r="G67" s="12">
        <v>170000</v>
      </c>
    </row>
    <row r="68" spans="1:7" x14ac:dyDescent="0.3">
      <c r="A68" s="2">
        <v>43916</v>
      </c>
      <c r="B68" s="6" t="s">
        <v>12</v>
      </c>
      <c r="C68" s="9" t="s">
        <v>0</v>
      </c>
      <c r="D68" s="9">
        <v>35</v>
      </c>
      <c r="E68" s="12">
        <v>345000</v>
      </c>
      <c r="F68" s="12">
        <v>80000</v>
      </c>
      <c r="G68" s="12">
        <v>90000</v>
      </c>
    </row>
    <row r="69" spans="1:7" x14ac:dyDescent="0.3">
      <c r="A69" s="2">
        <v>43917</v>
      </c>
      <c r="B69" s="6" t="s">
        <v>13</v>
      </c>
      <c r="C69" s="9" t="s">
        <v>0</v>
      </c>
      <c r="D69" s="9">
        <v>37</v>
      </c>
      <c r="E69" s="12">
        <v>470000</v>
      </c>
      <c r="F69" s="12">
        <v>280000</v>
      </c>
      <c r="G69" s="12">
        <v>290000</v>
      </c>
    </row>
    <row r="70" spans="1:7" x14ac:dyDescent="0.3">
      <c r="A70" s="2">
        <v>43915</v>
      </c>
      <c r="B70" s="6" t="s">
        <v>9</v>
      </c>
      <c r="C70" s="9" t="s">
        <v>1</v>
      </c>
      <c r="D70" s="9">
        <v>44</v>
      </c>
      <c r="E70" s="12">
        <v>175000</v>
      </c>
      <c r="F70" s="12">
        <v>190000</v>
      </c>
      <c r="G70" s="12">
        <v>20000</v>
      </c>
    </row>
    <row r="71" spans="1:7" x14ac:dyDescent="0.3">
      <c r="A71" s="2">
        <v>43916</v>
      </c>
      <c r="B71" s="6" t="s">
        <v>14</v>
      </c>
      <c r="C71" s="9" t="s">
        <v>1</v>
      </c>
      <c r="D71" s="9">
        <v>47</v>
      </c>
      <c r="E71" s="12">
        <v>200000</v>
      </c>
      <c r="F71" s="12">
        <v>170000</v>
      </c>
      <c r="G71" s="12">
        <v>10000</v>
      </c>
    </row>
    <row r="72" spans="1:7" x14ac:dyDescent="0.3">
      <c r="A72" s="2">
        <v>43917</v>
      </c>
      <c r="B72" s="6" t="s">
        <v>12</v>
      </c>
      <c r="C72" s="9" t="s">
        <v>1</v>
      </c>
      <c r="D72" s="9">
        <v>47</v>
      </c>
      <c r="E72" s="12">
        <v>420000</v>
      </c>
      <c r="F72" s="12">
        <v>80000</v>
      </c>
      <c r="G72" s="12">
        <v>3000</v>
      </c>
    </row>
    <row r="73" spans="1:7" x14ac:dyDescent="0.3">
      <c r="A73" s="2">
        <v>43918</v>
      </c>
      <c r="B73" s="6" t="s">
        <v>14</v>
      </c>
      <c r="C73" s="9" t="s">
        <v>1</v>
      </c>
      <c r="D73" s="9">
        <v>42</v>
      </c>
      <c r="E73" s="12">
        <v>150000</v>
      </c>
      <c r="F73" s="12">
        <v>100000</v>
      </c>
      <c r="G73" s="12">
        <v>7000</v>
      </c>
    </row>
    <row r="74" spans="1:7" x14ac:dyDescent="0.3">
      <c r="A74" s="2">
        <v>43913</v>
      </c>
      <c r="B74" s="6" t="s">
        <v>9</v>
      </c>
      <c r="C74" s="9" t="s">
        <v>1</v>
      </c>
      <c r="D74" s="9">
        <v>39</v>
      </c>
      <c r="E74" s="12">
        <v>250000</v>
      </c>
      <c r="F74" s="12">
        <v>300000</v>
      </c>
      <c r="G74" s="12">
        <v>10000</v>
      </c>
    </row>
    <row r="75" spans="1:7" x14ac:dyDescent="0.3">
      <c r="A75" s="2">
        <v>43914</v>
      </c>
      <c r="B75" s="6" t="s">
        <v>36</v>
      </c>
      <c r="C75" s="9" t="s">
        <v>1</v>
      </c>
      <c r="D75" s="9">
        <v>38</v>
      </c>
      <c r="E75" s="12">
        <v>85000</v>
      </c>
      <c r="F75" s="12">
        <v>105000</v>
      </c>
      <c r="G75" s="12">
        <v>5000</v>
      </c>
    </row>
    <row r="76" spans="1:7" x14ac:dyDescent="0.3">
      <c r="A76" s="2">
        <v>43915</v>
      </c>
      <c r="B76" s="6" t="s">
        <v>13</v>
      </c>
      <c r="C76" s="9" t="s">
        <v>1</v>
      </c>
      <c r="D76" s="9">
        <v>36</v>
      </c>
      <c r="E76" s="12">
        <v>250000</v>
      </c>
      <c r="F76" s="12">
        <v>368000</v>
      </c>
      <c r="G76" s="12">
        <v>15000</v>
      </c>
    </row>
    <row r="77" spans="1:7" x14ac:dyDescent="0.3">
      <c r="A77" s="2">
        <v>43916</v>
      </c>
      <c r="B77" s="6" t="s">
        <v>10</v>
      </c>
      <c r="C77" s="9" t="s">
        <v>1</v>
      </c>
      <c r="D77" s="9">
        <v>34</v>
      </c>
      <c r="E77" s="12">
        <v>120000</v>
      </c>
      <c r="F77" s="12">
        <v>145000</v>
      </c>
      <c r="G77" s="12">
        <v>5000</v>
      </c>
    </row>
    <row r="78" spans="1:7" x14ac:dyDescent="0.3">
      <c r="A78" s="2">
        <v>43917</v>
      </c>
      <c r="B78" s="6" t="s">
        <v>11</v>
      </c>
      <c r="C78" s="9" t="s">
        <v>1</v>
      </c>
      <c r="D78" s="9">
        <v>35</v>
      </c>
      <c r="E78" s="12">
        <v>70000</v>
      </c>
      <c r="F78" s="12">
        <v>160000</v>
      </c>
      <c r="G78" s="12">
        <v>3000</v>
      </c>
    </row>
    <row r="79" spans="1:7" x14ac:dyDescent="0.3">
      <c r="A79" s="2">
        <v>43918</v>
      </c>
      <c r="B79" s="6" t="s">
        <v>11</v>
      </c>
      <c r="C79" s="9" t="s">
        <v>1</v>
      </c>
      <c r="D79" s="9">
        <v>45</v>
      </c>
      <c r="E79" s="12">
        <v>230000</v>
      </c>
      <c r="F79" s="12">
        <v>280000</v>
      </c>
      <c r="G79" s="12">
        <v>5000</v>
      </c>
    </row>
    <row r="80" spans="1:7" x14ac:dyDescent="0.3">
      <c r="A80" s="2">
        <v>43913</v>
      </c>
      <c r="B80" s="6" t="s">
        <v>12</v>
      </c>
      <c r="C80" s="9" t="s">
        <v>1</v>
      </c>
      <c r="D80" s="9">
        <v>44</v>
      </c>
      <c r="E80" s="12">
        <v>55000</v>
      </c>
      <c r="F80" s="12">
        <v>159200</v>
      </c>
      <c r="G80" s="12">
        <v>7200</v>
      </c>
    </row>
    <row r="81" spans="1:7" x14ac:dyDescent="0.3">
      <c r="A81" s="2">
        <v>43914</v>
      </c>
      <c r="B81" s="6" t="s">
        <v>13</v>
      </c>
      <c r="C81" s="9" t="s">
        <v>1</v>
      </c>
      <c r="D81" s="9">
        <v>39</v>
      </c>
      <c r="E81" s="12">
        <v>160000</v>
      </c>
      <c r="F81" s="12">
        <v>500000</v>
      </c>
      <c r="G81" s="12">
        <v>10000</v>
      </c>
    </row>
    <row r="82" spans="1:7" x14ac:dyDescent="0.3">
      <c r="A82" s="2">
        <v>43915</v>
      </c>
      <c r="B82" s="6" t="s">
        <v>12</v>
      </c>
      <c r="C82" s="9" t="s">
        <v>1</v>
      </c>
      <c r="D82" s="9">
        <v>37</v>
      </c>
      <c r="E82" s="12">
        <v>300000</v>
      </c>
      <c r="F82" s="12">
        <v>350000</v>
      </c>
      <c r="G82" s="12">
        <v>5000</v>
      </c>
    </row>
    <row r="83" spans="1:7" x14ac:dyDescent="0.3">
      <c r="A83" s="2">
        <v>43916</v>
      </c>
      <c r="B83" s="6" t="s">
        <v>11</v>
      </c>
      <c r="C83" s="9" t="s">
        <v>1</v>
      </c>
      <c r="D83" s="9">
        <v>41</v>
      </c>
      <c r="E83" s="12">
        <v>71000</v>
      </c>
      <c r="F83" s="12">
        <v>30000</v>
      </c>
      <c r="G83" s="12">
        <v>2000</v>
      </c>
    </row>
    <row r="84" spans="1:7" x14ac:dyDescent="0.3">
      <c r="A84" s="2">
        <v>43917</v>
      </c>
      <c r="B84" s="6" t="s">
        <v>10</v>
      </c>
      <c r="C84" s="9" t="s">
        <v>1</v>
      </c>
      <c r="D84" s="9">
        <v>51</v>
      </c>
      <c r="E84" s="12">
        <v>103000</v>
      </c>
      <c r="F84" s="12">
        <v>50000</v>
      </c>
      <c r="G84" s="12">
        <v>20000</v>
      </c>
    </row>
    <row r="85" spans="1:7" x14ac:dyDescent="0.3">
      <c r="A85" s="2">
        <v>43918</v>
      </c>
      <c r="B85" s="6" t="s">
        <v>9</v>
      </c>
      <c r="C85" s="9" t="s">
        <v>1</v>
      </c>
      <c r="D85" s="9">
        <v>44</v>
      </c>
      <c r="E85" s="12">
        <v>250000</v>
      </c>
      <c r="F85" s="12">
        <v>220000</v>
      </c>
      <c r="G85" s="12">
        <v>35000</v>
      </c>
    </row>
    <row r="86" spans="1:7" x14ac:dyDescent="0.3">
      <c r="A86" s="2">
        <v>43913</v>
      </c>
      <c r="B86" s="6" t="s">
        <v>36</v>
      </c>
      <c r="C86" s="9" t="s">
        <v>1</v>
      </c>
      <c r="D86" s="9">
        <v>35</v>
      </c>
      <c r="E86" s="12">
        <v>300000</v>
      </c>
      <c r="F86" s="12">
        <v>200000</v>
      </c>
      <c r="G86" s="12">
        <v>10000</v>
      </c>
    </row>
    <row r="87" spans="1:7" x14ac:dyDescent="0.3">
      <c r="A87" s="2">
        <v>43914</v>
      </c>
      <c r="B87" s="6" t="s">
        <v>12</v>
      </c>
      <c r="C87" s="9" t="s">
        <v>1</v>
      </c>
      <c r="D87" s="9">
        <v>50</v>
      </c>
      <c r="E87" s="12">
        <v>150000</v>
      </c>
      <c r="F87" s="12">
        <v>270000</v>
      </c>
      <c r="G87" s="12">
        <v>5000</v>
      </c>
    </row>
    <row r="88" spans="1:7" x14ac:dyDescent="0.3">
      <c r="A88" s="2">
        <v>43915</v>
      </c>
      <c r="B88" s="6" t="s">
        <v>14</v>
      </c>
      <c r="C88" s="9" t="s">
        <v>1</v>
      </c>
      <c r="D88" s="9">
        <v>37</v>
      </c>
      <c r="E88" s="12">
        <v>0</v>
      </c>
      <c r="F88" s="12">
        <v>0</v>
      </c>
      <c r="G88" s="12">
        <v>0</v>
      </c>
    </row>
    <row r="89" spans="1:7" x14ac:dyDescent="0.3">
      <c r="A89" s="2">
        <v>43916</v>
      </c>
      <c r="B89" s="6" t="s">
        <v>9</v>
      </c>
      <c r="C89" s="9" t="s">
        <v>1</v>
      </c>
      <c r="D89" s="9">
        <v>47</v>
      </c>
      <c r="E89" s="12">
        <v>150000</v>
      </c>
      <c r="F89" s="12">
        <v>0</v>
      </c>
      <c r="G89" s="12">
        <v>5200</v>
      </c>
    </row>
    <row r="90" spans="1:7" x14ac:dyDescent="0.3">
      <c r="A90" s="2">
        <v>43917</v>
      </c>
      <c r="B90" s="6" t="s">
        <v>38</v>
      </c>
      <c r="C90" s="9" t="s">
        <v>1</v>
      </c>
      <c r="D90" s="9">
        <v>44</v>
      </c>
      <c r="E90" s="12">
        <v>100000</v>
      </c>
      <c r="F90" s="12">
        <v>350000</v>
      </c>
      <c r="G90" s="12">
        <v>30000</v>
      </c>
    </row>
    <row r="91" spans="1:7" x14ac:dyDescent="0.3">
      <c r="A91" s="2">
        <v>43918</v>
      </c>
      <c r="B91" s="6" t="s">
        <v>13</v>
      </c>
      <c r="C91" s="9" t="s">
        <v>1</v>
      </c>
      <c r="D91" s="9">
        <v>35</v>
      </c>
      <c r="E91" s="12">
        <v>250000</v>
      </c>
      <c r="F91" s="12">
        <v>565000</v>
      </c>
      <c r="G91" s="12">
        <v>15000</v>
      </c>
    </row>
    <row r="92" spans="1:7" x14ac:dyDescent="0.3">
      <c r="A92" s="2">
        <v>43913</v>
      </c>
      <c r="B92" s="6" t="s">
        <v>10</v>
      </c>
      <c r="C92" s="9" t="s">
        <v>1</v>
      </c>
      <c r="D92" s="9">
        <v>38</v>
      </c>
      <c r="E92" s="12">
        <v>200000</v>
      </c>
      <c r="F92" s="12">
        <v>50000</v>
      </c>
      <c r="G92" s="12">
        <v>8000</v>
      </c>
    </row>
    <row r="93" spans="1:7" x14ac:dyDescent="0.3">
      <c r="A93" s="2">
        <v>43914</v>
      </c>
      <c r="B93" s="6" t="s">
        <v>11</v>
      </c>
      <c r="C93" s="9" t="s">
        <v>1</v>
      </c>
      <c r="D93" s="9">
        <v>38</v>
      </c>
      <c r="E93" s="12">
        <v>60000</v>
      </c>
      <c r="F93" s="12">
        <v>3380000</v>
      </c>
      <c r="G93" s="12">
        <v>3693</v>
      </c>
    </row>
    <row r="94" spans="1:7" x14ac:dyDescent="0.3">
      <c r="A94" s="2">
        <v>43915</v>
      </c>
      <c r="B94" s="6" t="s">
        <v>11</v>
      </c>
      <c r="C94" s="9" t="s">
        <v>1</v>
      </c>
      <c r="D94" s="9">
        <v>42</v>
      </c>
      <c r="E94" s="12">
        <v>500000</v>
      </c>
      <c r="F94" s="12">
        <v>800000</v>
      </c>
      <c r="G94" s="12">
        <v>10000</v>
      </c>
    </row>
    <row r="95" spans="1:7" x14ac:dyDescent="0.3">
      <c r="A95" s="2">
        <v>43916</v>
      </c>
      <c r="B95" s="6" t="s">
        <v>12</v>
      </c>
      <c r="C95" s="9" t="s">
        <v>1</v>
      </c>
      <c r="D95" s="9">
        <v>40</v>
      </c>
      <c r="E95" s="12">
        <v>150000</v>
      </c>
      <c r="F95" s="12">
        <v>300000</v>
      </c>
      <c r="G95" s="12">
        <v>100000</v>
      </c>
    </row>
    <row r="96" spans="1:7" x14ac:dyDescent="0.3">
      <c r="A96" s="2">
        <v>43917</v>
      </c>
      <c r="B96" s="6" t="s">
        <v>13</v>
      </c>
      <c r="C96" s="9" t="s">
        <v>1</v>
      </c>
      <c r="D96" s="9">
        <v>39</v>
      </c>
      <c r="E96" s="12">
        <v>180000</v>
      </c>
      <c r="F96" s="12">
        <v>500000</v>
      </c>
      <c r="G96" s="12">
        <v>20000</v>
      </c>
    </row>
    <row r="97" spans="1:7" x14ac:dyDescent="0.3">
      <c r="A97" s="2">
        <v>43918</v>
      </c>
      <c r="B97" s="6" t="s">
        <v>12</v>
      </c>
      <c r="C97" s="9" t="s">
        <v>1</v>
      </c>
      <c r="D97" s="9">
        <v>42</v>
      </c>
      <c r="E97" s="12">
        <v>160000</v>
      </c>
      <c r="F97" s="12">
        <v>650000</v>
      </c>
      <c r="G97" s="12">
        <v>12000</v>
      </c>
    </row>
    <row r="98" spans="1:7" x14ac:dyDescent="0.3">
      <c r="A98" s="2">
        <v>43913</v>
      </c>
      <c r="B98" s="6" t="s">
        <v>11</v>
      </c>
      <c r="C98" s="9" t="s">
        <v>1</v>
      </c>
      <c r="D98" s="9">
        <v>37</v>
      </c>
      <c r="E98" s="12">
        <v>500000</v>
      </c>
      <c r="F98" s="12">
        <v>290000</v>
      </c>
      <c r="G98" s="12">
        <v>13000</v>
      </c>
    </row>
    <row r="99" spans="1:7" x14ac:dyDescent="0.3">
      <c r="A99" s="2">
        <v>43914</v>
      </c>
      <c r="B99" s="6" t="s">
        <v>10</v>
      </c>
      <c r="C99" s="9" t="s">
        <v>1</v>
      </c>
      <c r="D99" s="9">
        <v>39</v>
      </c>
      <c r="E99" s="12">
        <v>92000</v>
      </c>
      <c r="F99" s="12">
        <v>100000</v>
      </c>
      <c r="G99" s="12">
        <v>2000</v>
      </c>
    </row>
    <row r="100" spans="1:7" x14ac:dyDescent="0.3">
      <c r="A100" s="2">
        <v>43915</v>
      </c>
      <c r="B100" s="6" t="s">
        <v>9</v>
      </c>
      <c r="C100" s="9" t="s">
        <v>1</v>
      </c>
      <c r="D100" s="9">
        <v>35</v>
      </c>
      <c r="E100" s="12">
        <v>60000</v>
      </c>
      <c r="F100" s="12">
        <v>90000</v>
      </c>
      <c r="G100" s="12">
        <v>4000</v>
      </c>
    </row>
    <row r="101" spans="1:7" x14ac:dyDescent="0.3">
      <c r="A101" s="2">
        <v>43916</v>
      </c>
      <c r="B101" s="6" t="s">
        <v>38</v>
      </c>
      <c r="C101" s="9" t="s">
        <v>1</v>
      </c>
      <c r="D101" s="9">
        <v>40</v>
      </c>
      <c r="E101" s="12">
        <v>300000</v>
      </c>
      <c r="F101" s="12">
        <v>420000</v>
      </c>
      <c r="G101" s="12">
        <v>30000</v>
      </c>
    </row>
    <row r="102" spans="1:7" x14ac:dyDescent="0.3">
      <c r="A102" s="2">
        <v>43917</v>
      </c>
      <c r="B102" s="6" t="s">
        <v>12</v>
      </c>
      <c r="C102" s="9" t="s">
        <v>1</v>
      </c>
      <c r="D102" s="9">
        <v>53</v>
      </c>
      <c r="E102" s="12">
        <v>120000</v>
      </c>
      <c r="F102" s="12">
        <v>370000</v>
      </c>
      <c r="G102" s="12">
        <v>6000</v>
      </c>
    </row>
    <row r="103" spans="1:7" x14ac:dyDescent="0.3">
      <c r="A103" s="2">
        <v>43918</v>
      </c>
      <c r="B103" s="6" t="s">
        <v>14</v>
      </c>
      <c r="C103" s="9" t="s">
        <v>0</v>
      </c>
      <c r="D103" s="9">
        <v>44</v>
      </c>
      <c r="E103" s="12">
        <v>500000</v>
      </c>
      <c r="F103" s="12">
        <v>150000</v>
      </c>
      <c r="G103" s="12">
        <v>10000</v>
      </c>
    </row>
    <row r="104" spans="1:7" x14ac:dyDescent="0.3">
      <c r="A104" s="2">
        <v>43913</v>
      </c>
      <c r="B104" s="6" t="s">
        <v>9</v>
      </c>
      <c r="C104" s="9" t="s">
        <v>0</v>
      </c>
      <c r="D104" s="9">
        <v>46</v>
      </c>
      <c r="E104" s="12">
        <v>110000</v>
      </c>
      <c r="F104" s="12">
        <v>950000</v>
      </c>
      <c r="G104" s="12">
        <v>10000</v>
      </c>
    </row>
    <row r="105" spans="1:7" x14ac:dyDescent="0.3">
      <c r="A105" s="2">
        <v>43914</v>
      </c>
      <c r="B105" s="6" t="s">
        <v>11</v>
      </c>
      <c r="C105" s="9" t="s">
        <v>0</v>
      </c>
      <c r="D105" s="9">
        <v>39</v>
      </c>
      <c r="E105" s="12">
        <v>920000</v>
      </c>
      <c r="F105" s="12">
        <v>300000</v>
      </c>
      <c r="G105" s="12">
        <v>40000</v>
      </c>
    </row>
    <row r="106" spans="1:7" x14ac:dyDescent="0.3">
      <c r="A106" s="2">
        <v>43915</v>
      </c>
      <c r="B106" s="6" t="s">
        <v>13</v>
      </c>
      <c r="C106" s="9" t="s">
        <v>0</v>
      </c>
      <c r="D106" s="9">
        <v>47</v>
      </c>
      <c r="E106" s="12">
        <v>120000</v>
      </c>
      <c r="F106" s="12">
        <v>200000</v>
      </c>
      <c r="G106" s="12">
        <v>10000</v>
      </c>
    </row>
    <row r="107" spans="1:7" x14ac:dyDescent="0.3">
      <c r="A107" s="2">
        <v>43916</v>
      </c>
      <c r="B107" s="6" t="s">
        <v>10</v>
      </c>
      <c r="C107" s="9" t="s">
        <v>0</v>
      </c>
      <c r="D107" s="9">
        <v>34</v>
      </c>
      <c r="E107" s="12">
        <v>98000</v>
      </c>
      <c r="F107" s="12">
        <v>210000</v>
      </c>
      <c r="G107" s="12">
        <v>14000</v>
      </c>
    </row>
    <row r="108" spans="1:7" x14ac:dyDescent="0.3">
      <c r="A108" s="2">
        <v>43917</v>
      </c>
      <c r="B108" s="6" t="s">
        <v>11</v>
      </c>
      <c r="C108" s="9" t="s">
        <v>0</v>
      </c>
      <c r="D108" s="9">
        <v>43</v>
      </c>
      <c r="E108" s="12">
        <v>150000</v>
      </c>
      <c r="F108" s="12">
        <v>120000</v>
      </c>
      <c r="G108" s="12">
        <v>50000</v>
      </c>
    </row>
    <row r="109" spans="1:7" x14ac:dyDescent="0.3">
      <c r="A109" s="2">
        <v>43918</v>
      </c>
      <c r="B109" s="6" t="s">
        <v>11</v>
      </c>
      <c r="C109" s="9" t="s">
        <v>0</v>
      </c>
      <c r="D109" s="9">
        <v>38</v>
      </c>
      <c r="E109" s="12">
        <v>100000</v>
      </c>
      <c r="F109" s="12">
        <v>310000</v>
      </c>
      <c r="G109" s="12">
        <v>5000</v>
      </c>
    </row>
    <row r="110" spans="1:7" x14ac:dyDescent="0.3">
      <c r="A110" s="2">
        <v>43913</v>
      </c>
      <c r="B110" s="6" t="s">
        <v>12</v>
      </c>
      <c r="C110" s="9" t="s">
        <v>0</v>
      </c>
      <c r="D110" s="9">
        <v>37</v>
      </c>
      <c r="E110" s="12">
        <v>350000</v>
      </c>
      <c r="F110" s="12">
        <v>840000</v>
      </c>
      <c r="G110" s="12">
        <v>0</v>
      </c>
    </row>
    <row r="111" spans="1:7" x14ac:dyDescent="0.3">
      <c r="A111" s="2">
        <v>43914</v>
      </c>
      <c r="B111" s="6" t="s">
        <v>13</v>
      </c>
      <c r="C111" s="9" t="s">
        <v>0</v>
      </c>
      <c r="D111" s="9">
        <v>34</v>
      </c>
      <c r="E111" s="12">
        <v>320000</v>
      </c>
      <c r="F111" s="12">
        <v>169000</v>
      </c>
      <c r="G111" s="12">
        <v>10000</v>
      </c>
    </row>
    <row r="112" spans="1:7" x14ac:dyDescent="0.3">
      <c r="A112" s="2">
        <v>43915</v>
      </c>
      <c r="B112" s="6" t="s">
        <v>12</v>
      </c>
      <c r="C112" s="9" t="s">
        <v>0</v>
      </c>
      <c r="D112" s="9">
        <v>49</v>
      </c>
      <c r="E112" s="12">
        <v>210000</v>
      </c>
      <c r="F112" s="12">
        <v>700000</v>
      </c>
      <c r="G112" s="12">
        <v>23000</v>
      </c>
    </row>
    <row r="113" spans="1:7" x14ac:dyDescent="0.3">
      <c r="A113" s="2">
        <v>43916</v>
      </c>
      <c r="B113" s="6" t="s">
        <v>11</v>
      </c>
      <c r="C113" s="9" t="s">
        <v>0</v>
      </c>
      <c r="D113" s="9">
        <v>41</v>
      </c>
      <c r="E113" s="12">
        <v>640000</v>
      </c>
      <c r="F113" s="12">
        <v>200000</v>
      </c>
      <c r="G113" s="12">
        <v>10000</v>
      </c>
    </row>
    <row r="114" spans="1:7" x14ac:dyDescent="0.3">
      <c r="A114" s="2">
        <v>43917</v>
      </c>
      <c r="B114" s="6" t="s">
        <v>10</v>
      </c>
      <c r="C114" s="9" t="s">
        <v>0</v>
      </c>
      <c r="D114" s="9">
        <v>44</v>
      </c>
      <c r="E114" s="12">
        <v>650000</v>
      </c>
      <c r="F114" s="12">
        <v>550000</v>
      </c>
      <c r="G114" s="12">
        <v>16000</v>
      </c>
    </row>
    <row r="115" spans="1:7" x14ac:dyDescent="0.3">
      <c r="A115" s="2">
        <v>43918</v>
      </c>
      <c r="B115" s="6" t="s">
        <v>9</v>
      </c>
      <c r="C115" s="9" t="s">
        <v>0</v>
      </c>
      <c r="D115" s="9">
        <v>42</v>
      </c>
      <c r="E115" s="12">
        <v>200000</v>
      </c>
      <c r="F115" s="12">
        <v>80000</v>
      </c>
      <c r="G115" s="12">
        <v>5000</v>
      </c>
    </row>
    <row r="116" spans="1:7" x14ac:dyDescent="0.3">
      <c r="A116" s="2">
        <v>43913</v>
      </c>
      <c r="B116" s="6" t="s">
        <v>11</v>
      </c>
      <c r="C116" s="9" t="s">
        <v>0</v>
      </c>
      <c r="D116" s="9">
        <v>40</v>
      </c>
      <c r="E116" s="12">
        <v>200000</v>
      </c>
      <c r="F116" s="12">
        <v>70000</v>
      </c>
      <c r="G116" s="12">
        <v>10000</v>
      </c>
    </row>
    <row r="117" spans="1:7" x14ac:dyDescent="0.3">
      <c r="A117" s="2">
        <v>43914</v>
      </c>
      <c r="B117" s="6" t="s">
        <v>12</v>
      </c>
      <c r="C117" s="9" t="s">
        <v>0</v>
      </c>
      <c r="D117" s="9">
        <v>39</v>
      </c>
      <c r="E117" s="12">
        <v>400000</v>
      </c>
      <c r="F117" s="12">
        <v>100000</v>
      </c>
      <c r="G117" s="12">
        <v>25000</v>
      </c>
    </row>
    <row r="118" spans="1:7" x14ac:dyDescent="0.3">
      <c r="A118" s="2">
        <v>43915</v>
      </c>
      <c r="B118" s="6" t="s">
        <v>14</v>
      </c>
      <c r="C118" s="9" t="s">
        <v>0</v>
      </c>
      <c r="D118" s="9">
        <v>48</v>
      </c>
      <c r="E118" s="12">
        <v>500000</v>
      </c>
      <c r="F118" s="12">
        <v>40000</v>
      </c>
      <c r="G118" s="12">
        <v>5000</v>
      </c>
    </row>
    <row r="119" spans="1:7" x14ac:dyDescent="0.3">
      <c r="A119" s="2">
        <v>43916</v>
      </c>
      <c r="B119" s="6" t="s">
        <v>9</v>
      </c>
      <c r="C119" s="9" t="s">
        <v>0</v>
      </c>
      <c r="D119" s="9">
        <v>41</v>
      </c>
      <c r="E119" s="12">
        <v>150000</v>
      </c>
      <c r="F119" s="12">
        <v>0</v>
      </c>
      <c r="G119" s="12">
        <v>2500</v>
      </c>
    </row>
    <row r="120" spans="1:7" x14ac:dyDescent="0.3">
      <c r="A120" s="2">
        <v>43917</v>
      </c>
      <c r="B120" s="6" t="s">
        <v>9</v>
      </c>
      <c r="C120" s="9" t="s">
        <v>0</v>
      </c>
      <c r="D120" s="9">
        <v>42</v>
      </c>
      <c r="E120" s="12">
        <v>350000</v>
      </c>
      <c r="F120" s="12">
        <v>400000</v>
      </c>
      <c r="G120" s="12">
        <v>5000</v>
      </c>
    </row>
    <row r="121" spans="1:7" x14ac:dyDescent="0.3">
      <c r="A121" s="2">
        <v>43918</v>
      </c>
      <c r="B121" s="6" t="s">
        <v>13</v>
      </c>
      <c r="C121" s="9" t="s">
        <v>0</v>
      </c>
      <c r="D121" s="9">
        <v>43</v>
      </c>
      <c r="E121" s="12">
        <v>350000</v>
      </c>
      <c r="F121" s="12">
        <v>500000</v>
      </c>
      <c r="G121" s="12">
        <v>20000</v>
      </c>
    </row>
    <row r="122" spans="1:7" x14ac:dyDescent="0.3">
      <c r="A122" s="2">
        <v>43913</v>
      </c>
      <c r="B122" s="6" t="s">
        <v>10</v>
      </c>
      <c r="C122" s="9" t="s">
        <v>0</v>
      </c>
      <c r="D122" s="9">
        <v>35</v>
      </c>
      <c r="E122" s="12">
        <v>200000</v>
      </c>
      <c r="F122" s="12">
        <v>250000</v>
      </c>
      <c r="G122" s="12">
        <v>5000</v>
      </c>
    </row>
    <row r="123" spans="1:7" x14ac:dyDescent="0.3">
      <c r="A123" s="2">
        <v>43914</v>
      </c>
      <c r="B123" s="6" t="s">
        <v>11</v>
      </c>
      <c r="C123" s="9" t="s">
        <v>0</v>
      </c>
      <c r="D123" s="9">
        <v>46</v>
      </c>
      <c r="E123" s="12">
        <v>400000</v>
      </c>
      <c r="F123" s="12">
        <v>160000</v>
      </c>
      <c r="G123" s="12">
        <v>5000</v>
      </c>
    </row>
    <row r="124" spans="1:7" x14ac:dyDescent="0.3">
      <c r="A124" s="2">
        <v>43915</v>
      </c>
      <c r="B124" s="6" t="s">
        <v>11</v>
      </c>
      <c r="C124" s="9" t="s">
        <v>0</v>
      </c>
      <c r="D124" s="9">
        <v>39</v>
      </c>
      <c r="E124" s="12">
        <v>120000</v>
      </c>
      <c r="F124" s="12">
        <v>80000</v>
      </c>
      <c r="G124" s="12">
        <v>10000</v>
      </c>
    </row>
    <row r="125" spans="1:7" x14ac:dyDescent="0.3">
      <c r="A125" s="2">
        <v>43916</v>
      </c>
      <c r="B125" s="6" t="s">
        <v>12</v>
      </c>
      <c r="C125" s="9" t="s">
        <v>0</v>
      </c>
      <c r="D125" s="9">
        <v>35</v>
      </c>
      <c r="E125" s="12">
        <v>95000</v>
      </c>
      <c r="F125" s="12">
        <v>0</v>
      </c>
      <c r="G125" s="12">
        <v>2500</v>
      </c>
    </row>
    <row r="126" spans="1:7" x14ac:dyDescent="0.3">
      <c r="A126" s="2">
        <v>43917</v>
      </c>
      <c r="B126" s="6" t="s">
        <v>13</v>
      </c>
      <c r="C126" s="9" t="s">
        <v>0</v>
      </c>
      <c r="D126" s="9">
        <v>37</v>
      </c>
      <c r="E126" s="12">
        <v>220000</v>
      </c>
      <c r="F126" s="12">
        <v>200000</v>
      </c>
      <c r="G126" s="12">
        <v>5000</v>
      </c>
    </row>
    <row r="127" spans="1:7" x14ac:dyDescent="0.3">
      <c r="A127" s="2">
        <v>43918</v>
      </c>
      <c r="B127" s="6" t="s">
        <v>12</v>
      </c>
      <c r="C127" s="9" t="s">
        <v>0</v>
      </c>
      <c r="D127" s="9">
        <v>48</v>
      </c>
      <c r="E127" s="12">
        <v>200000</v>
      </c>
      <c r="F127" s="12">
        <v>0</v>
      </c>
      <c r="G127" s="12">
        <v>18000</v>
      </c>
    </row>
    <row r="128" spans="1:7" x14ac:dyDescent="0.3">
      <c r="A128" s="2">
        <v>43913</v>
      </c>
      <c r="B128" s="6" t="s">
        <v>11</v>
      </c>
      <c r="C128" s="9" t="s">
        <v>0</v>
      </c>
      <c r="D128" s="9">
        <v>48</v>
      </c>
      <c r="E128" s="12">
        <v>530000</v>
      </c>
      <c r="F128" s="12">
        <v>85000</v>
      </c>
      <c r="G128" s="12">
        <v>9500</v>
      </c>
    </row>
    <row r="129" spans="1:7" x14ac:dyDescent="0.3">
      <c r="A129" s="2">
        <v>43914</v>
      </c>
      <c r="B129" s="6" t="s">
        <v>10</v>
      </c>
      <c r="C129" s="9" t="s">
        <v>0</v>
      </c>
      <c r="D129" s="9">
        <v>36</v>
      </c>
      <c r="E129" s="12">
        <v>2000000</v>
      </c>
      <c r="F129" s="12">
        <v>2000000</v>
      </c>
      <c r="G129" s="12">
        <v>20000</v>
      </c>
    </row>
    <row r="130" spans="1:7" ht="15" thickBot="1" x14ac:dyDescent="0.35">
      <c r="A130" s="3">
        <v>43915</v>
      </c>
      <c r="B130" s="7" t="s">
        <v>9</v>
      </c>
      <c r="C130" s="10" t="s">
        <v>0</v>
      </c>
      <c r="D130" s="10">
        <v>45</v>
      </c>
      <c r="E130" s="13">
        <v>110000</v>
      </c>
      <c r="F130" s="13">
        <v>0</v>
      </c>
      <c r="G130" s="13">
        <v>14000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I7" sqref="I7"/>
    </sheetView>
  </sheetViews>
  <sheetFormatPr defaultRowHeight="14.4" x14ac:dyDescent="0.3"/>
  <cols>
    <col min="1" max="1" width="45.33203125" customWidth="1"/>
    <col min="2" max="2" width="13.6640625" customWidth="1"/>
    <col min="3" max="3" width="11.5546875" bestFit="1" customWidth="1"/>
    <col min="4" max="4" width="11.44140625" customWidth="1"/>
  </cols>
  <sheetData>
    <row r="1" spans="1:4" ht="42.75" customHeight="1" thickBot="1" x14ac:dyDescent="0.35">
      <c r="A1" s="118" t="s">
        <v>35</v>
      </c>
      <c r="B1" s="119"/>
      <c r="C1" s="119"/>
      <c r="D1" s="120"/>
    </row>
    <row r="2" spans="1:4" ht="15" thickBot="1" x14ac:dyDescent="0.35">
      <c r="A2" s="49" t="s">
        <v>28</v>
      </c>
      <c r="B2" s="49" t="s">
        <v>22</v>
      </c>
      <c r="C2" s="49" t="s">
        <v>23</v>
      </c>
      <c r="D2" s="49" t="s">
        <v>24</v>
      </c>
    </row>
    <row r="3" spans="1:4" x14ac:dyDescent="0.3">
      <c r="A3" s="43" t="s">
        <v>65</v>
      </c>
      <c r="B3" s="84">
        <f>AVERAGE(Январь!D2:D130)</f>
        <v>43.213178294573645</v>
      </c>
      <c r="C3" s="84">
        <f>AVERAGE(Февраль!D2:D130)</f>
        <v>43.689922480620154</v>
      </c>
      <c r="D3" s="86">
        <f>AVERAGE(Март!D2:D130)</f>
        <v>42.821705426356587</v>
      </c>
    </row>
    <row r="4" spans="1:4" ht="16.5" customHeight="1" x14ac:dyDescent="0.3">
      <c r="A4" s="44" t="s">
        <v>64</v>
      </c>
      <c r="B4" s="85">
        <f>AVERAGE(Январь!E2:E130)</f>
        <v>481441.86046511628</v>
      </c>
      <c r="C4" s="85">
        <f>AVERAGE(Февраль!E2:E130)</f>
        <v>229503.87596899224</v>
      </c>
      <c r="D4" s="87">
        <f>AVERAGE(Март!E2:E130)</f>
        <v>295054.26356589148</v>
      </c>
    </row>
    <row r="5" spans="1:4" x14ac:dyDescent="0.3">
      <c r="A5" s="45" t="s">
        <v>25</v>
      </c>
      <c r="B5" s="85">
        <f>SUM(Январь!F2:F130)</f>
        <v>49255200</v>
      </c>
      <c r="C5" s="85">
        <f>SUM(Февраль!F2:F130)</f>
        <v>38935200</v>
      </c>
      <c r="D5" s="87">
        <f>SUM(Март!F2:F130)</f>
        <v>42775200</v>
      </c>
    </row>
    <row r="6" spans="1:4" x14ac:dyDescent="0.3">
      <c r="A6" s="45" t="s">
        <v>68</v>
      </c>
      <c r="B6" s="85">
        <f>MIN(Январь!G2:G130)</f>
        <v>15000</v>
      </c>
      <c r="C6" s="85">
        <f>MIN(Февраль!G2:G130)</f>
        <v>0</v>
      </c>
      <c r="D6" s="87">
        <f>MIN(Март!G2:G130)</f>
        <v>0</v>
      </c>
    </row>
    <row r="7" spans="1:4" x14ac:dyDescent="0.3">
      <c r="A7" s="45" t="s">
        <v>26</v>
      </c>
      <c r="B7" s="85">
        <f>MAX(Январь!G2:G130)</f>
        <v>3470000</v>
      </c>
      <c r="C7" s="85">
        <f>MAX(Февраль!G2:G130)</f>
        <v>100000</v>
      </c>
      <c r="D7" s="87">
        <f>MAX(Март!G2:G130)</f>
        <v>1040000</v>
      </c>
    </row>
    <row r="8" spans="1:4" ht="15" thickBot="1" x14ac:dyDescent="0.35">
      <c r="A8" s="46" t="s">
        <v>27</v>
      </c>
      <c r="B8" s="41">
        <f>COUNT(Январь!G2:G130)</f>
        <v>129</v>
      </c>
      <c r="C8" s="41">
        <f>COUNT(Февраль!G2:G130)</f>
        <v>129</v>
      </c>
      <c r="D8" s="42">
        <f>COUNT(Март!G2:G130)</f>
        <v>129</v>
      </c>
    </row>
    <row r="9" spans="1:4" ht="15" thickBot="1" x14ac:dyDescent="0.35"/>
    <row r="10" spans="1:4" ht="28.5" customHeight="1" thickBot="1" x14ac:dyDescent="0.35">
      <c r="A10" s="121" t="s">
        <v>74</v>
      </c>
      <c r="B10" s="122"/>
      <c r="C10" s="122"/>
      <c r="D10" s="123"/>
    </row>
    <row r="11" spans="1:4" ht="15" thickBot="1" x14ac:dyDescent="0.35">
      <c r="A11" s="48" t="s">
        <v>28</v>
      </c>
      <c r="B11" s="48" t="s">
        <v>32</v>
      </c>
    </row>
    <row r="12" spans="1:4" x14ac:dyDescent="0.3">
      <c r="A12" s="40" t="s">
        <v>34</v>
      </c>
      <c r="B12" s="88">
        <f>AVERAGE(Январь!D2:D130, Февраль!D2:D130, Март!D2:D130)</f>
        <v>43.241602067183464</v>
      </c>
    </row>
    <row r="13" spans="1:4" x14ac:dyDescent="0.3">
      <c r="A13" s="40" t="s">
        <v>29</v>
      </c>
      <c r="B13" s="87">
        <f>SUM(Январь!F2:F130,Февраль!F2:F130,Март!F2:F130)</f>
        <v>130965600</v>
      </c>
    </row>
    <row r="14" spans="1:4" x14ac:dyDescent="0.3">
      <c r="A14" s="40" t="s">
        <v>30</v>
      </c>
      <c r="B14" s="87">
        <f>MIN(Январь!E2:E130,Февраль!E2:E130,Март!E2:E130)</f>
        <v>0</v>
      </c>
    </row>
    <row r="15" spans="1:4" x14ac:dyDescent="0.3">
      <c r="A15" s="40" t="s">
        <v>69</v>
      </c>
      <c r="B15" s="88">
        <f>MAX(Январь!D2:D130, Февраль!D2:D130,Март!D2:D130)</f>
        <v>64.3333333333333</v>
      </c>
    </row>
    <row r="16" spans="1:4" x14ac:dyDescent="0.3">
      <c r="A16" s="40" t="s">
        <v>33</v>
      </c>
      <c r="B16" s="88">
        <f>MIN(Январь!D2:D130,Февраль!D2:D130,Март!D2:D130)</f>
        <v>29</v>
      </c>
    </row>
    <row r="17" spans="1:2" ht="43.8" thickBot="1" x14ac:dyDescent="0.35">
      <c r="A17" s="47" t="s">
        <v>31</v>
      </c>
      <c r="B17" s="42">
        <f>COUNT(Январь!G2:G130,Февраль!G2:G130,Март!G2:G130)</f>
        <v>387</v>
      </c>
    </row>
  </sheetData>
  <mergeCells count="2">
    <mergeCell ref="A1:D1"/>
    <mergeCell ref="A10:D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J14" sqref="J14"/>
    </sheetView>
  </sheetViews>
  <sheetFormatPr defaultRowHeight="14.4" x14ac:dyDescent="0.3"/>
  <cols>
    <col min="1" max="1" width="19.33203125" bestFit="1" customWidth="1"/>
    <col min="2" max="2" width="18.44140625" customWidth="1"/>
    <col min="3" max="3" width="20.33203125" bestFit="1" customWidth="1"/>
    <col min="4" max="4" width="21.109375" customWidth="1"/>
    <col min="5" max="5" width="22.44140625" customWidth="1"/>
  </cols>
  <sheetData>
    <row r="1" spans="1:11" ht="15" thickBot="1" x14ac:dyDescent="0.35">
      <c r="A1" s="124" t="s">
        <v>70</v>
      </c>
      <c r="B1" s="119"/>
      <c r="C1" s="119"/>
      <c r="D1" s="119"/>
      <c r="E1" s="120"/>
    </row>
    <row r="2" spans="1:11" ht="39.75" customHeight="1" thickBot="1" x14ac:dyDescent="0.35">
      <c r="A2" s="54" t="s">
        <v>41</v>
      </c>
      <c r="B2" s="52" t="s">
        <v>40</v>
      </c>
      <c r="C2" s="52" t="s">
        <v>25</v>
      </c>
      <c r="D2" s="52" t="s">
        <v>47</v>
      </c>
      <c r="E2" s="52" t="s">
        <v>48</v>
      </c>
      <c r="G2" s="125" t="s">
        <v>49</v>
      </c>
      <c r="H2" s="126"/>
      <c r="I2" s="126"/>
      <c r="J2" s="126"/>
      <c r="K2" s="127"/>
    </row>
    <row r="3" spans="1:11" x14ac:dyDescent="0.3">
      <c r="A3" s="50" t="s">
        <v>9</v>
      </c>
      <c r="B3" s="106">
        <f>AVERAGEIF(Январь!B2:B130, "=Регион 1", Январь!D2:D130)</f>
        <v>46.666666666666664</v>
      </c>
      <c r="C3" s="58">
        <f>SUMIF(Январь!B2:B130, "=Регион 1", Январь!F2:F130)</f>
        <v>6577000</v>
      </c>
      <c r="D3" s="57">
        <f>COUNTIFS(Январь!B2:B130, "=Регион 1", Январь!C2:C130, "=F")</f>
        <v>11</v>
      </c>
      <c r="E3" s="59">
        <f>COUNTIFS(Январь!B2:B130, "=Регион 1", Январь!C2:C130, "=M") + COUNTIFS(Январь!B2:B130, "=Регион 1", Январь!C2:C130, "=М")</f>
        <v>6</v>
      </c>
      <c r="G3" s="128"/>
      <c r="H3" s="129"/>
      <c r="I3" s="129"/>
      <c r="J3" s="129"/>
      <c r="K3" s="130"/>
    </row>
    <row r="4" spans="1:11" x14ac:dyDescent="0.3">
      <c r="A4" s="51" t="s">
        <v>10</v>
      </c>
      <c r="B4" s="107">
        <f>AVERAGEIF(Январь!B2:B130, "=Регион 2", Январь!D2:D130)</f>
        <v>40.888888888888886</v>
      </c>
      <c r="C4" s="61">
        <f>SUMIF(Январь!B2:B130, "=Регион 2", Январь!F2:F130)</f>
        <v>6333000</v>
      </c>
      <c r="D4" s="60">
        <f>COUNTIFS(Январь!B2:B130, "=Регион 2", Январь!C2:C130, "=F")</f>
        <v>13</v>
      </c>
      <c r="E4" s="63">
        <f>COUNTIFS(Январь!B2:B130, "=Регион 2", Январь!C2:C130, "=M") + COUNTIFS(Январь!B2:B130, "=Регион 2", Январь!C2:C130, "=М")</f>
        <v>5</v>
      </c>
      <c r="G4" s="128"/>
      <c r="H4" s="129"/>
      <c r="I4" s="129"/>
      <c r="J4" s="129"/>
      <c r="K4" s="130"/>
    </row>
    <row r="5" spans="1:11" ht="15" thickBot="1" x14ac:dyDescent="0.35">
      <c r="A5" s="51" t="s">
        <v>11</v>
      </c>
      <c r="B5" s="107">
        <f>AVERAGEIF(Январь!B2:B130, "=Регион 3", Январь!D2:D130)</f>
        <v>41.275862068965516</v>
      </c>
      <c r="C5" s="61">
        <f>SUMIF(Январь!B2:B130, "=Регион 3", Январь!F2:F130)</f>
        <v>12463000</v>
      </c>
      <c r="D5" s="60">
        <f>COUNTIFS(Январь!B2:B130, "=Регион 3", Январь!C2:C130, "=F")</f>
        <v>20</v>
      </c>
      <c r="E5" s="63">
        <f>COUNTIFS(Январь!B2:B130, "=Регион 3", Январь!C2:C130, "=M") + COUNTIFS(Январь!B2:B130, "=Регион 3", Январь!C2:C130, "=М")</f>
        <v>9</v>
      </c>
      <c r="G5" s="131"/>
      <c r="H5" s="132"/>
      <c r="I5" s="132"/>
      <c r="J5" s="132"/>
      <c r="K5" s="133"/>
    </row>
    <row r="6" spans="1:11" x14ac:dyDescent="0.3">
      <c r="A6" s="51" t="s">
        <v>12</v>
      </c>
      <c r="B6" s="107">
        <f>AVERAGEIF(Январь!B2:B130, "=Регион 4", Январь!D2:D130)</f>
        <v>42.703703703703702</v>
      </c>
      <c r="C6" s="61">
        <f>SUMIF(Январь!B2:B130, "=Регион 4", Январь!F2:F130)</f>
        <v>11027200</v>
      </c>
      <c r="D6" s="60">
        <f>COUNTIFS(Январь!B2:B130, "=Регион 4", Январь!C2:C130, "=F")</f>
        <v>22</v>
      </c>
      <c r="E6" s="63">
        <f>COUNTIFS(Январь!B2:B130, "=Регион 4", Январь!C2:C130, "=M") + COUNTIFS(Январь!B2:B130, "=Регион 4", Январь!C2:C130, "=М")</f>
        <v>5</v>
      </c>
    </row>
    <row r="7" spans="1:11" x14ac:dyDescent="0.3">
      <c r="A7" s="51" t="s">
        <v>13</v>
      </c>
      <c r="B7" s="107">
        <f>AVERAGEIF(Январь!B2:B130, "=Регион 5", Январь!D2:D130)</f>
        <v>42.816666666666663</v>
      </c>
      <c r="C7" s="61">
        <f>SUMIF(Январь!B2:B130, "=Регион 5", Январь!F2:F130)</f>
        <v>7892000</v>
      </c>
      <c r="D7" s="60">
        <f>COUNTIFS(Январь!B2:B130, "=Регион 5", Январь!C2:C130, "=F")</f>
        <v>16</v>
      </c>
      <c r="E7" s="63">
        <f>COUNTIFS(Январь!B2:B130, "=Регион 5", Январь!C2:C130, "=M") + COUNTIFS(Январь!B2:B130, "=Регион 5", Январь!C2:C130, "=М")</f>
        <v>4</v>
      </c>
    </row>
    <row r="8" spans="1:11" x14ac:dyDescent="0.3">
      <c r="A8" s="51" t="s">
        <v>37</v>
      </c>
      <c r="B8" s="107">
        <f>AVERAGEIF(Январь!B2:B130, "=Регион 6", Январь!D2:D130)</f>
        <v>48.5</v>
      </c>
      <c r="C8" s="61">
        <f>SUMIF(Январь!B2:B130, "=Регион 6", Январь!F2:F130)</f>
        <v>330000</v>
      </c>
      <c r="D8" s="60">
        <f>COUNTIFS(Январь!B2:B130, "=Регион 6", Январь!C2:C130, "=F")</f>
        <v>2</v>
      </c>
      <c r="E8" s="63">
        <f>COUNTIFS(Январь!B2:B130, "=Регион 6", Январь!C2:C130, "=M") + COUNTIFS(Январь!B2:B130, "=Регион 6", Январь!C2:C130, "=М")</f>
        <v>0</v>
      </c>
    </row>
    <row r="9" spans="1:11" x14ac:dyDescent="0.3">
      <c r="A9" s="51" t="s">
        <v>14</v>
      </c>
      <c r="B9" s="107">
        <f>AVERAGEIF(Январь!B2:B130, "=Регион 7", Январь!D2:D130)</f>
        <v>47.545454545454547</v>
      </c>
      <c r="C9" s="61">
        <f>SUMIF(Январь!B2:B130, "=Регион 7", Январь!F2:F130)</f>
        <v>3078000</v>
      </c>
      <c r="D9" s="60">
        <f>COUNTIFS(Январь!B2:B130, "=Регион 7", Январь!C2:C130, "=F")</f>
        <v>9</v>
      </c>
      <c r="E9" s="63">
        <f>COUNTIFS(Январь!B2:B130, "=Регион 7", Январь!C2:C130, "=M") + COUNTIFS(Январь!B2:B130, "=Регион 7", Январь!C2:C130, "=М")</f>
        <v>2</v>
      </c>
    </row>
    <row r="10" spans="1:11" x14ac:dyDescent="0.3">
      <c r="A10" s="51" t="s">
        <v>36</v>
      </c>
      <c r="B10" s="107">
        <f>AVERAGEIF(Январь!B2:B130, "=Регион 8", Январь!D2:D130)</f>
        <v>44.944444444444436</v>
      </c>
      <c r="C10" s="61">
        <f>SUMIF(Январь!B2:B130, "=Регион 8", Январь!F2:F130)</f>
        <v>625000</v>
      </c>
      <c r="D10" s="60">
        <f>COUNTIFS(Январь!B2:B130, "=Регион 8", Январь!C2:C130, "=F")</f>
        <v>3</v>
      </c>
      <c r="E10" s="63">
        <f>COUNTIFS(Январь!B2:B130, "=Регион 8", Январь!C2:C130, "=M") + COUNTIFS(Январь!B2:B130, "=Регион 8", Январь!C2:C130, "=М")</f>
        <v>0</v>
      </c>
    </row>
    <row r="11" spans="1:11" ht="15" thickBot="1" x14ac:dyDescent="0.35">
      <c r="A11" s="51" t="s">
        <v>38</v>
      </c>
      <c r="B11" s="108">
        <f>AVERAGEIF(Январь!B2:B130, "=Регион 9", Январь!D2:D130)</f>
        <v>42</v>
      </c>
      <c r="C11" s="65">
        <f>SUMIF(Январь!B2:B130, "=Регион 9", Январь!F2:F130)</f>
        <v>930000</v>
      </c>
      <c r="D11" s="64">
        <f>COUNTIFS(Январь!B2:B130, "=Регион 9", Январь!C2:C130, "=F")</f>
        <v>2</v>
      </c>
      <c r="E11" s="66">
        <f>COUNTIFS(Январь!B2:B130, "=Регион 9", Январь!C2:C130, "=M") + COUNTIFS(Январь!B2:B130, "=Регион 9", Январь!C2:C130, "=М")</f>
        <v>0</v>
      </c>
    </row>
    <row r="12" spans="1:11" ht="15" thickBot="1" x14ac:dyDescent="0.35"/>
    <row r="13" spans="1:11" ht="15" thickBot="1" x14ac:dyDescent="0.35">
      <c r="A13" s="124" t="s">
        <v>71</v>
      </c>
      <c r="B13" s="119"/>
      <c r="C13" s="119"/>
      <c r="D13" s="119"/>
      <c r="E13" s="120"/>
    </row>
    <row r="14" spans="1:11" ht="44.25" customHeight="1" thickBot="1" x14ac:dyDescent="0.35">
      <c r="A14" s="55" t="s">
        <v>42</v>
      </c>
      <c r="B14" s="53" t="s">
        <v>43</v>
      </c>
      <c r="C14" s="53" t="s">
        <v>44</v>
      </c>
      <c r="D14" s="53" t="s">
        <v>45</v>
      </c>
      <c r="E14" s="53" t="s">
        <v>46</v>
      </c>
    </row>
    <row r="15" spans="1:11" x14ac:dyDescent="0.3">
      <c r="A15" s="56">
        <v>43884</v>
      </c>
      <c r="B15" s="62">
        <f>SUMIFS(Февраль!F2:F130,Февраль!A2:A130, "=2/23/2020", Февраль!B2:B130, "=Регион 1")</f>
        <v>2550000</v>
      </c>
      <c r="C15" s="62">
        <f>AVERAGEIFS(Февраль!G2:G130,Февраль!A2:A130, "=2/23/2020", Февраль!B2:B130, "=Регион 2")</f>
        <v>5125</v>
      </c>
      <c r="D15" s="62">
        <f>COUNTIFS(Февраль!C2:C130, "=M", Февраль!A2:A130, "=2/23/2020", Февраль!B2:B130, "=Регион 9") + COUNTIFS(Февраль!C2:C130, "=М", Февраль!A2:A130, "=2/23/2020", Февраль!B2:B130, "=Регион 9")</f>
        <v>0</v>
      </c>
      <c r="E15" s="57">
        <f>COUNTIFS(Февраль!C2:C130, "=F", Февраль!A2:A130, "=2/23/2020", Февраль!B2:B130, "=Регион 9")</f>
        <v>0</v>
      </c>
    </row>
    <row r="16" spans="1:11" x14ac:dyDescent="0.3">
      <c r="A16" s="2">
        <v>43885</v>
      </c>
      <c r="B16" s="62">
        <f>SUMIFS(Февраль!F2:F130,Февраль!A2:A130, "=2/24/2020", Февраль!B2:B130, "=Регион 1")</f>
        <v>0</v>
      </c>
      <c r="C16" s="62">
        <f>AVERAGEIFS(Февраль!G2:G130,Февраль!A2:A130, "=2/24/2020", Февраль!B2:B130, "=Регион 2")</f>
        <v>9800</v>
      </c>
      <c r="D16" s="62">
        <f>COUNTIFS(Февраль!C2:C130, "=M", Февраль!A2:A130, "=2/24/2020", Февраль!B2:B130, "=Регион 9") + COUNTIFS(Февраль!C2:C130, "=М", Февраль!A2:A130, "=2/24/2020", Февраль!B2:B130, "=Регион 9")</f>
        <v>0</v>
      </c>
      <c r="E16" s="60">
        <f>COUNTIFS(Февраль!C2:C130, "=F", Февраль!A2:A130, "=2/24/2020", Февраль!B2:B130, "=Регион 9")</f>
        <v>0</v>
      </c>
    </row>
    <row r="17" spans="1:5" x14ac:dyDescent="0.3">
      <c r="A17" s="2">
        <v>43886</v>
      </c>
      <c r="B17" s="62">
        <f>SUMIFS(Февраль!F2:F130,Февраль!A2:A130, "=2/25/2020", Февраль!B2:B130, "=Регион 1")</f>
        <v>310000</v>
      </c>
      <c r="C17" s="62">
        <f>IFERROR(AVERAGEIFS(Февраль!G2:G130,Февраль!A2:A130, "=2/25/2020", Февраль!B2:B130, "=Регион 2"), 0)</f>
        <v>0</v>
      </c>
      <c r="D17" s="62">
        <f>COUNTIFS(Февраль!C2:C130, "=M", Февраль!A2:A130, "=2/25/2020", Февраль!B2:B130, "=Регион 9") + COUNTIFS(Февраль!C2:C130, "=М", Февраль!A2:A130, "=2/25/2020", Февраль!B2:B130, "=Регион 9")</f>
        <v>0</v>
      </c>
      <c r="E17" s="60">
        <f>COUNTIFS(Февраль!C2:C130, "=F", Февраль!A2:A130, "=2/25/2020", Февраль!B2:B130, "=Регион 9")</f>
        <v>0</v>
      </c>
    </row>
    <row r="18" spans="1:5" x14ac:dyDescent="0.3">
      <c r="A18" s="2">
        <v>43887</v>
      </c>
      <c r="B18" s="62">
        <f>SUMIFS(Февраль!F2:F130,Февраль!A2:A130, "=2/26/2020", Февраль!B2:B130, "=Регион 1")</f>
        <v>1300000</v>
      </c>
      <c r="C18" s="62">
        <f>AVERAGEIFS(Февраль!G2:G130,Февраль!A2:A130, "=2/26/2020", Февраль!B2:B130, "=Регион 2")</f>
        <v>7125</v>
      </c>
      <c r="D18" s="62">
        <f>COUNTIFS(Февраль!C2:C130, "=M", Февраль!A2:A130, "=2/26/2020", Февраль!B2:B130, "=Регион 9") + COUNTIFS(Февраль!C2:C130, "=М", Февраль!A2:A130, "=2/26/2020", Февраль!B2:B130, "=Регион 9")</f>
        <v>0</v>
      </c>
      <c r="E18" s="60">
        <f>COUNTIFS(Февраль!C2:C130, "=F", Февраль!A2:A130, "=2/26/2020", Февраль!B2:B130, "=Регион 9")</f>
        <v>1</v>
      </c>
    </row>
    <row r="19" spans="1:5" x14ac:dyDescent="0.3">
      <c r="A19" s="2">
        <v>43888</v>
      </c>
      <c r="B19" s="62">
        <f>SUMIFS(Февраль!F2:F130,Февраль!A2:A130, "=2/27/2020", Февраль!B2:B130, "=Регион 1")</f>
        <v>400000</v>
      </c>
      <c r="C19" s="62">
        <f>AVERAGEIFS(Февраль!G2:G130,Февраль!A2:A130, "=2/27/2020", Февраль!B2:B130, "=Регион 2")</f>
        <v>29500</v>
      </c>
      <c r="D19" s="62">
        <f>COUNTIFS(Февраль!C2:C130, "=M", Февраль!A2:A130, "=2/27/2020", Февраль!B2:B130, "=Регион 9") + COUNTIFS(Февраль!C2:C130, "=М", Февраль!A2:A130, "=2/27/2020", Февраль!B2:B130, "=Регион 9")</f>
        <v>0</v>
      </c>
      <c r="E19" s="60">
        <f>COUNTIFS(Февраль!C2:C130, "=F", Февраль!A2:A130, "=2/27/2020", Февраль!B2:B130, "=Регион 9")</f>
        <v>1</v>
      </c>
    </row>
    <row r="20" spans="1:5" ht="15" thickBot="1" x14ac:dyDescent="0.35">
      <c r="A20" s="2">
        <v>43889</v>
      </c>
      <c r="B20" s="62">
        <f>SUMIFS(Февраль!F2:F130,Февраль!A2:A130, "=2/28/2020", Февраль!B2:B130, "=Регион 1")</f>
        <v>757000</v>
      </c>
      <c r="C20" s="62">
        <f>IFERROR(AVERAGEIFS(Февраль!G2:G130,Февраль!A2:A130, "=2/28/2020", Февраль!B2:B130, "=Регион 2"), 0)</f>
        <v>0</v>
      </c>
      <c r="D20" s="62">
        <f>COUNTIFS(Февраль!C2:C130, "=M", Февраль!A2:A130, "=2/28/2020", Февраль!B2:B130, "=Регион 9") + COUNTIFS(Февраль!C2:C130, "=М", Февраль!A2:A130, "=2/28/2020", Февраль!B2:B130, "=Регион 9")</f>
        <v>0</v>
      </c>
      <c r="E20" s="64">
        <f>COUNTIFS(Февраль!C2:C130, "=F", Февраль!A2:A130, "=2/28/2020", Февраль!B2:B130, "=Регион 9")</f>
        <v>0</v>
      </c>
    </row>
  </sheetData>
  <sortState ref="A3:A132">
    <sortCondition ref="A3"/>
  </sortState>
  <mergeCells count="3">
    <mergeCell ref="A1:E1"/>
    <mergeCell ref="A13:E13"/>
    <mergeCell ref="G2:K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3"/>
  <sheetViews>
    <sheetView workbookViewId="0">
      <selection activeCell="G30" sqref="G30"/>
    </sheetView>
  </sheetViews>
  <sheetFormatPr defaultRowHeight="14.4" x14ac:dyDescent="0.3"/>
  <cols>
    <col min="1" max="1" width="16.6640625" bestFit="1" customWidth="1"/>
    <col min="2" max="4" width="10.109375" bestFit="1" customWidth="1"/>
    <col min="5" max="5" width="11" customWidth="1"/>
    <col min="6" max="6" width="10.77734375" customWidth="1"/>
    <col min="7" max="15" width="10.109375" bestFit="1" customWidth="1"/>
    <col min="16" max="16" width="9.44140625" customWidth="1"/>
    <col min="17" max="17" width="9.5546875" customWidth="1"/>
    <col min="18" max="18" width="9.44140625" customWidth="1"/>
    <col min="19" max="19" width="9.33203125" customWidth="1"/>
    <col min="20" max="20" width="10.109375" customWidth="1"/>
    <col min="21" max="21" width="9.88671875" customWidth="1"/>
    <col min="22" max="22" width="10.109375" customWidth="1"/>
    <col min="23" max="23" width="10.21875" customWidth="1"/>
    <col min="24" max="24" width="9.33203125" customWidth="1"/>
    <col min="25" max="25" width="9.6640625" customWidth="1"/>
    <col min="26" max="26" width="9.5546875" customWidth="1"/>
    <col min="27" max="27" width="11.21875" customWidth="1"/>
    <col min="28" max="28" width="10" customWidth="1"/>
    <col min="29" max="29" width="9.5546875" customWidth="1"/>
    <col min="30" max="30" width="10.109375" customWidth="1"/>
    <col min="31" max="31" width="11.21875" customWidth="1"/>
    <col min="32" max="33" width="9.5546875" customWidth="1"/>
    <col min="34" max="34" width="10.33203125" customWidth="1"/>
    <col min="35" max="35" width="9.5546875" customWidth="1"/>
    <col min="36" max="36" width="10" customWidth="1"/>
    <col min="37" max="37" width="9.77734375" customWidth="1"/>
    <col min="38" max="38" width="9.5546875" customWidth="1"/>
    <col min="39" max="39" width="9.6640625" customWidth="1"/>
    <col min="40" max="40" width="10.77734375" customWidth="1"/>
    <col min="41" max="41" width="10.21875" customWidth="1"/>
    <col min="42" max="42" width="9.88671875" customWidth="1"/>
    <col min="43" max="43" width="9.44140625" customWidth="1"/>
    <col min="44" max="44" width="10.6640625" customWidth="1"/>
    <col min="45" max="45" width="10.21875" customWidth="1"/>
    <col min="46" max="46" width="9.5546875" customWidth="1"/>
    <col min="47" max="47" width="10.77734375" customWidth="1"/>
    <col min="48" max="48" width="10.88671875" customWidth="1"/>
    <col min="49" max="49" width="11" customWidth="1"/>
    <col min="50" max="50" width="9.44140625" customWidth="1"/>
    <col min="51" max="51" width="9.88671875" customWidth="1"/>
    <col min="52" max="52" width="9.77734375" customWidth="1"/>
    <col min="53" max="53" width="9.88671875" customWidth="1"/>
    <col min="54" max="54" width="9.6640625" customWidth="1"/>
    <col min="55" max="55" width="10.44140625" customWidth="1"/>
    <col min="56" max="56" width="10" customWidth="1"/>
    <col min="57" max="57" width="10.6640625" customWidth="1"/>
    <col min="58" max="58" width="9.6640625" customWidth="1"/>
    <col min="59" max="59" width="9.77734375" customWidth="1"/>
    <col min="60" max="60" width="9.6640625" customWidth="1"/>
    <col min="61" max="61" width="9.5546875" customWidth="1"/>
    <col min="62" max="62" width="10.109375" customWidth="1"/>
    <col min="63" max="63" width="10" customWidth="1"/>
    <col min="64" max="64" width="9.5546875" customWidth="1"/>
    <col min="65" max="65" width="9.88671875" customWidth="1"/>
    <col min="66" max="66" width="10.33203125" customWidth="1"/>
    <col min="67" max="67" width="9.33203125" customWidth="1"/>
    <col min="68" max="68" width="9.44140625" customWidth="1"/>
    <col min="69" max="69" width="9.6640625" customWidth="1"/>
    <col min="70" max="70" width="9.5546875" customWidth="1"/>
    <col min="71" max="71" width="9.6640625" customWidth="1"/>
    <col min="72" max="72" width="9.77734375" customWidth="1"/>
    <col min="73" max="73" width="10.77734375" customWidth="1"/>
    <col min="74" max="75" width="9.6640625" customWidth="1"/>
    <col min="76" max="78" width="9.44140625" customWidth="1"/>
    <col min="79" max="79" width="9.77734375" customWidth="1"/>
    <col min="80" max="80" width="9.6640625" customWidth="1"/>
    <col min="81" max="81" width="9.44140625" customWidth="1"/>
    <col min="82" max="82" width="9.6640625" customWidth="1"/>
    <col min="83" max="83" width="9.77734375" customWidth="1"/>
    <col min="84" max="84" width="9.44140625" customWidth="1"/>
    <col min="85" max="85" width="9.88671875" customWidth="1"/>
    <col min="86" max="87" width="9.6640625" customWidth="1"/>
    <col min="88" max="88" width="9.5546875" customWidth="1"/>
    <col min="89" max="89" width="9.44140625" customWidth="1"/>
    <col min="90" max="90" width="10.109375" customWidth="1"/>
    <col min="91" max="91" width="9.6640625" customWidth="1"/>
    <col min="92" max="92" width="9.33203125" customWidth="1"/>
    <col min="93" max="93" width="10.33203125" customWidth="1"/>
    <col min="94" max="94" width="10.109375" customWidth="1"/>
    <col min="95" max="95" width="9.6640625" customWidth="1"/>
    <col min="96" max="96" width="9.77734375" customWidth="1"/>
    <col min="97" max="97" width="9.6640625" customWidth="1"/>
    <col min="98" max="98" width="9.5546875" customWidth="1"/>
    <col min="99" max="99" width="10.109375" customWidth="1"/>
    <col min="100" max="100" width="9.5546875" customWidth="1"/>
    <col min="101" max="101" width="9.77734375" customWidth="1"/>
    <col min="102" max="102" width="9.6640625" customWidth="1"/>
    <col min="103" max="103" width="9.33203125" customWidth="1"/>
    <col min="104" max="104" width="9.6640625" customWidth="1"/>
    <col min="105" max="105" width="10.77734375" customWidth="1"/>
    <col min="106" max="106" width="9.6640625" customWidth="1"/>
    <col min="107" max="107" width="9.5546875" customWidth="1"/>
    <col min="108" max="108" width="9.6640625" customWidth="1"/>
    <col min="109" max="109" width="10.109375" customWidth="1"/>
    <col min="110" max="110" width="10.44140625" customWidth="1"/>
    <col min="111" max="111" width="9.88671875" customWidth="1"/>
    <col min="112" max="112" width="9.33203125" customWidth="1"/>
    <col min="113" max="113" width="9.88671875" customWidth="1"/>
    <col min="114" max="115" width="9.44140625" customWidth="1"/>
    <col min="116" max="116" width="9.77734375" customWidth="1"/>
    <col min="117" max="118" width="9.6640625" customWidth="1"/>
    <col min="119" max="119" width="9.5546875" customWidth="1"/>
    <col min="120" max="121" width="9.6640625" customWidth="1"/>
    <col min="122" max="122" width="9.44140625" customWidth="1"/>
    <col min="123" max="123" width="9.6640625" customWidth="1"/>
    <col min="124" max="124" width="9.44140625" customWidth="1"/>
    <col min="125" max="125" width="9.77734375" customWidth="1"/>
    <col min="126" max="127" width="9.6640625" customWidth="1"/>
    <col min="128" max="128" width="9.5546875" customWidth="1"/>
    <col min="129" max="129" width="10.77734375" customWidth="1"/>
    <col min="130" max="130" width="9.77734375" customWidth="1"/>
  </cols>
  <sheetData>
    <row r="1" spans="1:130" ht="15" thickBot="1" x14ac:dyDescent="0.35">
      <c r="A1" s="14" t="s">
        <v>2</v>
      </c>
      <c r="B1" s="2">
        <v>43918</v>
      </c>
      <c r="C1" s="2">
        <v>43913</v>
      </c>
      <c r="D1" s="2">
        <v>43914</v>
      </c>
      <c r="E1" s="2">
        <v>43915</v>
      </c>
      <c r="F1" s="2">
        <v>43916</v>
      </c>
      <c r="G1" s="2">
        <v>43917</v>
      </c>
      <c r="H1" s="2">
        <v>43918</v>
      </c>
      <c r="I1" s="2">
        <v>43913</v>
      </c>
      <c r="J1" s="2">
        <v>43914</v>
      </c>
      <c r="K1" s="2">
        <v>43915</v>
      </c>
      <c r="L1" s="2">
        <v>43916</v>
      </c>
      <c r="M1" s="2">
        <v>43917</v>
      </c>
      <c r="N1" s="2">
        <v>43918</v>
      </c>
      <c r="O1" s="2">
        <v>43913</v>
      </c>
      <c r="P1" s="2">
        <v>43914</v>
      </c>
      <c r="Q1" s="2">
        <v>43915</v>
      </c>
      <c r="R1" s="2">
        <v>43916</v>
      </c>
      <c r="S1" s="2">
        <v>43917</v>
      </c>
      <c r="T1" s="2">
        <v>43918</v>
      </c>
      <c r="U1" s="2">
        <v>43913</v>
      </c>
      <c r="V1" s="2">
        <v>43914</v>
      </c>
      <c r="W1" s="2">
        <v>43915</v>
      </c>
      <c r="X1" s="2">
        <v>43916</v>
      </c>
      <c r="Y1" s="2">
        <v>43917</v>
      </c>
      <c r="Z1" s="2">
        <v>43918</v>
      </c>
      <c r="AA1" s="2">
        <v>43913</v>
      </c>
      <c r="AB1" s="2">
        <v>43914</v>
      </c>
      <c r="AC1" s="2">
        <v>43915</v>
      </c>
      <c r="AD1" s="2">
        <v>43916</v>
      </c>
      <c r="AE1" s="2">
        <v>43917</v>
      </c>
      <c r="AF1" s="2">
        <v>43918</v>
      </c>
      <c r="AG1" s="2">
        <v>43913</v>
      </c>
      <c r="AH1" s="2">
        <v>43914</v>
      </c>
      <c r="AI1" s="2">
        <v>43915</v>
      </c>
      <c r="AJ1" s="2">
        <v>43916</v>
      </c>
      <c r="AK1" s="2">
        <v>43917</v>
      </c>
      <c r="AL1" s="2">
        <v>43918</v>
      </c>
      <c r="AM1" s="2">
        <v>43913</v>
      </c>
      <c r="AN1" s="2">
        <v>43914</v>
      </c>
      <c r="AO1" s="2">
        <v>43915</v>
      </c>
      <c r="AP1" s="2">
        <v>43916</v>
      </c>
      <c r="AQ1" s="2">
        <v>43917</v>
      </c>
      <c r="AR1" s="2">
        <v>43918</v>
      </c>
      <c r="AS1" s="2">
        <v>43913</v>
      </c>
      <c r="AT1" s="2">
        <v>43918</v>
      </c>
      <c r="AU1" s="2">
        <v>43913</v>
      </c>
      <c r="AV1" s="2">
        <v>43914</v>
      </c>
      <c r="AW1" s="2">
        <v>43915</v>
      </c>
      <c r="AX1" s="2">
        <v>43916</v>
      </c>
      <c r="AY1" s="2">
        <v>43917</v>
      </c>
      <c r="AZ1" s="2">
        <v>43918</v>
      </c>
      <c r="BA1" s="2">
        <v>43913</v>
      </c>
      <c r="BB1" s="2">
        <v>43914</v>
      </c>
      <c r="BC1" s="2">
        <v>43915</v>
      </c>
      <c r="BD1" s="2">
        <v>43916</v>
      </c>
      <c r="BE1" s="2">
        <v>43917</v>
      </c>
      <c r="BF1" s="2">
        <v>43918</v>
      </c>
      <c r="BG1" s="2">
        <v>43913</v>
      </c>
      <c r="BH1" s="2">
        <v>43914</v>
      </c>
      <c r="BI1" s="2">
        <v>43915</v>
      </c>
      <c r="BJ1" s="2">
        <v>43916</v>
      </c>
      <c r="BK1" s="2">
        <v>43917</v>
      </c>
      <c r="BL1" s="2">
        <v>43918</v>
      </c>
      <c r="BM1" s="2">
        <v>43913</v>
      </c>
      <c r="BN1" s="2">
        <v>43914</v>
      </c>
      <c r="BO1" s="2">
        <v>43915</v>
      </c>
      <c r="BP1" s="2">
        <v>43916</v>
      </c>
      <c r="BQ1" s="2">
        <v>43917</v>
      </c>
      <c r="BR1" s="2">
        <v>43915</v>
      </c>
      <c r="BS1" s="2">
        <v>43916</v>
      </c>
      <c r="BT1" s="2">
        <v>43917</v>
      </c>
      <c r="BU1" s="2">
        <v>43918</v>
      </c>
      <c r="BV1" s="2">
        <v>43913</v>
      </c>
      <c r="BW1" s="2">
        <v>43914</v>
      </c>
      <c r="BX1" s="2">
        <v>43915</v>
      </c>
      <c r="BY1" s="2">
        <v>43916</v>
      </c>
      <c r="BZ1" s="2">
        <v>43917</v>
      </c>
      <c r="CA1" s="2">
        <v>43918</v>
      </c>
      <c r="CB1" s="2">
        <v>43913</v>
      </c>
      <c r="CC1" s="2">
        <v>43914</v>
      </c>
      <c r="CD1" s="2">
        <v>43915</v>
      </c>
      <c r="CE1" s="2">
        <v>43916</v>
      </c>
      <c r="CF1" s="2">
        <v>43917</v>
      </c>
      <c r="CG1" s="2">
        <v>43918</v>
      </c>
      <c r="CH1" s="2">
        <v>43913</v>
      </c>
      <c r="CI1" s="2">
        <v>43914</v>
      </c>
      <c r="CJ1" s="2">
        <v>43915</v>
      </c>
      <c r="CK1" s="2">
        <v>43916</v>
      </c>
      <c r="CL1" s="2">
        <v>43917</v>
      </c>
      <c r="CM1" s="2">
        <v>43918</v>
      </c>
      <c r="CN1" s="2">
        <v>43913</v>
      </c>
      <c r="CO1" s="2">
        <v>43914</v>
      </c>
      <c r="CP1" s="2">
        <v>43915</v>
      </c>
      <c r="CQ1" s="2">
        <v>43916</v>
      </c>
      <c r="CR1" s="2">
        <v>43917</v>
      </c>
      <c r="CS1" s="2">
        <v>43918</v>
      </c>
      <c r="CT1" s="2">
        <v>43913</v>
      </c>
      <c r="CU1" s="2">
        <v>43914</v>
      </c>
      <c r="CV1" s="2">
        <v>43915</v>
      </c>
      <c r="CW1" s="2">
        <v>43916</v>
      </c>
      <c r="CX1" s="2">
        <v>43917</v>
      </c>
      <c r="CY1" s="2">
        <v>43918</v>
      </c>
      <c r="CZ1" s="2">
        <v>43913</v>
      </c>
      <c r="DA1" s="2">
        <v>43914</v>
      </c>
      <c r="DB1" s="2">
        <v>43915</v>
      </c>
      <c r="DC1" s="2">
        <v>43916</v>
      </c>
      <c r="DD1" s="2">
        <v>43917</v>
      </c>
      <c r="DE1" s="2">
        <v>43918</v>
      </c>
      <c r="DF1" s="2">
        <v>43913</v>
      </c>
      <c r="DG1" s="2">
        <v>43914</v>
      </c>
      <c r="DH1" s="2">
        <v>43915</v>
      </c>
      <c r="DI1" s="2">
        <v>43916</v>
      </c>
      <c r="DJ1" s="2">
        <v>43917</v>
      </c>
      <c r="DK1" s="2">
        <v>43918</v>
      </c>
      <c r="DL1" s="2">
        <v>43913</v>
      </c>
      <c r="DM1" s="2">
        <v>43914</v>
      </c>
      <c r="DN1" s="2">
        <v>43915</v>
      </c>
      <c r="DO1" s="2">
        <v>43916</v>
      </c>
      <c r="DP1" s="2">
        <v>43917</v>
      </c>
      <c r="DQ1" s="2">
        <v>43918</v>
      </c>
      <c r="DR1" s="2">
        <v>43913</v>
      </c>
      <c r="DS1" s="2">
        <v>43914</v>
      </c>
      <c r="DT1" s="2">
        <v>43915</v>
      </c>
      <c r="DU1" s="2">
        <v>43916</v>
      </c>
      <c r="DV1" s="2">
        <v>43917</v>
      </c>
      <c r="DW1" s="2">
        <v>43918</v>
      </c>
      <c r="DX1" s="2">
        <v>43913</v>
      </c>
      <c r="DY1" s="2">
        <v>43914</v>
      </c>
      <c r="DZ1" s="3">
        <v>43915</v>
      </c>
    </row>
    <row r="2" spans="1:130" s="91" customFormat="1" ht="15" thickBot="1" x14ac:dyDescent="0.35">
      <c r="A2" s="14" t="s">
        <v>8</v>
      </c>
      <c r="B2" s="92" t="s">
        <v>11</v>
      </c>
      <c r="C2" s="92" t="s">
        <v>12</v>
      </c>
      <c r="D2" s="92" t="s">
        <v>13</v>
      </c>
      <c r="E2" s="92" t="s">
        <v>12</v>
      </c>
      <c r="F2" s="92" t="s">
        <v>11</v>
      </c>
      <c r="G2" s="92" t="s">
        <v>10</v>
      </c>
      <c r="H2" s="92" t="s">
        <v>9</v>
      </c>
      <c r="I2" s="92" t="s">
        <v>12</v>
      </c>
      <c r="J2" s="92" t="s">
        <v>12</v>
      </c>
      <c r="K2" s="92" t="s">
        <v>14</v>
      </c>
      <c r="L2" s="92" t="s">
        <v>9</v>
      </c>
      <c r="M2" s="92" t="s">
        <v>13</v>
      </c>
      <c r="N2" s="92" t="s">
        <v>13</v>
      </c>
      <c r="O2" s="92" t="s">
        <v>10</v>
      </c>
      <c r="P2" s="92" t="s">
        <v>11</v>
      </c>
      <c r="Q2" s="92" t="s">
        <v>11</v>
      </c>
      <c r="R2" s="92" t="s">
        <v>12</v>
      </c>
      <c r="S2" s="92" t="s">
        <v>13</v>
      </c>
      <c r="T2" s="92" t="s">
        <v>12</v>
      </c>
      <c r="U2" s="92" t="s">
        <v>11</v>
      </c>
      <c r="V2" s="92" t="s">
        <v>10</v>
      </c>
      <c r="W2" s="92" t="s">
        <v>9</v>
      </c>
      <c r="X2" s="92" t="s">
        <v>13</v>
      </c>
      <c r="Y2" s="92" t="s">
        <v>12</v>
      </c>
      <c r="Z2" s="92" t="s">
        <v>14</v>
      </c>
      <c r="AA2" s="92" t="s">
        <v>9</v>
      </c>
      <c r="AB2" s="92" t="s">
        <v>37</v>
      </c>
      <c r="AC2" s="92" t="s">
        <v>13</v>
      </c>
      <c r="AD2" s="92" t="s">
        <v>10</v>
      </c>
      <c r="AE2" s="92" t="s">
        <v>11</v>
      </c>
      <c r="AF2" s="92" t="s">
        <v>11</v>
      </c>
      <c r="AG2" s="92" t="s">
        <v>12</v>
      </c>
      <c r="AH2" s="92" t="s">
        <v>13</v>
      </c>
      <c r="AI2" s="92" t="s">
        <v>12</v>
      </c>
      <c r="AJ2" s="92" t="s">
        <v>11</v>
      </c>
      <c r="AK2" s="92" t="s">
        <v>10</v>
      </c>
      <c r="AL2" s="92" t="s">
        <v>9</v>
      </c>
      <c r="AM2" s="92" t="s">
        <v>37</v>
      </c>
      <c r="AN2" s="92" t="s">
        <v>12</v>
      </c>
      <c r="AO2" s="92" t="s">
        <v>14</v>
      </c>
      <c r="AP2" s="92" t="s">
        <v>9</v>
      </c>
      <c r="AQ2" s="92" t="s">
        <v>14</v>
      </c>
      <c r="AR2" s="92" t="s">
        <v>13</v>
      </c>
      <c r="AS2" s="92" t="s">
        <v>10</v>
      </c>
      <c r="AT2" s="92" t="s">
        <v>14</v>
      </c>
      <c r="AU2" s="92" t="s">
        <v>9</v>
      </c>
      <c r="AV2" s="92" t="s">
        <v>11</v>
      </c>
      <c r="AW2" s="92" t="s">
        <v>13</v>
      </c>
      <c r="AX2" s="92" t="s">
        <v>10</v>
      </c>
      <c r="AY2" s="92" t="s">
        <v>11</v>
      </c>
      <c r="AZ2" s="92" t="s">
        <v>11</v>
      </c>
      <c r="BA2" s="92" t="s">
        <v>12</v>
      </c>
      <c r="BB2" s="92" t="s">
        <v>13</v>
      </c>
      <c r="BC2" s="92" t="s">
        <v>12</v>
      </c>
      <c r="BD2" s="92" t="s">
        <v>11</v>
      </c>
      <c r="BE2" s="92" t="s">
        <v>10</v>
      </c>
      <c r="BF2" s="92" t="s">
        <v>9</v>
      </c>
      <c r="BG2" s="92" t="s">
        <v>11</v>
      </c>
      <c r="BH2" s="92" t="s">
        <v>12</v>
      </c>
      <c r="BI2" s="92" t="s">
        <v>14</v>
      </c>
      <c r="BJ2" s="92" t="s">
        <v>9</v>
      </c>
      <c r="BK2" s="92" t="s">
        <v>9</v>
      </c>
      <c r="BL2" s="92" t="s">
        <v>13</v>
      </c>
      <c r="BM2" s="92" t="s">
        <v>10</v>
      </c>
      <c r="BN2" s="92" t="s">
        <v>11</v>
      </c>
      <c r="BO2" s="92" t="s">
        <v>11</v>
      </c>
      <c r="BP2" s="92" t="s">
        <v>12</v>
      </c>
      <c r="BQ2" s="92" t="s">
        <v>13</v>
      </c>
      <c r="BR2" s="92" t="s">
        <v>9</v>
      </c>
      <c r="BS2" s="92" t="s">
        <v>14</v>
      </c>
      <c r="BT2" s="92" t="s">
        <v>12</v>
      </c>
      <c r="BU2" s="92" t="s">
        <v>14</v>
      </c>
      <c r="BV2" s="92" t="s">
        <v>9</v>
      </c>
      <c r="BW2" s="92" t="s">
        <v>36</v>
      </c>
      <c r="BX2" s="92" t="s">
        <v>13</v>
      </c>
      <c r="BY2" s="92" t="s">
        <v>10</v>
      </c>
      <c r="BZ2" s="92" t="s">
        <v>11</v>
      </c>
      <c r="CA2" s="92" t="s">
        <v>11</v>
      </c>
      <c r="CB2" s="92" t="s">
        <v>12</v>
      </c>
      <c r="CC2" s="92" t="s">
        <v>13</v>
      </c>
      <c r="CD2" s="92" t="s">
        <v>12</v>
      </c>
      <c r="CE2" s="92" t="s">
        <v>11</v>
      </c>
      <c r="CF2" s="92" t="s">
        <v>10</v>
      </c>
      <c r="CG2" s="92" t="s">
        <v>9</v>
      </c>
      <c r="CH2" s="92" t="s">
        <v>36</v>
      </c>
      <c r="CI2" s="92" t="s">
        <v>12</v>
      </c>
      <c r="CJ2" s="92" t="s">
        <v>14</v>
      </c>
      <c r="CK2" s="92" t="s">
        <v>9</v>
      </c>
      <c r="CL2" s="92" t="s">
        <v>38</v>
      </c>
      <c r="CM2" s="92" t="s">
        <v>13</v>
      </c>
      <c r="CN2" s="92" t="s">
        <v>10</v>
      </c>
      <c r="CO2" s="92" t="s">
        <v>11</v>
      </c>
      <c r="CP2" s="92" t="s">
        <v>11</v>
      </c>
      <c r="CQ2" s="92" t="s">
        <v>12</v>
      </c>
      <c r="CR2" s="92" t="s">
        <v>13</v>
      </c>
      <c r="CS2" s="92" t="s">
        <v>12</v>
      </c>
      <c r="CT2" s="92" t="s">
        <v>11</v>
      </c>
      <c r="CU2" s="92" t="s">
        <v>10</v>
      </c>
      <c r="CV2" s="92" t="s">
        <v>9</v>
      </c>
      <c r="CW2" s="92" t="s">
        <v>38</v>
      </c>
      <c r="CX2" s="92" t="s">
        <v>12</v>
      </c>
      <c r="CY2" s="92" t="s">
        <v>14</v>
      </c>
      <c r="CZ2" s="92" t="s">
        <v>9</v>
      </c>
      <c r="DA2" s="92" t="s">
        <v>11</v>
      </c>
      <c r="DB2" s="92" t="s">
        <v>13</v>
      </c>
      <c r="DC2" s="92" t="s">
        <v>10</v>
      </c>
      <c r="DD2" s="92" t="s">
        <v>11</v>
      </c>
      <c r="DE2" s="92" t="s">
        <v>11</v>
      </c>
      <c r="DF2" s="92" t="s">
        <v>12</v>
      </c>
      <c r="DG2" s="92" t="s">
        <v>13</v>
      </c>
      <c r="DH2" s="92" t="s">
        <v>12</v>
      </c>
      <c r="DI2" s="92" t="s">
        <v>11</v>
      </c>
      <c r="DJ2" s="92" t="s">
        <v>10</v>
      </c>
      <c r="DK2" s="92" t="s">
        <v>9</v>
      </c>
      <c r="DL2" s="92" t="s">
        <v>11</v>
      </c>
      <c r="DM2" s="92" t="s">
        <v>12</v>
      </c>
      <c r="DN2" s="92" t="s">
        <v>14</v>
      </c>
      <c r="DO2" s="92" t="s">
        <v>9</v>
      </c>
      <c r="DP2" s="92" t="s">
        <v>9</v>
      </c>
      <c r="DQ2" s="92" t="s">
        <v>13</v>
      </c>
      <c r="DR2" s="92" t="s">
        <v>10</v>
      </c>
      <c r="DS2" s="92" t="s">
        <v>11</v>
      </c>
      <c r="DT2" s="92" t="s">
        <v>11</v>
      </c>
      <c r="DU2" s="92" t="s">
        <v>12</v>
      </c>
      <c r="DV2" s="92" t="s">
        <v>13</v>
      </c>
      <c r="DW2" s="92" t="s">
        <v>12</v>
      </c>
      <c r="DX2" s="92" t="s">
        <v>11</v>
      </c>
      <c r="DY2" s="92" t="s">
        <v>10</v>
      </c>
      <c r="DZ2" s="93" t="s">
        <v>9</v>
      </c>
    </row>
    <row r="3" spans="1:130" s="91" customFormat="1" ht="15" thickBot="1" x14ac:dyDescent="0.35">
      <c r="A3" s="14" t="s">
        <v>3</v>
      </c>
      <c r="B3" s="89" t="s">
        <v>7</v>
      </c>
      <c r="C3" s="89" t="s">
        <v>7</v>
      </c>
      <c r="D3" s="89" t="s">
        <v>1</v>
      </c>
      <c r="E3" s="89" t="s">
        <v>1</v>
      </c>
      <c r="F3" s="89" t="s">
        <v>1</v>
      </c>
      <c r="G3" s="89" t="s">
        <v>7</v>
      </c>
      <c r="H3" s="89" t="s">
        <v>1</v>
      </c>
      <c r="I3" s="89" t="s">
        <v>1</v>
      </c>
      <c r="J3" s="89" t="s">
        <v>1</v>
      </c>
      <c r="K3" s="89" t="s">
        <v>1</v>
      </c>
      <c r="L3" s="89" t="s">
        <v>7</v>
      </c>
      <c r="M3" s="89" t="s">
        <v>1</v>
      </c>
      <c r="N3" s="89" t="s">
        <v>1</v>
      </c>
      <c r="O3" s="89" t="s">
        <v>1</v>
      </c>
      <c r="P3" s="89" t="s">
        <v>7</v>
      </c>
      <c r="Q3" s="89" t="s">
        <v>1</v>
      </c>
      <c r="R3" s="89" t="s">
        <v>1</v>
      </c>
      <c r="S3" s="89" t="s">
        <v>1</v>
      </c>
      <c r="T3" s="89" t="s">
        <v>1</v>
      </c>
      <c r="U3" s="89" t="s">
        <v>1</v>
      </c>
      <c r="V3" s="89" t="s">
        <v>1</v>
      </c>
      <c r="W3" s="89" t="s">
        <v>1</v>
      </c>
      <c r="X3" s="89" t="s">
        <v>1</v>
      </c>
      <c r="Y3" s="89" t="s">
        <v>1</v>
      </c>
      <c r="Z3" s="89" t="s">
        <v>1</v>
      </c>
      <c r="AA3" s="89" t="s">
        <v>1</v>
      </c>
      <c r="AB3" s="89" t="s">
        <v>1</v>
      </c>
      <c r="AC3" s="89" t="s">
        <v>1</v>
      </c>
      <c r="AD3" s="89" t="s">
        <v>1</v>
      </c>
      <c r="AE3" s="89" t="s">
        <v>1</v>
      </c>
      <c r="AF3" s="89" t="s">
        <v>1</v>
      </c>
      <c r="AG3" s="89" t="s">
        <v>1</v>
      </c>
      <c r="AH3" s="89" t="s">
        <v>1</v>
      </c>
      <c r="AI3" s="89" t="s">
        <v>1</v>
      </c>
      <c r="AJ3" s="89" t="s">
        <v>1</v>
      </c>
      <c r="AK3" s="89" t="s">
        <v>1</v>
      </c>
      <c r="AL3" s="89" t="s">
        <v>1</v>
      </c>
      <c r="AM3" s="89" t="s">
        <v>1</v>
      </c>
      <c r="AN3" s="89" t="s">
        <v>1</v>
      </c>
      <c r="AO3" s="89" t="s">
        <v>1</v>
      </c>
      <c r="AP3" s="89" t="s">
        <v>1</v>
      </c>
      <c r="AQ3" s="89" t="s">
        <v>1</v>
      </c>
      <c r="AR3" s="89" t="s">
        <v>1</v>
      </c>
      <c r="AS3" s="89" t="s">
        <v>1</v>
      </c>
      <c r="AT3" s="89" t="s">
        <v>0</v>
      </c>
      <c r="AU3" s="89" t="s">
        <v>0</v>
      </c>
      <c r="AV3" s="89" t="s">
        <v>0</v>
      </c>
      <c r="AW3" s="89" t="s">
        <v>0</v>
      </c>
      <c r="AX3" s="89" t="s">
        <v>0</v>
      </c>
      <c r="AY3" s="89" t="s">
        <v>0</v>
      </c>
      <c r="AZ3" s="89" t="s">
        <v>0</v>
      </c>
      <c r="BA3" s="89" t="s">
        <v>0</v>
      </c>
      <c r="BB3" s="89" t="s">
        <v>0</v>
      </c>
      <c r="BC3" s="89" t="s">
        <v>0</v>
      </c>
      <c r="BD3" s="89" t="s">
        <v>0</v>
      </c>
      <c r="BE3" s="89" t="s">
        <v>0</v>
      </c>
      <c r="BF3" s="89" t="s">
        <v>0</v>
      </c>
      <c r="BG3" s="89" t="s">
        <v>0</v>
      </c>
      <c r="BH3" s="89" t="s">
        <v>0</v>
      </c>
      <c r="BI3" s="89" t="s">
        <v>0</v>
      </c>
      <c r="BJ3" s="89" t="s">
        <v>0</v>
      </c>
      <c r="BK3" s="89" t="s">
        <v>0</v>
      </c>
      <c r="BL3" s="89" t="s">
        <v>0</v>
      </c>
      <c r="BM3" s="89" t="s">
        <v>0</v>
      </c>
      <c r="BN3" s="89" t="s">
        <v>0</v>
      </c>
      <c r="BO3" s="89" t="s">
        <v>0</v>
      </c>
      <c r="BP3" s="89" t="s">
        <v>0</v>
      </c>
      <c r="BQ3" s="89" t="s">
        <v>0</v>
      </c>
      <c r="BR3" s="89" t="s">
        <v>1</v>
      </c>
      <c r="BS3" s="89" t="s">
        <v>1</v>
      </c>
      <c r="BT3" s="89" t="s">
        <v>1</v>
      </c>
      <c r="BU3" s="89" t="s">
        <v>1</v>
      </c>
      <c r="BV3" s="89" t="s">
        <v>1</v>
      </c>
      <c r="BW3" s="89" t="s">
        <v>1</v>
      </c>
      <c r="BX3" s="89" t="s">
        <v>1</v>
      </c>
      <c r="BY3" s="89" t="s">
        <v>1</v>
      </c>
      <c r="BZ3" s="89" t="s">
        <v>1</v>
      </c>
      <c r="CA3" s="89" t="s">
        <v>1</v>
      </c>
      <c r="CB3" s="89" t="s">
        <v>1</v>
      </c>
      <c r="CC3" s="89" t="s">
        <v>1</v>
      </c>
      <c r="CD3" s="89" t="s">
        <v>1</v>
      </c>
      <c r="CE3" s="89" t="s">
        <v>1</v>
      </c>
      <c r="CF3" s="89" t="s">
        <v>1</v>
      </c>
      <c r="CG3" s="89" t="s">
        <v>1</v>
      </c>
      <c r="CH3" s="89" t="s">
        <v>1</v>
      </c>
      <c r="CI3" s="89" t="s">
        <v>1</v>
      </c>
      <c r="CJ3" s="89" t="s">
        <v>1</v>
      </c>
      <c r="CK3" s="89" t="s">
        <v>1</v>
      </c>
      <c r="CL3" s="89" t="s">
        <v>1</v>
      </c>
      <c r="CM3" s="89" t="s">
        <v>1</v>
      </c>
      <c r="CN3" s="89" t="s">
        <v>1</v>
      </c>
      <c r="CO3" s="89" t="s">
        <v>1</v>
      </c>
      <c r="CP3" s="89" t="s">
        <v>1</v>
      </c>
      <c r="CQ3" s="89" t="s">
        <v>1</v>
      </c>
      <c r="CR3" s="89" t="s">
        <v>1</v>
      </c>
      <c r="CS3" s="89" t="s">
        <v>1</v>
      </c>
      <c r="CT3" s="89" t="s">
        <v>1</v>
      </c>
      <c r="CU3" s="89" t="s">
        <v>1</v>
      </c>
      <c r="CV3" s="89" t="s">
        <v>1</v>
      </c>
      <c r="CW3" s="89" t="s">
        <v>1</v>
      </c>
      <c r="CX3" s="89" t="s">
        <v>1</v>
      </c>
      <c r="CY3" s="89" t="s">
        <v>0</v>
      </c>
      <c r="CZ3" s="89" t="s">
        <v>0</v>
      </c>
      <c r="DA3" s="89" t="s">
        <v>0</v>
      </c>
      <c r="DB3" s="89" t="s">
        <v>0</v>
      </c>
      <c r="DC3" s="89" t="s">
        <v>0</v>
      </c>
      <c r="DD3" s="89" t="s">
        <v>0</v>
      </c>
      <c r="DE3" s="89" t="s">
        <v>0</v>
      </c>
      <c r="DF3" s="89" t="s">
        <v>0</v>
      </c>
      <c r="DG3" s="89" t="s">
        <v>0</v>
      </c>
      <c r="DH3" s="89" t="s">
        <v>0</v>
      </c>
      <c r="DI3" s="89" t="s">
        <v>0</v>
      </c>
      <c r="DJ3" s="89" t="s">
        <v>0</v>
      </c>
      <c r="DK3" s="89" t="s">
        <v>0</v>
      </c>
      <c r="DL3" s="89" t="s">
        <v>0</v>
      </c>
      <c r="DM3" s="89" t="s">
        <v>0</v>
      </c>
      <c r="DN3" s="89" t="s">
        <v>0</v>
      </c>
      <c r="DO3" s="89" t="s">
        <v>0</v>
      </c>
      <c r="DP3" s="89" t="s">
        <v>0</v>
      </c>
      <c r="DQ3" s="89" t="s">
        <v>0</v>
      </c>
      <c r="DR3" s="89" t="s">
        <v>0</v>
      </c>
      <c r="DS3" s="89" t="s">
        <v>0</v>
      </c>
      <c r="DT3" s="89" t="s">
        <v>0</v>
      </c>
      <c r="DU3" s="89" t="s">
        <v>0</v>
      </c>
      <c r="DV3" s="89" t="s">
        <v>0</v>
      </c>
      <c r="DW3" s="89" t="s">
        <v>0</v>
      </c>
      <c r="DX3" s="89" t="s">
        <v>0</v>
      </c>
      <c r="DY3" s="89" t="s">
        <v>0</v>
      </c>
      <c r="DZ3" s="90" t="s">
        <v>0</v>
      </c>
    </row>
    <row r="4" spans="1:130" ht="15" thickBot="1" x14ac:dyDescent="0.35">
      <c r="A4" s="14" t="s">
        <v>4</v>
      </c>
      <c r="B4" s="9">
        <v>49</v>
      </c>
      <c r="C4" s="9">
        <v>53</v>
      </c>
      <c r="D4" s="9">
        <v>37</v>
      </c>
      <c r="E4" s="9">
        <v>45</v>
      </c>
      <c r="F4" s="9">
        <v>53</v>
      </c>
      <c r="G4" s="9">
        <v>45</v>
      </c>
      <c r="H4" s="9">
        <v>62</v>
      </c>
      <c r="I4" s="9">
        <v>61</v>
      </c>
      <c r="J4" s="9">
        <v>40</v>
      </c>
      <c r="K4" s="9">
        <v>53</v>
      </c>
      <c r="L4" s="9">
        <v>53</v>
      </c>
      <c r="M4" s="9">
        <v>34</v>
      </c>
      <c r="N4" s="9">
        <v>36</v>
      </c>
      <c r="O4" s="9">
        <v>39</v>
      </c>
      <c r="P4" s="9">
        <v>39</v>
      </c>
      <c r="Q4" s="9">
        <v>45</v>
      </c>
      <c r="R4" s="9">
        <v>41</v>
      </c>
      <c r="S4" s="9">
        <v>38</v>
      </c>
      <c r="T4" s="9">
        <v>46</v>
      </c>
      <c r="U4" s="9">
        <v>45</v>
      </c>
      <c r="V4" s="9">
        <v>61</v>
      </c>
      <c r="W4" s="9">
        <v>48</v>
      </c>
      <c r="X4" s="9">
        <v>51</v>
      </c>
      <c r="Y4" s="9">
        <v>46</v>
      </c>
      <c r="Z4" s="9">
        <v>51</v>
      </c>
      <c r="AA4" s="9">
        <v>45</v>
      </c>
      <c r="AB4" s="9">
        <v>54</v>
      </c>
      <c r="AC4" s="9">
        <v>59</v>
      </c>
      <c r="AD4" s="9">
        <v>40</v>
      </c>
      <c r="AE4" s="9">
        <v>46</v>
      </c>
      <c r="AF4" s="9">
        <v>41</v>
      </c>
      <c r="AG4" s="9">
        <v>41</v>
      </c>
      <c r="AH4" s="9">
        <v>57</v>
      </c>
      <c r="AI4" s="9">
        <v>35</v>
      </c>
      <c r="AJ4" s="9">
        <v>40</v>
      </c>
      <c r="AK4" s="9">
        <v>52</v>
      </c>
      <c r="AL4" s="9">
        <v>59</v>
      </c>
      <c r="AM4" s="9">
        <v>43</v>
      </c>
      <c r="AN4" s="9">
        <v>34</v>
      </c>
      <c r="AO4" s="9">
        <v>39</v>
      </c>
      <c r="AP4" s="9">
        <v>42</v>
      </c>
      <c r="AQ4" s="9">
        <v>51</v>
      </c>
      <c r="AR4" s="9">
        <v>41</v>
      </c>
      <c r="AS4" s="9">
        <v>37</v>
      </c>
      <c r="AT4" s="9">
        <v>44</v>
      </c>
      <c r="AU4" s="9">
        <v>46</v>
      </c>
      <c r="AV4" s="9">
        <v>39</v>
      </c>
      <c r="AW4" s="9">
        <v>47</v>
      </c>
      <c r="AX4" s="9">
        <v>34</v>
      </c>
      <c r="AY4" s="9">
        <v>43</v>
      </c>
      <c r="AZ4" s="9">
        <v>38</v>
      </c>
      <c r="BA4" s="9">
        <v>37</v>
      </c>
      <c r="BB4" s="9">
        <v>34</v>
      </c>
      <c r="BC4" s="9">
        <v>49</v>
      </c>
      <c r="BD4" s="9">
        <v>41</v>
      </c>
      <c r="BE4" s="9">
        <v>44</v>
      </c>
      <c r="BF4" s="9">
        <v>42</v>
      </c>
      <c r="BG4" s="9">
        <v>40</v>
      </c>
      <c r="BH4" s="9">
        <v>39</v>
      </c>
      <c r="BI4" s="9">
        <v>48</v>
      </c>
      <c r="BJ4" s="9">
        <v>41</v>
      </c>
      <c r="BK4" s="9">
        <v>42</v>
      </c>
      <c r="BL4" s="9">
        <v>43</v>
      </c>
      <c r="BM4" s="9">
        <v>35</v>
      </c>
      <c r="BN4" s="9">
        <v>46</v>
      </c>
      <c r="BO4" s="9">
        <v>39</v>
      </c>
      <c r="BP4" s="9">
        <v>35</v>
      </c>
      <c r="BQ4" s="9">
        <v>37</v>
      </c>
      <c r="BR4" s="9">
        <v>44</v>
      </c>
      <c r="BS4" s="9">
        <v>47</v>
      </c>
      <c r="BT4" s="9">
        <v>47</v>
      </c>
      <c r="BU4" s="9">
        <v>42</v>
      </c>
      <c r="BV4" s="9">
        <v>39</v>
      </c>
      <c r="BW4" s="9">
        <v>38</v>
      </c>
      <c r="BX4" s="9">
        <v>36</v>
      </c>
      <c r="BY4" s="9">
        <v>34</v>
      </c>
      <c r="BZ4" s="9">
        <v>35</v>
      </c>
      <c r="CA4" s="9">
        <v>45</v>
      </c>
      <c r="CB4" s="9">
        <v>44</v>
      </c>
      <c r="CC4" s="9">
        <v>39</v>
      </c>
      <c r="CD4" s="9">
        <v>37</v>
      </c>
      <c r="CE4" s="9">
        <v>41</v>
      </c>
      <c r="CF4" s="9">
        <v>51</v>
      </c>
      <c r="CG4" s="9">
        <v>44</v>
      </c>
      <c r="CH4" s="9">
        <v>35</v>
      </c>
      <c r="CI4" s="9">
        <v>50</v>
      </c>
      <c r="CJ4" s="9">
        <v>37</v>
      </c>
      <c r="CK4" s="9">
        <v>47</v>
      </c>
      <c r="CL4" s="9">
        <v>44</v>
      </c>
      <c r="CM4" s="9">
        <v>35</v>
      </c>
      <c r="CN4" s="9">
        <v>38</v>
      </c>
      <c r="CO4" s="9">
        <v>38</v>
      </c>
      <c r="CP4" s="9">
        <v>42</v>
      </c>
      <c r="CQ4" s="9">
        <v>40</v>
      </c>
      <c r="CR4" s="9">
        <v>39</v>
      </c>
      <c r="CS4" s="9">
        <v>42</v>
      </c>
      <c r="CT4" s="9">
        <v>37</v>
      </c>
      <c r="CU4" s="9">
        <v>39</v>
      </c>
      <c r="CV4" s="9">
        <v>35</v>
      </c>
      <c r="CW4" s="9">
        <v>40</v>
      </c>
      <c r="CX4" s="9">
        <v>53</v>
      </c>
      <c r="CY4" s="9">
        <v>44</v>
      </c>
      <c r="CZ4" s="9">
        <v>46</v>
      </c>
      <c r="DA4" s="9">
        <v>39</v>
      </c>
      <c r="DB4" s="9">
        <v>47</v>
      </c>
      <c r="DC4" s="9">
        <v>34</v>
      </c>
      <c r="DD4" s="9">
        <v>43</v>
      </c>
      <c r="DE4" s="9">
        <v>38</v>
      </c>
      <c r="DF4" s="9">
        <v>37</v>
      </c>
      <c r="DG4" s="9">
        <v>34</v>
      </c>
      <c r="DH4" s="9">
        <v>49</v>
      </c>
      <c r="DI4" s="9">
        <v>41</v>
      </c>
      <c r="DJ4" s="9">
        <v>44</v>
      </c>
      <c r="DK4" s="9">
        <v>42</v>
      </c>
      <c r="DL4" s="9">
        <v>40</v>
      </c>
      <c r="DM4" s="9">
        <v>39</v>
      </c>
      <c r="DN4" s="9">
        <v>48</v>
      </c>
      <c r="DO4" s="9">
        <v>41</v>
      </c>
      <c r="DP4" s="9">
        <v>42</v>
      </c>
      <c r="DQ4" s="9">
        <v>43</v>
      </c>
      <c r="DR4" s="9">
        <v>35</v>
      </c>
      <c r="DS4" s="9">
        <v>46</v>
      </c>
      <c r="DT4" s="9">
        <v>39</v>
      </c>
      <c r="DU4" s="9">
        <v>35</v>
      </c>
      <c r="DV4" s="9">
        <v>37</v>
      </c>
      <c r="DW4" s="9">
        <v>48</v>
      </c>
      <c r="DX4" s="9">
        <v>48</v>
      </c>
      <c r="DY4" s="9">
        <v>36</v>
      </c>
      <c r="DZ4" s="10">
        <v>45</v>
      </c>
    </row>
    <row r="5" spans="1:130" ht="29.4" thickBot="1" x14ac:dyDescent="0.35">
      <c r="A5" s="15" t="s">
        <v>5</v>
      </c>
      <c r="B5" s="12">
        <v>35000</v>
      </c>
      <c r="C5" s="12">
        <v>100000</v>
      </c>
      <c r="D5" s="12">
        <v>210000</v>
      </c>
      <c r="E5" s="12">
        <v>160000</v>
      </c>
      <c r="F5" s="12">
        <v>350000</v>
      </c>
      <c r="G5" s="12">
        <v>180000</v>
      </c>
      <c r="H5" s="12">
        <v>97000</v>
      </c>
      <c r="I5" s="12">
        <v>168000</v>
      </c>
      <c r="J5" s="12">
        <v>220000</v>
      </c>
      <c r="K5" s="12">
        <v>150000</v>
      </c>
      <c r="L5" s="12">
        <v>500000</v>
      </c>
      <c r="M5" s="12">
        <v>100000</v>
      </c>
      <c r="N5" s="12">
        <v>0</v>
      </c>
      <c r="O5" s="12">
        <v>150000</v>
      </c>
      <c r="P5" s="12">
        <v>600000</v>
      </c>
      <c r="Q5" s="12">
        <v>400000</v>
      </c>
      <c r="R5" s="12">
        <v>120000</v>
      </c>
      <c r="S5" s="12">
        <v>250000</v>
      </c>
      <c r="T5" s="12">
        <v>150000</v>
      </c>
      <c r="U5" s="12">
        <v>350000</v>
      </c>
      <c r="V5" s="12">
        <v>150000</v>
      </c>
      <c r="W5" s="12">
        <v>145000</v>
      </c>
      <c r="X5" s="12">
        <v>300000</v>
      </c>
      <c r="Y5" s="12">
        <v>130000</v>
      </c>
      <c r="Z5" s="12">
        <v>170000</v>
      </c>
      <c r="AA5" s="12">
        <v>80000</v>
      </c>
      <c r="AB5" s="12">
        <v>60000</v>
      </c>
      <c r="AC5" s="12">
        <v>150000</v>
      </c>
      <c r="AD5" s="12">
        <v>100000</v>
      </c>
      <c r="AE5" s="12">
        <v>80000</v>
      </c>
      <c r="AF5" s="12">
        <v>200000</v>
      </c>
      <c r="AG5" s="12">
        <v>180000</v>
      </c>
      <c r="AH5" s="12">
        <v>150000</v>
      </c>
      <c r="AI5" s="12">
        <v>200000</v>
      </c>
      <c r="AJ5" s="12">
        <v>700000</v>
      </c>
      <c r="AK5" s="12">
        <v>150000</v>
      </c>
      <c r="AL5" s="12">
        <v>150000</v>
      </c>
      <c r="AM5" s="12">
        <v>150000</v>
      </c>
      <c r="AN5" s="12">
        <v>200000</v>
      </c>
      <c r="AO5" s="12">
        <v>100000</v>
      </c>
      <c r="AP5" s="12">
        <v>150000</v>
      </c>
      <c r="AQ5" s="12">
        <v>150000</v>
      </c>
      <c r="AR5" s="12">
        <v>150000</v>
      </c>
      <c r="AS5" s="12">
        <v>70000</v>
      </c>
      <c r="AT5" s="12">
        <v>750000</v>
      </c>
      <c r="AU5" s="12">
        <v>360000</v>
      </c>
      <c r="AV5" s="12">
        <v>1170000</v>
      </c>
      <c r="AW5" s="12">
        <v>370000</v>
      </c>
      <c r="AX5" s="12">
        <v>348000</v>
      </c>
      <c r="AY5" s="12">
        <v>400000</v>
      </c>
      <c r="AZ5" s="12">
        <v>350000</v>
      </c>
      <c r="BA5" s="12">
        <v>600000</v>
      </c>
      <c r="BB5" s="12">
        <v>570000</v>
      </c>
      <c r="BC5" s="12">
        <v>460000</v>
      </c>
      <c r="BD5" s="12">
        <v>890000</v>
      </c>
      <c r="BE5" s="12">
        <v>900000</v>
      </c>
      <c r="BF5" s="12">
        <v>450000</v>
      </c>
      <c r="BG5" s="12">
        <v>450000</v>
      </c>
      <c r="BH5" s="12">
        <v>650000</v>
      </c>
      <c r="BI5" s="12">
        <v>750000</v>
      </c>
      <c r="BJ5" s="12">
        <v>400000</v>
      </c>
      <c r="BK5" s="12">
        <v>600000</v>
      </c>
      <c r="BL5" s="12">
        <v>600000</v>
      </c>
      <c r="BM5" s="12">
        <v>450000</v>
      </c>
      <c r="BN5" s="12">
        <v>650000</v>
      </c>
      <c r="BO5" s="12">
        <v>370000</v>
      </c>
      <c r="BP5" s="12">
        <v>345000</v>
      </c>
      <c r="BQ5" s="12">
        <v>470000</v>
      </c>
      <c r="BR5" s="12">
        <v>175000</v>
      </c>
      <c r="BS5" s="12">
        <v>200000</v>
      </c>
      <c r="BT5" s="12">
        <v>420000</v>
      </c>
      <c r="BU5" s="12">
        <v>150000</v>
      </c>
      <c r="BV5" s="12">
        <v>250000</v>
      </c>
      <c r="BW5" s="12">
        <v>85000</v>
      </c>
      <c r="BX5" s="12">
        <v>250000</v>
      </c>
      <c r="BY5" s="12">
        <v>120000</v>
      </c>
      <c r="BZ5" s="12">
        <v>70000</v>
      </c>
      <c r="CA5" s="12">
        <v>230000</v>
      </c>
      <c r="CB5" s="12">
        <v>55000</v>
      </c>
      <c r="CC5" s="12">
        <v>160000</v>
      </c>
      <c r="CD5" s="12">
        <v>300000</v>
      </c>
      <c r="CE5" s="12">
        <v>71000</v>
      </c>
      <c r="CF5" s="12">
        <v>103000</v>
      </c>
      <c r="CG5" s="12">
        <v>250000</v>
      </c>
      <c r="CH5" s="12">
        <v>300000</v>
      </c>
      <c r="CI5" s="12">
        <v>150000</v>
      </c>
      <c r="CJ5" s="12">
        <v>0</v>
      </c>
      <c r="CK5" s="12">
        <v>150000</v>
      </c>
      <c r="CL5" s="12">
        <v>100000</v>
      </c>
      <c r="CM5" s="12">
        <v>250000</v>
      </c>
      <c r="CN5" s="12">
        <v>200000</v>
      </c>
      <c r="CO5" s="12">
        <v>60000</v>
      </c>
      <c r="CP5" s="12">
        <v>500000</v>
      </c>
      <c r="CQ5" s="12">
        <v>150000</v>
      </c>
      <c r="CR5" s="12">
        <v>180000</v>
      </c>
      <c r="CS5" s="12">
        <v>160000</v>
      </c>
      <c r="CT5" s="12">
        <v>500000</v>
      </c>
      <c r="CU5" s="12">
        <v>92000</v>
      </c>
      <c r="CV5" s="12">
        <v>60000</v>
      </c>
      <c r="CW5" s="12">
        <v>300000</v>
      </c>
      <c r="CX5" s="12">
        <v>120000</v>
      </c>
      <c r="CY5" s="12">
        <v>500000</v>
      </c>
      <c r="CZ5" s="12">
        <v>110000</v>
      </c>
      <c r="DA5" s="12">
        <v>920000</v>
      </c>
      <c r="DB5" s="12">
        <v>120000</v>
      </c>
      <c r="DC5" s="12">
        <v>98000</v>
      </c>
      <c r="DD5" s="12">
        <v>150000</v>
      </c>
      <c r="DE5" s="12">
        <v>100000</v>
      </c>
      <c r="DF5" s="12">
        <v>350000</v>
      </c>
      <c r="DG5" s="12">
        <v>320000</v>
      </c>
      <c r="DH5" s="12">
        <v>210000</v>
      </c>
      <c r="DI5" s="12">
        <v>640000</v>
      </c>
      <c r="DJ5" s="12">
        <v>650000</v>
      </c>
      <c r="DK5" s="12">
        <v>200000</v>
      </c>
      <c r="DL5" s="12">
        <v>200000</v>
      </c>
      <c r="DM5" s="12">
        <v>400000</v>
      </c>
      <c r="DN5" s="12">
        <v>500000</v>
      </c>
      <c r="DO5" s="12">
        <v>150000</v>
      </c>
      <c r="DP5" s="12">
        <v>350000</v>
      </c>
      <c r="DQ5" s="12">
        <v>350000</v>
      </c>
      <c r="DR5" s="12">
        <v>200000</v>
      </c>
      <c r="DS5" s="12">
        <v>400000</v>
      </c>
      <c r="DT5" s="12">
        <v>120000</v>
      </c>
      <c r="DU5" s="12">
        <v>95000</v>
      </c>
      <c r="DV5" s="12">
        <v>220000</v>
      </c>
      <c r="DW5" s="12">
        <v>200000</v>
      </c>
      <c r="DX5" s="12">
        <v>530000</v>
      </c>
      <c r="DY5" s="12">
        <v>2000000</v>
      </c>
      <c r="DZ5" s="13">
        <v>110000</v>
      </c>
    </row>
    <row r="6" spans="1:130" ht="29.4" thickBot="1" x14ac:dyDescent="0.35">
      <c r="A6" s="15" t="s">
        <v>15</v>
      </c>
      <c r="B6" s="12">
        <v>92000</v>
      </c>
      <c r="C6" s="12">
        <v>20000</v>
      </c>
      <c r="D6" s="12">
        <v>200000</v>
      </c>
      <c r="E6" s="12">
        <v>1050000</v>
      </c>
      <c r="F6" s="12">
        <v>1000000</v>
      </c>
      <c r="G6" s="12">
        <v>250000</v>
      </c>
      <c r="H6" s="12">
        <v>237000</v>
      </c>
      <c r="I6" s="12">
        <v>288000</v>
      </c>
      <c r="J6" s="12">
        <v>200000</v>
      </c>
      <c r="K6" s="12">
        <v>250000</v>
      </c>
      <c r="L6" s="12">
        <v>900000</v>
      </c>
      <c r="M6" s="12">
        <v>200000</v>
      </c>
      <c r="N6" s="12">
        <v>880000</v>
      </c>
      <c r="O6" s="12">
        <v>170000</v>
      </c>
      <c r="P6" s="12">
        <v>500000</v>
      </c>
      <c r="Q6" s="12">
        <v>400000</v>
      </c>
      <c r="R6" s="12">
        <v>30000</v>
      </c>
      <c r="S6" s="12">
        <v>120000</v>
      </c>
      <c r="T6" s="12">
        <v>720000</v>
      </c>
      <c r="U6" s="12">
        <v>0</v>
      </c>
      <c r="V6" s="12">
        <v>78000</v>
      </c>
      <c r="W6" s="12">
        <v>30000</v>
      </c>
      <c r="X6" s="12">
        <v>500000</v>
      </c>
      <c r="Y6" s="12">
        <v>200000</v>
      </c>
      <c r="Z6" s="12">
        <v>450000</v>
      </c>
      <c r="AA6" s="12">
        <v>1200000</v>
      </c>
      <c r="AB6" s="12">
        <v>170000</v>
      </c>
      <c r="AC6" s="12">
        <v>0</v>
      </c>
      <c r="AD6" s="12">
        <v>125000</v>
      </c>
      <c r="AE6" s="12">
        <v>160000</v>
      </c>
      <c r="AF6" s="12">
        <v>100000</v>
      </c>
      <c r="AG6" s="12">
        <v>0</v>
      </c>
      <c r="AH6" s="12">
        <v>100000</v>
      </c>
      <c r="AI6" s="12">
        <v>390000</v>
      </c>
      <c r="AJ6" s="12">
        <v>500000</v>
      </c>
      <c r="AK6" s="12">
        <v>300000</v>
      </c>
      <c r="AL6" s="12">
        <v>220000</v>
      </c>
      <c r="AM6" s="12">
        <v>0</v>
      </c>
      <c r="AN6" s="12">
        <v>1000000</v>
      </c>
      <c r="AO6" s="12">
        <v>140000</v>
      </c>
      <c r="AP6" s="12">
        <v>400000</v>
      </c>
      <c r="AQ6" s="12">
        <v>180000</v>
      </c>
      <c r="AR6" s="12">
        <v>200000</v>
      </c>
      <c r="AS6" s="12">
        <v>120000</v>
      </c>
      <c r="AT6" s="12">
        <v>230000</v>
      </c>
      <c r="AU6" s="12">
        <v>1030000</v>
      </c>
      <c r="AV6" s="12">
        <v>380000</v>
      </c>
      <c r="AW6" s="12">
        <v>280000</v>
      </c>
      <c r="AX6" s="12">
        <v>290000</v>
      </c>
      <c r="AY6" s="12">
        <v>200000</v>
      </c>
      <c r="AZ6" s="12">
        <v>390000</v>
      </c>
      <c r="BA6" s="12">
        <v>920000</v>
      </c>
      <c r="BB6" s="12">
        <v>249000</v>
      </c>
      <c r="BC6" s="12">
        <v>780000</v>
      </c>
      <c r="BD6" s="12">
        <v>280000</v>
      </c>
      <c r="BE6" s="12">
        <v>630000</v>
      </c>
      <c r="BF6" s="12">
        <v>160000</v>
      </c>
      <c r="BG6" s="12">
        <v>150000</v>
      </c>
      <c r="BH6" s="12">
        <v>180000</v>
      </c>
      <c r="BI6" s="12">
        <v>120000</v>
      </c>
      <c r="BJ6" s="12">
        <v>80000</v>
      </c>
      <c r="BK6" s="12">
        <v>480000</v>
      </c>
      <c r="BL6" s="12">
        <v>580000</v>
      </c>
      <c r="BM6" s="12">
        <v>330000</v>
      </c>
      <c r="BN6" s="12">
        <v>240000</v>
      </c>
      <c r="BO6" s="12">
        <v>160000</v>
      </c>
      <c r="BP6" s="12">
        <v>80000</v>
      </c>
      <c r="BQ6" s="12">
        <v>280000</v>
      </c>
      <c r="BR6" s="12">
        <v>190000</v>
      </c>
      <c r="BS6" s="12">
        <v>170000</v>
      </c>
      <c r="BT6" s="12">
        <v>80000</v>
      </c>
      <c r="BU6" s="12">
        <v>100000</v>
      </c>
      <c r="BV6" s="12">
        <v>300000</v>
      </c>
      <c r="BW6" s="12">
        <v>105000</v>
      </c>
      <c r="BX6" s="12">
        <v>368000</v>
      </c>
      <c r="BY6" s="12">
        <v>145000</v>
      </c>
      <c r="BZ6" s="12">
        <v>160000</v>
      </c>
      <c r="CA6" s="12">
        <v>280000</v>
      </c>
      <c r="CB6" s="12">
        <v>159200</v>
      </c>
      <c r="CC6" s="12">
        <v>500000</v>
      </c>
      <c r="CD6" s="12">
        <v>350000</v>
      </c>
      <c r="CE6" s="12">
        <v>30000</v>
      </c>
      <c r="CF6" s="12">
        <v>50000</v>
      </c>
      <c r="CG6" s="12">
        <v>220000</v>
      </c>
      <c r="CH6" s="12">
        <v>200000</v>
      </c>
      <c r="CI6" s="12">
        <v>270000</v>
      </c>
      <c r="CJ6" s="12">
        <v>0</v>
      </c>
      <c r="CK6" s="12">
        <v>0</v>
      </c>
      <c r="CL6" s="12">
        <v>350000</v>
      </c>
      <c r="CM6" s="12">
        <v>565000</v>
      </c>
      <c r="CN6" s="12">
        <v>50000</v>
      </c>
      <c r="CO6" s="12">
        <v>3380000</v>
      </c>
      <c r="CP6" s="12">
        <v>800000</v>
      </c>
      <c r="CQ6" s="12">
        <v>300000</v>
      </c>
      <c r="CR6" s="12">
        <v>500000</v>
      </c>
      <c r="CS6" s="12">
        <v>650000</v>
      </c>
      <c r="CT6" s="12">
        <v>290000</v>
      </c>
      <c r="CU6" s="12">
        <v>100000</v>
      </c>
      <c r="CV6" s="12">
        <v>90000</v>
      </c>
      <c r="CW6" s="12">
        <v>420000</v>
      </c>
      <c r="CX6" s="12">
        <v>370000</v>
      </c>
      <c r="CY6" s="12">
        <v>150000</v>
      </c>
      <c r="CZ6" s="12">
        <v>950000</v>
      </c>
      <c r="DA6" s="12">
        <v>300000</v>
      </c>
      <c r="DB6" s="12">
        <v>200000</v>
      </c>
      <c r="DC6" s="12">
        <v>210000</v>
      </c>
      <c r="DD6" s="12">
        <v>120000</v>
      </c>
      <c r="DE6" s="12">
        <v>310000</v>
      </c>
      <c r="DF6" s="12">
        <v>840000</v>
      </c>
      <c r="DG6" s="12">
        <v>169000</v>
      </c>
      <c r="DH6" s="12">
        <v>700000</v>
      </c>
      <c r="DI6" s="12">
        <v>200000</v>
      </c>
      <c r="DJ6" s="12">
        <v>550000</v>
      </c>
      <c r="DK6" s="12">
        <v>80000</v>
      </c>
      <c r="DL6" s="12">
        <v>70000</v>
      </c>
      <c r="DM6" s="12">
        <v>100000</v>
      </c>
      <c r="DN6" s="12">
        <v>40000</v>
      </c>
      <c r="DO6" s="12">
        <v>0</v>
      </c>
      <c r="DP6" s="12">
        <v>400000</v>
      </c>
      <c r="DQ6" s="12">
        <v>500000</v>
      </c>
      <c r="DR6" s="12">
        <v>250000</v>
      </c>
      <c r="DS6" s="12">
        <v>160000</v>
      </c>
      <c r="DT6" s="12">
        <v>80000</v>
      </c>
      <c r="DU6" s="12">
        <v>0</v>
      </c>
      <c r="DV6" s="12">
        <v>200000</v>
      </c>
      <c r="DW6" s="12">
        <v>0</v>
      </c>
      <c r="DX6" s="12">
        <v>85000</v>
      </c>
      <c r="DY6" s="12">
        <v>2000000</v>
      </c>
      <c r="DZ6" s="13">
        <v>0</v>
      </c>
    </row>
    <row r="7" spans="1:130" ht="15" thickBot="1" x14ac:dyDescent="0.35">
      <c r="A7" s="69" t="s">
        <v>6</v>
      </c>
      <c r="B7" s="70">
        <v>3000</v>
      </c>
      <c r="C7" s="70">
        <v>2000</v>
      </c>
      <c r="D7" s="70">
        <v>20000</v>
      </c>
      <c r="E7" s="70">
        <v>60000</v>
      </c>
      <c r="F7" s="70">
        <v>10000</v>
      </c>
      <c r="G7" s="70">
        <v>72000</v>
      </c>
      <c r="H7" s="70">
        <v>5000</v>
      </c>
      <c r="I7" s="70">
        <v>15000</v>
      </c>
      <c r="J7" s="70">
        <v>2000</v>
      </c>
      <c r="K7" s="70">
        <v>5000</v>
      </c>
      <c r="L7" s="70">
        <v>45000</v>
      </c>
      <c r="M7" s="70">
        <v>15000</v>
      </c>
      <c r="N7" s="70">
        <v>4000</v>
      </c>
      <c r="O7" s="70">
        <v>5000</v>
      </c>
      <c r="P7" s="70">
        <v>5000</v>
      </c>
      <c r="Q7" s="70">
        <v>15000</v>
      </c>
      <c r="R7" s="70">
        <v>10000</v>
      </c>
      <c r="S7" s="70">
        <v>10000</v>
      </c>
      <c r="T7" s="70">
        <v>60000</v>
      </c>
      <c r="U7" s="70">
        <v>36000</v>
      </c>
      <c r="V7" s="70">
        <v>15000</v>
      </c>
      <c r="W7" s="70">
        <v>5000</v>
      </c>
      <c r="X7" s="70">
        <v>20000</v>
      </c>
      <c r="Y7" s="70">
        <v>5000</v>
      </c>
      <c r="Z7" s="70">
        <v>20000</v>
      </c>
      <c r="AA7" s="70">
        <v>10000</v>
      </c>
      <c r="AB7" s="70">
        <v>8500</v>
      </c>
      <c r="AC7" s="70">
        <v>70000</v>
      </c>
      <c r="AD7" s="70">
        <v>5000</v>
      </c>
      <c r="AE7" s="70">
        <v>1000</v>
      </c>
      <c r="AF7" s="70">
        <v>20000</v>
      </c>
      <c r="AG7" s="70">
        <v>3000</v>
      </c>
      <c r="AH7" s="70">
        <v>15000</v>
      </c>
      <c r="AI7" s="70">
        <v>10000</v>
      </c>
      <c r="AJ7" s="70">
        <v>5000</v>
      </c>
      <c r="AK7" s="70">
        <v>10000</v>
      </c>
      <c r="AL7" s="70">
        <v>5000</v>
      </c>
      <c r="AM7" s="70">
        <v>20000</v>
      </c>
      <c r="AN7" s="70">
        <v>10000</v>
      </c>
      <c r="AO7" s="70">
        <v>200</v>
      </c>
      <c r="AP7" s="70">
        <v>24000</v>
      </c>
      <c r="AQ7" s="70">
        <v>5000</v>
      </c>
      <c r="AR7" s="70">
        <v>4000</v>
      </c>
      <c r="AS7" s="70">
        <v>2500</v>
      </c>
      <c r="AT7" s="70">
        <v>240000</v>
      </c>
      <c r="AU7" s="70">
        <v>1040000</v>
      </c>
      <c r="AV7" s="70">
        <v>390000</v>
      </c>
      <c r="AW7" s="70">
        <v>290000</v>
      </c>
      <c r="AX7" s="70">
        <v>300000</v>
      </c>
      <c r="AY7" s="70">
        <v>210000</v>
      </c>
      <c r="AZ7" s="70">
        <v>400000</v>
      </c>
      <c r="BA7" s="70">
        <v>930000</v>
      </c>
      <c r="BB7" s="70">
        <v>259000</v>
      </c>
      <c r="BC7" s="70">
        <v>790000</v>
      </c>
      <c r="BD7" s="70">
        <v>290000</v>
      </c>
      <c r="BE7" s="70">
        <v>640000</v>
      </c>
      <c r="BF7" s="70">
        <v>170000</v>
      </c>
      <c r="BG7" s="70">
        <v>160000</v>
      </c>
      <c r="BH7" s="70">
        <v>190000</v>
      </c>
      <c r="BI7" s="70">
        <v>130000</v>
      </c>
      <c r="BJ7" s="70">
        <v>90000</v>
      </c>
      <c r="BK7" s="70">
        <v>490000</v>
      </c>
      <c r="BL7" s="70">
        <v>590000</v>
      </c>
      <c r="BM7" s="70">
        <v>340000</v>
      </c>
      <c r="BN7" s="70">
        <v>250000</v>
      </c>
      <c r="BO7" s="70">
        <v>170000</v>
      </c>
      <c r="BP7" s="70">
        <v>90000</v>
      </c>
      <c r="BQ7" s="70">
        <v>290000</v>
      </c>
      <c r="BR7" s="70">
        <v>20000</v>
      </c>
      <c r="BS7" s="70">
        <v>10000</v>
      </c>
      <c r="BT7" s="70">
        <v>3000</v>
      </c>
      <c r="BU7" s="70">
        <v>7000</v>
      </c>
      <c r="BV7" s="70">
        <v>10000</v>
      </c>
      <c r="BW7" s="70">
        <v>5000</v>
      </c>
      <c r="BX7" s="70">
        <v>15000</v>
      </c>
      <c r="BY7" s="70">
        <v>5000</v>
      </c>
      <c r="BZ7" s="70">
        <v>3000</v>
      </c>
      <c r="CA7" s="70">
        <v>5000</v>
      </c>
      <c r="CB7" s="70">
        <v>7200</v>
      </c>
      <c r="CC7" s="70">
        <v>10000</v>
      </c>
      <c r="CD7" s="70">
        <v>5000</v>
      </c>
      <c r="CE7" s="70">
        <v>2000</v>
      </c>
      <c r="CF7" s="70">
        <v>20000</v>
      </c>
      <c r="CG7" s="70">
        <v>35000</v>
      </c>
      <c r="CH7" s="70">
        <v>10000</v>
      </c>
      <c r="CI7" s="70">
        <v>5000</v>
      </c>
      <c r="CJ7" s="70">
        <v>0</v>
      </c>
      <c r="CK7" s="70">
        <v>5200</v>
      </c>
      <c r="CL7" s="70">
        <v>30000</v>
      </c>
      <c r="CM7" s="70">
        <v>15000</v>
      </c>
      <c r="CN7" s="70">
        <v>8000</v>
      </c>
      <c r="CO7" s="70">
        <v>3693</v>
      </c>
      <c r="CP7" s="70">
        <v>10000</v>
      </c>
      <c r="CQ7" s="70">
        <v>100000</v>
      </c>
      <c r="CR7" s="70">
        <v>20000</v>
      </c>
      <c r="CS7" s="70">
        <v>12000</v>
      </c>
      <c r="CT7" s="70">
        <v>13000</v>
      </c>
      <c r="CU7" s="70">
        <v>2000</v>
      </c>
      <c r="CV7" s="70">
        <v>4000</v>
      </c>
      <c r="CW7" s="70">
        <v>30000</v>
      </c>
      <c r="CX7" s="70">
        <v>6000</v>
      </c>
      <c r="CY7" s="70">
        <v>10000</v>
      </c>
      <c r="CZ7" s="70">
        <v>10000</v>
      </c>
      <c r="DA7" s="70">
        <v>40000</v>
      </c>
      <c r="DB7" s="70">
        <v>10000</v>
      </c>
      <c r="DC7" s="70">
        <v>14000</v>
      </c>
      <c r="DD7" s="70">
        <v>50000</v>
      </c>
      <c r="DE7" s="70">
        <v>5000</v>
      </c>
      <c r="DF7" s="70">
        <v>0</v>
      </c>
      <c r="DG7" s="70">
        <v>10000</v>
      </c>
      <c r="DH7" s="70">
        <v>23000</v>
      </c>
      <c r="DI7" s="70">
        <v>10000</v>
      </c>
      <c r="DJ7" s="70">
        <v>16000</v>
      </c>
      <c r="DK7" s="70">
        <v>5000</v>
      </c>
      <c r="DL7" s="70">
        <v>10000</v>
      </c>
      <c r="DM7" s="70">
        <v>25000</v>
      </c>
      <c r="DN7" s="70">
        <v>5000</v>
      </c>
      <c r="DO7" s="70">
        <v>2500</v>
      </c>
      <c r="DP7" s="70">
        <v>5000</v>
      </c>
      <c r="DQ7" s="70">
        <v>20000</v>
      </c>
      <c r="DR7" s="70">
        <v>5000</v>
      </c>
      <c r="DS7" s="70">
        <v>5000</v>
      </c>
      <c r="DT7" s="70">
        <v>10000</v>
      </c>
      <c r="DU7" s="70">
        <v>2500</v>
      </c>
      <c r="DV7" s="70">
        <v>5000</v>
      </c>
      <c r="DW7" s="70">
        <v>18000</v>
      </c>
      <c r="DX7" s="70">
        <v>9500</v>
      </c>
      <c r="DY7" s="70">
        <v>20000</v>
      </c>
      <c r="DZ7" s="71">
        <v>14000</v>
      </c>
    </row>
    <row r="8" spans="1:130" ht="15" thickBot="1" x14ac:dyDescent="0.35"/>
    <row r="9" spans="1:130" ht="15" customHeight="1" x14ac:dyDescent="0.3">
      <c r="A9" s="134" t="s">
        <v>72</v>
      </c>
      <c r="B9" s="135"/>
      <c r="C9" s="135"/>
      <c r="D9" s="136"/>
      <c r="E9" s="82"/>
      <c r="F9" s="82"/>
    </row>
    <row r="10" spans="1:130" x14ac:dyDescent="0.3">
      <c r="A10" s="137"/>
      <c r="B10" s="138"/>
      <c r="C10" s="138"/>
      <c r="D10" s="139"/>
      <c r="E10" s="82"/>
      <c r="F10" s="82"/>
    </row>
    <row r="11" spans="1:130" x14ac:dyDescent="0.3">
      <c r="A11" s="137"/>
      <c r="B11" s="138"/>
      <c r="C11" s="138"/>
      <c r="D11" s="139"/>
      <c r="E11" s="82"/>
      <c r="F11" s="82"/>
    </row>
    <row r="12" spans="1:130" ht="15" thickBot="1" x14ac:dyDescent="0.35">
      <c r="A12" s="140"/>
      <c r="B12" s="141"/>
      <c r="C12" s="141"/>
      <c r="D12" s="142"/>
      <c r="E12" s="82"/>
      <c r="F12" s="82"/>
    </row>
    <row r="13" spans="1:130" x14ac:dyDescent="0.3">
      <c r="A13" s="82"/>
      <c r="B13" s="82"/>
      <c r="C13" s="82"/>
      <c r="D13" s="82"/>
      <c r="E13" s="82"/>
      <c r="F13" s="82"/>
    </row>
  </sheetData>
  <mergeCells count="1">
    <mergeCell ref="A9:D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opLeftCell="B1" zoomScaleNormal="100" workbookViewId="0">
      <selection activeCell="M37" sqref="M37"/>
    </sheetView>
  </sheetViews>
  <sheetFormatPr defaultRowHeight="14.4" x14ac:dyDescent="0.3"/>
  <cols>
    <col min="1" max="1" width="12.109375" customWidth="1"/>
    <col min="2" max="2" width="10.109375" customWidth="1"/>
    <col min="5" max="5" width="13.44140625" customWidth="1"/>
    <col min="6" max="6" width="15.44140625" customWidth="1"/>
    <col min="7" max="7" width="16.44140625" bestFit="1" customWidth="1"/>
    <col min="8" max="8" width="14.77734375" customWidth="1"/>
    <col min="9" max="9" width="17.21875" customWidth="1"/>
    <col min="10" max="10" width="16.33203125" customWidth="1"/>
    <col min="12" max="12" width="20.6640625" bestFit="1" customWidth="1"/>
    <col min="13" max="13" width="17.33203125" bestFit="1" customWidth="1"/>
  </cols>
  <sheetData>
    <row r="1" spans="1:13" ht="15" thickBot="1" x14ac:dyDescent="0.35">
      <c r="G1" s="81" t="s">
        <v>60</v>
      </c>
    </row>
    <row r="2" spans="1:13" ht="35.25" customHeight="1" thickBot="1" x14ac:dyDescent="0.35">
      <c r="A2" s="14" t="s">
        <v>2</v>
      </c>
      <c r="B2" s="14" t="s">
        <v>8</v>
      </c>
      <c r="C2" s="14" t="s">
        <v>3</v>
      </c>
      <c r="D2" s="14" t="s">
        <v>4</v>
      </c>
      <c r="E2" s="15" t="s">
        <v>5</v>
      </c>
      <c r="F2" s="15" t="s">
        <v>15</v>
      </c>
      <c r="G2" s="69" t="s">
        <v>6</v>
      </c>
      <c r="H2" s="80" t="s">
        <v>50</v>
      </c>
      <c r="I2" s="80" t="s">
        <v>58</v>
      </c>
    </row>
    <row r="3" spans="1:13" x14ac:dyDescent="0.3">
      <c r="A3" s="2">
        <v>43918</v>
      </c>
      <c r="B3" s="6" t="s">
        <v>11</v>
      </c>
      <c r="C3" s="9" t="s">
        <v>7</v>
      </c>
      <c r="D3" s="9">
        <v>49</v>
      </c>
      <c r="E3" s="12">
        <v>35000</v>
      </c>
      <c r="F3" s="12">
        <v>92000</v>
      </c>
      <c r="G3" s="70">
        <v>3000</v>
      </c>
      <c r="H3" s="83" t="str">
        <f t="shared" ref="H3:H34" si="0">IFERROR(VLOOKUP(B3:B131,$K$12:$L$20, 2,FALSE), "")</f>
        <v>Атырау</v>
      </c>
      <c r="I3" s="83" t="str">
        <f t="shared" ref="I3:I34" si="1">IFERROR(VLOOKUP(H3:H131, $L$12:$M$20, 2, FALSE), "")</f>
        <v xml:space="preserve"> </v>
      </c>
      <c r="J3" s="94"/>
    </row>
    <row r="4" spans="1:13" x14ac:dyDescent="0.3">
      <c r="A4" s="2">
        <v>43913</v>
      </c>
      <c r="B4" s="6" t="s">
        <v>12</v>
      </c>
      <c r="C4" s="9" t="s">
        <v>7</v>
      </c>
      <c r="D4" s="9">
        <v>53</v>
      </c>
      <c r="E4" s="12">
        <v>100000</v>
      </c>
      <c r="F4" s="12">
        <v>20000</v>
      </c>
      <c r="G4" s="70">
        <v>2000</v>
      </c>
      <c r="H4" s="83" t="str">
        <f t="shared" si="0"/>
        <v>Актау</v>
      </c>
      <c r="I4" s="83" t="str">
        <f t="shared" si="1"/>
        <v xml:space="preserve"> </v>
      </c>
      <c r="J4" s="94"/>
    </row>
    <row r="5" spans="1:13" x14ac:dyDescent="0.3">
      <c r="A5" s="2">
        <v>43914</v>
      </c>
      <c r="B5" s="6" t="s">
        <v>13</v>
      </c>
      <c r="C5" s="9" t="s">
        <v>1</v>
      </c>
      <c r="D5" s="9">
        <v>37</v>
      </c>
      <c r="E5" s="12">
        <v>210000</v>
      </c>
      <c r="F5" s="12">
        <v>200000</v>
      </c>
      <c r="G5" s="70">
        <v>20000</v>
      </c>
      <c r="H5" s="83" t="str">
        <f t="shared" si="0"/>
        <v>Актобе</v>
      </c>
      <c r="I5" s="83" t="str">
        <f t="shared" si="1"/>
        <v xml:space="preserve"> </v>
      </c>
      <c r="J5" s="94"/>
    </row>
    <row r="6" spans="1:13" x14ac:dyDescent="0.3">
      <c r="A6" s="2">
        <v>43915</v>
      </c>
      <c r="B6" s="6" t="s">
        <v>12</v>
      </c>
      <c r="C6" s="9" t="s">
        <v>1</v>
      </c>
      <c r="D6" s="9">
        <v>45</v>
      </c>
      <c r="E6" s="12">
        <v>160000</v>
      </c>
      <c r="F6" s="12">
        <v>1050000</v>
      </c>
      <c r="G6" s="70">
        <v>60000</v>
      </c>
      <c r="H6" s="83" t="str">
        <f t="shared" si="0"/>
        <v>Актау</v>
      </c>
      <c r="I6" s="83" t="str">
        <f t="shared" si="1"/>
        <v xml:space="preserve"> </v>
      </c>
      <c r="J6" s="94"/>
    </row>
    <row r="7" spans="1:13" ht="15" thickBot="1" x14ac:dyDescent="0.35">
      <c r="A7" s="2">
        <v>43916</v>
      </c>
      <c r="B7" s="6" t="s">
        <v>11</v>
      </c>
      <c r="C7" s="9" t="s">
        <v>1</v>
      </c>
      <c r="D7" s="9">
        <v>53</v>
      </c>
      <c r="E7" s="12">
        <v>350000</v>
      </c>
      <c r="F7" s="12">
        <v>1000000</v>
      </c>
      <c r="G7" s="70">
        <v>10000</v>
      </c>
      <c r="H7" s="83" t="str">
        <f t="shared" si="0"/>
        <v>Атырау</v>
      </c>
      <c r="I7" s="83" t="str">
        <f t="shared" si="1"/>
        <v xml:space="preserve"> </v>
      </c>
      <c r="J7" s="94"/>
    </row>
    <row r="8" spans="1:13" x14ac:dyDescent="0.3">
      <c r="A8" s="2">
        <v>43917</v>
      </c>
      <c r="B8" s="6" t="s">
        <v>10</v>
      </c>
      <c r="C8" s="9" t="s">
        <v>7</v>
      </c>
      <c r="D8" s="9">
        <v>45</v>
      </c>
      <c r="E8" s="12">
        <v>180000</v>
      </c>
      <c r="F8" s="12">
        <v>250000</v>
      </c>
      <c r="G8" s="70">
        <v>72000</v>
      </c>
      <c r="H8" s="83" t="str">
        <f t="shared" si="0"/>
        <v>Алматы</v>
      </c>
      <c r="I8" s="83" t="str">
        <f t="shared" si="1"/>
        <v>ключевой регион</v>
      </c>
      <c r="J8" s="94"/>
      <c r="K8" s="144" t="s">
        <v>73</v>
      </c>
      <c r="L8" s="145"/>
      <c r="M8" s="146"/>
    </row>
    <row r="9" spans="1:13" x14ac:dyDescent="0.3">
      <c r="A9" s="2">
        <v>43918</v>
      </c>
      <c r="B9" s="6" t="s">
        <v>9</v>
      </c>
      <c r="C9" s="9" t="s">
        <v>1</v>
      </c>
      <c r="D9" s="9">
        <v>62</v>
      </c>
      <c r="E9" s="12">
        <v>97000</v>
      </c>
      <c r="F9" s="12">
        <v>237000</v>
      </c>
      <c r="G9" s="70">
        <v>5000</v>
      </c>
      <c r="H9" s="83" t="str">
        <f t="shared" si="0"/>
        <v>Нур-Султан</v>
      </c>
      <c r="I9" s="83" t="str">
        <f t="shared" si="1"/>
        <v>ключевой регион</v>
      </c>
      <c r="J9" s="94"/>
      <c r="K9" s="147"/>
      <c r="L9" s="148"/>
      <c r="M9" s="149"/>
    </row>
    <row r="10" spans="1:13" ht="15" thickBot="1" x14ac:dyDescent="0.35">
      <c r="A10" s="2">
        <v>43913</v>
      </c>
      <c r="B10" s="6" t="s">
        <v>12</v>
      </c>
      <c r="C10" s="9" t="s">
        <v>1</v>
      </c>
      <c r="D10" s="9">
        <v>61</v>
      </c>
      <c r="E10" s="12">
        <v>168000</v>
      </c>
      <c r="F10" s="12">
        <v>288000</v>
      </c>
      <c r="G10" s="70">
        <v>15000</v>
      </c>
      <c r="H10" s="83" t="str">
        <f t="shared" si="0"/>
        <v>Актау</v>
      </c>
      <c r="I10" s="83" t="str">
        <f t="shared" si="1"/>
        <v xml:space="preserve"> </v>
      </c>
      <c r="J10" s="94"/>
      <c r="K10" s="150"/>
      <c r="L10" s="151"/>
      <c r="M10" s="152"/>
    </row>
    <row r="11" spans="1:13" ht="15" thickBot="1" x14ac:dyDescent="0.35">
      <c r="A11" s="2">
        <v>43914</v>
      </c>
      <c r="B11" s="6" t="s">
        <v>12</v>
      </c>
      <c r="C11" s="9" t="s">
        <v>1</v>
      </c>
      <c r="D11" s="9">
        <v>40</v>
      </c>
      <c r="E11" s="12">
        <v>220000</v>
      </c>
      <c r="F11" s="12">
        <v>200000</v>
      </c>
      <c r="G11" s="70">
        <v>2000</v>
      </c>
      <c r="H11" s="83" t="str">
        <f t="shared" si="0"/>
        <v>Актау</v>
      </c>
      <c r="I11" s="83" t="str">
        <f t="shared" si="1"/>
        <v xml:space="preserve"> </v>
      </c>
      <c r="J11" s="94"/>
      <c r="K11" s="143" t="s">
        <v>61</v>
      </c>
      <c r="L11" s="143"/>
      <c r="M11" s="143"/>
    </row>
    <row r="12" spans="1:13" ht="15" thickBot="1" x14ac:dyDescent="0.35">
      <c r="A12" s="2">
        <v>43915</v>
      </c>
      <c r="B12" s="6" t="s">
        <v>14</v>
      </c>
      <c r="C12" s="9" t="s">
        <v>1</v>
      </c>
      <c r="D12" s="9">
        <v>53</v>
      </c>
      <c r="E12" s="12">
        <v>150000</v>
      </c>
      <c r="F12" s="12">
        <v>250000</v>
      </c>
      <c r="G12" s="70">
        <v>5000</v>
      </c>
      <c r="H12" s="83" t="str">
        <f t="shared" si="0"/>
        <v>Петропавловск</v>
      </c>
      <c r="I12" s="83" t="str">
        <f t="shared" si="1"/>
        <v xml:space="preserve"> </v>
      </c>
      <c r="J12" s="94"/>
      <c r="K12" s="96" t="s">
        <v>8</v>
      </c>
      <c r="L12" s="78" t="s">
        <v>50</v>
      </c>
      <c r="M12" s="78" t="s">
        <v>58</v>
      </c>
    </row>
    <row r="13" spans="1:13" x14ac:dyDescent="0.3">
      <c r="A13" s="2">
        <v>43916</v>
      </c>
      <c r="B13" s="6" t="s">
        <v>9</v>
      </c>
      <c r="C13" s="9" t="s">
        <v>7</v>
      </c>
      <c r="D13" s="9">
        <v>53</v>
      </c>
      <c r="E13" s="12">
        <v>500000</v>
      </c>
      <c r="F13" s="12">
        <v>900000</v>
      </c>
      <c r="G13" s="70">
        <v>45000</v>
      </c>
      <c r="H13" s="83" t="str">
        <f t="shared" si="0"/>
        <v>Нур-Султан</v>
      </c>
      <c r="I13" s="83" t="str">
        <f t="shared" si="1"/>
        <v>ключевой регион</v>
      </c>
      <c r="J13" s="94"/>
      <c r="K13" s="97" t="s">
        <v>9</v>
      </c>
      <c r="L13" s="72" t="s">
        <v>51</v>
      </c>
      <c r="M13" s="74" t="s">
        <v>59</v>
      </c>
    </row>
    <row r="14" spans="1:13" x14ac:dyDescent="0.3">
      <c r="A14" s="2">
        <v>43917</v>
      </c>
      <c r="B14" s="6" t="s">
        <v>13</v>
      </c>
      <c r="C14" s="9" t="s">
        <v>1</v>
      </c>
      <c r="D14" s="9">
        <v>34</v>
      </c>
      <c r="E14" s="12">
        <v>100000</v>
      </c>
      <c r="F14" s="12">
        <v>200000</v>
      </c>
      <c r="G14" s="70">
        <v>15000</v>
      </c>
      <c r="H14" s="83" t="str">
        <f t="shared" si="0"/>
        <v>Актобе</v>
      </c>
      <c r="I14" s="83" t="str">
        <f t="shared" si="1"/>
        <v xml:space="preserve"> </v>
      </c>
      <c r="J14" s="94"/>
      <c r="K14" s="98" t="s">
        <v>10</v>
      </c>
      <c r="L14" s="72" t="s">
        <v>52</v>
      </c>
      <c r="M14" s="75" t="s">
        <v>59</v>
      </c>
    </row>
    <row r="15" spans="1:13" x14ac:dyDescent="0.3">
      <c r="A15" s="2">
        <v>43918</v>
      </c>
      <c r="B15" s="6" t="s">
        <v>13</v>
      </c>
      <c r="C15" s="9" t="s">
        <v>1</v>
      </c>
      <c r="D15" s="9">
        <v>36</v>
      </c>
      <c r="E15" s="12">
        <v>0</v>
      </c>
      <c r="F15" s="12">
        <v>880000</v>
      </c>
      <c r="G15" s="70">
        <v>4000</v>
      </c>
      <c r="H15" s="83" t="str">
        <f t="shared" si="0"/>
        <v>Актобе</v>
      </c>
      <c r="I15" s="83" t="str">
        <f t="shared" si="1"/>
        <v xml:space="preserve"> </v>
      </c>
      <c r="J15" s="94"/>
      <c r="K15" s="98" t="s">
        <v>11</v>
      </c>
      <c r="L15" s="72" t="s">
        <v>85</v>
      </c>
      <c r="M15" s="75" t="s">
        <v>78</v>
      </c>
    </row>
    <row r="16" spans="1:13" x14ac:dyDescent="0.3">
      <c r="A16" s="2">
        <v>43913</v>
      </c>
      <c r="B16" s="6" t="s">
        <v>10</v>
      </c>
      <c r="C16" s="9" t="s">
        <v>1</v>
      </c>
      <c r="D16" s="9">
        <v>39</v>
      </c>
      <c r="E16" s="12">
        <v>150000</v>
      </c>
      <c r="F16" s="12">
        <v>170000</v>
      </c>
      <c r="G16" s="70">
        <v>5000</v>
      </c>
      <c r="H16" s="83" t="str">
        <f t="shared" si="0"/>
        <v>Алматы</v>
      </c>
      <c r="I16" s="83" t="str">
        <f t="shared" si="1"/>
        <v>ключевой регион</v>
      </c>
      <c r="J16" s="94"/>
      <c r="K16" s="98" t="s">
        <v>12</v>
      </c>
      <c r="L16" s="72" t="s">
        <v>53</v>
      </c>
      <c r="M16" s="75" t="s">
        <v>78</v>
      </c>
    </row>
    <row r="17" spans="1:13" x14ac:dyDescent="0.3">
      <c r="A17" s="2">
        <v>43914</v>
      </c>
      <c r="B17" s="6" t="s">
        <v>11</v>
      </c>
      <c r="C17" s="9" t="s">
        <v>7</v>
      </c>
      <c r="D17" s="9">
        <v>39</v>
      </c>
      <c r="E17" s="12">
        <v>600000</v>
      </c>
      <c r="F17" s="12">
        <v>500000</v>
      </c>
      <c r="G17" s="70">
        <v>5000</v>
      </c>
      <c r="H17" s="83" t="str">
        <f t="shared" si="0"/>
        <v>Атырау</v>
      </c>
      <c r="I17" s="83" t="str">
        <f t="shared" si="1"/>
        <v xml:space="preserve"> </v>
      </c>
      <c r="J17" s="94"/>
      <c r="K17" s="98" t="s">
        <v>13</v>
      </c>
      <c r="L17" s="72" t="s">
        <v>54</v>
      </c>
      <c r="M17" s="75" t="s">
        <v>78</v>
      </c>
    </row>
    <row r="18" spans="1:13" x14ac:dyDescent="0.3">
      <c r="A18" s="2">
        <v>43915</v>
      </c>
      <c r="B18" s="6" t="s">
        <v>11</v>
      </c>
      <c r="C18" s="9" t="s">
        <v>1</v>
      </c>
      <c r="D18" s="9">
        <v>45</v>
      </c>
      <c r="E18" s="12">
        <v>400000</v>
      </c>
      <c r="F18" s="12">
        <v>400000</v>
      </c>
      <c r="G18" s="70">
        <v>15000</v>
      </c>
      <c r="H18" s="83" t="str">
        <f t="shared" si="0"/>
        <v>Атырау</v>
      </c>
      <c r="I18" s="83" t="str">
        <f t="shared" si="1"/>
        <v xml:space="preserve"> </v>
      </c>
      <c r="J18" s="94"/>
      <c r="K18" s="98" t="s">
        <v>37</v>
      </c>
      <c r="L18" s="72" t="s">
        <v>55</v>
      </c>
      <c r="M18" s="75" t="s">
        <v>59</v>
      </c>
    </row>
    <row r="19" spans="1:13" x14ac:dyDescent="0.3">
      <c r="A19" s="2">
        <v>43916</v>
      </c>
      <c r="B19" s="6" t="s">
        <v>12</v>
      </c>
      <c r="C19" s="9" t="s">
        <v>1</v>
      </c>
      <c r="D19" s="9">
        <v>41</v>
      </c>
      <c r="E19" s="12">
        <v>120000</v>
      </c>
      <c r="F19" s="12">
        <v>30000</v>
      </c>
      <c r="G19" s="70">
        <v>10000</v>
      </c>
      <c r="H19" s="83" t="str">
        <f t="shared" si="0"/>
        <v>Актау</v>
      </c>
      <c r="I19" s="83" t="str">
        <f t="shared" si="1"/>
        <v xml:space="preserve"> </v>
      </c>
      <c r="J19" s="94"/>
      <c r="K19" s="98" t="s">
        <v>14</v>
      </c>
      <c r="L19" s="72" t="s">
        <v>56</v>
      </c>
      <c r="M19" s="75" t="s">
        <v>78</v>
      </c>
    </row>
    <row r="20" spans="1:13" ht="15" thickBot="1" x14ac:dyDescent="0.35">
      <c r="A20" s="2">
        <v>43917</v>
      </c>
      <c r="B20" s="6" t="s">
        <v>13</v>
      </c>
      <c r="C20" s="9" t="s">
        <v>1</v>
      </c>
      <c r="D20" s="9">
        <v>38</v>
      </c>
      <c r="E20" s="12">
        <v>250000</v>
      </c>
      <c r="F20" s="12">
        <v>120000</v>
      </c>
      <c r="G20" s="70">
        <v>10000</v>
      </c>
      <c r="H20" s="83" t="str">
        <f t="shared" si="0"/>
        <v>Актобе</v>
      </c>
      <c r="I20" s="83" t="str">
        <f t="shared" si="1"/>
        <v xml:space="preserve"> </v>
      </c>
      <c r="J20" s="94"/>
      <c r="K20" s="99" t="s">
        <v>36</v>
      </c>
      <c r="L20" s="73" t="s">
        <v>57</v>
      </c>
      <c r="M20" s="76" t="s">
        <v>78</v>
      </c>
    </row>
    <row r="21" spans="1:13" ht="15" thickBot="1" x14ac:dyDescent="0.35">
      <c r="A21" s="2">
        <v>43918</v>
      </c>
      <c r="B21" s="6" t="s">
        <v>12</v>
      </c>
      <c r="C21" s="9" t="s">
        <v>1</v>
      </c>
      <c r="D21" s="9">
        <v>46</v>
      </c>
      <c r="E21" s="12">
        <v>150000</v>
      </c>
      <c r="F21" s="12">
        <v>720000</v>
      </c>
      <c r="G21" s="70">
        <v>60000</v>
      </c>
      <c r="H21" s="83" t="str">
        <f t="shared" si="0"/>
        <v>Актау</v>
      </c>
      <c r="I21" s="83" t="str">
        <f t="shared" si="1"/>
        <v xml:space="preserve"> </v>
      </c>
      <c r="J21" s="94"/>
    </row>
    <row r="22" spans="1:13" ht="15" customHeight="1" x14ac:dyDescent="0.3">
      <c r="A22" s="2">
        <v>43913</v>
      </c>
      <c r="B22" s="6" t="s">
        <v>11</v>
      </c>
      <c r="C22" s="9" t="s">
        <v>1</v>
      </c>
      <c r="D22" s="9">
        <v>45</v>
      </c>
      <c r="E22" s="12">
        <v>350000</v>
      </c>
      <c r="F22" s="12">
        <v>0</v>
      </c>
      <c r="G22" s="70">
        <v>36000</v>
      </c>
      <c r="H22" s="83" t="str">
        <f t="shared" si="0"/>
        <v>Атырау</v>
      </c>
      <c r="I22" s="83" t="str">
        <f t="shared" si="1"/>
        <v xml:space="preserve"> </v>
      </c>
      <c r="J22" s="94"/>
      <c r="K22" s="153" t="s">
        <v>75</v>
      </c>
      <c r="L22" s="154"/>
      <c r="M22" s="155"/>
    </row>
    <row r="23" spans="1:13" x14ac:dyDescent="0.3">
      <c r="A23" s="2">
        <v>43914</v>
      </c>
      <c r="B23" s="6" t="s">
        <v>10</v>
      </c>
      <c r="C23" s="9" t="s">
        <v>1</v>
      </c>
      <c r="D23" s="9">
        <v>61</v>
      </c>
      <c r="E23" s="12">
        <v>150000</v>
      </c>
      <c r="F23" s="12">
        <v>78000</v>
      </c>
      <c r="G23" s="70">
        <v>15000</v>
      </c>
      <c r="H23" s="83" t="str">
        <f t="shared" si="0"/>
        <v>Алматы</v>
      </c>
      <c r="I23" s="83" t="str">
        <f t="shared" si="1"/>
        <v>ключевой регион</v>
      </c>
      <c r="J23" s="94"/>
      <c r="K23" s="156"/>
      <c r="L23" s="157"/>
      <c r="M23" s="158"/>
    </row>
    <row r="24" spans="1:13" x14ac:dyDescent="0.3">
      <c r="A24" s="2">
        <v>43915</v>
      </c>
      <c r="B24" s="6" t="s">
        <v>9</v>
      </c>
      <c r="C24" s="9" t="s">
        <v>1</v>
      </c>
      <c r="D24" s="9">
        <v>48</v>
      </c>
      <c r="E24" s="12">
        <v>145000</v>
      </c>
      <c r="F24" s="12">
        <v>30000</v>
      </c>
      <c r="G24" s="70">
        <v>5000</v>
      </c>
      <c r="H24" s="83" t="str">
        <f t="shared" si="0"/>
        <v>Нур-Султан</v>
      </c>
      <c r="I24" s="83" t="str">
        <f t="shared" si="1"/>
        <v>ключевой регион</v>
      </c>
      <c r="J24" s="94"/>
      <c r="K24" s="156"/>
      <c r="L24" s="157"/>
      <c r="M24" s="158"/>
    </row>
    <row r="25" spans="1:13" x14ac:dyDescent="0.3">
      <c r="A25" s="2">
        <v>43916</v>
      </c>
      <c r="B25" s="6" t="s">
        <v>13</v>
      </c>
      <c r="C25" s="9" t="s">
        <v>1</v>
      </c>
      <c r="D25" s="9">
        <v>51</v>
      </c>
      <c r="E25" s="12">
        <v>300000</v>
      </c>
      <c r="F25" s="12">
        <v>500000</v>
      </c>
      <c r="G25" s="70">
        <v>20000</v>
      </c>
      <c r="H25" s="83" t="str">
        <f t="shared" si="0"/>
        <v>Актобе</v>
      </c>
      <c r="I25" s="83" t="str">
        <f t="shared" si="1"/>
        <v xml:space="preserve"> </v>
      </c>
      <c r="J25" s="94"/>
      <c r="K25" s="156"/>
      <c r="L25" s="157"/>
      <c r="M25" s="158"/>
    </row>
    <row r="26" spans="1:13" x14ac:dyDescent="0.3">
      <c r="A26" s="2">
        <v>43917</v>
      </c>
      <c r="B26" s="6" t="s">
        <v>12</v>
      </c>
      <c r="C26" s="9" t="s">
        <v>1</v>
      </c>
      <c r="D26" s="9">
        <v>46</v>
      </c>
      <c r="E26" s="12">
        <v>130000</v>
      </c>
      <c r="F26" s="12">
        <v>200000</v>
      </c>
      <c r="G26" s="70">
        <v>5000</v>
      </c>
      <c r="H26" s="83" t="str">
        <f t="shared" si="0"/>
        <v>Актау</v>
      </c>
      <c r="I26" s="83" t="str">
        <f t="shared" si="1"/>
        <v xml:space="preserve"> </v>
      </c>
      <c r="J26" s="94"/>
      <c r="K26" s="156"/>
      <c r="L26" s="157"/>
      <c r="M26" s="158"/>
    </row>
    <row r="27" spans="1:13" ht="15" thickBot="1" x14ac:dyDescent="0.35">
      <c r="A27" s="2">
        <v>43918</v>
      </c>
      <c r="B27" s="6" t="s">
        <v>14</v>
      </c>
      <c r="C27" s="9" t="s">
        <v>1</v>
      </c>
      <c r="D27" s="9">
        <v>51</v>
      </c>
      <c r="E27" s="12">
        <v>170000</v>
      </c>
      <c r="F27" s="12">
        <v>450000</v>
      </c>
      <c r="G27" s="70">
        <v>20000</v>
      </c>
      <c r="H27" s="83" t="str">
        <f t="shared" si="0"/>
        <v>Петропавловск</v>
      </c>
      <c r="I27" s="83" t="str">
        <f t="shared" si="1"/>
        <v xml:space="preserve"> </v>
      </c>
      <c r="J27" s="94"/>
      <c r="K27" s="159"/>
      <c r="L27" s="160"/>
      <c r="M27" s="161"/>
    </row>
    <row r="28" spans="1:13" x14ac:dyDescent="0.3">
      <c r="A28" s="2">
        <v>43913</v>
      </c>
      <c r="B28" s="6" t="s">
        <v>9</v>
      </c>
      <c r="C28" s="9" t="s">
        <v>1</v>
      </c>
      <c r="D28" s="9">
        <v>45</v>
      </c>
      <c r="E28" s="12">
        <v>80000</v>
      </c>
      <c r="F28" s="12">
        <v>1200000</v>
      </c>
      <c r="G28" s="70">
        <v>10000</v>
      </c>
      <c r="H28" s="83" t="str">
        <f t="shared" si="0"/>
        <v>Нур-Султан</v>
      </c>
      <c r="I28" s="83" t="str">
        <f t="shared" si="1"/>
        <v>ключевой регион</v>
      </c>
      <c r="J28" s="94"/>
    </row>
    <row r="29" spans="1:13" ht="15" thickBot="1" x14ac:dyDescent="0.35">
      <c r="A29" s="2">
        <v>43914</v>
      </c>
      <c r="B29" s="6" t="s">
        <v>37</v>
      </c>
      <c r="C29" s="9" t="s">
        <v>1</v>
      </c>
      <c r="D29" s="9">
        <v>54</v>
      </c>
      <c r="E29" s="12">
        <v>60000</v>
      </c>
      <c r="F29" s="12">
        <v>170000</v>
      </c>
      <c r="G29" s="70">
        <v>8500</v>
      </c>
      <c r="H29" s="83" t="str">
        <f t="shared" si="0"/>
        <v>Караганды</v>
      </c>
      <c r="I29" s="83" t="str">
        <f t="shared" si="1"/>
        <v>ключевой регион</v>
      </c>
      <c r="J29" s="94"/>
      <c r="K29" s="143" t="s">
        <v>62</v>
      </c>
      <c r="L29" s="143"/>
      <c r="M29" s="143"/>
    </row>
    <row r="30" spans="1:13" ht="15" thickBot="1" x14ac:dyDescent="0.35">
      <c r="A30" s="2">
        <v>43915</v>
      </c>
      <c r="B30" s="6" t="s">
        <v>13</v>
      </c>
      <c r="C30" s="9" t="s">
        <v>1</v>
      </c>
      <c r="D30" s="9">
        <v>59</v>
      </c>
      <c r="E30" s="12">
        <v>150000</v>
      </c>
      <c r="F30" s="12">
        <v>0</v>
      </c>
      <c r="G30" s="70">
        <v>70000</v>
      </c>
      <c r="H30" s="83" t="str">
        <f t="shared" si="0"/>
        <v>Актобе</v>
      </c>
      <c r="I30" s="83" t="str">
        <f t="shared" si="1"/>
        <v xml:space="preserve"> </v>
      </c>
      <c r="J30" s="94"/>
      <c r="K30" s="79" t="s">
        <v>63</v>
      </c>
      <c r="L30" s="79" t="s">
        <v>50</v>
      </c>
      <c r="M30" s="79" t="s">
        <v>58</v>
      </c>
    </row>
    <row r="31" spans="1:13" ht="15" thickBot="1" x14ac:dyDescent="0.35">
      <c r="A31" s="2">
        <v>43916</v>
      </c>
      <c r="B31" s="6" t="s">
        <v>10</v>
      </c>
      <c r="C31" s="9" t="s">
        <v>1</v>
      </c>
      <c r="D31" s="9">
        <v>40</v>
      </c>
      <c r="E31" s="12">
        <v>100000</v>
      </c>
      <c r="F31" s="12">
        <v>125000</v>
      </c>
      <c r="G31" s="70">
        <v>5000</v>
      </c>
      <c r="H31" s="83" t="str">
        <f t="shared" si="0"/>
        <v>Алматы</v>
      </c>
      <c r="I31" s="83" t="str">
        <f t="shared" si="1"/>
        <v>ключевой регион</v>
      </c>
      <c r="J31" s="94"/>
      <c r="K31" s="95" t="s">
        <v>37</v>
      </c>
      <c r="L31" s="77" t="str">
        <f>VLOOKUP(K31,B:H, 7, FALSE)</f>
        <v>Караганды</v>
      </c>
      <c r="M31" s="68" t="str">
        <f>VLOOKUP(K31,B:I, 8, FALSE)</f>
        <v>ключевой регион</v>
      </c>
    </row>
    <row r="32" spans="1:13" x14ac:dyDescent="0.3">
      <c r="A32" s="2">
        <v>43917</v>
      </c>
      <c r="B32" s="6" t="s">
        <v>11</v>
      </c>
      <c r="C32" s="9" t="s">
        <v>1</v>
      </c>
      <c r="D32" s="9">
        <v>46</v>
      </c>
      <c r="E32" s="12">
        <v>80000</v>
      </c>
      <c r="F32" s="12">
        <v>160000</v>
      </c>
      <c r="G32" s="70">
        <v>1000</v>
      </c>
      <c r="H32" s="83" t="str">
        <f t="shared" si="0"/>
        <v>Атырау</v>
      </c>
      <c r="I32" s="83" t="str">
        <f t="shared" si="1"/>
        <v xml:space="preserve"> </v>
      </c>
      <c r="J32" s="94"/>
    </row>
    <row r="33" spans="1:10" x14ac:dyDescent="0.3">
      <c r="A33" s="2">
        <v>43918</v>
      </c>
      <c r="B33" s="6" t="s">
        <v>11</v>
      </c>
      <c r="C33" s="9" t="s">
        <v>1</v>
      </c>
      <c r="D33" s="9">
        <v>41</v>
      </c>
      <c r="E33" s="12">
        <v>200000</v>
      </c>
      <c r="F33" s="12">
        <v>100000</v>
      </c>
      <c r="G33" s="70">
        <v>20000</v>
      </c>
      <c r="H33" s="83" t="str">
        <f t="shared" si="0"/>
        <v>Атырау</v>
      </c>
      <c r="I33" s="83" t="str">
        <f t="shared" si="1"/>
        <v xml:space="preserve"> </v>
      </c>
      <c r="J33" s="94"/>
    </row>
    <row r="34" spans="1:10" x14ac:dyDescent="0.3">
      <c r="A34" s="2">
        <v>43913</v>
      </c>
      <c r="B34" s="6" t="s">
        <v>12</v>
      </c>
      <c r="C34" s="9" t="s">
        <v>1</v>
      </c>
      <c r="D34" s="9">
        <v>41</v>
      </c>
      <c r="E34" s="12">
        <v>180000</v>
      </c>
      <c r="F34" s="12">
        <v>0</v>
      </c>
      <c r="G34" s="70">
        <v>3000</v>
      </c>
      <c r="H34" s="83" t="str">
        <f t="shared" si="0"/>
        <v>Актау</v>
      </c>
      <c r="I34" s="83" t="str">
        <f t="shared" si="1"/>
        <v xml:space="preserve"> </v>
      </c>
      <c r="J34" s="94"/>
    </row>
    <row r="35" spans="1:10" x14ac:dyDescent="0.3">
      <c r="A35" s="2">
        <v>43914</v>
      </c>
      <c r="B35" s="6" t="s">
        <v>13</v>
      </c>
      <c r="C35" s="9" t="s">
        <v>1</v>
      </c>
      <c r="D35" s="9">
        <v>57</v>
      </c>
      <c r="E35" s="12">
        <v>150000</v>
      </c>
      <c r="F35" s="12">
        <v>100000</v>
      </c>
      <c r="G35" s="70">
        <v>15000</v>
      </c>
      <c r="H35" s="83" t="str">
        <f t="shared" ref="H35:H66" si="2">IFERROR(VLOOKUP(B35:B163,$K$12:$L$20, 2,FALSE), "")</f>
        <v>Актобе</v>
      </c>
      <c r="I35" s="83" t="str">
        <f t="shared" ref="I35:I66" si="3">IFERROR(VLOOKUP(H35:H163, $L$12:$M$20, 2, FALSE), "")</f>
        <v xml:space="preserve"> </v>
      </c>
      <c r="J35" s="94"/>
    </row>
    <row r="36" spans="1:10" x14ac:dyDescent="0.3">
      <c r="A36" s="2">
        <v>43915</v>
      </c>
      <c r="B36" s="6" t="s">
        <v>12</v>
      </c>
      <c r="C36" s="9" t="s">
        <v>1</v>
      </c>
      <c r="D36" s="9">
        <v>35</v>
      </c>
      <c r="E36" s="12">
        <v>200000</v>
      </c>
      <c r="F36" s="12">
        <v>390000</v>
      </c>
      <c r="G36" s="70">
        <v>10000</v>
      </c>
      <c r="H36" s="83" t="str">
        <f t="shared" si="2"/>
        <v>Актау</v>
      </c>
      <c r="I36" s="83" t="str">
        <f t="shared" si="3"/>
        <v xml:space="preserve"> </v>
      </c>
      <c r="J36" s="94"/>
    </row>
    <row r="37" spans="1:10" x14ac:dyDescent="0.3">
      <c r="A37" s="2">
        <v>43916</v>
      </c>
      <c r="B37" s="6" t="s">
        <v>11</v>
      </c>
      <c r="C37" s="9" t="s">
        <v>1</v>
      </c>
      <c r="D37" s="9">
        <v>40</v>
      </c>
      <c r="E37" s="12">
        <v>700000</v>
      </c>
      <c r="F37" s="12">
        <v>500000</v>
      </c>
      <c r="G37" s="70">
        <v>5000</v>
      </c>
      <c r="H37" s="83" t="str">
        <f t="shared" si="2"/>
        <v>Атырау</v>
      </c>
      <c r="I37" s="83" t="str">
        <f t="shared" si="3"/>
        <v xml:space="preserve"> </v>
      </c>
      <c r="J37" s="94"/>
    </row>
    <row r="38" spans="1:10" x14ac:dyDescent="0.3">
      <c r="A38" s="2">
        <v>43917</v>
      </c>
      <c r="B38" s="6" t="s">
        <v>10</v>
      </c>
      <c r="C38" s="9" t="s">
        <v>1</v>
      </c>
      <c r="D38" s="9">
        <v>52</v>
      </c>
      <c r="E38" s="12">
        <v>150000</v>
      </c>
      <c r="F38" s="12">
        <v>300000</v>
      </c>
      <c r="G38" s="70">
        <v>10000</v>
      </c>
      <c r="H38" s="83" t="str">
        <f t="shared" si="2"/>
        <v>Алматы</v>
      </c>
      <c r="I38" s="83" t="str">
        <f t="shared" si="3"/>
        <v>ключевой регион</v>
      </c>
      <c r="J38" s="94"/>
    </row>
    <row r="39" spans="1:10" x14ac:dyDescent="0.3">
      <c r="A39" s="2">
        <v>43918</v>
      </c>
      <c r="B39" s="6" t="s">
        <v>9</v>
      </c>
      <c r="C39" s="9" t="s">
        <v>1</v>
      </c>
      <c r="D39" s="9">
        <v>59</v>
      </c>
      <c r="E39" s="12">
        <v>150000</v>
      </c>
      <c r="F39" s="12">
        <v>220000</v>
      </c>
      <c r="G39" s="70">
        <v>5000</v>
      </c>
      <c r="H39" s="83" t="str">
        <f t="shared" si="2"/>
        <v>Нур-Султан</v>
      </c>
      <c r="I39" s="83" t="str">
        <f t="shared" si="3"/>
        <v>ключевой регион</v>
      </c>
      <c r="J39" s="94"/>
    </row>
    <row r="40" spans="1:10" x14ac:dyDescent="0.3">
      <c r="A40" s="2">
        <v>43913</v>
      </c>
      <c r="B40" s="6" t="s">
        <v>37</v>
      </c>
      <c r="C40" s="9" t="s">
        <v>1</v>
      </c>
      <c r="D40" s="9">
        <v>43</v>
      </c>
      <c r="E40" s="12">
        <v>150000</v>
      </c>
      <c r="F40" s="12">
        <v>0</v>
      </c>
      <c r="G40" s="70">
        <v>20000</v>
      </c>
      <c r="H40" s="83" t="str">
        <f t="shared" si="2"/>
        <v>Караганды</v>
      </c>
      <c r="I40" s="83" t="str">
        <f t="shared" si="3"/>
        <v>ключевой регион</v>
      </c>
      <c r="J40" s="94"/>
    </row>
    <row r="41" spans="1:10" x14ac:dyDescent="0.3">
      <c r="A41" s="2">
        <v>43914</v>
      </c>
      <c r="B41" s="6" t="s">
        <v>12</v>
      </c>
      <c r="C41" s="9" t="s">
        <v>1</v>
      </c>
      <c r="D41" s="9">
        <v>34</v>
      </c>
      <c r="E41" s="12">
        <v>200000</v>
      </c>
      <c r="F41" s="12">
        <v>1000000</v>
      </c>
      <c r="G41" s="70">
        <v>10000</v>
      </c>
      <c r="H41" s="83" t="str">
        <f t="shared" si="2"/>
        <v>Актау</v>
      </c>
      <c r="I41" s="83" t="str">
        <f t="shared" si="3"/>
        <v xml:space="preserve"> </v>
      </c>
      <c r="J41" s="94"/>
    </row>
    <row r="42" spans="1:10" x14ac:dyDescent="0.3">
      <c r="A42" s="2">
        <v>43915</v>
      </c>
      <c r="B42" s="6" t="s">
        <v>14</v>
      </c>
      <c r="C42" s="9" t="s">
        <v>1</v>
      </c>
      <c r="D42" s="9">
        <v>39</v>
      </c>
      <c r="E42" s="12">
        <v>100000</v>
      </c>
      <c r="F42" s="12">
        <v>140000</v>
      </c>
      <c r="G42" s="70">
        <v>200</v>
      </c>
      <c r="H42" s="83" t="str">
        <f t="shared" si="2"/>
        <v>Петропавловск</v>
      </c>
      <c r="I42" s="83" t="str">
        <f t="shared" si="3"/>
        <v xml:space="preserve"> </v>
      </c>
      <c r="J42" s="94"/>
    </row>
    <row r="43" spans="1:10" x14ac:dyDescent="0.3">
      <c r="A43" s="2">
        <v>43916</v>
      </c>
      <c r="B43" s="6" t="s">
        <v>9</v>
      </c>
      <c r="C43" s="9" t="s">
        <v>1</v>
      </c>
      <c r="D43" s="9">
        <v>42</v>
      </c>
      <c r="E43" s="12">
        <v>150000</v>
      </c>
      <c r="F43" s="12">
        <v>400000</v>
      </c>
      <c r="G43" s="70">
        <v>24000</v>
      </c>
      <c r="H43" s="83" t="str">
        <f t="shared" si="2"/>
        <v>Нур-Султан</v>
      </c>
      <c r="I43" s="83" t="str">
        <f t="shared" si="3"/>
        <v>ключевой регион</v>
      </c>
      <c r="J43" s="94"/>
    </row>
    <row r="44" spans="1:10" x14ac:dyDescent="0.3">
      <c r="A44" s="2">
        <v>43917</v>
      </c>
      <c r="B44" s="6" t="s">
        <v>14</v>
      </c>
      <c r="C44" s="9" t="s">
        <v>1</v>
      </c>
      <c r="D44" s="9">
        <v>51</v>
      </c>
      <c r="E44" s="12">
        <v>150000</v>
      </c>
      <c r="F44" s="12">
        <v>180000</v>
      </c>
      <c r="G44" s="70">
        <v>5000</v>
      </c>
      <c r="H44" s="83" t="str">
        <f t="shared" si="2"/>
        <v>Петропавловск</v>
      </c>
      <c r="I44" s="83" t="str">
        <f t="shared" si="3"/>
        <v xml:space="preserve"> </v>
      </c>
      <c r="J44" s="94"/>
    </row>
    <row r="45" spans="1:10" x14ac:dyDescent="0.3">
      <c r="A45" s="2">
        <v>43918</v>
      </c>
      <c r="B45" s="6" t="s">
        <v>13</v>
      </c>
      <c r="C45" s="9" t="s">
        <v>1</v>
      </c>
      <c r="D45" s="9">
        <v>41</v>
      </c>
      <c r="E45" s="12">
        <v>150000</v>
      </c>
      <c r="F45" s="12">
        <v>200000</v>
      </c>
      <c r="G45" s="70">
        <v>4000</v>
      </c>
      <c r="H45" s="83" t="str">
        <f t="shared" si="2"/>
        <v>Актобе</v>
      </c>
      <c r="I45" s="83" t="str">
        <f t="shared" si="3"/>
        <v xml:space="preserve"> </v>
      </c>
      <c r="J45" s="94"/>
    </row>
    <row r="46" spans="1:10" x14ac:dyDescent="0.3">
      <c r="A46" s="2">
        <v>43913</v>
      </c>
      <c r="B46" s="6" t="s">
        <v>10</v>
      </c>
      <c r="C46" s="9" t="s">
        <v>1</v>
      </c>
      <c r="D46" s="9">
        <v>37</v>
      </c>
      <c r="E46" s="12">
        <v>70000</v>
      </c>
      <c r="F46" s="12">
        <v>120000</v>
      </c>
      <c r="G46" s="70">
        <v>2500</v>
      </c>
      <c r="H46" s="83" t="str">
        <f t="shared" si="2"/>
        <v>Алматы</v>
      </c>
      <c r="I46" s="83" t="str">
        <f t="shared" si="3"/>
        <v>ключевой регион</v>
      </c>
      <c r="J46" s="94"/>
    </row>
    <row r="47" spans="1:10" x14ac:dyDescent="0.3">
      <c r="A47" s="2">
        <v>43918</v>
      </c>
      <c r="B47" s="6" t="s">
        <v>14</v>
      </c>
      <c r="C47" s="9" t="s">
        <v>0</v>
      </c>
      <c r="D47" s="9">
        <v>44</v>
      </c>
      <c r="E47" s="12">
        <v>750000</v>
      </c>
      <c r="F47" s="12">
        <v>230000</v>
      </c>
      <c r="G47" s="70">
        <v>240000</v>
      </c>
      <c r="H47" s="83" t="str">
        <f t="shared" si="2"/>
        <v>Петропавловск</v>
      </c>
      <c r="I47" s="83" t="str">
        <f t="shared" si="3"/>
        <v xml:space="preserve"> </v>
      </c>
      <c r="J47" s="94"/>
    </row>
    <row r="48" spans="1:10" x14ac:dyDescent="0.3">
      <c r="A48" s="2">
        <v>43913</v>
      </c>
      <c r="B48" s="6" t="s">
        <v>9</v>
      </c>
      <c r="C48" s="9" t="s">
        <v>0</v>
      </c>
      <c r="D48" s="9">
        <v>46</v>
      </c>
      <c r="E48" s="12">
        <v>360000</v>
      </c>
      <c r="F48" s="12">
        <v>1030000</v>
      </c>
      <c r="G48" s="70">
        <v>1040000</v>
      </c>
      <c r="H48" s="83" t="str">
        <f t="shared" si="2"/>
        <v>Нур-Султан</v>
      </c>
      <c r="I48" s="83" t="str">
        <f t="shared" si="3"/>
        <v>ключевой регион</v>
      </c>
      <c r="J48" s="94"/>
    </row>
    <row r="49" spans="1:10" x14ac:dyDescent="0.3">
      <c r="A49" s="2">
        <v>43914</v>
      </c>
      <c r="B49" s="6" t="s">
        <v>11</v>
      </c>
      <c r="C49" s="9" t="s">
        <v>0</v>
      </c>
      <c r="D49" s="9">
        <v>39</v>
      </c>
      <c r="E49" s="12">
        <v>1170000</v>
      </c>
      <c r="F49" s="12">
        <v>380000</v>
      </c>
      <c r="G49" s="70">
        <v>390000</v>
      </c>
      <c r="H49" s="83" t="str">
        <f t="shared" si="2"/>
        <v>Атырау</v>
      </c>
      <c r="I49" s="83" t="str">
        <f t="shared" si="3"/>
        <v xml:space="preserve"> </v>
      </c>
      <c r="J49" s="94"/>
    </row>
    <row r="50" spans="1:10" x14ac:dyDescent="0.3">
      <c r="A50" s="2">
        <v>43915</v>
      </c>
      <c r="B50" s="6" t="s">
        <v>13</v>
      </c>
      <c r="C50" s="9" t="s">
        <v>0</v>
      </c>
      <c r="D50" s="9">
        <v>47</v>
      </c>
      <c r="E50" s="12">
        <v>370000</v>
      </c>
      <c r="F50" s="12">
        <v>280000</v>
      </c>
      <c r="G50" s="70">
        <v>290000</v>
      </c>
      <c r="H50" s="83" t="str">
        <f t="shared" si="2"/>
        <v>Актобе</v>
      </c>
      <c r="I50" s="83" t="str">
        <f t="shared" si="3"/>
        <v xml:space="preserve"> </v>
      </c>
      <c r="J50" s="94"/>
    </row>
    <row r="51" spans="1:10" x14ac:dyDescent="0.3">
      <c r="A51" s="2">
        <v>43916</v>
      </c>
      <c r="B51" s="6" t="s">
        <v>10</v>
      </c>
      <c r="C51" s="9" t="s">
        <v>0</v>
      </c>
      <c r="D51" s="9">
        <v>34</v>
      </c>
      <c r="E51" s="12">
        <v>348000</v>
      </c>
      <c r="F51" s="12">
        <v>290000</v>
      </c>
      <c r="G51" s="70">
        <v>300000</v>
      </c>
      <c r="H51" s="83" t="str">
        <f t="shared" si="2"/>
        <v>Алматы</v>
      </c>
      <c r="I51" s="83" t="str">
        <f t="shared" si="3"/>
        <v>ключевой регион</v>
      </c>
      <c r="J51" s="94"/>
    </row>
    <row r="52" spans="1:10" x14ac:dyDescent="0.3">
      <c r="A52" s="2">
        <v>43917</v>
      </c>
      <c r="B52" s="6" t="s">
        <v>11</v>
      </c>
      <c r="C52" s="9" t="s">
        <v>0</v>
      </c>
      <c r="D52" s="9">
        <v>43</v>
      </c>
      <c r="E52" s="12">
        <v>400000</v>
      </c>
      <c r="F52" s="12">
        <v>200000</v>
      </c>
      <c r="G52" s="70">
        <v>210000</v>
      </c>
      <c r="H52" s="83" t="str">
        <f t="shared" si="2"/>
        <v>Атырау</v>
      </c>
      <c r="I52" s="83" t="str">
        <f t="shared" si="3"/>
        <v xml:space="preserve"> </v>
      </c>
      <c r="J52" s="94"/>
    </row>
    <row r="53" spans="1:10" x14ac:dyDescent="0.3">
      <c r="A53" s="2">
        <v>43918</v>
      </c>
      <c r="B53" s="6" t="s">
        <v>11</v>
      </c>
      <c r="C53" s="9" t="s">
        <v>0</v>
      </c>
      <c r="D53" s="9">
        <v>38</v>
      </c>
      <c r="E53" s="12">
        <v>350000</v>
      </c>
      <c r="F53" s="12">
        <v>390000</v>
      </c>
      <c r="G53" s="70">
        <v>400000</v>
      </c>
      <c r="H53" s="83" t="str">
        <f t="shared" si="2"/>
        <v>Атырау</v>
      </c>
      <c r="I53" s="83" t="str">
        <f t="shared" si="3"/>
        <v xml:space="preserve"> </v>
      </c>
      <c r="J53" s="94"/>
    </row>
    <row r="54" spans="1:10" x14ac:dyDescent="0.3">
      <c r="A54" s="2">
        <v>43913</v>
      </c>
      <c r="B54" s="6" t="s">
        <v>12</v>
      </c>
      <c r="C54" s="9" t="s">
        <v>0</v>
      </c>
      <c r="D54" s="9">
        <v>37</v>
      </c>
      <c r="E54" s="12">
        <v>600000</v>
      </c>
      <c r="F54" s="12">
        <v>920000</v>
      </c>
      <c r="G54" s="70">
        <v>930000</v>
      </c>
      <c r="H54" s="83" t="str">
        <f t="shared" si="2"/>
        <v>Актау</v>
      </c>
      <c r="I54" s="83" t="str">
        <f t="shared" si="3"/>
        <v xml:space="preserve"> </v>
      </c>
      <c r="J54" s="94"/>
    </row>
    <row r="55" spans="1:10" x14ac:dyDescent="0.3">
      <c r="A55" s="2">
        <v>43914</v>
      </c>
      <c r="B55" s="6" t="s">
        <v>13</v>
      </c>
      <c r="C55" s="9" t="s">
        <v>0</v>
      </c>
      <c r="D55" s="9">
        <v>34</v>
      </c>
      <c r="E55" s="12">
        <v>570000</v>
      </c>
      <c r="F55" s="12">
        <v>249000</v>
      </c>
      <c r="G55" s="70">
        <v>259000</v>
      </c>
      <c r="H55" s="83" t="str">
        <f t="shared" si="2"/>
        <v>Актобе</v>
      </c>
      <c r="I55" s="83" t="str">
        <f t="shared" si="3"/>
        <v xml:space="preserve"> </v>
      </c>
      <c r="J55" s="94"/>
    </row>
    <row r="56" spans="1:10" x14ac:dyDescent="0.3">
      <c r="A56" s="2">
        <v>43915</v>
      </c>
      <c r="B56" s="6" t="s">
        <v>12</v>
      </c>
      <c r="C56" s="9" t="s">
        <v>0</v>
      </c>
      <c r="D56" s="9">
        <v>49</v>
      </c>
      <c r="E56" s="12">
        <v>460000</v>
      </c>
      <c r="F56" s="12">
        <v>780000</v>
      </c>
      <c r="G56" s="70">
        <v>790000</v>
      </c>
      <c r="H56" s="83" t="str">
        <f t="shared" si="2"/>
        <v>Актау</v>
      </c>
      <c r="I56" s="83" t="str">
        <f t="shared" si="3"/>
        <v xml:space="preserve"> </v>
      </c>
      <c r="J56" s="94"/>
    </row>
    <row r="57" spans="1:10" x14ac:dyDescent="0.3">
      <c r="A57" s="2">
        <v>43916</v>
      </c>
      <c r="B57" s="6" t="s">
        <v>11</v>
      </c>
      <c r="C57" s="9" t="s">
        <v>0</v>
      </c>
      <c r="D57" s="9">
        <v>41</v>
      </c>
      <c r="E57" s="12">
        <v>890000</v>
      </c>
      <c r="F57" s="12">
        <v>280000</v>
      </c>
      <c r="G57" s="70">
        <v>290000</v>
      </c>
      <c r="H57" s="83" t="str">
        <f t="shared" si="2"/>
        <v>Атырау</v>
      </c>
      <c r="I57" s="83" t="str">
        <f t="shared" si="3"/>
        <v xml:space="preserve"> </v>
      </c>
      <c r="J57" s="94"/>
    </row>
    <row r="58" spans="1:10" x14ac:dyDescent="0.3">
      <c r="A58" s="2">
        <v>43917</v>
      </c>
      <c r="B58" s="6" t="s">
        <v>10</v>
      </c>
      <c r="C58" s="9" t="s">
        <v>0</v>
      </c>
      <c r="D58" s="9">
        <v>44</v>
      </c>
      <c r="E58" s="12">
        <v>900000</v>
      </c>
      <c r="F58" s="12">
        <v>630000</v>
      </c>
      <c r="G58" s="70">
        <v>640000</v>
      </c>
      <c r="H58" s="83" t="str">
        <f t="shared" si="2"/>
        <v>Алматы</v>
      </c>
      <c r="I58" s="83" t="str">
        <f t="shared" si="3"/>
        <v>ключевой регион</v>
      </c>
      <c r="J58" s="94"/>
    </row>
    <row r="59" spans="1:10" x14ac:dyDescent="0.3">
      <c r="A59" s="2">
        <v>43918</v>
      </c>
      <c r="B59" s="6" t="s">
        <v>9</v>
      </c>
      <c r="C59" s="9" t="s">
        <v>0</v>
      </c>
      <c r="D59" s="9">
        <v>42</v>
      </c>
      <c r="E59" s="12">
        <v>450000</v>
      </c>
      <c r="F59" s="12">
        <v>160000</v>
      </c>
      <c r="G59" s="70">
        <v>170000</v>
      </c>
      <c r="H59" s="83" t="str">
        <f t="shared" si="2"/>
        <v>Нур-Султан</v>
      </c>
      <c r="I59" s="83" t="str">
        <f t="shared" si="3"/>
        <v>ключевой регион</v>
      </c>
      <c r="J59" s="94"/>
    </row>
    <row r="60" spans="1:10" x14ac:dyDescent="0.3">
      <c r="A60" s="2">
        <v>43913</v>
      </c>
      <c r="B60" s="6" t="s">
        <v>11</v>
      </c>
      <c r="C60" s="9" t="s">
        <v>0</v>
      </c>
      <c r="D60" s="9">
        <v>40</v>
      </c>
      <c r="E60" s="12">
        <v>450000</v>
      </c>
      <c r="F60" s="12">
        <v>150000</v>
      </c>
      <c r="G60" s="70">
        <v>160000</v>
      </c>
      <c r="H60" s="83" t="str">
        <f t="shared" si="2"/>
        <v>Атырау</v>
      </c>
      <c r="I60" s="83" t="str">
        <f t="shared" si="3"/>
        <v xml:space="preserve"> </v>
      </c>
      <c r="J60" s="94"/>
    </row>
    <row r="61" spans="1:10" x14ac:dyDescent="0.3">
      <c r="A61" s="2">
        <v>43914</v>
      </c>
      <c r="B61" s="6" t="s">
        <v>12</v>
      </c>
      <c r="C61" s="9" t="s">
        <v>0</v>
      </c>
      <c r="D61" s="9">
        <v>39</v>
      </c>
      <c r="E61" s="12">
        <v>650000</v>
      </c>
      <c r="F61" s="12">
        <v>180000</v>
      </c>
      <c r="G61" s="70">
        <v>190000</v>
      </c>
      <c r="H61" s="83" t="str">
        <f t="shared" si="2"/>
        <v>Актау</v>
      </c>
      <c r="I61" s="83" t="str">
        <f t="shared" si="3"/>
        <v xml:space="preserve"> </v>
      </c>
      <c r="J61" s="94"/>
    </row>
    <row r="62" spans="1:10" x14ac:dyDescent="0.3">
      <c r="A62" s="2">
        <v>43915</v>
      </c>
      <c r="B62" s="6" t="s">
        <v>14</v>
      </c>
      <c r="C62" s="9" t="s">
        <v>0</v>
      </c>
      <c r="D62" s="9">
        <v>48</v>
      </c>
      <c r="E62" s="12">
        <v>750000</v>
      </c>
      <c r="F62" s="12">
        <v>120000</v>
      </c>
      <c r="G62" s="70">
        <v>130000</v>
      </c>
      <c r="H62" s="83" t="str">
        <f t="shared" si="2"/>
        <v>Петропавловск</v>
      </c>
      <c r="I62" s="83" t="str">
        <f t="shared" si="3"/>
        <v xml:space="preserve"> </v>
      </c>
      <c r="J62" s="94"/>
    </row>
    <row r="63" spans="1:10" x14ac:dyDescent="0.3">
      <c r="A63" s="2">
        <v>43916</v>
      </c>
      <c r="B63" s="6" t="s">
        <v>9</v>
      </c>
      <c r="C63" s="9" t="s">
        <v>0</v>
      </c>
      <c r="D63" s="9">
        <v>41</v>
      </c>
      <c r="E63" s="12">
        <v>400000</v>
      </c>
      <c r="F63" s="12">
        <v>80000</v>
      </c>
      <c r="G63" s="70">
        <v>90000</v>
      </c>
      <c r="H63" s="83" t="str">
        <f t="shared" si="2"/>
        <v>Нур-Султан</v>
      </c>
      <c r="I63" s="83" t="str">
        <f t="shared" si="3"/>
        <v>ключевой регион</v>
      </c>
      <c r="J63" s="94"/>
    </row>
    <row r="64" spans="1:10" x14ac:dyDescent="0.3">
      <c r="A64" s="2">
        <v>43917</v>
      </c>
      <c r="B64" s="6" t="s">
        <v>9</v>
      </c>
      <c r="C64" s="9" t="s">
        <v>0</v>
      </c>
      <c r="D64" s="9">
        <v>42</v>
      </c>
      <c r="E64" s="12">
        <v>600000</v>
      </c>
      <c r="F64" s="12">
        <v>480000</v>
      </c>
      <c r="G64" s="70">
        <v>490000</v>
      </c>
      <c r="H64" s="83" t="str">
        <f t="shared" si="2"/>
        <v>Нур-Султан</v>
      </c>
      <c r="I64" s="83" t="str">
        <f t="shared" si="3"/>
        <v>ключевой регион</v>
      </c>
      <c r="J64" s="94"/>
    </row>
    <row r="65" spans="1:10" x14ac:dyDescent="0.3">
      <c r="A65" s="2">
        <v>43918</v>
      </c>
      <c r="B65" s="6" t="s">
        <v>13</v>
      </c>
      <c r="C65" s="9" t="s">
        <v>0</v>
      </c>
      <c r="D65" s="9">
        <v>43</v>
      </c>
      <c r="E65" s="12">
        <v>600000</v>
      </c>
      <c r="F65" s="12">
        <v>580000</v>
      </c>
      <c r="G65" s="70">
        <v>590000</v>
      </c>
      <c r="H65" s="83" t="str">
        <f t="shared" si="2"/>
        <v>Актобе</v>
      </c>
      <c r="I65" s="83" t="str">
        <f t="shared" si="3"/>
        <v xml:space="preserve"> </v>
      </c>
      <c r="J65" s="94"/>
    </row>
    <row r="66" spans="1:10" x14ac:dyDescent="0.3">
      <c r="A66" s="2">
        <v>43913</v>
      </c>
      <c r="B66" s="6" t="s">
        <v>10</v>
      </c>
      <c r="C66" s="9" t="s">
        <v>0</v>
      </c>
      <c r="D66" s="9">
        <v>35</v>
      </c>
      <c r="E66" s="12">
        <v>450000</v>
      </c>
      <c r="F66" s="12">
        <v>330000</v>
      </c>
      <c r="G66" s="70">
        <v>340000</v>
      </c>
      <c r="H66" s="83" t="str">
        <f t="shared" si="2"/>
        <v>Алматы</v>
      </c>
      <c r="I66" s="83" t="str">
        <f t="shared" si="3"/>
        <v>ключевой регион</v>
      </c>
      <c r="J66" s="94"/>
    </row>
    <row r="67" spans="1:10" x14ac:dyDescent="0.3">
      <c r="A67" s="2">
        <v>43914</v>
      </c>
      <c r="B67" s="6" t="s">
        <v>11</v>
      </c>
      <c r="C67" s="9" t="s">
        <v>0</v>
      </c>
      <c r="D67" s="9">
        <v>46</v>
      </c>
      <c r="E67" s="12">
        <v>650000</v>
      </c>
      <c r="F67" s="12">
        <v>240000</v>
      </c>
      <c r="G67" s="70">
        <v>250000</v>
      </c>
      <c r="H67" s="83" t="str">
        <f t="shared" ref="H67:H98" si="4">IFERROR(VLOOKUP(B67:B195,$K$12:$L$20, 2,FALSE), "")</f>
        <v>Атырау</v>
      </c>
      <c r="I67" s="83" t="str">
        <f t="shared" ref="I67:I98" si="5">IFERROR(VLOOKUP(H67:H195, $L$12:$M$20, 2, FALSE), "")</f>
        <v xml:space="preserve"> </v>
      </c>
      <c r="J67" s="94"/>
    </row>
    <row r="68" spans="1:10" x14ac:dyDescent="0.3">
      <c r="A68" s="2">
        <v>43915</v>
      </c>
      <c r="B68" s="6" t="s">
        <v>11</v>
      </c>
      <c r="C68" s="9" t="s">
        <v>0</v>
      </c>
      <c r="D68" s="9">
        <v>39</v>
      </c>
      <c r="E68" s="12">
        <v>370000</v>
      </c>
      <c r="F68" s="12">
        <v>160000</v>
      </c>
      <c r="G68" s="70">
        <v>170000</v>
      </c>
      <c r="H68" s="83" t="str">
        <f t="shared" si="4"/>
        <v>Атырау</v>
      </c>
      <c r="I68" s="83" t="str">
        <f t="shared" si="5"/>
        <v xml:space="preserve"> </v>
      </c>
      <c r="J68" s="94"/>
    </row>
    <row r="69" spans="1:10" x14ac:dyDescent="0.3">
      <c r="A69" s="2">
        <v>43916</v>
      </c>
      <c r="B69" s="6" t="s">
        <v>12</v>
      </c>
      <c r="C69" s="9" t="s">
        <v>0</v>
      </c>
      <c r="D69" s="9">
        <v>35</v>
      </c>
      <c r="E69" s="12">
        <v>345000</v>
      </c>
      <c r="F69" s="12">
        <v>80000</v>
      </c>
      <c r="G69" s="70">
        <v>90000</v>
      </c>
      <c r="H69" s="83" t="str">
        <f t="shared" si="4"/>
        <v>Актау</v>
      </c>
      <c r="I69" s="83" t="str">
        <f t="shared" si="5"/>
        <v xml:space="preserve"> </v>
      </c>
      <c r="J69" s="94"/>
    </row>
    <row r="70" spans="1:10" x14ac:dyDescent="0.3">
      <c r="A70" s="2">
        <v>43917</v>
      </c>
      <c r="B70" s="6" t="s">
        <v>13</v>
      </c>
      <c r="C70" s="9" t="s">
        <v>0</v>
      </c>
      <c r="D70" s="9">
        <v>37</v>
      </c>
      <c r="E70" s="12">
        <v>470000</v>
      </c>
      <c r="F70" s="12">
        <v>280000</v>
      </c>
      <c r="G70" s="70">
        <v>290000</v>
      </c>
      <c r="H70" s="83" t="str">
        <f t="shared" si="4"/>
        <v>Актобе</v>
      </c>
      <c r="I70" s="83" t="str">
        <f t="shared" si="5"/>
        <v xml:space="preserve"> </v>
      </c>
      <c r="J70" s="94"/>
    </row>
    <row r="71" spans="1:10" x14ac:dyDescent="0.3">
      <c r="A71" s="2">
        <v>43915</v>
      </c>
      <c r="B71" s="6" t="s">
        <v>9</v>
      </c>
      <c r="C71" s="9" t="s">
        <v>1</v>
      </c>
      <c r="D71" s="9">
        <v>44</v>
      </c>
      <c r="E71" s="12">
        <v>175000</v>
      </c>
      <c r="F71" s="12">
        <v>190000</v>
      </c>
      <c r="G71" s="70">
        <v>20000</v>
      </c>
      <c r="H71" s="83" t="str">
        <f t="shared" si="4"/>
        <v>Нур-Султан</v>
      </c>
      <c r="I71" s="83" t="str">
        <f t="shared" si="5"/>
        <v>ключевой регион</v>
      </c>
      <c r="J71" s="94"/>
    </row>
    <row r="72" spans="1:10" x14ac:dyDescent="0.3">
      <c r="A72" s="2">
        <v>43916</v>
      </c>
      <c r="B72" s="6" t="s">
        <v>14</v>
      </c>
      <c r="C72" s="9" t="s">
        <v>1</v>
      </c>
      <c r="D72" s="9">
        <v>47</v>
      </c>
      <c r="E72" s="12">
        <v>200000</v>
      </c>
      <c r="F72" s="12">
        <v>170000</v>
      </c>
      <c r="G72" s="70">
        <v>10000</v>
      </c>
      <c r="H72" s="83" t="str">
        <f t="shared" si="4"/>
        <v>Петропавловск</v>
      </c>
      <c r="I72" s="83" t="str">
        <f t="shared" si="5"/>
        <v xml:space="preserve"> </v>
      </c>
      <c r="J72" s="94"/>
    </row>
    <row r="73" spans="1:10" x14ac:dyDescent="0.3">
      <c r="A73" s="2">
        <v>43917</v>
      </c>
      <c r="B73" s="6" t="s">
        <v>12</v>
      </c>
      <c r="C73" s="9" t="s">
        <v>1</v>
      </c>
      <c r="D73" s="9">
        <v>47</v>
      </c>
      <c r="E73" s="12">
        <v>420000</v>
      </c>
      <c r="F73" s="12">
        <v>80000</v>
      </c>
      <c r="G73" s="70">
        <v>3000</v>
      </c>
      <c r="H73" s="83" t="str">
        <f t="shared" si="4"/>
        <v>Актау</v>
      </c>
      <c r="I73" s="83" t="str">
        <f t="shared" si="5"/>
        <v xml:space="preserve"> </v>
      </c>
      <c r="J73" s="94"/>
    </row>
    <row r="74" spans="1:10" x14ac:dyDescent="0.3">
      <c r="A74" s="2">
        <v>43918</v>
      </c>
      <c r="B74" s="6" t="s">
        <v>14</v>
      </c>
      <c r="C74" s="9" t="s">
        <v>1</v>
      </c>
      <c r="D74" s="9">
        <v>42</v>
      </c>
      <c r="E74" s="12">
        <v>150000</v>
      </c>
      <c r="F74" s="12">
        <v>100000</v>
      </c>
      <c r="G74" s="70">
        <v>7000</v>
      </c>
      <c r="H74" s="83" t="str">
        <f t="shared" si="4"/>
        <v>Петропавловск</v>
      </c>
      <c r="I74" s="83" t="str">
        <f t="shared" si="5"/>
        <v xml:space="preserve"> </v>
      </c>
      <c r="J74" s="94"/>
    </row>
    <row r="75" spans="1:10" x14ac:dyDescent="0.3">
      <c r="A75" s="2">
        <v>43913</v>
      </c>
      <c r="B75" s="6" t="s">
        <v>9</v>
      </c>
      <c r="C75" s="9" t="s">
        <v>1</v>
      </c>
      <c r="D75" s="9">
        <v>39</v>
      </c>
      <c r="E75" s="12">
        <v>250000</v>
      </c>
      <c r="F75" s="12">
        <v>300000</v>
      </c>
      <c r="G75" s="70">
        <v>10000</v>
      </c>
      <c r="H75" s="83" t="str">
        <f t="shared" si="4"/>
        <v>Нур-Султан</v>
      </c>
      <c r="I75" s="83" t="str">
        <f t="shared" si="5"/>
        <v>ключевой регион</v>
      </c>
      <c r="J75" s="94"/>
    </row>
    <row r="76" spans="1:10" x14ac:dyDescent="0.3">
      <c r="A76" s="2">
        <v>43914</v>
      </c>
      <c r="B76" s="6" t="s">
        <v>36</v>
      </c>
      <c r="C76" s="9" t="s">
        <v>1</v>
      </c>
      <c r="D76" s="9">
        <v>38</v>
      </c>
      <c r="E76" s="12">
        <v>85000</v>
      </c>
      <c r="F76" s="12">
        <v>105000</v>
      </c>
      <c r="G76" s="70">
        <v>5000</v>
      </c>
      <c r="H76" s="83" t="str">
        <f t="shared" si="4"/>
        <v>Капчагай</v>
      </c>
      <c r="I76" s="83" t="str">
        <f t="shared" si="5"/>
        <v xml:space="preserve"> </v>
      </c>
      <c r="J76" s="94"/>
    </row>
    <row r="77" spans="1:10" x14ac:dyDescent="0.3">
      <c r="A77" s="2">
        <v>43915</v>
      </c>
      <c r="B77" s="6" t="s">
        <v>13</v>
      </c>
      <c r="C77" s="9" t="s">
        <v>1</v>
      </c>
      <c r="D77" s="9">
        <v>36</v>
      </c>
      <c r="E77" s="12">
        <v>250000</v>
      </c>
      <c r="F77" s="12">
        <v>368000</v>
      </c>
      <c r="G77" s="70">
        <v>15000</v>
      </c>
      <c r="H77" s="83" t="str">
        <f t="shared" si="4"/>
        <v>Актобе</v>
      </c>
      <c r="I77" s="83" t="str">
        <f t="shared" si="5"/>
        <v xml:space="preserve"> </v>
      </c>
      <c r="J77" s="94"/>
    </row>
    <row r="78" spans="1:10" x14ac:dyDescent="0.3">
      <c r="A78" s="2">
        <v>43916</v>
      </c>
      <c r="B78" s="6" t="s">
        <v>10</v>
      </c>
      <c r="C78" s="9" t="s">
        <v>1</v>
      </c>
      <c r="D78" s="9">
        <v>34</v>
      </c>
      <c r="E78" s="12">
        <v>120000</v>
      </c>
      <c r="F78" s="12">
        <v>145000</v>
      </c>
      <c r="G78" s="70">
        <v>5000</v>
      </c>
      <c r="H78" s="83" t="str">
        <f t="shared" si="4"/>
        <v>Алматы</v>
      </c>
      <c r="I78" s="83" t="str">
        <f t="shared" si="5"/>
        <v>ключевой регион</v>
      </c>
      <c r="J78" s="94"/>
    </row>
    <row r="79" spans="1:10" x14ac:dyDescent="0.3">
      <c r="A79" s="2">
        <v>43917</v>
      </c>
      <c r="B79" s="6" t="s">
        <v>11</v>
      </c>
      <c r="C79" s="9" t="s">
        <v>1</v>
      </c>
      <c r="D79" s="9">
        <v>35</v>
      </c>
      <c r="E79" s="12">
        <v>70000</v>
      </c>
      <c r="F79" s="12">
        <v>160000</v>
      </c>
      <c r="G79" s="70">
        <v>3000</v>
      </c>
      <c r="H79" s="83" t="str">
        <f t="shared" si="4"/>
        <v>Атырау</v>
      </c>
      <c r="I79" s="83" t="str">
        <f t="shared" si="5"/>
        <v xml:space="preserve"> </v>
      </c>
      <c r="J79" s="94"/>
    </row>
    <row r="80" spans="1:10" x14ac:dyDescent="0.3">
      <c r="A80" s="2">
        <v>43918</v>
      </c>
      <c r="B80" s="6" t="s">
        <v>11</v>
      </c>
      <c r="C80" s="9" t="s">
        <v>1</v>
      </c>
      <c r="D80" s="9">
        <v>45</v>
      </c>
      <c r="E80" s="12">
        <v>230000</v>
      </c>
      <c r="F80" s="12">
        <v>280000</v>
      </c>
      <c r="G80" s="70">
        <v>5000</v>
      </c>
      <c r="H80" s="83" t="str">
        <f t="shared" si="4"/>
        <v>Атырау</v>
      </c>
      <c r="I80" s="83" t="str">
        <f t="shared" si="5"/>
        <v xml:space="preserve"> </v>
      </c>
      <c r="J80" s="94"/>
    </row>
    <row r="81" spans="1:12" x14ac:dyDescent="0.3">
      <c r="A81" s="2">
        <v>43913</v>
      </c>
      <c r="B81" s="6" t="s">
        <v>12</v>
      </c>
      <c r="C81" s="9" t="s">
        <v>1</v>
      </c>
      <c r="D81" s="9">
        <v>44</v>
      </c>
      <c r="E81" s="12">
        <v>55000</v>
      </c>
      <c r="F81" s="12">
        <v>159200</v>
      </c>
      <c r="G81" s="70">
        <v>7200</v>
      </c>
      <c r="H81" s="83" t="str">
        <f t="shared" si="4"/>
        <v>Актау</v>
      </c>
      <c r="I81" s="83" t="str">
        <f t="shared" si="5"/>
        <v xml:space="preserve"> </v>
      </c>
      <c r="J81" s="94"/>
    </row>
    <row r="82" spans="1:12" x14ac:dyDescent="0.3">
      <c r="A82" s="2">
        <v>43914</v>
      </c>
      <c r="B82" s="6" t="s">
        <v>13</v>
      </c>
      <c r="C82" s="9" t="s">
        <v>1</v>
      </c>
      <c r="D82" s="9">
        <v>39</v>
      </c>
      <c r="E82" s="12">
        <v>160000</v>
      </c>
      <c r="F82" s="12">
        <v>500000</v>
      </c>
      <c r="G82" s="70">
        <v>10000</v>
      </c>
      <c r="H82" s="83" t="str">
        <f t="shared" si="4"/>
        <v>Актобе</v>
      </c>
      <c r="I82" s="83" t="str">
        <f t="shared" si="5"/>
        <v xml:space="preserve"> </v>
      </c>
      <c r="J82" s="94"/>
    </row>
    <row r="83" spans="1:12" x14ac:dyDescent="0.3">
      <c r="A83" s="2">
        <v>43915</v>
      </c>
      <c r="B83" s="6" t="s">
        <v>12</v>
      </c>
      <c r="C83" s="9" t="s">
        <v>1</v>
      </c>
      <c r="D83" s="9">
        <v>37</v>
      </c>
      <c r="E83" s="12">
        <v>300000</v>
      </c>
      <c r="F83" s="12">
        <v>350000</v>
      </c>
      <c r="G83" s="70">
        <v>5000</v>
      </c>
      <c r="H83" s="83" t="str">
        <f t="shared" si="4"/>
        <v>Актау</v>
      </c>
      <c r="I83" s="83" t="str">
        <f t="shared" si="5"/>
        <v xml:space="preserve"> </v>
      </c>
      <c r="J83" s="94"/>
    </row>
    <row r="84" spans="1:12" x14ac:dyDescent="0.3">
      <c r="A84" s="2">
        <v>43916</v>
      </c>
      <c r="B84" s="6" t="s">
        <v>11</v>
      </c>
      <c r="C84" s="9" t="s">
        <v>1</v>
      </c>
      <c r="D84" s="9">
        <v>41</v>
      </c>
      <c r="E84" s="12">
        <v>71000</v>
      </c>
      <c r="F84" s="12">
        <v>30000</v>
      </c>
      <c r="G84" s="70">
        <v>2000</v>
      </c>
      <c r="H84" s="83" t="str">
        <f t="shared" si="4"/>
        <v>Атырау</v>
      </c>
      <c r="I84" s="83" t="str">
        <f t="shared" si="5"/>
        <v xml:space="preserve"> </v>
      </c>
      <c r="J84" s="94"/>
    </row>
    <row r="85" spans="1:12" x14ac:dyDescent="0.3">
      <c r="A85" s="2">
        <v>43917</v>
      </c>
      <c r="B85" s="6" t="s">
        <v>10</v>
      </c>
      <c r="C85" s="9" t="s">
        <v>1</v>
      </c>
      <c r="D85" s="9">
        <v>51</v>
      </c>
      <c r="E85" s="12">
        <v>103000</v>
      </c>
      <c r="F85" s="12">
        <v>50000</v>
      </c>
      <c r="G85" s="70">
        <v>20000</v>
      </c>
      <c r="H85" s="83" t="str">
        <f t="shared" si="4"/>
        <v>Алматы</v>
      </c>
      <c r="I85" s="83" t="str">
        <f t="shared" si="5"/>
        <v>ключевой регион</v>
      </c>
      <c r="J85" s="94"/>
    </row>
    <row r="86" spans="1:12" x14ac:dyDescent="0.3">
      <c r="A86" s="2">
        <v>43918</v>
      </c>
      <c r="B86" s="6" t="s">
        <v>9</v>
      </c>
      <c r="C86" s="9" t="s">
        <v>1</v>
      </c>
      <c r="D86" s="9">
        <v>44</v>
      </c>
      <c r="E86" s="12">
        <v>250000</v>
      </c>
      <c r="F86" s="12">
        <v>220000</v>
      </c>
      <c r="G86" s="70">
        <v>35000</v>
      </c>
      <c r="H86" s="83" t="str">
        <f t="shared" si="4"/>
        <v>Нур-Султан</v>
      </c>
      <c r="I86" s="83" t="str">
        <f t="shared" si="5"/>
        <v>ключевой регион</v>
      </c>
      <c r="J86" s="94"/>
    </row>
    <row r="87" spans="1:12" x14ac:dyDescent="0.3">
      <c r="A87" s="2">
        <v>43913</v>
      </c>
      <c r="B87" s="6" t="s">
        <v>36</v>
      </c>
      <c r="C87" s="9" t="s">
        <v>1</v>
      </c>
      <c r="D87" s="9">
        <v>35</v>
      </c>
      <c r="E87" s="12">
        <v>300000</v>
      </c>
      <c r="F87" s="12">
        <v>200000</v>
      </c>
      <c r="G87" s="70">
        <v>10000</v>
      </c>
      <c r="H87" s="83" t="str">
        <f t="shared" si="4"/>
        <v>Капчагай</v>
      </c>
      <c r="I87" s="83" t="str">
        <f t="shared" si="5"/>
        <v xml:space="preserve"> </v>
      </c>
      <c r="J87" s="94"/>
    </row>
    <row r="88" spans="1:12" x14ac:dyDescent="0.3">
      <c r="A88" s="2">
        <v>43914</v>
      </c>
      <c r="B88" s="6" t="s">
        <v>12</v>
      </c>
      <c r="C88" s="9" t="s">
        <v>1</v>
      </c>
      <c r="D88" s="9">
        <v>50</v>
      </c>
      <c r="E88" s="12">
        <v>150000</v>
      </c>
      <c r="F88" s="12">
        <v>270000</v>
      </c>
      <c r="G88" s="70">
        <v>5000</v>
      </c>
      <c r="H88" s="83" t="str">
        <f t="shared" si="4"/>
        <v>Актау</v>
      </c>
      <c r="I88" s="83" t="str">
        <f t="shared" si="5"/>
        <v xml:space="preserve"> </v>
      </c>
      <c r="J88" s="94"/>
    </row>
    <row r="89" spans="1:12" x14ac:dyDescent="0.3">
      <c r="A89" s="2">
        <v>43915</v>
      </c>
      <c r="B89" s="6" t="s">
        <v>14</v>
      </c>
      <c r="C89" s="9" t="s">
        <v>1</v>
      </c>
      <c r="D89" s="9">
        <v>37</v>
      </c>
      <c r="E89" s="12">
        <v>0</v>
      </c>
      <c r="F89" s="12">
        <v>0</v>
      </c>
      <c r="G89" s="70">
        <v>0</v>
      </c>
      <c r="H89" s="83" t="str">
        <f t="shared" si="4"/>
        <v>Петропавловск</v>
      </c>
      <c r="I89" s="83" t="str">
        <f t="shared" si="5"/>
        <v xml:space="preserve"> </v>
      </c>
      <c r="J89" s="94"/>
      <c r="K89" t="s">
        <v>78</v>
      </c>
      <c r="L89" t="str">
        <f>IFERROR(H91, "")</f>
        <v/>
      </c>
    </row>
    <row r="90" spans="1:12" x14ac:dyDescent="0.3">
      <c r="A90" s="2">
        <v>43916</v>
      </c>
      <c r="B90" s="6" t="s">
        <v>9</v>
      </c>
      <c r="C90" s="9" t="s">
        <v>1</v>
      </c>
      <c r="D90" s="9">
        <v>47</v>
      </c>
      <c r="E90" s="12">
        <v>150000</v>
      </c>
      <c r="F90" s="12">
        <v>0</v>
      </c>
      <c r="G90" s="70">
        <v>5200</v>
      </c>
      <c r="H90" s="83" t="str">
        <f t="shared" si="4"/>
        <v>Нур-Султан</v>
      </c>
      <c r="I90" s="83" t="str">
        <f t="shared" si="5"/>
        <v>ключевой регион</v>
      </c>
      <c r="J90" s="94"/>
    </row>
    <row r="91" spans="1:12" x14ac:dyDescent="0.3">
      <c r="A91" s="2">
        <v>43917</v>
      </c>
      <c r="B91" s="6" t="s">
        <v>38</v>
      </c>
      <c r="C91" s="9" t="s">
        <v>1</v>
      </c>
      <c r="D91" s="9">
        <v>44</v>
      </c>
      <c r="E91" s="12">
        <v>100000</v>
      </c>
      <c r="F91" s="12">
        <v>350000</v>
      </c>
      <c r="G91" s="70">
        <v>30000</v>
      </c>
      <c r="H91" s="83" t="str">
        <f t="shared" si="4"/>
        <v/>
      </c>
      <c r="I91" s="83" t="str">
        <f t="shared" si="5"/>
        <v/>
      </c>
      <c r="J91" s="94"/>
    </row>
    <row r="92" spans="1:12" x14ac:dyDescent="0.3">
      <c r="A92" s="2">
        <v>43918</v>
      </c>
      <c r="B92" s="6" t="s">
        <v>13</v>
      </c>
      <c r="C92" s="9" t="s">
        <v>1</v>
      </c>
      <c r="D92" s="9">
        <v>35</v>
      </c>
      <c r="E92" s="12">
        <v>250000</v>
      </c>
      <c r="F92" s="12">
        <v>565000</v>
      </c>
      <c r="G92" s="70">
        <v>15000</v>
      </c>
      <c r="H92" s="83" t="str">
        <f t="shared" si="4"/>
        <v>Актобе</v>
      </c>
      <c r="I92" s="83" t="str">
        <f t="shared" si="5"/>
        <v xml:space="preserve"> </v>
      </c>
      <c r="J92" s="94"/>
    </row>
    <row r="93" spans="1:12" x14ac:dyDescent="0.3">
      <c r="A93" s="2">
        <v>43913</v>
      </c>
      <c r="B93" s="6" t="s">
        <v>10</v>
      </c>
      <c r="C93" s="9" t="s">
        <v>1</v>
      </c>
      <c r="D93" s="9">
        <v>38</v>
      </c>
      <c r="E93" s="12">
        <v>200000</v>
      </c>
      <c r="F93" s="12">
        <v>50000</v>
      </c>
      <c r="G93" s="70">
        <v>8000</v>
      </c>
      <c r="H93" s="83" t="str">
        <f t="shared" si="4"/>
        <v>Алматы</v>
      </c>
      <c r="I93" s="83" t="str">
        <f t="shared" si="5"/>
        <v>ключевой регион</v>
      </c>
      <c r="J93" s="94"/>
    </row>
    <row r="94" spans="1:12" x14ac:dyDescent="0.3">
      <c r="A94" s="2">
        <v>43914</v>
      </c>
      <c r="B94" s="6" t="s">
        <v>11</v>
      </c>
      <c r="C94" s="9" t="s">
        <v>1</v>
      </c>
      <c r="D94" s="9">
        <v>38</v>
      </c>
      <c r="E94" s="12">
        <v>60000</v>
      </c>
      <c r="F94" s="12">
        <v>3380000</v>
      </c>
      <c r="G94" s="70">
        <v>3693</v>
      </c>
      <c r="H94" s="83" t="str">
        <f t="shared" si="4"/>
        <v>Атырау</v>
      </c>
      <c r="I94" s="83" t="str">
        <f t="shared" si="5"/>
        <v xml:space="preserve"> </v>
      </c>
      <c r="J94" s="94"/>
      <c r="K94" t="s">
        <v>78</v>
      </c>
    </row>
    <row r="95" spans="1:12" x14ac:dyDescent="0.3">
      <c r="A95" s="2">
        <v>43915</v>
      </c>
      <c r="B95" s="6" t="s">
        <v>11</v>
      </c>
      <c r="C95" s="9" t="s">
        <v>1</v>
      </c>
      <c r="D95" s="9">
        <v>42</v>
      </c>
      <c r="E95" s="12">
        <v>500000</v>
      </c>
      <c r="F95" s="12">
        <v>800000</v>
      </c>
      <c r="G95" s="70">
        <v>10000</v>
      </c>
      <c r="H95" s="83" t="str">
        <f t="shared" si="4"/>
        <v>Атырау</v>
      </c>
      <c r="I95" s="83" t="str">
        <f t="shared" si="5"/>
        <v xml:space="preserve"> </v>
      </c>
      <c r="J95" s="94"/>
    </row>
    <row r="96" spans="1:12" x14ac:dyDescent="0.3">
      <c r="A96" s="2">
        <v>43916</v>
      </c>
      <c r="B96" s="6" t="s">
        <v>12</v>
      </c>
      <c r="C96" s="9" t="s">
        <v>1</v>
      </c>
      <c r="D96" s="9">
        <v>40</v>
      </c>
      <c r="E96" s="12">
        <v>150000</v>
      </c>
      <c r="F96" s="12">
        <v>300000</v>
      </c>
      <c r="G96" s="70">
        <v>100000</v>
      </c>
      <c r="H96" s="83" t="str">
        <f t="shared" si="4"/>
        <v>Актау</v>
      </c>
      <c r="I96" s="83" t="str">
        <f t="shared" si="5"/>
        <v xml:space="preserve"> </v>
      </c>
      <c r="J96" s="94"/>
    </row>
    <row r="97" spans="1:10" x14ac:dyDescent="0.3">
      <c r="A97" s="2">
        <v>43917</v>
      </c>
      <c r="B97" s="6" t="s">
        <v>13</v>
      </c>
      <c r="C97" s="9" t="s">
        <v>1</v>
      </c>
      <c r="D97" s="9">
        <v>39</v>
      </c>
      <c r="E97" s="12">
        <v>180000</v>
      </c>
      <c r="F97" s="12">
        <v>500000</v>
      </c>
      <c r="G97" s="70">
        <v>20000</v>
      </c>
      <c r="H97" s="83" t="str">
        <f t="shared" si="4"/>
        <v>Актобе</v>
      </c>
      <c r="I97" s="83" t="str">
        <f t="shared" si="5"/>
        <v xml:space="preserve"> </v>
      </c>
      <c r="J97" s="94"/>
    </row>
    <row r="98" spans="1:10" x14ac:dyDescent="0.3">
      <c r="A98" s="2">
        <v>43918</v>
      </c>
      <c r="B98" s="6" t="s">
        <v>12</v>
      </c>
      <c r="C98" s="9" t="s">
        <v>1</v>
      </c>
      <c r="D98" s="9">
        <v>42</v>
      </c>
      <c r="E98" s="12">
        <v>160000</v>
      </c>
      <c r="F98" s="12">
        <v>650000</v>
      </c>
      <c r="G98" s="70">
        <v>12000</v>
      </c>
      <c r="H98" s="83" t="str">
        <f t="shared" si="4"/>
        <v>Актау</v>
      </c>
      <c r="I98" s="83" t="str">
        <f t="shared" si="5"/>
        <v xml:space="preserve"> </v>
      </c>
      <c r="J98" s="94"/>
    </row>
    <row r="99" spans="1:10" x14ac:dyDescent="0.3">
      <c r="A99" s="2">
        <v>43913</v>
      </c>
      <c r="B99" s="6" t="s">
        <v>11</v>
      </c>
      <c r="C99" s="9" t="s">
        <v>1</v>
      </c>
      <c r="D99" s="9">
        <v>37</v>
      </c>
      <c r="E99" s="12">
        <v>500000</v>
      </c>
      <c r="F99" s="12">
        <v>290000</v>
      </c>
      <c r="G99" s="70">
        <v>13000</v>
      </c>
      <c r="H99" s="83" t="str">
        <f t="shared" ref="H99:H130" si="6">IFERROR(VLOOKUP(B99:B227,$K$12:$L$20, 2,FALSE), "")</f>
        <v>Атырау</v>
      </c>
      <c r="I99" s="83" t="str">
        <f t="shared" ref="I99:I130" si="7">IFERROR(VLOOKUP(H99:H227, $L$12:$M$20, 2, FALSE), "")</f>
        <v xml:space="preserve"> </v>
      </c>
      <c r="J99" s="94"/>
    </row>
    <row r="100" spans="1:10" x14ac:dyDescent="0.3">
      <c r="A100" s="2">
        <v>43914</v>
      </c>
      <c r="B100" s="6" t="s">
        <v>10</v>
      </c>
      <c r="C100" s="9" t="s">
        <v>1</v>
      </c>
      <c r="D100" s="9">
        <v>39</v>
      </c>
      <c r="E100" s="12">
        <v>92000</v>
      </c>
      <c r="F100" s="12">
        <v>100000</v>
      </c>
      <c r="G100" s="70">
        <v>2000</v>
      </c>
      <c r="H100" s="83" t="str">
        <f t="shared" si="6"/>
        <v>Алматы</v>
      </c>
      <c r="I100" s="83" t="str">
        <f t="shared" si="7"/>
        <v>ключевой регион</v>
      </c>
      <c r="J100" s="94"/>
    </row>
    <row r="101" spans="1:10" x14ac:dyDescent="0.3">
      <c r="A101" s="2">
        <v>43915</v>
      </c>
      <c r="B101" s="6" t="s">
        <v>9</v>
      </c>
      <c r="C101" s="9" t="s">
        <v>1</v>
      </c>
      <c r="D101" s="9">
        <v>35</v>
      </c>
      <c r="E101" s="12">
        <v>60000</v>
      </c>
      <c r="F101" s="12">
        <v>90000</v>
      </c>
      <c r="G101" s="70">
        <v>4000</v>
      </c>
      <c r="H101" s="83" t="str">
        <f t="shared" si="6"/>
        <v>Нур-Султан</v>
      </c>
      <c r="I101" s="83" t="str">
        <f t="shared" si="7"/>
        <v>ключевой регион</v>
      </c>
      <c r="J101" s="94"/>
    </row>
    <row r="102" spans="1:10" x14ac:dyDescent="0.3">
      <c r="A102" s="2">
        <v>43916</v>
      </c>
      <c r="B102" s="6" t="s">
        <v>38</v>
      </c>
      <c r="C102" s="9" t="s">
        <v>1</v>
      </c>
      <c r="D102" s="9">
        <v>40</v>
      </c>
      <c r="E102" s="12">
        <v>300000</v>
      </c>
      <c r="F102" s="12">
        <v>420000</v>
      </c>
      <c r="G102" s="70">
        <v>30000</v>
      </c>
      <c r="H102" s="83" t="str">
        <f t="shared" si="6"/>
        <v/>
      </c>
      <c r="I102" s="83" t="str">
        <f t="shared" si="7"/>
        <v/>
      </c>
      <c r="J102" s="94"/>
    </row>
    <row r="103" spans="1:10" x14ac:dyDescent="0.3">
      <c r="A103" s="2">
        <v>43917</v>
      </c>
      <c r="B103" s="6" t="s">
        <v>12</v>
      </c>
      <c r="C103" s="9" t="s">
        <v>1</v>
      </c>
      <c r="D103" s="9">
        <v>53</v>
      </c>
      <c r="E103" s="12">
        <v>120000</v>
      </c>
      <c r="F103" s="12">
        <v>370000</v>
      </c>
      <c r="G103" s="70">
        <v>6000</v>
      </c>
      <c r="H103" s="83" t="str">
        <f t="shared" si="6"/>
        <v>Актау</v>
      </c>
      <c r="I103" s="83" t="str">
        <f t="shared" si="7"/>
        <v xml:space="preserve"> </v>
      </c>
      <c r="J103" s="94"/>
    </row>
    <row r="104" spans="1:10" x14ac:dyDescent="0.3">
      <c r="A104" s="2">
        <v>43918</v>
      </c>
      <c r="B104" s="6" t="s">
        <v>14</v>
      </c>
      <c r="C104" s="9" t="s">
        <v>0</v>
      </c>
      <c r="D104" s="9">
        <v>44</v>
      </c>
      <c r="E104" s="12">
        <v>500000</v>
      </c>
      <c r="F104" s="12">
        <v>150000</v>
      </c>
      <c r="G104" s="70">
        <v>10000</v>
      </c>
      <c r="H104" s="83" t="str">
        <f t="shared" si="6"/>
        <v>Петропавловск</v>
      </c>
      <c r="I104" s="83" t="str">
        <f t="shared" si="7"/>
        <v xml:space="preserve"> </v>
      </c>
      <c r="J104" s="94"/>
    </row>
    <row r="105" spans="1:10" x14ac:dyDescent="0.3">
      <c r="A105" s="2">
        <v>43913</v>
      </c>
      <c r="B105" s="6" t="s">
        <v>9</v>
      </c>
      <c r="C105" s="9" t="s">
        <v>0</v>
      </c>
      <c r="D105" s="9">
        <v>46</v>
      </c>
      <c r="E105" s="12">
        <v>110000</v>
      </c>
      <c r="F105" s="12">
        <v>950000</v>
      </c>
      <c r="G105" s="70">
        <v>10000</v>
      </c>
      <c r="H105" s="83" t="str">
        <f t="shared" si="6"/>
        <v>Нур-Султан</v>
      </c>
      <c r="I105" s="83" t="str">
        <f t="shared" si="7"/>
        <v>ключевой регион</v>
      </c>
      <c r="J105" s="94"/>
    </row>
    <row r="106" spans="1:10" x14ac:dyDescent="0.3">
      <c r="A106" s="2">
        <v>43914</v>
      </c>
      <c r="B106" s="6" t="s">
        <v>11</v>
      </c>
      <c r="C106" s="9" t="s">
        <v>0</v>
      </c>
      <c r="D106" s="9">
        <v>39</v>
      </c>
      <c r="E106" s="12">
        <v>920000</v>
      </c>
      <c r="F106" s="12">
        <v>300000</v>
      </c>
      <c r="G106" s="70">
        <v>40000</v>
      </c>
      <c r="H106" s="83" t="str">
        <f t="shared" si="6"/>
        <v>Атырау</v>
      </c>
      <c r="I106" s="83" t="str">
        <f t="shared" si="7"/>
        <v xml:space="preserve"> </v>
      </c>
      <c r="J106" s="94"/>
    </row>
    <row r="107" spans="1:10" x14ac:dyDescent="0.3">
      <c r="A107" s="2">
        <v>43915</v>
      </c>
      <c r="B107" s="6" t="s">
        <v>13</v>
      </c>
      <c r="C107" s="9" t="s">
        <v>0</v>
      </c>
      <c r="D107" s="9">
        <v>47</v>
      </c>
      <c r="E107" s="12">
        <v>120000</v>
      </c>
      <c r="F107" s="12">
        <v>200000</v>
      </c>
      <c r="G107" s="70">
        <v>10000</v>
      </c>
      <c r="H107" s="83" t="str">
        <f t="shared" si="6"/>
        <v>Актобе</v>
      </c>
      <c r="I107" s="83" t="str">
        <f t="shared" si="7"/>
        <v xml:space="preserve"> </v>
      </c>
      <c r="J107" s="94"/>
    </row>
    <row r="108" spans="1:10" x14ac:dyDescent="0.3">
      <c r="A108" s="2">
        <v>43916</v>
      </c>
      <c r="B108" s="6" t="s">
        <v>10</v>
      </c>
      <c r="C108" s="9" t="s">
        <v>0</v>
      </c>
      <c r="D108" s="9">
        <v>34</v>
      </c>
      <c r="E108" s="12">
        <v>98000</v>
      </c>
      <c r="F108" s="12">
        <v>210000</v>
      </c>
      <c r="G108" s="70">
        <v>14000</v>
      </c>
      <c r="H108" s="83" t="str">
        <f t="shared" si="6"/>
        <v>Алматы</v>
      </c>
      <c r="I108" s="83" t="str">
        <f t="shared" si="7"/>
        <v>ключевой регион</v>
      </c>
      <c r="J108" s="94"/>
    </row>
    <row r="109" spans="1:10" x14ac:dyDescent="0.3">
      <c r="A109" s="2">
        <v>43917</v>
      </c>
      <c r="B109" s="6" t="s">
        <v>11</v>
      </c>
      <c r="C109" s="9" t="s">
        <v>0</v>
      </c>
      <c r="D109" s="9">
        <v>43</v>
      </c>
      <c r="E109" s="12">
        <v>150000</v>
      </c>
      <c r="F109" s="12">
        <v>120000</v>
      </c>
      <c r="G109" s="70">
        <v>50000</v>
      </c>
      <c r="H109" s="83" t="str">
        <f t="shared" si="6"/>
        <v>Атырау</v>
      </c>
      <c r="I109" s="83" t="str">
        <f t="shared" si="7"/>
        <v xml:space="preserve"> </v>
      </c>
      <c r="J109" s="94"/>
    </row>
    <row r="110" spans="1:10" x14ac:dyDescent="0.3">
      <c r="A110" s="2">
        <v>43918</v>
      </c>
      <c r="B110" s="6" t="s">
        <v>11</v>
      </c>
      <c r="C110" s="9" t="s">
        <v>0</v>
      </c>
      <c r="D110" s="9">
        <v>38</v>
      </c>
      <c r="E110" s="12">
        <v>100000</v>
      </c>
      <c r="F110" s="12">
        <v>310000</v>
      </c>
      <c r="G110" s="70">
        <v>5000</v>
      </c>
      <c r="H110" s="83" t="str">
        <f t="shared" si="6"/>
        <v>Атырау</v>
      </c>
      <c r="I110" s="83" t="str">
        <f t="shared" si="7"/>
        <v xml:space="preserve"> </v>
      </c>
      <c r="J110" s="94"/>
    </row>
    <row r="111" spans="1:10" x14ac:dyDescent="0.3">
      <c r="A111" s="2">
        <v>43913</v>
      </c>
      <c r="B111" s="6" t="s">
        <v>12</v>
      </c>
      <c r="C111" s="9" t="s">
        <v>0</v>
      </c>
      <c r="D111" s="9">
        <v>37</v>
      </c>
      <c r="E111" s="12">
        <v>350000</v>
      </c>
      <c r="F111" s="12">
        <v>840000</v>
      </c>
      <c r="G111" s="70">
        <v>0</v>
      </c>
      <c r="H111" s="83" t="str">
        <f t="shared" si="6"/>
        <v>Актау</v>
      </c>
      <c r="I111" s="83" t="str">
        <f t="shared" si="7"/>
        <v xml:space="preserve"> </v>
      </c>
      <c r="J111" s="94"/>
    </row>
    <row r="112" spans="1:10" x14ac:dyDescent="0.3">
      <c r="A112" s="2">
        <v>43914</v>
      </c>
      <c r="B112" s="6" t="s">
        <v>13</v>
      </c>
      <c r="C112" s="9" t="s">
        <v>0</v>
      </c>
      <c r="D112" s="9">
        <v>34</v>
      </c>
      <c r="E112" s="12">
        <v>320000</v>
      </c>
      <c r="F112" s="12">
        <v>169000</v>
      </c>
      <c r="G112" s="70">
        <v>10000</v>
      </c>
      <c r="H112" s="83" t="str">
        <f t="shared" si="6"/>
        <v>Актобе</v>
      </c>
      <c r="I112" s="83" t="str">
        <f t="shared" si="7"/>
        <v xml:space="preserve"> </v>
      </c>
      <c r="J112" s="94"/>
    </row>
    <row r="113" spans="1:10" x14ac:dyDescent="0.3">
      <c r="A113" s="2">
        <v>43915</v>
      </c>
      <c r="B113" s="6" t="s">
        <v>12</v>
      </c>
      <c r="C113" s="9" t="s">
        <v>0</v>
      </c>
      <c r="D113" s="9">
        <v>49</v>
      </c>
      <c r="E113" s="12">
        <v>210000</v>
      </c>
      <c r="F113" s="12">
        <v>700000</v>
      </c>
      <c r="G113" s="70">
        <v>23000</v>
      </c>
      <c r="H113" s="83" t="str">
        <f t="shared" si="6"/>
        <v>Актау</v>
      </c>
      <c r="I113" s="83" t="str">
        <f t="shared" si="7"/>
        <v xml:space="preserve"> </v>
      </c>
      <c r="J113" s="94"/>
    </row>
    <row r="114" spans="1:10" x14ac:dyDescent="0.3">
      <c r="A114" s="2">
        <v>43916</v>
      </c>
      <c r="B114" s="6" t="s">
        <v>11</v>
      </c>
      <c r="C114" s="9" t="s">
        <v>0</v>
      </c>
      <c r="D114" s="9">
        <v>41</v>
      </c>
      <c r="E114" s="12">
        <v>640000</v>
      </c>
      <c r="F114" s="12">
        <v>200000</v>
      </c>
      <c r="G114" s="70">
        <v>10000</v>
      </c>
      <c r="H114" s="83" t="str">
        <f t="shared" si="6"/>
        <v>Атырау</v>
      </c>
      <c r="I114" s="83" t="str">
        <f t="shared" si="7"/>
        <v xml:space="preserve"> </v>
      </c>
      <c r="J114" s="94"/>
    </row>
    <row r="115" spans="1:10" x14ac:dyDescent="0.3">
      <c r="A115" s="2">
        <v>43917</v>
      </c>
      <c r="B115" s="6" t="s">
        <v>10</v>
      </c>
      <c r="C115" s="9" t="s">
        <v>0</v>
      </c>
      <c r="D115" s="9">
        <v>44</v>
      </c>
      <c r="E115" s="12">
        <v>650000</v>
      </c>
      <c r="F115" s="12">
        <v>550000</v>
      </c>
      <c r="G115" s="70">
        <v>16000</v>
      </c>
      <c r="H115" s="83" t="str">
        <f t="shared" si="6"/>
        <v>Алматы</v>
      </c>
      <c r="I115" s="83" t="str">
        <f t="shared" si="7"/>
        <v>ключевой регион</v>
      </c>
      <c r="J115" s="94"/>
    </row>
    <row r="116" spans="1:10" x14ac:dyDescent="0.3">
      <c r="A116" s="2">
        <v>43918</v>
      </c>
      <c r="B116" s="6" t="s">
        <v>9</v>
      </c>
      <c r="C116" s="9" t="s">
        <v>0</v>
      </c>
      <c r="D116" s="9">
        <v>42</v>
      </c>
      <c r="E116" s="12">
        <v>200000</v>
      </c>
      <c r="F116" s="12">
        <v>80000</v>
      </c>
      <c r="G116" s="70">
        <v>5000</v>
      </c>
      <c r="H116" s="83" t="str">
        <f t="shared" si="6"/>
        <v>Нур-Султан</v>
      </c>
      <c r="I116" s="83" t="str">
        <f t="shared" si="7"/>
        <v>ключевой регион</v>
      </c>
      <c r="J116" s="94"/>
    </row>
    <row r="117" spans="1:10" x14ac:dyDescent="0.3">
      <c r="A117" s="2">
        <v>43913</v>
      </c>
      <c r="B117" s="6" t="s">
        <v>11</v>
      </c>
      <c r="C117" s="9" t="s">
        <v>0</v>
      </c>
      <c r="D117" s="9">
        <v>40</v>
      </c>
      <c r="E117" s="12">
        <v>200000</v>
      </c>
      <c r="F117" s="12">
        <v>70000</v>
      </c>
      <c r="G117" s="70">
        <v>10000</v>
      </c>
      <c r="H117" s="83" t="str">
        <f t="shared" si="6"/>
        <v>Атырау</v>
      </c>
      <c r="I117" s="83" t="str">
        <f t="shared" si="7"/>
        <v xml:space="preserve"> </v>
      </c>
      <c r="J117" s="94"/>
    </row>
    <row r="118" spans="1:10" x14ac:dyDescent="0.3">
      <c r="A118" s="2">
        <v>43914</v>
      </c>
      <c r="B118" s="6" t="s">
        <v>12</v>
      </c>
      <c r="C118" s="9" t="s">
        <v>0</v>
      </c>
      <c r="D118" s="9">
        <v>39</v>
      </c>
      <c r="E118" s="12">
        <v>400000</v>
      </c>
      <c r="F118" s="12">
        <v>100000</v>
      </c>
      <c r="G118" s="70">
        <v>25000</v>
      </c>
      <c r="H118" s="83" t="str">
        <f t="shared" si="6"/>
        <v>Актау</v>
      </c>
      <c r="I118" s="83" t="str">
        <f t="shared" si="7"/>
        <v xml:space="preserve"> </v>
      </c>
      <c r="J118" s="94"/>
    </row>
    <row r="119" spans="1:10" x14ac:dyDescent="0.3">
      <c r="A119" s="2">
        <v>43915</v>
      </c>
      <c r="B119" s="6" t="s">
        <v>14</v>
      </c>
      <c r="C119" s="9" t="s">
        <v>0</v>
      </c>
      <c r="D119" s="9">
        <v>48</v>
      </c>
      <c r="E119" s="12">
        <v>500000</v>
      </c>
      <c r="F119" s="12">
        <v>40000</v>
      </c>
      <c r="G119" s="70">
        <v>5000</v>
      </c>
      <c r="H119" s="83" t="str">
        <f t="shared" si="6"/>
        <v>Петропавловск</v>
      </c>
      <c r="I119" s="83" t="str">
        <f t="shared" si="7"/>
        <v xml:space="preserve"> </v>
      </c>
      <c r="J119" s="94"/>
    </row>
    <row r="120" spans="1:10" x14ac:dyDescent="0.3">
      <c r="A120" s="2">
        <v>43916</v>
      </c>
      <c r="B120" s="6" t="s">
        <v>9</v>
      </c>
      <c r="C120" s="9" t="s">
        <v>0</v>
      </c>
      <c r="D120" s="9">
        <v>41</v>
      </c>
      <c r="E120" s="12">
        <v>150000</v>
      </c>
      <c r="F120" s="12">
        <v>0</v>
      </c>
      <c r="G120" s="70">
        <v>2500</v>
      </c>
      <c r="H120" s="83" t="str">
        <f t="shared" si="6"/>
        <v>Нур-Султан</v>
      </c>
      <c r="I120" s="83" t="str">
        <f t="shared" si="7"/>
        <v>ключевой регион</v>
      </c>
      <c r="J120" s="94"/>
    </row>
    <row r="121" spans="1:10" x14ac:dyDescent="0.3">
      <c r="A121" s="2">
        <v>43917</v>
      </c>
      <c r="B121" s="6" t="s">
        <v>9</v>
      </c>
      <c r="C121" s="9" t="s">
        <v>0</v>
      </c>
      <c r="D121" s="9">
        <v>42</v>
      </c>
      <c r="E121" s="12">
        <v>350000</v>
      </c>
      <c r="F121" s="12">
        <v>400000</v>
      </c>
      <c r="G121" s="70">
        <v>5000</v>
      </c>
      <c r="H121" s="83" t="str">
        <f t="shared" si="6"/>
        <v>Нур-Султан</v>
      </c>
      <c r="I121" s="83" t="str">
        <f t="shared" si="7"/>
        <v>ключевой регион</v>
      </c>
      <c r="J121" s="94"/>
    </row>
    <row r="122" spans="1:10" x14ac:dyDescent="0.3">
      <c r="A122" s="2">
        <v>43918</v>
      </c>
      <c r="B122" s="6" t="s">
        <v>13</v>
      </c>
      <c r="C122" s="9" t="s">
        <v>0</v>
      </c>
      <c r="D122" s="9">
        <v>43</v>
      </c>
      <c r="E122" s="12">
        <v>350000</v>
      </c>
      <c r="F122" s="12">
        <v>500000</v>
      </c>
      <c r="G122" s="70">
        <v>20000</v>
      </c>
      <c r="H122" s="83" t="str">
        <f t="shared" si="6"/>
        <v>Актобе</v>
      </c>
      <c r="I122" s="83" t="str">
        <f t="shared" si="7"/>
        <v xml:space="preserve"> </v>
      </c>
      <c r="J122" s="94"/>
    </row>
    <row r="123" spans="1:10" x14ac:dyDescent="0.3">
      <c r="A123" s="2">
        <v>43913</v>
      </c>
      <c r="B123" s="6" t="s">
        <v>10</v>
      </c>
      <c r="C123" s="9" t="s">
        <v>0</v>
      </c>
      <c r="D123" s="9">
        <v>35</v>
      </c>
      <c r="E123" s="12">
        <v>200000</v>
      </c>
      <c r="F123" s="12">
        <v>250000</v>
      </c>
      <c r="G123" s="70">
        <v>5000</v>
      </c>
      <c r="H123" s="83" t="str">
        <f t="shared" si="6"/>
        <v>Алматы</v>
      </c>
      <c r="I123" s="83" t="str">
        <f t="shared" si="7"/>
        <v>ключевой регион</v>
      </c>
      <c r="J123" s="94"/>
    </row>
    <row r="124" spans="1:10" x14ac:dyDescent="0.3">
      <c r="A124" s="2">
        <v>43914</v>
      </c>
      <c r="B124" s="6" t="s">
        <v>11</v>
      </c>
      <c r="C124" s="9" t="s">
        <v>0</v>
      </c>
      <c r="D124" s="9">
        <v>46</v>
      </c>
      <c r="E124" s="12">
        <v>400000</v>
      </c>
      <c r="F124" s="12">
        <v>160000</v>
      </c>
      <c r="G124" s="70">
        <v>5000</v>
      </c>
      <c r="H124" s="83" t="str">
        <f t="shared" si="6"/>
        <v>Атырау</v>
      </c>
      <c r="I124" s="83" t="str">
        <f t="shared" si="7"/>
        <v xml:space="preserve"> </v>
      </c>
      <c r="J124" s="94"/>
    </row>
    <row r="125" spans="1:10" x14ac:dyDescent="0.3">
      <c r="A125" s="2">
        <v>43915</v>
      </c>
      <c r="B125" s="6" t="s">
        <v>11</v>
      </c>
      <c r="C125" s="9" t="s">
        <v>0</v>
      </c>
      <c r="D125" s="9">
        <v>39</v>
      </c>
      <c r="E125" s="12">
        <v>120000</v>
      </c>
      <c r="F125" s="12">
        <v>80000</v>
      </c>
      <c r="G125" s="70">
        <v>10000</v>
      </c>
      <c r="H125" s="83" t="str">
        <f t="shared" si="6"/>
        <v>Атырау</v>
      </c>
      <c r="I125" s="83" t="str">
        <f t="shared" si="7"/>
        <v xml:space="preserve"> </v>
      </c>
      <c r="J125" s="94"/>
    </row>
    <row r="126" spans="1:10" x14ac:dyDescent="0.3">
      <c r="A126" s="2">
        <v>43916</v>
      </c>
      <c r="B126" s="6" t="s">
        <v>12</v>
      </c>
      <c r="C126" s="9" t="s">
        <v>0</v>
      </c>
      <c r="D126" s="9">
        <v>35</v>
      </c>
      <c r="E126" s="12">
        <v>95000</v>
      </c>
      <c r="F126" s="12">
        <v>0</v>
      </c>
      <c r="G126" s="70">
        <v>2500</v>
      </c>
      <c r="H126" s="83" t="str">
        <f t="shared" si="6"/>
        <v>Актау</v>
      </c>
      <c r="I126" s="83" t="str">
        <f t="shared" si="7"/>
        <v xml:space="preserve"> </v>
      </c>
      <c r="J126" s="94"/>
    </row>
    <row r="127" spans="1:10" x14ac:dyDescent="0.3">
      <c r="A127" s="2">
        <v>43917</v>
      </c>
      <c r="B127" s="6" t="s">
        <v>13</v>
      </c>
      <c r="C127" s="9" t="s">
        <v>0</v>
      </c>
      <c r="D127" s="9">
        <v>37</v>
      </c>
      <c r="E127" s="12">
        <v>220000</v>
      </c>
      <c r="F127" s="12">
        <v>200000</v>
      </c>
      <c r="G127" s="70">
        <v>5000</v>
      </c>
      <c r="H127" s="83" t="str">
        <f t="shared" si="6"/>
        <v>Актобе</v>
      </c>
      <c r="I127" s="83" t="str">
        <f t="shared" si="7"/>
        <v xml:space="preserve"> </v>
      </c>
      <c r="J127" s="94"/>
    </row>
    <row r="128" spans="1:10" x14ac:dyDescent="0.3">
      <c r="A128" s="2">
        <v>43918</v>
      </c>
      <c r="B128" s="6" t="s">
        <v>12</v>
      </c>
      <c r="C128" s="9" t="s">
        <v>0</v>
      </c>
      <c r="D128" s="9">
        <v>48</v>
      </c>
      <c r="E128" s="12">
        <v>200000</v>
      </c>
      <c r="F128" s="12">
        <v>0</v>
      </c>
      <c r="G128" s="70">
        <v>18000</v>
      </c>
      <c r="H128" s="83" t="str">
        <f t="shared" si="6"/>
        <v>Актау</v>
      </c>
      <c r="I128" s="83" t="str">
        <f t="shared" si="7"/>
        <v xml:space="preserve"> </v>
      </c>
      <c r="J128" s="94"/>
    </row>
    <row r="129" spans="1:10" x14ac:dyDescent="0.3">
      <c r="A129" s="2">
        <v>43913</v>
      </c>
      <c r="B129" s="6" t="s">
        <v>11</v>
      </c>
      <c r="C129" s="9" t="s">
        <v>0</v>
      </c>
      <c r="D129" s="9">
        <v>48</v>
      </c>
      <c r="E129" s="12">
        <v>530000</v>
      </c>
      <c r="F129" s="12">
        <v>85000</v>
      </c>
      <c r="G129" s="70">
        <v>9500</v>
      </c>
      <c r="H129" s="83" t="str">
        <f t="shared" si="6"/>
        <v>Атырау</v>
      </c>
      <c r="I129" s="83" t="str">
        <f t="shared" si="7"/>
        <v xml:space="preserve"> </v>
      </c>
      <c r="J129" s="94"/>
    </row>
    <row r="130" spans="1:10" x14ac:dyDescent="0.3">
      <c r="A130" s="2">
        <v>43914</v>
      </c>
      <c r="B130" s="6" t="s">
        <v>10</v>
      </c>
      <c r="C130" s="9" t="s">
        <v>0</v>
      </c>
      <c r="D130" s="9">
        <v>36</v>
      </c>
      <c r="E130" s="12">
        <v>2000000</v>
      </c>
      <c r="F130" s="12">
        <v>2000000</v>
      </c>
      <c r="G130" s="70">
        <v>20000</v>
      </c>
      <c r="H130" s="83" t="str">
        <f t="shared" si="6"/>
        <v>Алматы</v>
      </c>
      <c r="I130" s="83" t="str">
        <f t="shared" si="7"/>
        <v>ключевой регион</v>
      </c>
      <c r="J130" s="94"/>
    </row>
    <row r="131" spans="1:10" ht="15" thickBot="1" x14ac:dyDescent="0.35">
      <c r="A131" s="3">
        <v>43915</v>
      </c>
      <c r="B131" s="7" t="s">
        <v>9</v>
      </c>
      <c r="C131" s="10" t="s">
        <v>0</v>
      </c>
      <c r="D131" s="10">
        <v>45</v>
      </c>
      <c r="E131" s="13">
        <v>110000</v>
      </c>
      <c r="F131" s="13">
        <v>0</v>
      </c>
      <c r="G131" s="71">
        <v>14000</v>
      </c>
      <c r="H131" s="83" t="str">
        <f t="shared" ref="H131:H162" si="8">IFERROR(VLOOKUP(B131:B259,$K$12:$L$20, 2,FALSE), "")</f>
        <v>Нур-Султан</v>
      </c>
      <c r="I131" s="83" t="str">
        <f t="shared" ref="I131:I162" si="9">IFERROR(VLOOKUP(H131:H259, $L$12:$M$20, 2, FALSE), "")</f>
        <v>ключевой регион</v>
      </c>
      <c r="J131" s="94"/>
    </row>
  </sheetData>
  <sortState ref="J3:J11">
    <sortCondition ref="J3:J11"/>
  </sortState>
  <dataConsolidate/>
  <mergeCells count="4">
    <mergeCell ref="K11:M11"/>
    <mergeCell ref="K29:M29"/>
    <mergeCell ref="K8:M10"/>
    <mergeCell ref="K22:M27"/>
  </mergeCells>
  <dataValidations count="1">
    <dataValidation type="list" allowBlank="1" showInputMessage="1" showErrorMessage="1" prompt="Выберите регион из списка" sqref="K31">
      <formula1>$K$13:$K$20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25" sqref="H25"/>
    </sheetView>
  </sheetViews>
  <sheetFormatPr defaultRowHeight="14.4" x14ac:dyDescent="0.3"/>
  <sheetData>
    <row r="1" spans="1:6" x14ac:dyDescent="0.3">
      <c r="A1" s="162" t="s">
        <v>76</v>
      </c>
      <c r="B1" s="163"/>
      <c r="C1" s="163"/>
      <c r="D1" s="163"/>
      <c r="E1" s="163"/>
      <c r="F1" s="164"/>
    </row>
    <row r="2" spans="1:6" x14ac:dyDescent="0.3">
      <c r="A2" s="165"/>
      <c r="B2" s="166"/>
      <c r="C2" s="166"/>
      <c r="D2" s="166"/>
      <c r="E2" s="166"/>
      <c r="F2" s="167"/>
    </row>
    <row r="3" spans="1:6" x14ac:dyDescent="0.3">
      <c r="A3" s="165"/>
      <c r="B3" s="166"/>
      <c r="C3" s="166"/>
      <c r="D3" s="166"/>
      <c r="E3" s="166"/>
      <c r="F3" s="167"/>
    </row>
    <row r="4" spans="1:6" ht="51" customHeight="1" thickBot="1" x14ac:dyDescent="0.35">
      <c r="A4" s="168"/>
      <c r="B4" s="169"/>
      <c r="C4" s="169"/>
      <c r="D4" s="169"/>
      <c r="E4" s="169"/>
      <c r="F4" s="170"/>
    </row>
    <row r="5" spans="1:6" ht="15" thickBot="1" x14ac:dyDescent="0.35"/>
    <row r="6" spans="1:6" x14ac:dyDescent="0.3">
      <c r="A6" s="162" t="s">
        <v>77</v>
      </c>
      <c r="B6" s="163"/>
      <c r="C6" s="163"/>
      <c r="D6" s="163"/>
      <c r="E6" s="163"/>
      <c r="F6" s="164"/>
    </row>
    <row r="7" spans="1:6" x14ac:dyDescent="0.3">
      <c r="A7" s="165"/>
      <c r="B7" s="166"/>
      <c r="C7" s="166"/>
      <c r="D7" s="166"/>
      <c r="E7" s="166"/>
      <c r="F7" s="167"/>
    </row>
    <row r="8" spans="1:6" x14ac:dyDescent="0.3">
      <c r="A8" s="165"/>
      <c r="B8" s="166"/>
      <c r="C8" s="166"/>
      <c r="D8" s="166"/>
      <c r="E8" s="166"/>
      <c r="F8" s="167"/>
    </row>
    <row r="9" spans="1:6" ht="70.5" customHeight="1" thickBot="1" x14ac:dyDescent="0.35">
      <c r="A9" s="168"/>
      <c r="B9" s="169"/>
      <c r="C9" s="169"/>
      <c r="D9" s="169"/>
      <c r="E9" s="169"/>
      <c r="F9" s="170"/>
    </row>
  </sheetData>
  <mergeCells count="2">
    <mergeCell ref="A1:F4"/>
    <mergeCell ref="A6:F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90" zoomScaleNormal="90" workbookViewId="0">
      <selection activeCell="H16" sqref="H16"/>
    </sheetView>
  </sheetViews>
  <sheetFormatPr defaultRowHeight="14.4" x14ac:dyDescent="0.3"/>
  <cols>
    <col min="1" max="1" width="17.5546875" bestFit="1" customWidth="1"/>
    <col min="2" max="2" width="28.88671875" customWidth="1"/>
    <col min="3" max="3" width="34.88671875" bestFit="1" customWidth="1"/>
    <col min="4" max="4" width="35.5546875" bestFit="1" customWidth="1"/>
    <col min="7" max="7" width="8.5546875" customWidth="1"/>
  </cols>
  <sheetData>
    <row r="1" spans="1:4" ht="47.4" customHeight="1" x14ac:dyDescent="0.3">
      <c r="B1" s="104" t="s">
        <v>86</v>
      </c>
    </row>
    <row r="4" spans="1:4" x14ac:dyDescent="0.3">
      <c r="A4" s="100" t="s">
        <v>83</v>
      </c>
      <c r="B4" t="s">
        <v>80</v>
      </c>
      <c r="C4" t="s">
        <v>81</v>
      </c>
      <c r="D4" t="s">
        <v>82</v>
      </c>
    </row>
    <row r="5" spans="1:4" x14ac:dyDescent="0.3">
      <c r="A5" s="102" t="s">
        <v>9</v>
      </c>
      <c r="B5" s="101">
        <v>236850</v>
      </c>
      <c r="C5" s="101">
        <v>6967000</v>
      </c>
      <c r="D5" s="101">
        <v>1040000</v>
      </c>
    </row>
    <row r="6" spans="1:4" x14ac:dyDescent="0.3">
      <c r="A6" s="103" t="s">
        <v>1</v>
      </c>
      <c r="B6" s="101">
        <v>150700</v>
      </c>
      <c r="C6" s="101">
        <v>2887000</v>
      </c>
      <c r="D6" s="101">
        <v>35000</v>
      </c>
    </row>
    <row r="7" spans="1:4" x14ac:dyDescent="0.3">
      <c r="A7" s="103" t="s">
        <v>0</v>
      </c>
      <c r="B7" s="101">
        <v>303333.33333333331</v>
      </c>
      <c r="C7" s="101">
        <v>3180000</v>
      </c>
      <c r="D7" s="101">
        <v>1040000</v>
      </c>
    </row>
    <row r="8" spans="1:4" x14ac:dyDescent="0.3">
      <c r="A8" s="103" t="s">
        <v>7</v>
      </c>
      <c r="B8" s="101">
        <v>500000</v>
      </c>
      <c r="C8" s="101">
        <v>900000</v>
      </c>
      <c r="D8" s="101">
        <v>45000</v>
      </c>
    </row>
    <row r="9" spans="1:4" x14ac:dyDescent="0.3">
      <c r="A9" s="102" t="s">
        <v>10</v>
      </c>
      <c r="B9" s="101">
        <v>350647.0588235294</v>
      </c>
      <c r="C9" s="101">
        <v>5648000</v>
      </c>
      <c r="D9" s="101">
        <v>640000</v>
      </c>
    </row>
    <row r="10" spans="1:4" x14ac:dyDescent="0.3">
      <c r="A10" s="103" t="s">
        <v>1</v>
      </c>
      <c r="B10" s="101">
        <v>126111.11111111111</v>
      </c>
      <c r="C10" s="101">
        <v>1138000</v>
      </c>
      <c r="D10" s="101">
        <v>20000</v>
      </c>
    </row>
    <row r="11" spans="1:4" x14ac:dyDescent="0.3">
      <c r="A11" s="103" t="s">
        <v>0</v>
      </c>
      <c r="B11" s="101">
        <v>663714.28571428568</v>
      </c>
      <c r="C11" s="101">
        <v>4260000</v>
      </c>
      <c r="D11" s="101">
        <v>640000</v>
      </c>
    </row>
    <row r="12" spans="1:4" x14ac:dyDescent="0.3">
      <c r="A12" s="103" t="s">
        <v>7</v>
      </c>
      <c r="B12" s="101">
        <v>180000</v>
      </c>
      <c r="C12" s="101">
        <v>250000</v>
      </c>
      <c r="D12" s="101">
        <v>72000</v>
      </c>
    </row>
    <row r="13" spans="1:4" x14ac:dyDescent="0.3">
      <c r="A13" s="102" t="s">
        <v>11</v>
      </c>
      <c r="B13" s="101">
        <v>396068.96551724139</v>
      </c>
      <c r="C13" s="101">
        <v>10817000</v>
      </c>
      <c r="D13" s="101">
        <v>400000</v>
      </c>
    </row>
    <row r="14" spans="1:4" x14ac:dyDescent="0.3">
      <c r="A14" s="103" t="s">
        <v>1</v>
      </c>
      <c r="B14" s="101">
        <v>292583.33333333331</v>
      </c>
      <c r="C14" s="101">
        <v>7100000</v>
      </c>
      <c r="D14" s="101">
        <v>36000</v>
      </c>
    </row>
    <row r="15" spans="1:4" x14ac:dyDescent="0.3">
      <c r="A15" s="103" t="s">
        <v>0</v>
      </c>
      <c r="B15" s="101">
        <v>489333.33333333331</v>
      </c>
      <c r="C15" s="101">
        <v>3125000</v>
      </c>
      <c r="D15" s="101">
        <v>400000</v>
      </c>
    </row>
    <row r="16" spans="1:4" x14ac:dyDescent="0.3">
      <c r="A16" s="103" t="s">
        <v>7</v>
      </c>
      <c r="B16" s="101">
        <v>317500</v>
      </c>
      <c r="C16" s="101">
        <v>592000</v>
      </c>
      <c r="D16" s="101">
        <v>5000</v>
      </c>
    </row>
    <row r="17" spans="1:4" x14ac:dyDescent="0.3">
      <c r="A17" s="102" t="s">
        <v>12</v>
      </c>
      <c r="B17" s="101">
        <v>242038.46153846153</v>
      </c>
      <c r="C17" s="101">
        <v>9677200</v>
      </c>
      <c r="D17" s="101">
        <v>930000</v>
      </c>
    </row>
    <row r="18" spans="1:4" x14ac:dyDescent="0.3">
      <c r="A18" s="103" t="s">
        <v>1</v>
      </c>
      <c r="B18" s="101">
        <v>180187.5</v>
      </c>
      <c r="C18" s="101">
        <v>6057200</v>
      </c>
      <c r="D18" s="101">
        <v>100000</v>
      </c>
    </row>
    <row r="19" spans="1:4" x14ac:dyDescent="0.3">
      <c r="A19" s="103" t="s">
        <v>0</v>
      </c>
      <c r="B19" s="101">
        <v>367777.77777777775</v>
      </c>
      <c r="C19" s="101">
        <v>3600000</v>
      </c>
      <c r="D19" s="101">
        <v>930000</v>
      </c>
    </row>
    <row r="20" spans="1:4" x14ac:dyDescent="0.3">
      <c r="A20" s="103" t="s">
        <v>7</v>
      </c>
      <c r="B20" s="101">
        <v>100000</v>
      </c>
      <c r="C20" s="101">
        <v>20000</v>
      </c>
      <c r="D20" s="101">
        <v>2000</v>
      </c>
    </row>
    <row r="21" spans="1:4" x14ac:dyDescent="0.3">
      <c r="A21" s="102" t="s">
        <v>13</v>
      </c>
      <c r="B21" s="101">
        <v>258500</v>
      </c>
      <c r="C21" s="101">
        <v>6591000</v>
      </c>
      <c r="D21" s="101">
        <v>590000</v>
      </c>
    </row>
    <row r="22" spans="1:4" x14ac:dyDescent="0.3">
      <c r="A22" s="103" t="s">
        <v>1</v>
      </c>
      <c r="B22" s="101">
        <v>179166.66666666666</v>
      </c>
      <c r="C22" s="101">
        <v>4133000</v>
      </c>
      <c r="D22" s="101">
        <v>70000</v>
      </c>
    </row>
    <row r="23" spans="1:4" x14ac:dyDescent="0.3">
      <c r="A23" s="103" t="s">
        <v>0</v>
      </c>
      <c r="B23" s="101">
        <v>377500</v>
      </c>
      <c r="C23" s="101">
        <v>2458000</v>
      </c>
      <c r="D23" s="101">
        <v>590000</v>
      </c>
    </row>
    <row r="24" spans="1:4" x14ac:dyDescent="0.3">
      <c r="A24" s="102" t="s">
        <v>37</v>
      </c>
      <c r="B24" s="101">
        <v>105000</v>
      </c>
      <c r="C24" s="101">
        <v>170000</v>
      </c>
      <c r="D24" s="101">
        <v>20000</v>
      </c>
    </row>
    <row r="25" spans="1:4" x14ac:dyDescent="0.3">
      <c r="A25" s="103" t="s">
        <v>1</v>
      </c>
      <c r="B25" s="101">
        <v>105000</v>
      </c>
      <c r="C25" s="101">
        <v>170000</v>
      </c>
      <c r="D25" s="101">
        <v>20000</v>
      </c>
    </row>
    <row r="26" spans="1:4" x14ac:dyDescent="0.3">
      <c r="A26" s="102" t="s">
        <v>14</v>
      </c>
      <c r="B26" s="101">
        <v>310909.09090909088</v>
      </c>
      <c r="C26" s="101">
        <v>1830000</v>
      </c>
      <c r="D26" s="101">
        <v>240000</v>
      </c>
    </row>
    <row r="27" spans="1:4" x14ac:dyDescent="0.3">
      <c r="A27" s="103" t="s">
        <v>1</v>
      </c>
      <c r="B27" s="101">
        <v>131428.57142857142</v>
      </c>
      <c r="C27" s="101">
        <v>1290000</v>
      </c>
      <c r="D27" s="101">
        <v>20000</v>
      </c>
    </row>
    <row r="28" spans="1:4" x14ac:dyDescent="0.3">
      <c r="A28" s="103" t="s">
        <v>0</v>
      </c>
      <c r="B28" s="101">
        <v>625000</v>
      </c>
      <c r="C28" s="101">
        <v>540000</v>
      </c>
      <c r="D28" s="101">
        <v>240000</v>
      </c>
    </row>
    <row r="29" spans="1:4" x14ac:dyDescent="0.3">
      <c r="A29" s="102" t="s">
        <v>36</v>
      </c>
      <c r="B29" s="101">
        <v>192500</v>
      </c>
      <c r="C29" s="101">
        <v>305000</v>
      </c>
      <c r="D29" s="101">
        <v>10000</v>
      </c>
    </row>
    <row r="30" spans="1:4" x14ac:dyDescent="0.3">
      <c r="A30" s="103" t="s">
        <v>1</v>
      </c>
      <c r="B30" s="101">
        <v>192500</v>
      </c>
      <c r="C30" s="101">
        <v>305000</v>
      </c>
      <c r="D30" s="101">
        <v>10000</v>
      </c>
    </row>
    <row r="31" spans="1:4" x14ac:dyDescent="0.3">
      <c r="A31" s="102" t="s">
        <v>38</v>
      </c>
      <c r="B31" s="101">
        <v>200000</v>
      </c>
      <c r="C31" s="101">
        <v>770000</v>
      </c>
      <c r="D31" s="101">
        <v>30000</v>
      </c>
    </row>
    <row r="32" spans="1:4" x14ac:dyDescent="0.3">
      <c r="A32" s="103" t="s">
        <v>1</v>
      </c>
      <c r="B32" s="101">
        <v>200000</v>
      </c>
      <c r="C32" s="101">
        <v>770000</v>
      </c>
      <c r="D32" s="101">
        <v>30000</v>
      </c>
    </row>
    <row r="33" spans="1:4" x14ac:dyDescent="0.3">
      <c r="A33" s="102" t="s">
        <v>84</v>
      </c>
      <c r="B33" s="101">
        <v>295054.26356589148</v>
      </c>
      <c r="C33" s="101">
        <v>42775200</v>
      </c>
      <c r="D33" s="101">
        <v>1040000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</vt:i4>
      </vt:variant>
    </vt:vector>
  </HeadingPairs>
  <TitlesOfParts>
    <vt:vector size="12" baseType="lpstr">
      <vt:lpstr>Январь</vt:lpstr>
      <vt:lpstr>Февраль</vt:lpstr>
      <vt:lpstr>Март</vt:lpstr>
      <vt:lpstr>Задание 4 и 5</vt:lpstr>
      <vt:lpstr>Задание 6</vt:lpstr>
      <vt:lpstr>Задание 7</vt:lpstr>
      <vt:lpstr>Задание 8</vt:lpstr>
      <vt:lpstr>Задание 9</vt:lpstr>
      <vt:lpstr>10.1</vt:lpstr>
      <vt:lpstr>10.2</vt:lpstr>
      <vt:lpstr>'Задание 8'!Извлечь</vt:lpstr>
      <vt:lpstr>'Задание 8'!Критерии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Sony</cp:lastModifiedBy>
  <dcterms:created xsi:type="dcterms:W3CDTF">2020-03-23T13:22:10Z</dcterms:created>
  <dcterms:modified xsi:type="dcterms:W3CDTF">2021-03-04T19:26:14Z</dcterms:modified>
</cp:coreProperties>
</file>