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040" yWindow="520" windowWidth="27780" windowHeight="17500" tabRatio="673"/>
  </bookViews>
  <sheets>
    <sheet name="A-Summary" sheetId="2" r:id="rId1"/>
    <sheet name="B-AL_data" sheetId="5" r:id="rId2"/>
    <sheet name="C-HH_AL_Aggregation" sheetId="3" r:id="rId3"/>
    <sheet name="C-H2R_Estimation" sheetId="7" r:id="rId4"/>
    <sheet name="E-REF_HNO_pop" sheetId="6" r:id="rId5"/>
    <sheet name="Indicators &amp; Thresholds - Final" sheetId="8" r:id="rId6"/>
  </sheets>
  <externalReferences>
    <externalReference r:id="rId7"/>
  </externalReferences>
  <definedNames>
    <definedName name="_xlnm._FilterDatabase" localSheetId="1" hidden="1">'B-AL_data'!$A$1:$H$33</definedName>
    <definedName name="PieChartValues">#REF!</definedName>
    <definedName name="PieChartValues2">#REF!</definedName>
    <definedName name="PieChartValues3">[1]!Table13473[[Arrivals]:[Blank]]</definedName>
    <definedName name="PieChartValues4">[1]!Table13473[[Arrivals]:[Blank]]</definedName>
    <definedName name="PieChartValues5">#REF!</definedName>
    <definedName name="PieChartValues9">#REF!</definedName>
    <definedName name="PieChartValuesA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H3" i="3" l="1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H18" i="3"/>
  <c r="I18" i="3"/>
  <c r="J18" i="3"/>
  <c r="H19" i="3"/>
  <c r="I19" i="3"/>
  <c r="J19" i="3"/>
  <c r="H20" i="3"/>
  <c r="I20" i="3"/>
  <c r="J20" i="3"/>
  <c r="H21" i="3"/>
  <c r="I21" i="3"/>
  <c r="J21" i="3"/>
  <c r="H22" i="3"/>
  <c r="I22" i="3"/>
  <c r="J22" i="3"/>
  <c r="H23" i="3"/>
  <c r="I23" i="3"/>
  <c r="J23" i="3"/>
  <c r="H24" i="3"/>
  <c r="I24" i="3"/>
  <c r="J24" i="3"/>
  <c r="H25" i="3"/>
  <c r="I25" i="3"/>
  <c r="J25" i="3"/>
  <c r="H26" i="3"/>
  <c r="I26" i="3"/>
  <c r="J26" i="3"/>
  <c r="H27" i="3"/>
  <c r="I27" i="3"/>
  <c r="J27" i="3"/>
  <c r="H28" i="3"/>
  <c r="I28" i="3"/>
  <c r="J28" i="3"/>
  <c r="H29" i="3"/>
  <c r="I29" i="3"/>
  <c r="J29" i="3"/>
  <c r="H30" i="3"/>
  <c r="I30" i="3"/>
  <c r="J30" i="3"/>
  <c r="H31" i="3"/>
  <c r="I31" i="3"/>
  <c r="J31" i="3"/>
  <c r="H32" i="3"/>
  <c r="I32" i="3"/>
  <c r="J32" i="3"/>
  <c r="H33" i="3"/>
  <c r="I33" i="3"/>
  <c r="J33" i="3"/>
  <c r="J2" i="3"/>
  <c r="I2" i="3"/>
  <c r="H2" i="3"/>
  <c r="BB61" i="7" l="1"/>
  <c r="BA61" i="7"/>
  <c r="AZ61" i="7"/>
  <c r="AY61" i="7"/>
  <c r="AX61" i="7"/>
  <c r="AT61" i="7"/>
  <c r="AS61" i="7"/>
  <c r="AR61" i="7"/>
  <c r="BI61" i="7" s="1"/>
  <c r="BC60" i="7"/>
  <c r="BB60" i="7"/>
  <c r="BA60" i="7"/>
  <c r="AZ60" i="7"/>
  <c r="AY60" i="7"/>
  <c r="AX60" i="7"/>
  <c r="AT60" i="7"/>
  <c r="AS60" i="7"/>
  <c r="AR60" i="7"/>
  <c r="BJ60" i="7" s="1"/>
  <c r="BB59" i="7"/>
  <c r="BA59" i="7"/>
  <c r="AZ59" i="7"/>
  <c r="AY59" i="7"/>
  <c r="AX59" i="7"/>
  <c r="AT59" i="7"/>
  <c r="AS59" i="7"/>
  <c r="AR59" i="7"/>
  <c r="BH59" i="7" s="1"/>
  <c r="BB58" i="7"/>
  <c r="BA58" i="7"/>
  <c r="AZ58" i="7"/>
  <c r="AY58" i="7"/>
  <c r="BC58" i="7" s="1"/>
  <c r="AX58" i="7"/>
  <c r="AT58" i="7"/>
  <c r="AS58" i="7"/>
  <c r="AR58" i="7"/>
  <c r="BJ58" i="7" s="1"/>
  <c r="AX36" i="7"/>
  <c r="AY36" i="7"/>
  <c r="AZ36" i="7"/>
  <c r="BA36" i="7"/>
  <c r="BB36" i="7"/>
  <c r="AX37" i="7"/>
  <c r="AY37" i="7"/>
  <c r="AZ37" i="7"/>
  <c r="BA37" i="7"/>
  <c r="BB37" i="7"/>
  <c r="AX38" i="7"/>
  <c r="AY38" i="7"/>
  <c r="AZ38" i="7"/>
  <c r="BA38" i="7"/>
  <c r="BB38" i="7"/>
  <c r="AX39" i="7"/>
  <c r="AY39" i="7"/>
  <c r="AZ39" i="7"/>
  <c r="BA39" i="7"/>
  <c r="BB39" i="7"/>
  <c r="AX40" i="7"/>
  <c r="AY40" i="7"/>
  <c r="AZ40" i="7"/>
  <c r="BA40" i="7"/>
  <c r="BB40" i="7"/>
  <c r="AX41" i="7"/>
  <c r="AY41" i="7"/>
  <c r="AZ41" i="7"/>
  <c r="BA41" i="7"/>
  <c r="BB41" i="7"/>
  <c r="AX42" i="7"/>
  <c r="AY42" i="7"/>
  <c r="AZ42" i="7"/>
  <c r="BA42" i="7"/>
  <c r="BB42" i="7"/>
  <c r="AX43" i="7"/>
  <c r="AY43" i="7"/>
  <c r="AZ43" i="7"/>
  <c r="BA43" i="7"/>
  <c r="BB43" i="7"/>
  <c r="AX44" i="7"/>
  <c r="AY44" i="7"/>
  <c r="AZ44" i="7"/>
  <c r="BA44" i="7"/>
  <c r="BB44" i="7"/>
  <c r="AX45" i="7"/>
  <c r="AY45" i="7"/>
  <c r="AZ45" i="7"/>
  <c r="BA45" i="7"/>
  <c r="BB45" i="7"/>
  <c r="AX46" i="7"/>
  <c r="AY46" i="7"/>
  <c r="AZ46" i="7"/>
  <c r="BA46" i="7"/>
  <c r="BB46" i="7"/>
  <c r="AX47" i="7"/>
  <c r="AY47" i="7"/>
  <c r="AZ47" i="7"/>
  <c r="BA47" i="7"/>
  <c r="BB47" i="7"/>
  <c r="AX48" i="7"/>
  <c r="AY48" i="7"/>
  <c r="AZ48" i="7"/>
  <c r="BA48" i="7"/>
  <c r="BB48" i="7"/>
  <c r="AX49" i="7"/>
  <c r="AY49" i="7"/>
  <c r="AZ49" i="7"/>
  <c r="BA49" i="7"/>
  <c r="BB49" i="7"/>
  <c r="AX50" i="7"/>
  <c r="AY50" i="7"/>
  <c r="AZ50" i="7"/>
  <c r="BA50" i="7"/>
  <c r="BB50" i="7"/>
  <c r="AX51" i="7"/>
  <c r="AY51" i="7"/>
  <c r="AZ51" i="7"/>
  <c r="BA51" i="7"/>
  <c r="BB51" i="7"/>
  <c r="AX52" i="7"/>
  <c r="AY52" i="7"/>
  <c r="AZ52" i="7"/>
  <c r="BA52" i="7"/>
  <c r="BB52" i="7"/>
  <c r="AX53" i="7"/>
  <c r="AY53" i="7"/>
  <c r="AZ53" i="7"/>
  <c r="BA53" i="7"/>
  <c r="BB53" i="7"/>
  <c r="AX54" i="7"/>
  <c r="AY54" i="7"/>
  <c r="AZ54" i="7"/>
  <c r="BA54" i="7"/>
  <c r="BB54" i="7"/>
  <c r="AX55" i="7"/>
  <c r="AY55" i="7"/>
  <c r="AZ55" i="7"/>
  <c r="BA55" i="7"/>
  <c r="BB55" i="7"/>
  <c r="AX56" i="7"/>
  <c r="AY56" i="7"/>
  <c r="AZ56" i="7"/>
  <c r="BA56" i="7"/>
  <c r="BB56" i="7"/>
  <c r="AX57" i="7"/>
  <c r="AY57" i="7"/>
  <c r="AZ57" i="7"/>
  <c r="BA57" i="7"/>
  <c r="BB57" i="7"/>
  <c r="AX62" i="7"/>
  <c r="AY62" i="7"/>
  <c r="AZ62" i="7"/>
  <c r="BA62" i="7"/>
  <c r="BB62" i="7"/>
  <c r="AX63" i="7"/>
  <c r="AY63" i="7"/>
  <c r="AZ63" i="7"/>
  <c r="BA63" i="7"/>
  <c r="BB63" i="7"/>
  <c r="AX64" i="7"/>
  <c r="AY64" i="7"/>
  <c r="AZ64" i="7"/>
  <c r="BA64" i="7"/>
  <c r="BB64" i="7"/>
  <c r="AX65" i="7"/>
  <c r="AY65" i="7"/>
  <c r="AZ65" i="7"/>
  <c r="BA65" i="7"/>
  <c r="BB65" i="7"/>
  <c r="AX66" i="7"/>
  <c r="AY66" i="7"/>
  <c r="AZ66" i="7"/>
  <c r="BA66" i="7"/>
  <c r="BB66" i="7"/>
  <c r="AX67" i="7"/>
  <c r="AY67" i="7"/>
  <c r="AZ67" i="7"/>
  <c r="BA67" i="7"/>
  <c r="BB67" i="7"/>
  <c r="AX68" i="7"/>
  <c r="AY68" i="7"/>
  <c r="AZ68" i="7"/>
  <c r="BA68" i="7"/>
  <c r="BB68" i="7"/>
  <c r="AX69" i="7"/>
  <c r="AY69" i="7"/>
  <c r="AZ69" i="7"/>
  <c r="BA69" i="7"/>
  <c r="BB69" i="7"/>
  <c r="AX70" i="7"/>
  <c r="AY70" i="7"/>
  <c r="AZ70" i="7"/>
  <c r="BA70" i="7"/>
  <c r="BB70" i="7"/>
  <c r="AX71" i="7"/>
  <c r="AY71" i="7"/>
  <c r="AZ71" i="7"/>
  <c r="BA71" i="7"/>
  <c r="BB71" i="7"/>
  <c r="AX72" i="7"/>
  <c r="AY72" i="7"/>
  <c r="AZ72" i="7"/>
  <c r="BA72" i="7"/>
  <c r="BB72" i="7"/>
  <c r="AX73" i="7"/>
  <c r="AY73" i="7"/>
  <c r="AZ73" i="7"/>
  <c r="BA73" i="7"/>
  <c r="BB73" i="7"/>
  <c r="AX74" i="7"/>
  <c r="AY74" i="7"/>
  <c r="AZ74" i="7"/>
  <c r="BA74" i="7"/>
  <c r="BB74" i="7"/>
  <c r="AX75" i="7"/>
  <c r="AY75" i="7"/>
  <c r="AZ75" i="7"/>
  <c r="BA75" i="7"/>
  <c r="BB75" i="7"/>
  <c r="AR34" i="7"/>
  <c r="AS34" i="7"/>
  <c r="AT34" i="7"/>
  <c r="AR35" i="7"/>
  <c r="AS35" i="7"/>
  <c r="AT35" i="7"/>
  <c r="AR36" i="7"/>
  <c r="AS36" i="7"/>
  <c r="AT36" i="7"/>
  <c r="AR37" i="7"/>
  <c r="AS37" i="7"/>
  <c r="AT37" i="7"/>
  <c r="AR38" i="7"/>
  <c r="AS38" i="7"/>
  <c r="AT38" i="7"/>
  <c r="AR39" i="7"/>
  <c r="AS39" i="7"/>
  <c r="AT39" i="7"/>
  <c r="AR40" i="7"/>
  <c r="AS40" i="7"/>
  <c r="AT40" i="7"/>
  <c r="AR41" i="7"/>
  <c r="AS41" i="7"/>
  <c r="AT41" i="7"/>
  <c r="AR42" i="7"/>
  <c r="AS42" i="7"/>
  <c r="AT42" i="7"/>
  <c r="AR43" i="7"/>
  <c r="AS43" i="7"/>
  <c r="AT43" i="7"/>
  <c r="AR44" i="7"/>
  <c r="AS44" i="7"/>
  <c r="AT44" i="7"/>
  <c r="AR45" i="7"/>
  <c r="AS45" i="7"/>
  <c r="AT45" i="7"/>
  <c r="AR46" i="7"/>
  <c r="AS46" i="7"/>
  <c r="AT46" i="7"/>
  <c r="AR47" i="7"/>
  <c r="AS47" i="7"/>
  <c r="AT47" i="7"/>
  <c r="AR48" i="7"/>
  <c r="AS48" i="7"/>
  <c r="AT48" i="7"/>
  <c r="AR49" i="7"/>
  <c r="AS49" i="7"/>
  <c r="AT49" i="7"/>
  <c r="AR50" i="7"/>
  <c r="AS50" i="7"/>
  <c r="AT50" i="7"/>
  <c r="AR51" i="7"/>
  <c r="AS51" i="7"/>
  <c r="AT51" i="7"/>
  <c r="AR52" i="7"/>
  <c r="AS52" i="7"/>
  <c r="AT52" i="7"/>
  <c r="AR53" i="7"/>
  <c r="AS53" i="7"/>
  <c r="AT53" i="7"/>
  <c r="AR54" i="7"/>
  <c r="AS54" i="7"/>
  <c r="AT54" i="7"/>
  <c r="AR55" i="7"/>
  <c r="AS55" i="7"/>
  <c r="AT55" i="7"/>
  <c r="AR56" i="7"/>
  <c r="AS56" i="7"/>
  <c r="AT56" i="7"/>
  <c r="AR57" i="7"/>
  <c r="AS57" i="7"/>
  <c r="AT57" i="7"/>
  <c r="AR62" i="7"/>
  <c r="AS62" i="7"/>
  <c r="AT62" i="7"/>
  <c r="AR63" i="7"/>
  <c r="AS63" i="7"/>
  <c r="AT63" i="7"/>
  <c r="AR64" i="7"/>
  <c r="AS64" i="7"/>
  <c r="AT64" i="7"/>
  <c r="AR65" i="7"/>
  <c r="AS65" i="7"/>
  <c r="AT65" i="7"/>
  <c r="AR66" i="7"/>
  <c r="AS66" i="7"/>
  <c r="AT66" i="7"/>
  <c r="AR67" i="7"/>
  <c r="AS67" i="7"/>
  <c r="AT67" i="7"/>
  <c r="AR68" i="7"/>
  <c r="AS68" i="7"/>
  <c r="AT68" i="7"/>
  <c r="AR69" i="7"/>
  <c r="AS69" i="7"/>
  <c r="AT69" i="7"/>
  <c r="AR70" i="7"/>
  <c r="AS70" i="7"/>
  <c r="AT70" i="7"/>
  <c r="AR71" i="7"/>
  <c r="AS71" i="7"/>
  <c r="AT71" i="7"/>
  <c r="AR72" i="7"/>
  <c r="AS72" i="7"/>
  <c r="AT72" i="7"/>
  <c r="AR73" i="7"/>
  <c r="AS73" i="7"/>
  <c r="AT73" i="7"/>
  <c r="AR74" i="7"/>
  <c r="AS74" i="7"/>
  <c r="AT74" i="7"/>
  <c r="AR75" i="7"/>
  <c r="AS75" i="7"/>
  <c r="AT75" i="7"/>
  <c r="AR3" i="7"/>
  <c r="AS3" i="7"/>
  <c r="AT3" i="7"/>
  <c r="AR4" i="7"/>
  <c r="AS4" i="7"/>
  <c r="AT4" i="7"/>
  <c r="AR5" i="7"/>
  <c r="AS5" i="7"/>
  <c r="AT5" i="7"/>
  <c r="AR6" i="7"/>
  <c r="AS6" i="7"/>
  <c r="AT6" i="7"/>
  <c r="AR7" i="7"/>
  <c r="AS7" i="7"/>
  <c r="AT7" i="7"/>
  <c r="AR8" i="7"/>
  <c r="AS8" i="7"/>
  <c r="AT8" i="7"/>
  <c r="AR9" i="7"/>
  <c r="AS9" i="7"/>
  <c r="AT9" i="7"/>
  <c r="AR10" i="7"/>
  <c r="AS10" i="7"/>
  <c r="AT10" i="7"/>
  <c r="AR11" i="7"/>
  <c r="AS11" i="7"/>
  <c r="AT11" i="7"/>
  <c r="AR12" i="7"/>
  <c r="AS12" i="7"/>
  <c r="AT12" i="7"/>
  <c r="AR13" i="7"/>
  <c r="AS13" i="7"/>
  <c r="AT13" i="7"/>
  <c r="AR14" i="7"/>
  <c r="AS14" i="7"/>
  <c r="AT14" i="7"/>
  <c r="AR15" i="7"/>
  <c r="AS15" i="7"/>
  <c r="AT15" i="7"/>
  <c r="AR16" i="7"/>
  <c r="AS16" i="7"/>
  <c r="AT16" i="7"/>
  <c r="AR17" i="7"/>
  <c r="AS17" i="7"/>
  <c r="AT17" i="7"/>
  <c r="AR18" i="7"/>
  <c r="AS18" i="7"/>
  <c r="AT18" i="7"/>
  <c r="AR19" i="7"/>
  <c r="AS19" i="7"/>
  <c r="AT19" i="7"/>
  <c r="AR20" i="7"/>
  <c r="AS20" i="7"/>
  <c r="AT20" i="7"/>
  <c r="AR21" i="7"/>
  <c r="AS21" i="7"/>
  <c r="AT21" i="7"/>
  <c r="AR22" i="7"/>
  <c r="AS22" i="7"/>
  <c r="AT22" i="7"/>
  <c r="AR23" i="7"/>
  <c r="AS23" i="7"/>
  <c r="AT23" i="7"/>
  <c r="AR24" i="7"/>
  <c r="AS24" i="7"/>
  <c r="AT24" i="7"/>
  <c r="AR25" i="7"/>
  <c r="AS25" i="7"/>
  <c r="AT25" i="7"/>
  <c r="AR26" i="7"/>
  <c r="AS26" i="7"/>
  <c r="AT26" i="7"/>
  <c r="AR27" i="7"/>
  <c r="AS27" i="7"/>
  <c r="AT27" i="7"/>
  <c r="AR28" i="7"/>
  <c r="AS28" i="7"/>
  <c r="AT28" i="7"/>
  <c r="AR29" i="7"/>
  <c r="AS29" i="7"/>
  <c r="AT29" i="7"/>
  <c r="AR30" i="7"/>
  <c r="AS30" i="7"/>
  <c r="AT30" i="7"/>
  <c r="AR31" i="7"/>
  <c r="AS31" i="7"/>
  <c r="AT31" i="7"/>
  <c r="AR32" i="7"/>
  <c r="AS32" i="7"/>
  <c r="AT32" i="7"/>
  <c r="AR33" i="7"/>
  <c r="AS33" i="7"/>
  <c r="AT33" i="7"/>
  <c r="BJ59" i="7" l="1"/>
  <c r="BI59" i="7"/>
  <c r="BJ61" i="7"/>
  <c r="BI58" i="7"/>
  <c r="BG61" i="7"/>
  <c r="BK61" i="7"/>
  <c r="BH60" i="7"/>
  <c r="BG59" i="7"/>
  <c r="BK59" i="7"/>
  <c r="BI60" i="7"/>
  <c r="BH61" i="7"/>
  <c r="BG58" i="7"/>
  <c r="BK58" i="7"/>
  <c r="BG60" i="7"/>
  <c r="BK60" i="7"/>
  <c r="BH58" i="7"/>
  <c r="BC59" i="7"/>
  <c r="BC61" i="7"/>
  <c r="AJ32" i="7"/>
  <c r="AI32" i="7"/>
  <c r="AH32" i="7"/>
  <c r="AJ27" i="7"/>
  <c r="AI27" i="7"/>
  <c r="AJ26" i="7"/>
  <c r="AJ25" i="7"/>
  <c r="AI25" i="7"/>
  <c r="AJ24" i="7"/>
  <c r="AI24" i="7"/>
  <c r="AH24" i="7"/>
  <c r="AJ23" i="7"/>
  <c r="AJ22" i="7"/>
  <c r="AI22" i="7"/>
  <c r="AH22" i="7"/>
  <c r="AJ21" i="7"/>
  <c r="AD32" i="7"/>
  <c r="AC32" i="7"/>
  <c r="AB32" i="7"/>
  <c r="AD27" i="7"/>
  <c r="AC27" i="7"/>
  <c r="AD26" i="7"/>
  <c r="AD25" i="7"/>
  <c r="AC25" i="7"/>
  <c r="AD24" i="7"/>
  <c r="AC24" i="7"/>
  <c r="AB24" i="7"/>
  <c r="AD23" i="7"/>
  <c r="AD22" i="7"/>
  <c r="AC22" i="7"/>
  <c r="AB22" i="7"/>
  <c r="AD21" i="7"/>
  <c r="X32" i="7"/>
  <c r="W32" i="7"/>
  <c r="V32" i="7"/>
  <c r="X27" i="7"/>
  <c r="W27" i="7"/>
  <c r="X25" i="7"/>
  <c r="W25" i="7"/>
  <c r="X24" i="7"/>
  <c r="W24" i="7"/>
  <c r="V24" i="7"/>
  <c r="X22" i="7"/>
  <c r="W22" i="7"/>
  <c r="V22" i="7"/>
  <c r="R32" i="7"/>
  <c r="Q32" i="7"/>
  <c r="P32" i="7"/>
  <c r="R27" i="7"/>
  <c r="Q27" i="7"/>
  <c r="R26" i="7"/>
  <c r="R25" i="7"/>
  <c r="Q25" i="7"/>
  <c r="R24" i="7"/>
  <c r="Q24" i="7"/>
  <c r="P24" i="7"/>
  <c r="R23" i="7"/>
  <c r="R22" i="7"/>
  <c r="Q22" i="7"/>
  <c r="P22" i="7"/>
  <c r="R21" i="7"/>
  <c r="L32" i="7"/>
  <c r="K32" i="7"/>
  <c r="J32" i="7"/>
  <c r="L27" i="7"/>
  <c r="K27" i="7"/>
  <c r="L26" i="7"/>
  <c r="L25" i="7"/>
  <c r="K25" i="7"/>
  <c r="L24" i="7"/>
  <c r="K24" i="7"/>
  <c r="J24" i="7"/>
  <c r="L23" i="7"/>
  <c r="L22" i="7"/>
  <c r="K22" i="7"/>
  <c r="J22" i="7"/>
  <c r="L21" i="7"/>
  <c r="AH4" i="7"/>
  <c r="AI4" i="7"/>
  <c r="AJ4" i="7"/>
  <c r="AJ5" i="7"/>
  <c r="AH6" i="7"/>
  <c r="AI6" i="7"/>
  <c r="AJ6" i="7"/>
  <c r="AI7" i="7"/>
  <c r="AJ7" i="7"/>
  <c r="AJ8" i="7"/>
  <c r="AI9" i="7"/>
  <c r="AJ9" i="7"/>
  <c r="AH14" i="7"/>
  <c r="AI14" i="7"/>
  <c r="AJ14" i="7"/>
  <c r="AB4" i="7"/>
  <c r="AC4" i="7"/>
  <c r="AD4" i="7"/>
  <c r="AD5" i="7"/>
  <c r="AB6" i="7"/>
  <c r="AC6" i="7"/>
  <c r="AD6" i="7"/>
  <c r="AC7" i="7"/>
  <c r="AD7" i="7"/>
  <c r="AD8" i="7"/>
  <c r="AC9" i="7"/>
  <c r="AD9" i="7"/>
  <c r="AB14" i="7"/>
  <c r="AC14" i="7"/>
  <c r="AD14" i="7"/>
  <c r="V4" i="7"/>
  <c r="W4" i="7"/>
  <c r="X4" i="7"/>
  <c r="V6" i="7"/>
  <c r="W6" i="7"/>
  <c r="X6" i="7"/>
  <c r="W7" i="7"/>
  <c r="X7" i="7"/>
  <c r="W9" i="7"/>
  <c r="X9" i="7"/>
  <c r="V14" i="7"/>
  <c r="W14" i="7"/>
  <c r="X14" i="7"/>
  <c r="AJ3" i="7"/>
  <c r="AD3" i="7"/>
  <c r="P4" i="7"/>
  <c r="Q4" i="7"/>
  <c r="R4" i="7"/>
  <c r="R5" i="7"/>
  <c r="P6" i="7"/>
  <c r="Q6" i="7"/>
  <c r="R6" i="7"/>
  <c r="Q7" i="7"/>
  <c r="R7" i="7"/>
  <c r="R8" i="7"/>
  <c r="Q9" i="7"/>
  <c r="R9" i="7"/>
  <c r="P14" i="7"/>
  <c r="Q14" i="7"/>
  <c r="R14" i="7"/>
  <c r="R3" i="7"/>
  <c r="J4" i="7"/>
  <c r="K4" i="7"/>
  <c r="L4" i="7"/>
  <c r="L5" i="7"/>
  <c r="J6" i="7"/>
  <c r="K6" i="7"/>
  <c r="L6" i="7"/>
  <c r="K7" i="7"/>
  <c r="L7" i="7"/>
  <c r="L8" i="7"/>
  <c r="K9" i="7"/>
  <c r="L9" i="7"/>
  <c r="J14" i="7"/>
  <c r="K14" i="7"/>
  <c r="L14" i="7"/>
  <c r="L3" i="7"/>
  <c r="M3" i="3" l="1"/>
  <c r="M4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2" i="3"/>
  <c r="M23" i="3"/>
  <c r="M24" i="3"/>
  <c r="M25" i="3"/>
  <c r="M26" i="3"/>
  <c r="M27" i="3"/>
  <c r="M28" i="3"/>
  <c r="M30" i="3"/>
  <c r="M31" i="3"/>
  <c r="M32" i="3"/>
  <c r="M33" i="3"/>
  <c r="M5" i="3"/>
  <c r="M7" i="3"/>
  <c r="M21" i="3"/>
  <c r="M29" i="3"/>
  <c r="M2" i="3" l="1"/>
  <c r="D7" i="7"/>
  <c r="C7" i="7"/>
  <c r="BB35" i="7" l="1"/>
  <c r="AX35" i="7"/>
  <c r="BA35" i="7"/>
  <c r="AY35" i="7"/>
  <c r="AZ35" i="7"/>
  <c r="AY34" i="7"/>
  <c r="AZ34" i="7"/>
  <c r="BA34" i="7"/>
  <c r="BB34" i="7"/>
  <c r="AX34" i="7"/>
  <c r="C4" i="7" l="1"/>
  <c r="C5" i="7"/>
  <c r="C6" i="7"/>
  <c r="C8" i="7"/>
  <c r="C9" i="7"/>
  <c r="C10" i="7"/>
  <c r="C11" i="7"/>
  <c r="C12" i="7"/>
  <c r="C13" i="7"/>
  <c r="C14" i="7"/>
  <c r="C3" i="7"/>
  <c r="AT2" i="7"/>
  <c r="AS2" i="7"/>
  <c r="AR2" i="7"/>
  <c r="D22" i="7"/>
  <c r="D23" i="7"/>
  <c r="D24" i="7"/>
  <c r="D25" i="7"/>
  <c r="D26" i="7"/>
  <c r="D27" i="7"/>
  <c r="D28" i="7"/>
  <c r="D29" i="7"/>
  <c r="D30" i="7"/>
  <c r="D31" i="7"/>
  <c r="D32" i="7"/>
  <c r="D21" i="7"/>
  <c r="D3" i="7"/>
  <c r="D4" i="7"/>
  <c r="D5" i="7"/>
  <c r="D6" i="7"/>
  <c r="D8" i="7"/>
  <c r="D9" i="7"/>
  <c r="D10" i="7"/>
  <c r="D11" i="7"/>
  <c r="D12" i="7"/>
  <c r="D13" i="7"/>
  <c r="D14" i="7"/>
  <c r="BK35" i="7" l="1"/>
  <c r="BI35" i="7"/>
  <c r="BH35" i="7"/>
  <c r="BJ35" i="7"/>
  <c r="BG35" i="7"/>
  <c r="BG36" i="7"/>
  <c r="BI36" i="7"/>
  <c r="BK36" i="7"/>
  <c r="BJ36" i="7"/>
  <c r="BH36" i="7"/>
  <c r="BJ34" i="7"/>
  <c r="BG34" i="7"/>
  <c r="BI34" i="7"/>
  <c r="BK34" i="7"/>
  <c r="BH34" i="7"/>
  <c r="BK38" i="7"/>
  <c r="BJ38" i="7"/>
  <c r="BI38" i="7"/>
  <c r="BG38" i="7"/>
  <c r="BH38" i="7"/>
  <c r="AT76" i="7"/>
  <c r="AS76" i="7"/>
  <c r="AR76" i="7"/>
  <c r="C21" i="7"/>
  <c r="C22" i="7"/>
  <c r="C23" i="7"/>
  <c r="C24" i="7"/>
  <c r="C25" i="7"/>
  <c r="C26" i="7"/>
  <c r="C27" i="7"/>
  <c r="C28" i="7"/>
  <c r="C29" i="7"/>
  <c r="C30" i="7"/>
  <c r="C31" i="7"/>
  <c r="C32" i="7"/>
  <c r="BG45" i="7" l="1"/>
  <c r="BJ45" i="7"/>
  <c r="BH45" i="7"/>
  <c r="BI45" i="7"/>
  <c r="BK50" i="7"/>
  <c r="BK54" i="7"/>
  <c r="BK49" i="7"/>
  <c r="BK53" i="7"/>
  <c r="BK46" i="7"/>
  <c r="E29" i="2"/>
  <c r="BC54" i="7"/>
  <c r="D29" i="2" l="1"/>
  <c r="E38" i="2"/>
  <c r="BK45" i="7"/>
  <c r="BC45" i="7"/>
  <c r="BC53" i="7"/>
  <c r="BC50" i="7"/>
  <c r="BH49" i="7"/>
  <c r="BG54" i="7"/>
  <c r="BG46" i="7"/>
  <c r="BJ49" i="7"/>
  <c r="BI50" i="7"/>
  <c r="BI53" i="7"/>
  <c r="BC49" i="7"/>
  <c r="BI46" i="7"/>
  <c r="BH54" i="7"/>
  <c r="BH46" i="7"/>
  <c r="BH53" i="7"/>
  <c r="BJ54" i="7"/>
  <c r="BG53" i="7"/>
  <c r="BI54" i="7"/>
  <c r="BG50" i="7"/>
  <c r="BG49" i="7"/>
  <c r="BJ53" i="7"/>
  <c r="BI49" i="7"/>
  <c r="BJ50" i="7"/>
  <c r="BH50" i="7"/>
  <c r="C29" i="2"/>
  <c r="BJ46" i="7" l="1"/>
  <c r="BC46" i="7"/>
  <c r="E67" i="2" l="1"/>
  <c r="E49" i="2"/>
  <c r="D44" i="2"/>
  <c r="D53" i="2"/>
  <c r="E32" i="2"/>
  <c r="D67" i="2"/>
  <c r="D54" i="2"/>
  <c r="D48" i="2"/>
  <c r="D33" i="2"/>
  <c r="D39" i="2"/>
  <c r="E53" i="2"/>
  <c r="E48" i="2"/>
  <c r="E33" i="2"/>
  <c r="E57" i="2"/>
  <c r="E39" i="2" l="1"/>
  <c r="D40" i="2"/>
  <c r="D55" i="2"/>
  <c r="C67" i="2"/>
  <c r="D32" i="2"/>
  <c r="D45" i="2"/>
  <c r="E44" i="2"/>
  <c r="C44" i="2"/>
  <c r="F67" i="2"/>
  <c r="I67" i="2"/>
  <c r="D27" i="2"/>
  <c r="E22" i="2"/>
  <c r="D38" i="2"/>
  <c r="G67" i="2"/>
  <c r="G40" i="2"/>
  <c r="BH65" i="7"/>
  <c r="I53" i="2"/>
  <c r="I44" i="2"/>
  <c r="E55" i="2"/>
  <c r="G39" i="2"/>
  <c r="I45" i="2"/>
  <c r="F40" i="2"/>
  <c r="G45" i="2"/>
  <c r="H40" i="2"/>
  <c r="BG65" i="7"/>
  <c r="F39" i="2"/>
  <c r="G53" i="2"/>
  <c r="G44" i="2"/>
  <c r="H39" i="2"/>
  <c r="J45" i="2"/>
  <c r="G22" i="2"/>
  <c r="D31" i="2"/>
  <c r="J53" i="2"/>
  <c r="J44" i="2"/>
  <c r="BC34" i="7"/>
  <c r="BJ65" i="7"/>
  <c r="F45" i="2"/>
  <c r="H45" i="2"/>
  <c r="I40" i="2"/>
  <c r="D57" i="2"/>
  <c r="D49" i="2"/>
  <c r="E54" i="2"/>
  <c r="C54" i="2"/>
  <c r="F53" i="2"/>
  <c r="F44" i="2"/>
  <c r="H53" i="2"/>
  <c r="H44" i="2"/>
  <c r="BC35" i="7"/>
  <c r="E45" i="2"/>
  <c r="C45" i="2"/>
  <c r="C33" i="2"/>
  <c r="E40" i="2"/>
  <c r="C40" i="2"/>
  <c r="F22" i="2"/>
  <c r="C57" i="2" l="1"/>
  <c r="C49" i="2"/>
  <c r="I39" i="2"/>
  <c r="C55" i="2"/>
  <c r="C32" i="2"/>
  <c r="C53" i="2"/>
  <c r="K44" i="2"/>
  <c r="D25" i="2"/>
  <c r="E26" i="2"/>
  <c r="K45" i="2"/>
  <c r="D19" i="2"/>
  <c r="K53" i="2"/>
  <c r="C39" i="2"/>
  <c r="C48" i="2"/>
  <c r="F19" i="2"/>
  <c r="E31" i="2"/>
  <c r="C31" i="2"/>
  <c r="I26" i="2"/>
  <c r="BC36" i="7"/>
  <c r="BC38" i="7"/>
  <c r="H22" i="2"/>
  <c r="J39" i="2"/>
  <c r="BI65" i="7"/>
  <c r="J26" i="2"/>
  <c r="D22" i="2"/>
  <c r="C38" i="2"/>
  <c r="J40" i="2"/>
  <c r="G26" i="2"/>
  <c r="J19" i="2"/>
  <c r="F26" i="2"/>
  <c r="E19" i="2"/>
  <c r="D26" i="2"/>
  <c r="I22" i="2"/>
  <c r="G19" i="2"/>
  <c r="H26" i="2"/>
  <c r="E27" i="2"/>
  <c r="C27" i="2"/>
  <c r="I19" i="2"/>
  <c r="E25" i="2"/>
  <c r="H19" i="2"/>
  <c r="K39" i="2" l="1"/>
  <c r="C22" i="2"/>
  <c r="C25" i="2"/>
  <c r="C26" i="2"/>
  <c r="K26" i="2"/>
  <c r="J22" i="2"/>
  <c r="C19" i="2"/>
  <c r="H67" i="2"/>
  <c r="K87" i="2"/>
  <c r="K22" i="2" l="1"/>
  <c r="L32" i="3" l="1"/>
  <c r="L30" i="3"/>
  <c r="L28" i="3"/>
  <c r="L26" i="3"/>
  <c r="L24" i="3"/>
  <c r="L22" i="3"/>
  <c r="L20" i="3"/>
  <c r="L18" i="3"/>
  <c r="L16" i="3"/>
  <c r="L14" i="3"/>
  <c r="L12" i="3"/>
  <c r="L33" i="3"/>
  <c r="L31" i="3"/>
  <c r="L29" i="3"/>
  <c r="L27" i="3"/>
  <c r="L25" i="3"/>
  <c r="L23" i="3"/>
  <c r="L21" i="3"/>
  <c r="L19" i="3"/>
  <c r="L17" i="3"/>
  <c r="L15" i="3"/>
  <c r="L13" i="3"/>
  <c r="L11" i="3"/>
  <c r="L7" i="3"/>
  <c r="L5" i="3"/>
  <c r="L2" i="3"/>
  <c r="L8" i="3"/>
  <c r="L3" i="3"/>
  <c r="L6" i="3"/>
  <c r="L9" i="3"/>
  <c r="L4" i="3"/>
  <c r="L10" i="3"/>
  <c r="AV7" i="7" l="1"/>
  <c r="AW7" i="7"/>
  <c r="AU7" i="7"/>
  <c r="AV29" i="7"/>
  <c r="AW29" i="7"/>
  <c r="AU29" i="7"/>
  <c r="AU4" i="7"/>
  <c r="AV4" i="7"/>
  <c r="AW4" i="7"/>
  <c r="AU8" i="7"/>
  <c r="AV8" i="7"/>
  <c r="AW8" i="7"/>
  <c r="AV11" i="7"/>
  <c r="AU11" i="7"/>
  <c r="AW11" i="7"/>
  <c r="AW19" i="7"/>
  <c r="AV19" i="7"/>
  <c r="AU19" i="7"/>
  <c r="AV27" i="7"/>
  <c r="AU27" i="7"/>
  <c r="AW27" i="7"/>
  <c r="AW31" i="7"/>
  <c r="AU31" i="7"/>
  <c r="AV31" i="7"/>
  <c r="AW16" i="7"/>
  <c r="AU16" i="7"/>
  <c r="AV16" i="7"/>
  <c r="AU24" i="7"/>
  <c r="AV24" i="7"/>
  <c r="AW24" i="7"/>
  <c r="AW28" i="7"/>
  <c r="AV28" i="7"/>
  <c r="AU28" i="7"/>
  <c r="AV3" i="7"/>
  <c r="AW3" i="7"/>
  <c r="AU3" i="7"/>
  <c r="AW25" i="7"/>
  <c r="AU25" i="7"/>
  <c r="AV25" i="7"/>
  <c r="AU22" i="7"/>
  <c r="AV22" i="7"/>
  <c r="AW22" i="7"/>
  <c r="AV9" i="7"/>
  <c r="AW9" i="7"/>
  <c r="AU9" i="7"/>
  <c r="AV13" i="7"/>
  <c r="AW13" i="7"/>
  <c r="AU13" i="7"/>
  <c r="AU21" i="7"/>
  <c r="AV21" i="7"/>
  <c r="AW21" i="7"/>
  <c r="AU33" i="7"/>
  <c r="AV33" i="7"/>
  <c r="AW33" i="7"/>
  <c r="AU18" i="7"/>
  <c r="AV18" i="7"/>
  <c r="AW18" i="7"/>
  <c r="AV26" i="7"/>
  <c r="AU26" i="7"/>
  <c r="AW26" i="7"/>
  <c r="AU30" i="7"/>
  <c r="AW30" i="7"/>
  <c r="AV30" i="7"/>
  <c r="AV10" i="7"/>
  <c r="AU10" i="7"/>
  <c r="AW10" i="7"/>
  <c r="AV17" i="7"/>
  <c r="AW17" i="7"/>
  <c r="AU17" i="7"/>
  <c r="AW14" i="7"/>
  <c r="AU14" i="7"/>
  <c r="AV14" i="7"/>
  <c r="AU6" i="7"/>
  <c r="AV6" i="7"/>
  <c r="AW6" i="7"/>
  <c r="AU5" i="7"/>
  <c r="AV5" i="7"/>
  <c r="AW5" i="7"/>
  <c r="AW15" i="7"/>
  <c r="AV15" i="7"/>
  <c r="AU15" i="7"/>
  <c r="AV23" i="7"/>
  <c r="AU23" i="7"/>
  <c r="AW23" i="7"/>
  <c r="AW12" i="7"/>
  <c r="AU12" i="7"/>
  <c r="AV12" i="7"/>
  <c r="AU20" i="7"/>
  <c r="AV20" i="7"/>
  <c r="AW20" i="7"/>
  <c r="AU32" i="7"/>
  <c r="AV32" i="7"/>
  <c r="AW32" i="7"/>
  <c r="AV2" i="7"/>
  <c r="AU2" i="7"/>
  <c r="AW2" i="7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AE10" i="3"/>
  <c r="AD10" i="3"/>
  <c r="AC10" i="3"/>
  <c r="AB10" i="3"/>
  <c r="AA10" i="3"/>
  <c r="Z10" i="3"/>
  <c r="Y10" i="3"/>
  <c r="V10" i="3"/>
  <c r="U10" i="3"/>
  <c r="T10" i="3"/>
  <c r="S10" i="3"/>
  <c r="X10" i="3"/>
  <c r="W10" i="3"/>
  <c r="R10" i="3"/>
  <c r="Q10" i="3"/>
  <c r="O10" i="3"/>
  <c r="N10" i="3"/>
  <c r="P10" i="3"/>
  <c r="AE7" i="3"/>
  <c r="AD7" i="3"/>
  <c r="AC7" i="3"/>
  <c r="AB7" i="3"/>
  <c r="AA7" i="3"/>
  <c r="Z7" i="3"/>
  <c r="Y7" i="3"/>
  <c r="W7" i="3"/>
  <c r="V7" i="3"/>
  <c r="U7" i="3"/>
  <c r="T7" i="3"/>
  <c r="S7" i="3"/>
  <c r="R7" i="3"/>
  <c r="Q7" i="3"/>
  <c r="O7" i="3"/>
  <c r="X7" i="3"/>
  <c r="P7" i="3"/>
  <c r="N7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P25" i="3"/>
  <c r="O25" i="3"/>
  <c r="Q25" i="3"/>
  <c r="N25" i="3"/>
  <c r="R25" i="3"/>
  <c r="X18" i="3"/>
  <c r="V18" i="3"/>
  <c r="U18" i="3"/>
  <c r="T18" i="3"/>
  <c r="S18" i="3"/>
  <c r="AC18" i="3"/>
  <c r="AA18" i="3"/>
  <c r="AE18" i="3"/>
  <c r="Y18" i="3"/>
  <c r="W18" i="3"/>
  <c r="AD18" i="3"/>
  <c r="AB18" i="3"/>
  <c r="Z18" i="3"/>
  <c r="R18" i="3"/>
  <c r="Q18" i="3"/>
  <c r="P18" i="3"/>
  <c r="N18" i="3"/>
  <c r="O18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P4" i="3"/>
  <c r="O4" i="3"/>
  <c r="Q4" i="3"/>
  <c r="N4" i="3"/>
  <c r="R4" i="3"/>
  <c r="AE11" i="3"/>
  <c r="X11" i="3"/>
  <c r="P11" i="3"/>
  <c r="O11" i="3"/>
  <c r="W11" i="3"/>
  <c r="AD11" i="3"/>
  <c r="AB11" i="3"/>
  <c r="Z11" i="3"/>
  <c r="V11" i="3"/>
  <c r="U11" i="3"/>
  <c r="T11" i="3"/>
  <c r="S11" i="3"/>
  <c r="R11" i="3"/>
  <c r="Q11" i="3"/>
  <c r="AC11" i="3"/>
  <c r="N11" i="3"/>
  <c r="AA11" i="3"/>
  <c r="Y11" i="3"/>
  <c r="W27" i="3"/>
  <c r="P27" i="3"/>
  <c r="O27" i="3"/>
  <c r="AE27" i="3"/>
  <c r="AC27" i="3"/>
  <c r="AA27" i="3"/>
  <c r="V27" i="3"/>
  <c r="U27" i="3"/>
  <c r="T27" i="3"/>
  <c r="S27" i="3"/>
  <c r="X27" i="3"/>
  <c r="R27" i="3"/>
  <c r="Q27" i="3"/>
  <c r="AB27" i="3"/>
  <c r="Z27" i="3"/>
  <c r="N27" i="3"/>
  <c r="Y27" i="3"/>
  <c r="AD27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P20" i="3"/>
  <c r="O20" i="3"/>
  <c r="R20" i="3"/>
  <c r="N20" i="3"/>
  <c r="Q20" i="3"/>
  <c r="AE5" i="3"/>
  <c r="AD5" i="3"/>
  <c r="AC5" i="3"/>
  <c r="AB5" i="3"/>
  <c r="AA5" i="3"/>
  <c r="Z5" i="3"/>
  <c r="Y5" i="3"/>
  <c r="X5" i="3"/>
  <c r="V5" i="3"/>
  <c r="U5" i="3"/>
  <c r="T5" i="3"/>
  <c r="S5" i="3"/>
  <c r="R5" i="3"/>
  <c r="Q5" i="3"/>
  <c r="P5" i="3"/>
  <c r="O5" i="3"/>
  <c r="W5" i="3"/>
  <c r="N5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P9" i="3"/>
  <c r="O9" i="3"/>
  <c r="R9" i="3"/>
  <c r="N9" i="3"/>
  <c r="Q9" i="3"/>
  <c r="X15" i="3"/>
  <c r="W15" i="3"/>
  <c r="AC15" i="3"/>
  <c r="AA15" i="3"/>
  <c r="AE15" i="3"/>
  <c r="Y15" i="3"/>
  <c r="R15" i="3"/>
  <c r="Q15" i="3"/>
  <c r="V15" i="3"/>
  <c r="U15" i="3"/>
  <c r="T15" i="3"/>
  <c r="S15" i="3"/>
  <c r="Z15" i="3"/>
  <c r="AB15" i="3"/>
  <c r="O15" i="3"/>
  <c r="N15" i="3"/>
  <c r="AD15" i="3"/>
  <c r="P15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AE3" i="3"/>
  <c r="X3" i="3"/>
  <c r="W3" i="3"/>
  <c r="P3" i="3"/>
  <c r="O3" i="3"/>
  <c r="AD3" i="3"/>
  <c r="AB3" i="3"/>
  <c r="Z3" i="3"/>
  <c r="AC3" i="3"/>
  <c r="AA3" i="3"/>
  <c r="Y3" i="3"/>
  <c r="R3" i="3"/>
  <c r="Q3" i="3"/>
  <c r="V3" i="3"/>
  <c r="N3" i="3"/>
  <c r="U3" i="3"/>
  <c r="S3" i="3"/>
  <c r="T3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P17" i="3"/>
  <c r="O17" i="3"/>
  <c r="N17" i="3"/>
  <c r="R17" i="3"/>
  <c r="Q17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P33" i="3"/>
  <c r="O33" i="3"/>
  <c r="N33" i="3"/>
  <c r="BD33" i="7" s="1"/>
  <c r="Q33" i="3"/>
  <c r="R33" i="3"/>
  <c r="W26" i="3"/>
  <c r="AE26" i="3"/>
  <c r="AD26" i="3"/>
  <c r="AC26" i="3"/>
  <c r="AB26" i="3"/>
  <c r="AA26" i="3"/>
  <c r="Z26" i="3"/>
  <c r="V26" i="3"/>
  <c r="U26" i="3"/>
  <c r="T26" i="3"/>
  <c r="S26" i="3"/>
  <c r="Y26" i="3"/>
  <c r="X26" i="3"/>
  <c r="R26" i="3"/>
  <c r="Q26" i="3"/>
  <c r="P26" i="3"/>
  <c r="N26" i="3"/>
  <c r="O26" i="3"/>
  <c r="AE23" i="3"/>
  <c r="AD23" i="3"/>
  <c r="AC23" i="3"/>
  <c r="AB23" i="3"/>
  <c r="AA23" i="3"/>
  <c r="Z23" i="3"/>
  <c r="V23" i="3"/>
  <c r="U23" i="3"/>
  <c r="T23" i="3"/>
  <c r="S23" i="3"/>
  <c r="R23" i="3"/>
  <c r="Q23" i="3"/>
  <c r="Y23" i="3"/>
  <c r="W23" i="3"/>
  <c r="P23" i="3"/>
  <c r="N23" i="3"/>
  <c r="X23" i="3"/>
  <c r="O23" i="3"/>
  <c r="AE13" i="3"/>
  <c r="AD13" i="3"/>
  <c r="AC13" i="3"/>
  <c r="AB13" i="3"/>
  <c r="AA13" i="3"/>
  <c r="Z13" i="3"/>
  <c r="W13" i="3"/>
  <c r="Y13" i="3"/>
  <c r="R13" i="3"/>
  <c r="Q13" i="3"/>
  <c r="X13" i="3"/>
  <c r="P13" i="3"/>
  <c r="O13" i="3"/>
  <c r="S13" i="3"/>
  <c r="T13" i="3"/>
  <c r="V13" i="3"/>
  <c r="U13" i="3"/>
  <c r="N13" i="3"/>
  <c r="AE29" i="3"/>
  <c r="AD29" i="3"/>
  <c r="AC29" i="3"/>
  <c r="AB29" i="3"/>
  <c r="AA29" i="3"/>
  <c r="Z29" i="3"/>
  <c r="X29" i="3"/>
  <c r="W29" i="3"/>
  <c r="R29" i="3"/>
  <c r="Q29" i="3"/>
  <c r="P29" i="3"/>
  <c r="O29" i="3"/>
  <c r="Y29" i="3"/>
  <c r="T29" i="3"/>
  <c r="S29" i="3"/>
  <c r="V29" i="3"/>
  <c r="N29" i="3"/>
  <c r="U29" i="3"/>
  <c r="AE22" i="3"/>
  <c r="AD22" i="3"/>
  <c r="AC22" i="3"/>
  <c r="AB22" i="3"/>
  <c r="AA22" i="3"/>
  <c r="Z22" i="3"/>
  <c r="Y22" i="3"/>
  <c r="X22" i="3"/>
  <c r="V22" i="3"/>
  <c r="U22" i="3"/>
  <c r="T22" i="3"/>
  <c r="S22" i="3"/>
  <c r="R22" i="3"/>
  <c r="Q22" i="3"/>
  <c r="P22" i="3"/>
  <c r="O22" i="3"/>
  <c r="W22" i="3"/>
  <c r="N22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Y31" i="3"/>
  <c r="X31" i="3"/>
  <c r="W31" i="3"/>
  <c r="AD31" i="3"/>
  <c r="AB31" i="3"/>
  <c r="Z31" i="3"/>
  <c r="R31" i="3"/>
  <c r="Q31" i="3"/>
  <c r="V31" i="3"/>
  <c r="U31" i="3"/>
  <c r="T31" i="3"/>
  <c r="S31" i="3"/>
  <c r="AE31" i="3"/>
  <c r="AC31" i="3"/>
  <c r="P31" i="3"/>
  <c r="O31" i="3"/>
  <c r="AA31" i="3"/>
  <c r="N31" i="3"/>
  <c r="BD31" i="7" s="1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AE19" i="3"/>
  <c r="Y19" i="3"/>
  <c r="X19" i="3"/>
  <c r="W19" i="3"/>
  <c r="P19" i="3"/>
  <c r="O19" i="3"/>
  <c r="AC19" i="3"/>
  <c r="AA19" i="3"/>
  <c r="AD19" i="3"/>
  <c r="AB19" i="3"/>
  <c r="Z19" i="3"/>
  <c r="R19" i="3"/>
  <c r="Q19" i="3"/>
  <c r="T19" i="3"/>
  <c r="S19" i="3"/>
  <c r="N19" i="3"/>
  <c r="V19" i="3"/>
  <c r="U19" i="3"/>
  <c r="BF31" i="7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P12" i="3"/>
  <c r="O12" i="3"/>
  <c r="R12" i="3"/>
  <c r="N12" i="3"/>
  <c r="Q12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P28" i="3"/>
  <c r="O28" i="3"/>
  <c r="Q28" i="3"/>
  <c r="N28" i="3"/>
  <c r="R28" i="3"/>
  <c r="AC2" i="3"/>
  <c r="V2" i="3"/>
  <c r="AB2" i="3"/>
  <c r="O2" i="3"/>
  <c r="BE2" i="7" s="1"/>
  <c r="AA2" i="3"/>
  <c r="U2" i="3"/>
  <c r="P2" i="3"/>
  <c r="BF2" i="7" s="1"/>
  <c r="T2" i="3"/>
  <c r="Y2" i="3"/>
  <c r="R2" i="3"/>
  <c r="AE2" i="3"/>
  <c r="X2" i="3"/>
  <c r="Q2" i="3"/>
  <c r="Z2" i="3"/>
  <c r="W2" i="3"/>
  <c r="S2" i="3"/>
  <c r="AD2" i="3"/>
  <c r="N2" i="3"/>
  <c r="BD2" i="7" s="1"/>
  <c r="AE21" i="3"/>
  <c r="AD21" i="3"/>
  <c r="AC21" i="3"/>
  <c r="AB21" i="3"/>
  <c r="AA21" i="3"/>
  <c r="Z21" i="3"/>
  <c r="Y21" i="3"/>
  <c r="V21" i="3"/>
  <c r="U21" i="3"/>
  <c r="T21" i="3"/>
  <c r="S21" i="3"/>
  <c r="R21" i="3"/>
  <c r="Q21" i="3"/>
  <c r="P21" i="3"/>
  <c r="O21" i="3"/>
  <c r="X21" i="3"/>
  <c r="W21" i="3"/>
  <c r="N21" i="3"/>
  <c r="BF33" i="7"/>
  <c r="W14" i="3"/>
  <c r="AE14" i="3"/>
  <c r="AD14" i="3"/>
  <c r="AC14" i="3"/>
  <c r="AB14" i="3"/>
  <c r="AA14" i="3"/>
  <c r="Z14" i="3"/>
  <c r="Y14" i="3"/>
  <c r="R14" i="3"/>
  <c r="Q14" i="3"/>
  <c r="X14" i="3"/>
  <c r="P14" i="3"/>
  <c r="O14" i="3"/>
  <c r="V14" i="3"/>
  <c r="U14" i="3"/>
  <c r="T14" i="3"/>
  <c r="S14" i="3"/>
  <c r="N14" i="3"/>
  <c r="X30" i="3"/>
  <c r="AE30" i="3"/>
  <c r="AD30" i="3"/>
  <c r="AC30" i="3"/>
  <c r="AB30" i="3"/>
  <c r="AA30" i="3"/>
  <c r="Z30" i="3"/>
  <c r="R30" i="3"/>
  <c r="Q30" i="3"/>
  <c r="P30" i="3"/>
  <c r="O30" i="3"/>
  <c r="V30" i="3"/>
  <c r="U30" i="3"/>
  <c r="T30" i="3"/>
  <c r="S30" i="3"/>
  <c r="Y30" i="3"/>
  <c r="W30" i="3"/>
  <c r="N30" i="3"/>
  <c r="BD28" i="7" l="1"/>
  <c r="C74" i="2" s="1"/>
  <c r="BE28" i="7"/>
  <c r="E74" i="2" s="1"/>
  <c r="BF12" i="7"/>
  <c r="BE31" i="7"/>
  <c r="BD22" i="7"/>
  <c r="BF3" i="7"/>
  <c r="BE5" i="7"/>
  <c r="E17" i="2" s="1"/>
  <c r="BF32" i="7"/>
  <c r="D85" i="2" s="1"/>
  <c r="BF27" i="7"/>
  <c r="D64" i="2" s="1"/>
  <c r="BE11" i="7"/>
  <c r="E28" i="2" s="1"/>
  <c r="BF4" i="7"/>
  <c r="D16" i="2" s="1"/>
  <c r="BE30" i="7"/>
  <c r="BE10" i="7"/>
  <c r="E24" i="2" s="1"/>
  <c r="BF16" i="7"/>
  <c r="AY21" i="7"/>
  <c r="BH21" i="7" s="1"/>
  <c r="BB21" i="7"/>
  <c r="AZ21" i="7"/>
  <c r="BI21" i="7" s="1"/>
  <c r="BA21" i="7"/>
  <c r="BJ21" i="7" s="1"/>
  <c r="AX21" i="7"/>
  <c r="BG21" i="7" s="1"/>
  <c r="BE21" i="7"/>
  <c r="E65" i="2"/>
  <c r="BD12" i="7"/>
  <c r="BF19" i="7"/>
  <c r="D47" i="2" s="1"/>
  <c r="BE13" i="7"/>
  <c r="BF23" i="7"/>
  <c r="BD26" i="7"/>
  <c r="BE29" i="7"/>
  <c r="BD3" i="7"/>
  <c r="C15" i="2" s="1"/>
  <c r="BE24" i="7"/>
  <c r="BE15" i="7"/>
  <c r="BD9" i="7"/>
  <c r="C23" i="2" s="1"/>
  <c r="BF5" i="7"/>
  <c r="D17" i="2" s="1"/>
  <c r="BE20" i="7"/>
  <c r="BF11" i="7"/>
  <c r="D28" i="2" s="1"/>
  <c r="BD4" i="7"/>
  <c r="C16" i="2" s="1"/>
  <c r="BD30" i="7"/>
  <c r="C82" i="2" s="1"/>
  <c r="BD18" i="7"/>
  <c r="BE25" i="7"/>
  <c r="E68" i="2" s="1"/>
  <c r="BF7" i="7"/>
  <c r="D20" i="2" s="1"/>
  <c r="BB32" i="7"/>
  <c r="AX32" i="7"/>
  <c r="BG32" i="7" s="1"/>
  <c r="BA32" i="7"/>
  <c r="BJ32" i="7" s="1"/>
  <c r="AZ32" i="7"/>
  <c r="BI32" i="7" s="1"/>
  <c r="AY32" i="7"/>
  <c r="BH32" i="7" s="1"/>
  <c r="BA15" i="7"/>
  <c r="BJ15" i="7" s="1"/>
  <c r="BB15" i="7"/>
  <c r="AX15" i="7"/>
  <c r="BG15" i="7" s="1"/>
  <c r="AY15" i="7"/>
  <c r="BH15" i="7" s="1"/>
  <c r="AZ15" i="7"/>
  <c r="BI15" i="7" s="1"/>
  <c r="BB17" i="7"/>
  <c r="AX17" i="7"/>
  <c r="BG17" i="7" s="1"/>
  <c r="AZ17" i="7"/>
  <c r="BI17" i="7" s="1"/>
  <c r="BA17" i="7"/>
  <c r="BJ17" i="7" s="1"/>
  <c r="AY17" i="7"/>
  <c r="BH17" i="7" s="1"/>
  <c r="BB10" i="7"/>
  <c r="AY10" i="7"/>
  <c r="BH10" i="7" s="1"/>
  <c r="BA10" i="7"/>
  <c r="BJ10" i="7" s="1"/>
  <c r="AX10" i="7"/>
  <c r="BG10" i="7" s="1"/>
  <c r="AZ10" i="7"/>
  <c r="BI10" i="7" s="1"/>
  <c r="AY30" i="7"/>
  <c r="BH30" i="7" s="1"/>
  <c r="AZ30" i="7"/>
  <c r="BI30" i="7" s="1"/>
  <c r="AX30" i="7"/>
  <c r="BG30" i="7" s="1"/>
  <c r="BA30" i="7"/>
  <c r="BJ30" i="7" s="1"/>
  <c r="BB30" i="7"/>
  <c r="AX13" i="7"/>
  <c r="BG13" i="7" s="1"/>
  <c r="BA13" i="7"/>
  <c r="BJ13" i="7" s="1"/>
  <c r="AZ13" i="7"/>
  <c r="BI13" i="7" s="1"/>
  <c r="AY13" i="7"/>
  <c r="BH13" i="7" s="1"/>
  <c r="BB13" i="7"/>
  <c r="AY27" i="7"/>
  <c r="BH27" i="7" s="1"/>
  <c r="AZ27" i="7"/>
  <c r="BI27" i="7" s="1"/>
  <c r="AX27" i="7"/>
  <c r="BG27" i="7" s="1"/>
  <c r="BB27" i="7"/>
  <c r="BA27" i="7"/>
  <c r="BJ27" i="7" s="1"/>
  <c r="AY7" i="7"/>
  <c r="BH7" i="7" s="1"/>
  <c r="BB7" i="7"/>
  <c r="AZ7" i="7"/>
  <c r="BI7" i="7" s="1"/>
  <c r="AX7" i="7"/>
  <c r="BG7" i="7" s="1"/>
  <c r="BA7" i="7"/>
  <c r="BJ7" i="7" s="1"/>
  <c r="BF14" i="7"/>
  <c r="D35" i="2" s="1"/>
  <c r="BF8" i="7"/>
  <c r="D21" i="2" s="1"/>
  <c r="BF6" i="7"/>
  <c r="D18" i="2" s="1"/>
  <c r="BD29" i="7"/>
  <c r="BD24" i="7"/>
  <c r="BE18" i="7"/>
  <c r="BD7" i="7"/>
  <c r="C20" i="2" s="1"/>
  <c r="BD14" i="7"/>
  <c r="C35" i="2" s="1"/>
  <c r="BE33" i="7"/>
  <c r="E86" i="2" s="1"/>
  <c r="BD21" i="7"/>
  <c r="BF21" i="7"/>
  <c r="BD19" i="7"/>
  <c r="C47" i="2" s="1"/>
  <c r="BD8" i="7"/>
  <c r="C21" i="2" s="1"/>
  <c r="BD6" i="7"/>
  <c r="C18" i="2" s="1"/>
  <c r="BE22" i="7"/>
  <c r="BF13" i="7"/>
  <c r="BE23" i="7"/>
  <c r="BF26" i="7"/>
  <c r="BF29" i="7"/>
  <c r="BD17" i="7"/>
  <c r="BF24" i="7"/>
  <c r="BF15" i="7"/>
  <c r="BD5" i="7"/>
  <c r="BF20" i="7"/>
  <c r="BD27" i="7"/>
  <c r="C64" i="2" s="1"/>
  <c r="BF18" i="7"/>
  <c r="BF25" i="7"/>
  <c r="BF10" i="7"/>
  <c r="D24" i="2" s="1"/>
  <c r="BF28" i="7"/>
  <c r="D74" i="2" s="1"/>
  <c r="BD16" i="7"/>
  <c r="BB29" i="7"/>
  <c r="AY29" i="7"/>
  <c r="BH29" i="7" s="1"/>
  <c r="AZ29" i="7"/>
  <c r="BI29" i="7" s="1"/>
  <c r="AX29" i="7"/>
  <c r="BG29" i="7" s="1"/>
  <c r="BA29" i="7"/>
  <c r="BJ29" i="7" s="1"/>
  <c r="BE19" i="7"/>
  <c r="E47" i="2" s="1"/>
  <c r="BD13" i="7"/>
  <c r="BD23" i="7"/>
  <c r="BE26" i="7"/>
  <c r="BF17" i="7"/>
  <c r="BD15" i="7"/>
  <c r="BF9" i="7"/>
  <c r="D23" i="2" s="1"/>
  <c r="BD32" i="7"/>
  <c r="C85" i="2" s="1"/>
  <c r="BD11" i="7"/>
  <c r="C28" i="2" s="1"/>
  <c r="BE14" i="7"/>
  <c r="E35" i="2" s="1"/>
  <c r="C65" i="2"/>
  <c r="BE12" i="7"/>
  <c r="BE8" i="7"/>
  <c r="E21" i="2" s="1"/>
  <c r="BE6" i="7"/>
  <c r="E18" i="2" s="1"/>
  <c r="BF22" i="7"/>
  <c r="BE17" i="7"/>
  <c r="BE3" i="7"/>
  <c r="E15" i="2" s="1"/>
  <c r="BE9" i="7"/>
  <c r="E23" i="2" s="1"/>
  <c r="BE32" i="7"/>
  <c r="BD20" i="7"/>
  <c r="BE27" i="7"/>
  <c r="E64" i="2" s="1"/>
  <c r="BE4" i="7"/>
  <c r="E16" i="2" s="1"/>
  <c r="BF30" i="7"/>
  <c r="D82" i="2" s="1"/>
  <c r="BD25" i="7"/>
  <c r="BE7" i="7"/>
  <c r="E20" i="2" s="1"/>
  <c r="BD10" i="7"/>
  <c r="C24" i="2" s="1"/>
  <c r="BE16" i="7"/>
  <c r="BB20" i="7"/>
  <c r="AY20" i="7"/>
  <c r="BH20" i="7" s="1"/>
  <c r="AX20" i="7"/>
  <c r="BG20" i="7" s="1"/>
  <c r="BA20" i="7"/>
  <c r="BJ20" i="7" s="1"/>
  <c r="AZ20" i="7"/>
  <c r="BI20" i="7" s="1"/>
  <c r="AX14" i="7"/>
  <c r="BG14" i="7" s="1"/>
  <c r="BB14" i="7"/>
  <c r="AY14" i="7"/>
  <c r="BH14" i="7" s="1"/>
  <c r="AZ14" i="7"/>
  <c r="BI14" i="7" s="1"/>
  <c r="BA14" i="7"/>
  <c r="BJ14" i="7" s="1"/>
  <c r="AX26" i="7"/>
  <c r="BG26" i="7" s="1"/>
  <c r="BB26" i="7"/>
  <c r="AY26" i="7"/>
  <c r="BH26" i="7" s="1"/>
  <c r="AZ26" i="7"/>
  <c r="BI26" i="7" s="1"/>
  <c r="BA26" i="7"/>
  <c r="BJ26" i="7" s="1"/>
  <c r="BA19" i="7"/>
  <c r="BJ19" i="7" s="1"/>
  <c r="BB19" i="7"/>
  <c r="AZ19" i="7"/>
  <c r="BI19" i="7" s="1"/>
  <c r="AY19" i="7"/>
  <c r="BH19" i="7" s="1"/>
  <c r="AX19" i="7"/>
  <c r="BG19" i="7" s="1"/>
  <c r="C86" i="2"/>
  <c r="D65" i="2"/>
  <c r="D86" i="2"/>
  <c r="F33" i="2"/>
  <c r="H33" i="2"/>
  <c r="G33" i="2"/>
  <c r="I33" i="2"/>
  <c r="J33" i="2"/>
  <c r="BA18" i="7"/>
  <c r="I51" i="2" s="1"/>
  <c r="AZ18" i="7"/>
  <c r="H51" i="2" s="1"/>
  <c r="BB18" i="7"/>
  <c r="J51" i="2" s="1"/>
  <c r="AY18" i="7"/>
  <c r="G51" i="2" s="1"/>
  <c r="AX18" i="7"/>
  <c r="F51" i="2" s="1"/>
  <c r="BB6" i="7"/>
  <c r="AY6" i="7"/>
  <c r="AX6" i="7"/>
  <c r="AZ6" i="7"/>
  <c r="BA6" i="7"/>
  <c r="I49" i="2"/>
  <c r="J49" i="2"/>
  <c r="F49" i="2"/>
  <c r="H49" i="2"/>
  <c r="G49" i="2"/>
  <c r="G48" i="2"/>
  <c r="F48" i="2"/>
  <c r="H48" i="2"/>
  <c r="I48" i="2"/>
  <c r="J48" i="2"/>
  <c r="BB11" i="7"/>
  <c r="BA11" i="7"/>
  <c r="AX11" i="7"/>
  <c r="AY11" i="7"/>
  <c r="AZ11" i="7"/>
  <c r="BA31" i="7"/>
  <c r="BB31" i="7"/>
  <c r="AZ31" i="7"/>
  <c r="AX31" i="7"/>
  <c r="AY31" i="7"/>
  <c r="AY9" i="7"/>
  <c r="AZ9" i="7"/>
  <c r="BA9" i="7"/>
  <c r="BB9" i="7"/>
  <c r="AX9" i="7"/>
  <c r="H38" i="2"/>
  <c r="G38" i="2"/>
  <c r="I38" i="2"/>
  <c r="J38" i="2"/>
  <c r="F38" i="2"/>
  <c r="H54" i="2"/>
  <c r="I54" i="2"/>
  <c r="J54" i="2"/>
  <c r="G54" i="2"/>
  <c r="F54" i="2"/>
  <c r="AY4" i="7"/>
  <c r="AX4" i="7"/>
  <c r="BB4" i="7"/>
  <c r="BA4" i="7"/>
  <c r="AZ4" i="7"/>
  <c r="F55" i="2"/>
  <c r="G55" i="2"/>
  <c r="J55" i="2"/>
  <c r="H55" i="2"/>
  <c r="I55" i="2"/>
  <c r="BA12" i="7"/>
  <c r="AY12" i="7"/>
  <c r="BB12" i="7"/>
  <c r="AX12" i="7"/>
  <c r="AZ12" i="7"/>
  <c r="BB25" i="7"/>
  <c r="BA25" i="7"/>
  <c r="AZ25" i="7"/>
  <c r="AX25" i="7"/>
  <c r="AY25" i="7"/>
  <c r="AZ2" i="7"/>
  <c r="BA2" i="7"/>
  <c r="BB2" i="7"/>
  <c r="AY2" i="7"/>
  <c r="AX2" i="7"/>
  <c r="AX24" i="7"/>
  <c r="AY24" i="7"/>
  <c r="BB24" i="7"/>
  <c r="AZ24" i="7"/>
  <c r="BA24" i="7"/>
  <c r="H27" i="2"/>
  <c r="J27" i="2"/>
  <c r="F27" i="2"/>
  <c r="G27" i="2"/>
  <c r="I27" i="2"/>
  <c r="F31" i="2"/>
  <c r="H31" i="2"/>
  <c r="G31" i="2"/>
  <c r="I31" i="2"/>
  <c r="J31" i="2"/>
  <c r="AX28" i="7"/>
  <c r="BB28" i="7"/>
  <c r="BA28" i="7"/>
  <c r="AZ28" i="7"/>
  <c r="AY28" i="7"/>
  <c r="G32" i="2"/>
  <c r="J32" i="2"/>
  <c r="I32" i="2"/>
  <c r="H32" i="2"/>
  <c r="F32" i="2"/>
  <c r="BA16" i="7"/>
  <c r="BB16" i="7"/>
  <c r="AX16" i="7"/>
  <c r="AY16" i="7"/>
  <c r="AZ16" i="7"/>
  <c r="AX5" i="7"/>
  <c r="AY5" i="7"/>
  <c r="BB5" i="7"/>
  <c r="AZ5" i="7"/>
  <c r="BA5" i="7"/>
  <c r="AZ23" i="7"/>
  <c r="BA23" i="7"/>
  <c r="BB23" i="7"/>
  <c r="AY23" i="7"/>
  <c r="AX23" i="7"/>
  <c r="AZ8" i="7"/>
  <c r="BA8" i="7"/>
  <c r="BB8" i="7"/>
  <c r="AY8" i="7"/>
  <c r="AX8" i="7"/>
  <c r="AY3" i="7"/>
  <c r="BB3" i="7"/>
  <c r="BA3" i="7"/>
  <c r="AZ3" i="7"/>
  <c r="AX3" i="7"/>
  <c r="BB22" i="7"/>
  <c r="AX22" i="7"/>
  <c r="AY22" i="7"/>
  <c r="BA22" i="7"/>
  <c r="AZ22" i="7"/>
  <c r="J25" i="2"/>
  <c r="I25" i="2"/>
  <c r="G25" i="2"/>
  <c r="F25" i="2"/>
  <c r="H25" i="2"/>
  <c r="AX33" i="7"/>
  <c r="AZ33" i="7"/>
  <c r="BB33" i="7"/>
  <c r="AY33" i="7"/>
  <c r="BA33" i="7"/>
  <c r="C14" i="2"/>
  <c r="E14" i="2"/>
  <c r="D14" i="2"/>
  <c r="D84" i="2" l="1"/>
  <c r="C60" i="2"/>
  <c r="C81" i="2"/>
  <c r="E81" i="2"/>
  <c r="C36" i="2"/>
  <c r="D52" i="2"/>
  <c r="C34" i="2"/>
  <c r="E58" i="2"/>
  <c r="D34" i="2"/>
  <c r="E37" i="2"/>
  <c r="E85" i="2"/>
  <c r="D56" i="2"/>
  <c r="C58" i="2"/>
  <c r="D63" i="2"/>
  <c r="C50" i="2"/>
  <c r="E41" i="2"/>
  <c r="E30" i="2"/>
  <c r="E63" i="2"/>
  <c r="D62" i="2"/>
  <c r="E56" i="2"/>
  <c r="E75" i="2"/>
  <c r="D41" i="2"/>
  <c r="C62" i="2"/>
  <c r="E82" i="2"/>
  <c r="D36" i="2"/>
  <c r="E36" i="2"/>
  <c r="D81" i="2"/>
  <c r="E69" i="2"/>
  <c r="D75" i="2"/>
  <c r="D60" i="2"/>
  <c r="C52" i="2"/>
  <c r="E46" i="2"/>
  <c r="E51" i="2"/>
  <c r="D68" i="2"/>
  <c r="E52" i="2"/>
  <c r="C84" i="2"/>
  <c r="C68" i="2"/>
  <c r="D50" i="2"/>
  <c r="C41" i="2"/>
  <c r="E62" i="2"/>
  <c r="C63" i="2"/>
  <c r="E84" i="2"/>
  <c r="C46" i="2"/>
  <c r="C51" i="2"/>
  <c r="E50" i="2"/>
  <c r="E60" i="2"/>
  <c r="D58" i="2"/>
  <c r="C30" i="2"/>
  <c r="D37" i="2"/>
  <c r="D30" i="2"/>
  <c r="C75" i="2"/>
  <c r="C37" i="2"/>
  <c r="D46" i="2"/>
  <c r="D51" i="2"/>
  <c r="D69" i="2"/>
  <c r="E34" i="2"/>
  <c r="C56" i="2"/>
  <c r="C69" i="2"/>
  <c r="BF76" i="7"/>
  <c r="BE76" i="7"/>
  <c r="BD76" i="7"/>
  <c r="BK19" i="7"/>
  <c r="BC19" i="7"/>
  <c r="BK20" i="7"/>
  <c r="BC20" i="7"/>
  <c r="K40" i="2" s="1"/>
  <c r="BK29" i="7"/>
  <c r="BC29" i="7"/>
  <c r="C17" i="2"/>
  <c r="BK10" i="7"/>
  <c r="BC10" i="7"/>
  <c r="D15" i="2"/>
  <c r="BK32" i="7"/>
  <c r="BC32" i="7"/>
  <c r="BK26" i="7"/>
  <c r="BC26" i="7"/>
  <c r="BK17" i="7"/>
  <c r="BC17" i="7"/>
  <c r="BK15" i="7"/>
  <c r="BC15" i="7"/>
  <c r="K41" i="2" s="1"/>
  <c r="BK21" i="7"/>
  <c r="BC21" i="7"/>
  <c r="BK7" i="7"/>
  <c r="BC7" i="7"/>
  <c r="BK30" i="7"/>
  <c r="BC30" i="7"/>
  <c r="BK14" i="7"/>
  <c r="BC14" i="7"/>
  <c r="BK27" i="7"/>
  <c r="BC27" i="7"/>
  <c r="BK13" i="7"/>
  <c r="BC13" i="7"/>
  <c r="Q29" i="7"/>
  <c r="Q30" i="7"/>
  <c r="P8" i="7"/>
  <c r="P26" i="7"/>
  <c r="Q12" i="7"/>
  <c r="Q11" i="7"/>
  <c r="G29" i="2"/>
  <c r="I9" i="7"/>
  <c r="I27" i="7"/>
  <c r="I22" i="7"/>
  <c r="M22" i="7" s="1"/>
  <c r="N22" i="7" s="1"/>
  <c r="I4" i="7"/>
  <c r="M4" i="7" s="1"/>
  <c r="N4" i="7" s="1"/>
  <c r="F57" i="2"/>
  <c r="AC29" i="7"/>
  <c r="AB8" i="7"/>
  <c r="AC30" i="7"/>
  <c r="AB26" i="7"/>
  <c r="AC12" i="7"/>
  <c r="AC11" i="7"/>
  <c r="I29" i="2"/>
  <c r="X11" i="7"/>
  <c r="W29" i="7"/>
  <c r="X30" i="7"/>
  <c r="W11" i="7"/>
  <c r="W30" i="7"/>
  <c r="V8" i="7"/>
  <c r="V26" i="7"/>
  <c r="X29" i="7"/>
  <c r="W12" i="7"/>
  <c r="X12" i="7"/>
  <c r="H29" i="2"/>
  <c r="AI30" i="7"/>
  <c r="AH8" i="7"/>
  <c r="AH26" i="7"/>
  <c r="AI11" i="7"/>
  <c r="AI12" i="7"/>
  <c r="AI29" i="7"/>
  <c r="J29" i="2"/>
  <c r="AA22" i="7"/>
  <c r="AE22" i="7" s="1"/>
  <c r="AF22" i="7" s="1"/>
  <c r="AA4" i="7"/>
  <c r="AE4" i="7" s="1"/>
  <c r="AF4" i="7" s="1"/>
  <c r="AA9" i="7"/>
  <c r="AA27" i="7"/>
  <c r="I57" i="2"/>
  <c r="K11" i="7"/>
  <c r="K30" i="7"/>
  <c r="J26" i="7"/>
  <c r="J8" i="7"/>
  <c r="K12" i="7"/>
  <c r="K29" i="7"/>
  <c r="F29" i="2"/>
  <c r="U22" i="7"/>
  <c r="Y22" i="7" s="1"/>
  <c r="Z22" i="7" s="1"/>
  <c r="U9" i="7"/>
  <c r="U4" i="7"/>
  <c r="Y4" i="7" s="1"/>
  <c r="Z4" i="7" s="1"/>
  <c r="U27" i="7"/>
  <c r="H57" i="2"/>
  <c r="AG27" i="7"/>
  <c r="AG4" i="7"/>
  <c r="AK4" i="7" s="1"/>
  <c r="AG22" i="7"/>
  <c r="AK22" i="7" s="1"/>
  <c r="AG9" i="7"/>
  <c r="J57" i="2"/>
  <c r="O27" i="7"/>
  <c r="O4" i="7"/>
  <c r="S4" i="7" s="1"/>
  <c r="T4" i="7" s="1"/>
  <c r="O22" i="7"/>
  <c r="S22" i="7" s="1"/>
  <c r="T22" i="7" s="1"/>
  <c r="O9" i="7"/>
  <c r="G57" i="2"/>
  <c r="BK23" i="7"/>
  <c r="J35" i="2"/>
  <c r="BC23" i="7"/>
  <c r="BK24" i="7"/>
  <c r="J36" i="2"/>
  <c r="BC24" i="7"/>
  <c r="BG57" i="7"/>
  <c r="F84" i="2"/>
  <c r="G75" i="2"/>
  <c r="BH52" i="7"/>
  <c r="BJ23" i="7"/>
  <c r="I35" i="2"/>
  <c r="AC3" i="7"/>
  <c r="AC21" i="7"/>
  <c r="BJ39" i="7"/>
  <c r="I58" i="2"/>
  <c r="AA23" i="7"/>
  <c r="AA5" i="7"/>
  <c r="I46" i="2"/>
  <c r="BI56" i="7"/>
  <c r="H82" i="2"/>
  <c r="BH31" i="7"/>
  <c r="G50" i="2"/>
  <c r="H75" i="2"/>
  <c r="BI52" i="7"/>
  <c r="AG6" i="7"/>
  <c r="AK6" i="7" s="1"/>
  <c r="AG24" i="7"/>
  <c r="AK24" i="7" s="1"/>
  <c r="AG13" i="7"/>
  <c r="AG3" i="7"/>
  <c r="AI5" i="7"/>
  <c r="AI23" i="7"/>
  <c r="AG31" i="7"/>
  <c r="AG21" i="7"/>
  <c r="BK18" i="7"/>
  <c r="J30" i="2"/>
  <c r="BC18" i="7"/>
  <c r="AD13" i="7"/>
  <c r="AD31" i="7"/>
  <c r="BJ22" i="7"/>
  <c r="I34" i="2"/>
  <c r="AH25" i="7"/>
  <c r="AH7" i="7"/>
  <c r="BC42" i="7"/>
  <c r="BK42" i="7"/>
  <c r="J63" i="2"/>
  <c r="BH40" i="7"/>
  <c r="G60" i="2"/>
  <c r="V3" i="7"/>
  <c r="V21" i="7"/>
  <c r="BI25" i="7"/>
  <c r="H37" i="2"/>
  <c r="BH9" i="7"/>
  <c r="G21" i="2"/>
  <c r="O13" i="7"/>
  <c r="Q5" i="7"/>
  <c r="O3" i="7"/>
  <c r="O24" i="7"/>
  <c r="S24" i="7" s="1"/>
  <c r="T24" i="7" s="1"/>
  <c r="O31" i="7"/>
  <c r="O21" i="7"/>
  <c r="O6" i="7"/>
  <c r="S6" i="7" s="1"/>
  <c r="T6" i="7" s="1"/>
  <c r="Q23" i="7"/>
  <c r="BH18" i="7"/>
  <c r="G30" i="2"/>
  <c r="BG8" i="7"/>
  <c r="F20" i="2"/>
  <c r="BH24" i="7"/>
  <c r="G36" i="2"/>
  <c r="AC26" i="7"/>
  <c r="AA30" i="7"/>
  <c r="AA12" i="7"/>
  <c r="AC8" i="7"/>
  <c r="BJ11" i="7"/>
  <c r="I23" i="2"/>
  <c r="U14" i="7"/>
  <c r="Y14" i="7" s="1"/>
  <c r="Z14" i="7" s="1"/>
  <c r="U32" i="7"/>
  <c r="Y32" i="7" s="1"/>
  <c r="Z32" i="7" s="1"/>
  <c r="BI37" i="7"/>
  <c r="H56" i="2"/>
  <c r="L13" i="7"/>
  <c r="L31" i="7"/>
  <c r="BG22" i="7"/>
  <c r="F34" i="2"/>
  <c r="BH8" i="7"/>
  <c r="G20" i="2"/>
  <c r="BI23" i="7"/>
  <c r="H35" i="2"/>
  <c r="J27" i="7"/>
  <c r="J9" i="7"/>
  <c r="BG16" i="7"/>
  <c r="F28" i="2"/>
  <c r="H41" i="2"/>
  <c r="AJ10" i="7"/>
  <c r="AJ12" i="7"/>
  <c r="AG11" i="7"/>
  <c r="AG29" i="7"/>
  <c r="AJ30" i="7"/>
  <c r="AJ28" i="7"/>
  <c r="BK28" i="7"/>
  <c r="J47" i="2"/>
  <c r="BC28" i="7"/>
  <c r="K47" i="2" s="1"/>
  <c r="Q21" i="7"/>
  <c r="Q3" i="7"/>
  <c r="BH39" i="7"/>
  <c r="G58" i="2"/>
  <c r="BG24" i="7"/>
  <c r="F36" i="2"/>
  <c r="BG40" i="7"/>
  <c r="F60" i="2"/>
  <c r="BJ47" i="7"/>
  <c r="I68" i="2"/>
  <c r="I23" i="7"/>
  <c r="I5" i="7"/>
  <c r="F46" i="2"/>
  <c r="BH2" i="7"/>
  <c r="G14" i="2"/>
  <c r="AH21" i="7"/>
  <c r="AH3" i="7"/>
  <c r="BK25" i="7"/>
  <c r="J37" i="2"/>
  <c r="BC25" i="7"/>
  <c r="BC56" i="7"/>
  <c r="BK56" i="7"/>
  <c r="J82" i="2"/>
  <c r="BG55" i="7"/>
  <c r="F81" i="2"/>
  <c r="BH44" i="7"/>
  <c r="G65" i="2"/>
  <c r="BG31" i="7"/>
  <c r="F50" i="2"/>
  <c r="AG12" i="7"/>
  <c r="AI26" i="7"/>
  <c r="AG30" i="7"/>
  <c r="AI8" i="7"/>
  <c r="BK11" i="7"/>
  <c r="J23" i="2"/>
  <c r="BC11" i="7"/>
  <c r="F75" i="2"/>
  <c r="BG52" i="7"/>
  <c r="AA28" i="7"/>
  <c r="AA10" i="7"/>
  <c r="BJ6" i="7"/>
  <c r="I18" i="2"/>
  <c r="U21" i="7"/>
  <c r="W5" i="7"/>
  <c r="X5" i="7"/>
  <c r="U6" i="7"/>
  <c r="Y6" i="7" s="1"/>
  <c r="Z6" i="7" s="1"/>
  <c r="U24" i="7"/>
  <c r="Y24" i="7" s="1"/>
  <c r="Z24" i="7" s="1"/>
  <c r="W23" i="7"/>
  <c r="X23" i="7"/>
  <c r="U31" i="7"/>
  <c r="U13" i="7"/>
  <c r="U3" i="7"/>
  <c r="BI18" i="7"/>
  <c r="H30" i="2"/>
  <c r="I14" i="7"/>
  <c r="M14" i="7" s="1"/>
  <c r="N14" i="7" s="1"/>
  <c r="I32" i="7"/>
  <c r="M32" i="7" s="1"/>
  <c r="N32" i="7" s="1"/>
  <c r="BG37" i="7"/>
  <c r="F56" i="2"/>
  <c r="AJ13" i="7"/>
  <c r="AJ31" i="7"/>
  <c r="BK22" i="7"/>
  <c r="J34" i="2"/>
  <c r="BC22" i="7"/>
  <c r="BK8" i="7"/>
  <c r="BC8" i="7"/>
  <c r="K20" i="2" s="1"/>
  <c r="J20" i="2"/>
  <c r="BJ5" i="7"/>
  <c r="I17" i="2"/>
  <c r="AH9" i="7"/>
  <c r="AH27" i="7"/>
  <c r="BK16" i="7"/>
  <c r="BC16" i="7"/>
  <c r="K28" i="2" s="1"/>
  <c r="J28" i="2"/>
  <c r="J41" i="2"/>
  <c r="L10" i="7"/>
  <c r="L12" i="7"/>
  <c r="I29" i="7"/>
  <c r="I11" i="7"/>
  <c r="L28" i="7"/>
  <c r="L30" i="7"/>
  <c r="BG28" i="7"/>
  <c r="F47" i="2"/>
  <c r="K21" i="7"/>
  <c r="K3" i="7"/>
  <c r="BG39" i="7"/>
  <c r="F58" i="2"/>
  <c r="BJ48" i="7"/>
  <c r="I69" i="2"/>
  <c r="BI40" i="7"/>
  <c r="H60" i="2"/>
  <c r="BI47" i="7"/>
  <c r="H68" i="2"/>
  <c r="U23" i="7"/>
  <c r="U5" i="7"/>
  <c r="H46" i="2"/>
  <c r="BK2" i="7"/>
  <c r="BC2" i="7"/>
  <c r="K14" i="2" s="1"/>
  <c r="J14" i="2"/>
  <c r="V5" i="7"/>
  <c r="V23" i="7"/>
  <c r="V13" i="7"/>
  <c r="V31" i="7"/>
  <c r="BI12" i="7"/>
  <c r="H24" i="2"/>
  <c r="BH56" i="7"/>
  <c r="G82" i="2"/>
  <c r="BH55" i="7"/>
  <c r="G81" i="2"/>
  <c r="BI44" i="7"/>
  <c r="H65" i="2"/>
  <c r="BI31" i="7"/>
  <c r="H50" i="2"/>
  <c r="BK51" i="7"/>
  <c r="BC51" i="7"/>
  <c r="K48" i="2" s="1"/>
  <c r="J74" i="2"/>
  <c r="BC52" i="7"/>
  <c r="BK52" i="7"/>
  <c r="J75" i="2"/>
  <c r="U10" i="7"/>
  <c r="U28" i="7"/>
  <c r="BI6" i="7"/>
  <c r="H18" i="2"/>
  <c r="AA24" i="7"/>
  <c r="AE24" i="7" s="1"/>
  <c r="AF24" i="7" s="1"/>
  <c r="AA21" i="7"/>
  <c r="AA3" i="7"/>
  <c r="AA6" i="7"/>
  <c r="AE6" i="7" s="1"/>
  <c r="AF6" i="7" s="1"/>
  <c r="AA31" i="7"/>
  <c r="AC23" i="7"/>
  <c r="AA13" i="7"/>
  <c r="AC5" i="7"/>
  <c r="BJ18" i="7"/>
  <c r="I30" i="2"/>
  <c r="X28" i="7"/>
  <c r="W28" i="7"/>
  <c r="W10" i="7"/>
  <c r="X10" i="7"/>
  <c r="BI33" i="7"/>
  <c r="H52" i="2"/>
  <c r="BJ56" i="7"/>
  <c r="I82" i="2"/>
  <c r="P25" i="7"/>
  <c r="P7" i="7"/>
  <c r="BH42" i="7"/>
  <c r="G63" i="2"/>
  <c r="BJ44" i="7"/>
  <c r="I65" i="2"/>
  <c r="AB9" i="7"/>
  <c r="AB27" i="7"/>
  <c r="AE27" i="7" s="1"/>
  <c r="AF27" i="7" s="1"/>
  <c r="BJ16" i="7"/>
  <c r="I28" i="2"/>
  <c r="BG9" i="7"/>
  <c r="F21" i="2"/>
  <c r="AA32" i="7"/>
  <c r="AE32" i="7" s="1"/>
  <c r="AF32" i="7" s="1"/>
  <c r="AA14" i="7"/>
  <c r="AE14" i="7" s="1"/>
  <c r="AF14" i="7" s="1"/>
  <c r="BJ37" i="7"/>
  <c r="I56" i="2"/>
  <c r="BJ41" i="7"/>
  <c r="I62" i="2"/>
  <c r="BH47" i="7"/>
  <c r="G68" i="2"/>
  <c r="BI2" i="7"/>
  <c r="H14" i="2"/>
  <c r="V28" i="7"/>
  <c r="V29" i="7"/>
  <c r="V11" i="7"/>
  <c r="V10" i="7"/>
  <c r="BI4" i="7"/>
  <c r="H16" i="2"/>
  <c r="BJ55" i="7"/>
  <c r="I81" i="2"/>
  <c r="BK9" i="7"/>
  <c r="BC9" i="7"/>
  <c r="J21" i="2"/>
  <c r="BJ31" i="7"/>
  <c r="I50" i="2"/>
  <c r="BI51" i="7"/>
  <c r="H74" i="2"/>
  <c r="W13" i="7"/>
  <c r="X13" i="7"/>
  <c r="X31" i="7"/>
  <c r="W31" i="7"/>
  <c r="BI62" i="7"/>
  <c r="H85" i="2"/>
  <c r="O10" i="7"/>
  <c r="O28" i="7"/>
  <c r="BH6" i="7"/>
  <c r="G18" i="2"/>
  <c r="AB30" i="7"/>
  <c r="AB12" i="7"/>
  <c r="I64" i="2"/>
  <c r="BJ43" i="7"/>
  <c r="V9" i="7"/>
  <c r="V27" i="7"/>
  <c r="BI16" i="7"/>
  <c r="H28" i="2"/>
  <c r="BG41" i="7"/>
  <c r="F62" i="2"/>
  <c r="AG5" i="7"/>
  <c r="AG23" i="7"/>
  <c r="J46" i="2"/>
  <c r="J11" i="7"/>
  <c r="J28" i="7"/>
  <c r="J29" i="7"/>
  <c r="J10" i="7"/>
  <c r="BG4" i="7"/>
  <c r="F16" i="2"/>
  <c r="K26" i="7"/>
  <c r="I12" i="7"/>
  <c r="K8" i="7"/>
  <c r="I30" i="7"/>
  <c r="BG11" i="7"/>
  <c r="F23" i="2"/>
  <c r="J30" i="7"/>
  <c r="J12" i="7"/>
  <c r="BG43" i="7"/>
  <c r="F64" i="2"/>
  <c r="K10" i="7"/>
  <c r="K28" i="7"/>
  <c r="BG33" i="7"/>
  <c r="F52" i="2"/>
  <c r="P9" i="7"/>
  <c r="P27" i="7"/>
  <c r="BH16" i="7"/>
  <c r="G28" i="2"/>
  <c r="BJ40" i="7"/>
  <c r="I60" i="2"/>
  <c r="AB3" i="7"/>
  <c r="AB21" i="7"/>
  <c r="BJ25" i="7"/>
  <c r="I37" i="2"/>
  <c r="O14" i="7"/>
  <c r="S14" i="7" s="1"/>
  <c r="T14" i="7" s="1"/>
  <c r="O32" i="7"/>
  <c r="S32" i="7" s="1"/>
  <c r="T32" i="7" s="1"/>
  <c r="BH37" i="7"/>
  <c r="G56" i="2"/>
  <c r="BJ8" i="7"/>
  <c r="I20" i="2"/>
  <c r="G41" i="2"/>
  <c r="BK41" i="7"/>
  <c r="BC41" i="7"/>
  <c r="J62" i="2"/>
  <c r="BI48" i="7"/>
  <c r="H69" i="2"/>
  <c r="BK40" i="7"/>
  <c r="J60" i="2"/>
  <c r="BC40" i="7"/>
  <c r="K29" i="2" s="1"/>
  <c r="BG47" i="7"/>
  <c r="F68" i="2"/>
  <c r="BJ2" i="7"/>
  <c r="I14" i="2"/>
  <c r="J31" i="7"/>
  <c r="J23" i="7"/>
  <c r="J5" i="7"/>
  <c r="J13" i="7"/>
  <c r="BG12" i="7"/>
  <c r="F24" i="2"/>
  <c r="BG56" i="7"/>
  <c r="F82" i="2"/>
  <c r="BK55" i="7"/>
  <c r="BC55" i="7"/>
  <c r="K54" i="2" s="1"/>
  <c r="J81" i="2"/>
  <c r="BK31" i="7"/>
  <c r="BC31" i="7"/>
  <c r="J50" i="2"/>
  <c r="BJ51" i="7"/>
  <c r="I74" i="2"/>
  <c r="BJ52" i="7"/>
  <c r="I75" i="2"/>
  <c r="I10" i="7"/>
  <c r="I28" i="7"/>
  <c r="BG6" i="7"/>
  <c r="F18" i="2"/>
  <c r="AH30" i="7"/>
  <c r="AH12" i="7"/>
  <c r="BK43" i="7"/>
  <c r="J64" i="2"/>
  <c r="BC43" i="7"/>
  <c r="AC28" i="7"/>
  <c r="AC10" i="7"/>
  <c r="BJ33" i="7"/>
  <c r="I52" i="2"/>
  <c r="U25" i="7"/>
  <c r="U7" i="7"/>
  <c r="U8" i="7"/>
  <c r="U26" i="7"/>
  <c r="BI3" i="7"/>
  <c r="H15" i="2"/>
  <c r="BI8" i="7"/>
  <c r="H20" i="2"/>
  <c r="BK5" i="7"/>
  <c r="J17" i="2"/>
  <c r="BC5" i="7"/>
  <c r="K17" i="2" s="1"/>
  <c r="J25" i="7"/>
  <c r="J7" i="7"/>
  <c r="BG42" i="7"/>
  <c r="F63" i="2"/>
  <c r="F41" i="2"/>
  <c r="W3" i="7"/>
  <c r="X21" i="7"/>
  <c r="W21" i="7"/>
  <c r="X3" i="7"/>
  <c r="BI39" i="7"/>
  <c r="H58" i="2"/>
  <c r="BK48" i="7"/>
  <c r="BC48" i="7"/>
  <c r="K69" i="2" s="1"/>
  <c r="J69" i="2"/>
  <c r="BK63" i="7"/>
  <c r="BC63" i="7"/>
  <c r="J86" i="2"/>
  <c r="BI57" i="7"/>
  <c r="H84" i="2"/>
  <c r="AH31" i="7"/>
  <c r="AH23" i="7"/>
  <c r="AH13" i="7"/>
  <c r="AH5" i="7"/>
  <c r="BK12" i="7"/>
  <c r="J24" i="2"/>
  <c r="BC12" i="7"/>
  <c r="Q28" i="7"/>
  <c r="Q10" i="7"/>
  <c r="BH33" i="7"/>
  <c r="G52" i="2"/>
  <c r="AG14" i="7"/>
  <c r="AK14" i="7" s="1"/>
  <c r="AG32" i="7"/>
  <c r="AK32" i="7" s="1"/>
  <c r="BK37" i="7"/>
  <c r="BC37" i="7"/>
  <c r="K25" i="2" s="1"/>
  <c r="J56" i="2"/>
  <c r="AA25" i="7"/>
  <c r="AA7" i="7"/>
  <c r="AA26" i="7"/>
  <c r="AD11" i="7"/>
  <c r="AD29" i="7"/>
  <c r="AA8" i="7"/>
  <c r="BJ3" i="7"/>
  <c r="I15" i="2"/>
  <c r="BG23" i="7"/>
  <c r="F35" i="2"/>
  <c r="BH5" i="7"/>
  <c r="G17" i="2"/>
  <c r="V25" i="7"/>
  <c r="V7" i="7"/>
  <c r="BI42" i="7"/>
  <c r="H63" i="2"/>
  <c r="I41" i="2"/>
  <c r="BH41" i="7"/>
  <c r="G62" i="2"/>
  <c r="BJ24" i="7"/>
  <c r="I36" i="2"/>
  <c r="BG48" i="7"/>
  <c r="F69" i="2"/>
  <c r="BJ63" i="7"/>
  <c r="I86" i="2"/>
  <c r="BK47" i="7"/>
  <c r="BC47" i="7"/>
  <c r="J68" i="2"/>
  <c r="BK57" i="7"/>
  <c r="BC57" i="7"/>
  <c r="J84" i="2"/>
  <c r="P21" i="7"/>
  <c r="P3" i="7"/>
  <c r="BH25" i="7"/>
  <c r="G37" i="2"/>
  <c r="P13" i="7"/>
  <c r="P5" i="7"/>
  <c r="P23" i="7"/>
  <c r="P31" i="7"/>
  <c r="BH12" i="7"/>
  <c r="G24" i="2"/>
  <c r="AB11" i="7"/>
  <c r="AB28" i="7"/>
  <c r="AB29" i="7"/>
  <c r="AB10" i="7"/>
  <c r="BJ4" i="7"/>
  <c r="I16" i="2"/>
  <c r="BI55" i="7"/>
  <c r="H81" i="2"/>
  <c r="BJ9" i="7"/>
  <c r="I21" i="2"/>
  <c r="X26" i="7"/>
  <c r="U12" i="7"/>
  <c r="W26" i="7"/>
  <c r="U30" i="7"/>
  <c r="W8" i="7"/>
  <c r="X8" i="7"/>
  <c r="BI11" i="7"/>
  <c r="H23" i="2"/>
  <c r="BG51" i="7"/>
  <c r="F74" i="2"/>
  <c r="Q31" i="7"/>
  <c r="Q13" i="7"/>
  <c r="BH62" i="7"/>
  <c r="G85" i="2"/>
  <c r="AG10" i="7"/>
  <c r="AG28" i="7"/>
  <c r="BK6" i="7"/>
  <c r="J18" i="2"/>
  <c r="BC6" i="7"/>
  <c r="P30" i="7"/>
  <c r="P12" i="7"/>
  <c r="BH43" i="7"/>
  <c r="G64" i="2"/>
  <c r="O8" i="7"/>
  <c r="O7" i="7"/>
  <c r="O26" i="7"/>
  <c r="R29" i="7"/>
  <c r="O25" i="7"/>
  <c r="R11" i="7"/>
  <c r="BH3" i="7"/>
  <c r="G15" i="2"/>
  <c r="U11" i="7"/>
  <c r="U29" i="7"/>
  <c r="BI28" i="7"/>
  <c r="H47" i="2"/>
  <c r="BG63" i="7"/>
  <c r="F86" i="2"/>
  <c r="BK44" i="7"/>
  <c r="BC44" i="7"/>
  <c r="J65" i="2"/>
  <c r="AC31" i="7"/>
  <c r="AC13" i="7"/>
  <c r="BJ62" i="7"/>
  <c r="I85" i="2"/>
  <c r="R13" i="7"/>
  <c r="R31" i="7"/>
  <c r="BH22" i="7"/>
  <c r="G34" i="2"/>
  <c r="AA29" i="7"/>
  <c r="AD28" i="7"/>
  <c r="AD10" i="7"/>
  <c r="AD12" i="7"/>
  <c r="AD30" i="7"/>
  <c r="AA11" i="7"/>
  <c r="BJ28" i="7"/>
  <c r="I47" i="2"/>
  <c r="BI63" i="7"/>
  <c r="H86" i="2"/>
  <c r="BG2" i="7"/>
  <c r="F14" i="2"/>
  <c r="P10" i="7"/>
  <c r="P29" i="7"/>
  <c r="P28" i="7"/>
  <c r="P11" i="7"/>
  <c r="BH4" i="7"/>
  <c r="G16" i="2"/>
  <c r="K13" i="7"/>
  <c r="K31" i="7"/>
  <c r="BG62" i="7"/>
  <c r="F85" i="2"/>
  <c r="I25" i="7"/>
  <c r="I8" i="7"/>
  <c r="I7" i="7"/>
  <c r="L29" i="7"/>
  <c r="I26" i="7"/>
  <c r="L11" i="7"/>
  <c r="BG3" i="7"/>
  <c r="F15" i="2"/>
  <c r="BI5" i="7"/>
  <c r="H17" i="2"/>
  <c r="AI3" i="7"/>
  <c r="AI21" i="7"/>
  <c r="BK39" i="7"/>
  <c r="J58" i="2"/>
  <c r="BC39" i="7"/>
  <c r="BJ57" i="7"/>
  <c r="I84" i="2"/>
  <c r="AI28" i="7"/>
  <c r="AI10" i="7"/>
  <c r="BK33" i="7"/>
  <c r="J52" i="2"/>
  <c r="BC33" i="7"/>
  <c r="BI22" i="7"/>
  <c r="H34" i="2"/>
  <c r="AJ11" i="7"/>
  <c r="AG8" i="7"/>
  <c r="AG26" i="7"/>
  <c r="AJ29" i="7"/>
  <c r="AG7" i="7"/>
  <c r="AG25" i="7"/>
  <c r="BK3" i="7"/>
  <c r="J15" i="2"/>
  <c r="BC3" i="7"/>
  <c r="K15" i="2" s="1"/>
  <c r="BH23" i="7"/>
  <c r="G35" i="2"/>
  <c r="BG5" i="7"/>
  <c r="F17" i="2"/>
  <c r="AB25" i="7"/>
  <c r="AB7" i="7"/>
  <c r="BJ42" i="7"/>
  <c r="I63" i="2"/>
  <c r="O11" i="7"/>
  <c r="O29" i="7"/>
  <c r="R30" i="7"/>
  <c r="R28" i="7"/>
  <c r="R10" i="7"/>
  <c r="R12" i="7"/>
  <c r="BH28" i="7"/>
  <c r="G47" i="2"/>
  <c r="BI41" i="7"/>
  <c r="H62" i="2"/>
  <c r="BI24" i="7"/>
  <c r="H36" i="2"/>
  <c r="BH48" i="7"/>
  <c r="G69" i="2"/>
  <c r="BH63" i="7"/>
  <c r="G86" i="2"/>
  <c r="O23" i="7"/>
  <c r="O5" i="7"/>
  <c r="G46" i="2"/>
  <c r="BH57" i="7"/>
  <c r="G84" i="2"/>
  <c r="J21" i="7"/>
  <c r="J3" i="7"/>
  <c r="BG25" i="7"/>
  <c r="F37" i="2"/>
  <c r="AB23" i="7"/>
  <c r="AB31" i="7"/>
  <c r="AB5" i="7"/>
  <c r="AB13" i="7"/>
  <c r="BJ12" i="7"/>
  <c r="I24" i="2"/>
  <c r="AH29" i="7"/>
  <c r="AH11" i="7"/>
  <c r="AH10" i="7"/>
  <c r="AH28" i="7"/>
  <c r="BK4" i="7"/>
  <c r="BC4" i="7"/>
  <c r="K16" i="2" s="1"/>
  <c r="J16" i="2"/>
  <c r="BG44" i="7"/>
  <c r="F65" i="2"/>
  <c r="BI9" i="7"/>
  <c r="H21" i="2"/>
  <c r="Q8" i="7"/>
  <c r="Q26" i="7"/>
  <c r="O30" i="7"/>
  <c r="O12" i="7"/>
  <c r="BH11" i="7"/>
  <c r="G23" i="2"/>
  <c r="BH51" i="7"/>
  <c r="G74" i="2"/>
  <c r="AI31" i="7"/>
  <c r="AI13" i="7"/>
  <c r="BK62" i="7"/>
  <c r="BC62" i="7"/>
  <c r="J85" i="2"/>
  <c r="I3" i="7"/>
  <c r="K23" i="7"/>
  <c r="I6" i="7"/>
  <c r="M6" i="7" s="1"/>
  <c r="N6" i="7" s="1"/>
  <c r="I24" i="7"/>
  <c r="M24" i="7" s="1"/>
  <c r="N24" i="7" s="1"/>
  <c r="I13" i="7"/>
  <c r="I31" i="7"/>
  <c r="K5" i="7"/>
  <c r="I21" i="7"/>
  <c r="BG18" i="7"/>
  <c r="F30" i="2"/>
  <c r="V12" i="7"/>
  <c r="V30" i="7"/>
  <c r="H64" i="2"/>
  <c r="BI43" i="7"/>
  <c r="M9" i="7" l="1"/>
  <c r="N9" i="7" s="1"/>
  <c r="S27" i="7"/>
  <c r="T27" i="7" s="1"/>
  <c r="K68" i="2"/>
  <c r="K34" i="2"/>
  <c r="K51" i="2"/>
  <c r="K35" i="2"/>
  <c r="K46" i="2"/>
  <c r="K36" i="2"/>
  <c r="Y9" i="7"/>
  <c r="Z9" i="7" s="1"/>
  <c r="K58" i="2"/>
  <c r="M27" i="7"/>
  <c r="N27" i="7" s="1"/>
  <c r="AK26" i="7"/>
  <c r="AL26" i="7" s="1"/>
  <c r="AE29" i="7"/>
  <c r="AF29" i="7" s="1"/>
  <c r="AK25" i="7"/>
  <c r="AL25" i="7" s="1"/>
  <c r="AK9" i="7"/>
  <c r="AL9" i="7" s="1"/>
  <c r="AK8" i="7"/>
  <c r="AL8" i="7" s="1"/>
  <c r="AE9" i="7"/>
  <c r="AF9" i="7" s="1"/>
  <c r="M26" i="7"/>
  <c r="N26" i="7" s="1"/>
  <c r="Y27" i="7"/>
  <c r="Z27" i="7" s="1"/>
  <c r="K64" i="2"/>
  <c r="K33" i="2"/>
  <c r="S9" i="7"/>
  <c r="T9" i="7" s="1"/>
  <c r="AL4" i="7"/>
  <c r="AM4" i="7"/>
  <c r="K75" i="2"/>
  <c r="K49" i="2"/>
  <c r="AK27" i="7"/>
  <c r="K63" i="2"/>
  <c r="K32" i="2"/>
  <c r="K62" i="2"/>
  <c r="K31" i="2"/>
  <c r="K82" i="2"/>
  <c r="K55" i="2"/>
  <c r="K84" i="2"/>
  <c r="K57" i="2"/>
  <c r="AL22" i="7"/>
  <c r="AM22" i="7"/>
  <c r="K21" i="2"/>
  <c r="K30" i="2"/>
  <c r="K23" i="2"/>
  <c r="K37" i="2"/>
  <c r="K86" i="2"/>
  <c r="K74" i="2"/>
  <c r="S23" i="7"/>
  <c r="T23" i="7" s="1"/>
  <c r="M3" i="7"/>
  <c r="N3" i="7" s="1"/>
  <c r="Y11" i="7"/>
  <c r="Z11" i="7" s="1"/>
  <c r="S12" i="7"/>
  <c r="T12" i="7" s="1"/>
  <c r="AE11" i="7"/>
  <c r="AF11" i="7" s="1"/>
  <c r="I78" i="2" s="1"/>
  <c r="M13" i="7"/>
  <c r="N13" i="7" s="1"/>
  <c r="S25" i="7"/>
  <c r="T25" i="7" s="1"/>
  <c r="Y25" i="7"/>
  <c r="Z25" i="7" s="1"/>
  <c r="M8" i="7"/>
  <c r="N8" i="7" s="1"/>
  <c r="F73" i="2" s="1"/>
  <c r="S7" i="7"/>
  <c r="T7" i="7" s="1"/>
  <c r="I43" i="2"/>
  <c r="AK11" i="7"/>
  <c r="AL11" i="7" s="1"/>
  <c r="M25" i="7"/>
  <c r="N25" i="7" s="1"/>
  <c r="AK10" i="7"/>
  <c r="AL10" i="7" s="1"/>
  <c r="AE26" i="7"/>
  <c r="AF26" i="7" s="1"/>
  <c r="Y30" i="7"/>
  <c r="Z30" i="7" s="1"/>
  <c r="M12" i="7"/>
  <c r="N12" i="7" s="1"/>
  <c r="F43" i="2"/>
  <c r="M31" i="7"/>
  <c r="N31" i="7" s="1"/>
  <c r="S30" i="7"/>
  <c r="T30" i="7" s="1"/>
  <c r="AE7" i="7"/>
  <c r="AF7" i="7" s="1"/>
  <c r="AE25" i="7"/>
  <c r="AF25" i="7" s="1"/>
  <c r="M30" i="7"/>
  <c r="N30" i="7" s="1"/>
  <c r="AE3" i="7"/>
  <c r="AF3" i="7" s="1"/>
  <c r="Y5" i="7"/>
  <c r="Z5" i="7" s="1"/>
  <c r="M11" i="7"/>
  <c r="N11" i="7" s="1"/>
  <c r="AE10" i="7"/>
  <c r="AF10" i="7" s="1"/>
  <c r="AK30" i="7"/>
  <c r="AE12" i="7"/>
  <c r="AF12" i="7" s="1"/>
  <c r="S13" i="7"/>
  <c r="T13" i="7" s="1"/>
  <c r="K52" i="2"/>
  <c r="AE21" i="7"/>
  <c r="AF21" i="7" s="1"/>
  <c r="Y23" i="7"/>
  <c r="Z23" i="7" s="1"/>
  <c r="M29" i="7"/>
  <c r="N29" i="7" s="1"/>
  <c r="AE28" i="7"/>
  <c r="AF28" i="7" s="1"/>
  <c r="AE30" i="7"/>
  <c r="AF30" i="7" s="1"/>
  <c r="AK3" i="7"/>
  <c r="K81" i="2"/>
  <c r="K56" i="2"/>
  <c r="K27" i="2"/>
  <c r="K24" i="2"/>
  <c r="K65" i="2"/>
  <c r="K50" i="2"/>
  <c r="AK12" i="7"/>
  <c r="AK13" i="7"/>
  <c r="S26" i="7"/>
  <c r="T26" i="7" s="1"/>
  <c r="Y12" i="7"/>
  <c r="Z12" i="7" s="1"/>
  <c r="Y7" i="7"/>
  <c r="Z7" i="7" s="1"/>
  <c r="AE8" i="7"/>
  <c r="AF8" i="7" s="1"/>
  <c r="M7" i="7"/>
  <c r="N7" i="7" s="1"/>
  <c r="M28" i="7"/>
  <c r="N28" i="7" s="1"/>
  <c r="K85" i="2"/>
  <c r="K60" i="2"/>
  <c r="S21" i="7"/>
  <c r="T21" i="7" s="1"/>
  <c r="AL24" i="7"/>
  <c r="AM24" i="7"/>
  <c r="K19" i="2"/>
  <c r="K18" i="2"/>
  <c r="S5" i="7"/>
  <c r="T5" i="7" s="1"/>
  <c r="S29" i="7"/>
  <c r="T29" i="7" s="1"/>
  <c r="Y29" i="7"/>
  <c r="Z29" i="7" s="1"/>
  <c r="AL32" i="7"/>
  <c r="AM32" i="7"/>
  <c r="Y26" i="7"/>
  <c r="Z26" i="7" s="1"/>
  <c r="M10" i="7"/>
  <c r="N10" i="7" s="1"/>
  <c r="S28" i="7"/>
  <c r="T28" i="7" s="1"/>
  <c r="AE13" i="7"/>
  <c r="AF13" i="7" s="1"/>
  <c r="Y3" i="7"/>
  <c r="Z3" i="7" s="1"/>
  <c r="S31" i="7"/>
  <c r="T31" i="7" s="1"/>
  <c r="AK7" i="7"/>
  <c r="AL6" i="7"/>
  <c r="D43" i="2" s="1"/>
  <c r="AM6" i="7"/>
  <c r="S8" i="7"/>
  <c r="T8" i="7" s="1"/>
  <c r="AK28" i="7"/>
  <c r="AL14" i="7"/>
  <c r="D83" i="2" s="1"/>
  <c r="AM14" i="7"/>
  <c r="Y8" i="7"/>
  <c r="Z8" i="7" s="1"/>
  <c r="AK23" i="7"/>
  <c r="S10" i="7"/>
  <c r="T10" i="7" s="1"/>
  <c r="Y28" i="7"/>
  <c r="Z28" i="7" s="1"/>
  <c r="Y13" i="7"/>
  <c r="Z13" i="7" s="1"/>
  <c r="Y21" i="7"/>
  <c r="Z21" i="7" s="1"/>
  <c r="M5" i="7"/>
  <c r="N5" i="7" s="1"/>
  <c r="AK21" i="7"/>
  <c r="AE5" i="7"/>
  <c r="AF5" i="7" s="1"/>
  <c r="S11" i="7"/>
  <c r="T11" i="7" s="1"/>
  <c r="M21" i="7"/>
  <c r="N21" i="7" s="1"/>
  <c r="AK5" i="7"/>
  <c r="AE31" i="7"/>
  <c r="AF31" i="7" s="1"/>
  <c r="Y10" i="7"/>
  <c r="Z10" i="7" s="1"/>
  <c r="Y31" i="7"/>
  <c r="Z31" i="7" s="1"/>
  <c r="M23" i="7"/>
  <c r="N23" i="7" s="1"/>
  <c r="AK29" i="7"/>
  <c r="S3" i="7"/>
  <c r="T3" i="7" s="1"/>
  <c r="AK31" i="7"/>
  <c r="AE23" i="7"/>
  <c r="AF23" i="7" s="1"/>
  <c r="AM27" i="7" l="1"/>
  <c r="AL27" i="7"/>
  <c r="AM9" i="7"/>
  <c r="J67" i="2"/>
  <c r="BK65" i="7"/>
  <c r="BC65" i="7"/>
  <c r="BG70" i="7"/>
  <c r="BI70" i="7"/>
  <c r="BH70" i="7"/>
  <c r="D71" i="2"/>
  <c r="I76" i="2"/>
  <c r="C43" i="2"/>
  <c r="BG64" i="7"/>
  <c r="I79" i="2"/>
  <c r="G59" i="2"/>
  <c r="F80" i="2"/>
  <c r="BI71" i="7"/>
  <c r="BJ72" i="7"/>
  <c r="BG68" i="7"/>
  <c r="BJ68" i="7"/>
  <c r="BG67" i="7"/>
  <c r="I80" i="2"/>
  <c r="BJ67" i="7"/>
  <c r="F71" i="2"/>
  <c r="AM10" i="7"/>
  <c r="I70" i="2"/>
  <c r="AM25" i="7"/>
  <c r="BI68" i="7"/>
  <c r="G80" i="2"/>
  <c r="E43" i="2"/>
  <c r="G71" i="2"/>
  <c r="AM21" i="7"/>
  <c r="AL21" i="7"/>
  <c r="E66" i="2" s="1"/>
  <c r="AM23" i="7"/>
  <c r="AL23" i="7"/>
  <c r="J73" i="2"/>
  <c r="AL12" i="7"/>
  <c r="AM12" i="7"/>
  <c r="F83" i="2"/>
  <c r="BG75" i="7"/>
  <c r="G43" i="2"/>
  <c r="BH67" i="7"/>
  <c r="H43" i="2"/>
  <c r="BI67" i="7"/>
  <c r="H71" i="2"/>
  <c r="G73" i="2"/>
  <c r="AM8" i="7"/>
  <c r="H66" i="2"/>
  <c r="H73" i="2"/>
  <c r="E73" i="2"/>
  <c r="F61" i="2"/>
  <c r="BG69" i="7"/>
  <c r="F78" i="2"/>
  <c r="AL29" i="7"/>
  <c r="J78" i="2" s="1"/>
  <c r="AM29" i="7"/>
  <c r="E71" i="2"/>
  <c r="AM28" i="7"/>
  <c r="AL28" i="7"/>
  <c r="AL13" i="7"/>
  <c r="D80" i="2" s="1"/>
  <c r="AM13" i="7"/>
  <c r="H70" i="2"/>
  <c r="AM11" i="7"/>
  <c r="I83" i="2"/>
  <c r="BJ75" i="7"/>
  <c r="G66" i="2"/>
  <c r="H83" i="2"/>
  <c r="BI75" i="7"/>
  <c r="I66" i="2"/>
  <c r="AL5" i="7"/>
  <c r="D70" i="2" s="1"/>
  <c r="AM5" i="7"/>
  <c r="H78" i="2"/>
  <c r="AL3" i="7"/>
  <c r="AM3" i="7"/>
  <c r="I71" i="2"/>
  <c r="AL30" i="7"/>
  <c r="AM30" i="7"/>
  <c r="AM7" i="7"/>
  <c r="AL7" i="7"/>
  <c r="D59" i="2" s="1"/>
  <c r="I42" i="2"/>
  <c r="G42" i="2"/>
  <c r="H72" i="2"/>
  <c r="AL31" i="7"/>
  <c r="AM31" i="7"/>
  <c r="AM26" i="7"/>
  <c r="I77" i="2"/>
  <c r="BJ73" i="7"/>
  <c r="G83" i="2"/>
  <c r="BH75" i="7"/>
  <c r="BG74" i="7" l="1"/>
  <c r="K38" i="2"/>
  <c r="K67" i="2"/>
  <c r="BJ70" i="7"/>
  <c r="D72" i="2"/>
  <c r="I72" i="2"/>
  <c r="D77" i="2"/>
  <c r="D79" i="2"/>
  <c r="BH72" i="7"/>
  <c r="G78" i="2"/>
  <c r="BH73" i="7"/>
  <c r="G79" i="2"/>
  <c r="H77" i="2"/>
  <c r="H79" i="2"/>
  <c r="F77" i="2"/>
  <c r="F79" i="2"/>
  <c r="I61" i="2"/>
  <c r="I73" i="2"/>
  <c r="D61" i="2"/>
  <c r="D73" i="2"/>
  <c r="BJ66" i="7"/>
  <c r="BK70" i="7"/>
  <c r="F13" i="2"/>
  <c r="F66" i="2"/>
  <c r="BH66" i="7"/>
  <c r="G70" i="2"/>
  <c r="D13" i="2"/>
  <c r="D66" i="2"/>
  <c r="D76" i="2"/>
  <c r="D78" i="2"/>
  <c r="F42" i="2"/>
  <c r="F70" i="2"/>
  <c r="C71" i="2"/>
  <c r="I59" i="2"/>
  <c r="BI73" i="7"/>
  <c r="F59" i="2"/>
  <c r="BH74" i="7"/>
  <c r="BH68" i="7"/>
  <c r="BJ71" i="7"/>
  <c r="G77" i="2"/>
  <c r="G76" i="2"/>
  <c r="J80" i="2"/>
  <c r="BG73" i="7"/>
  <c r="BJ74" i="7"/>
  <c r="BG66" i="7"/>
  <c r="BJ69" i="7"/>
  <c r="E80" i="2"/>
  <c r="H59" i="2"/>
  <c r="F76" i="2"/>
  <c r="BG72" i="7"/>
  <c r="H42" i="2"/>
  <c r="BI66" i="7"/>
  <c r="H13" i="2"/>
  <c r="BI64" i="7"/>
  <c r="H76" i="2"/>
  <c r="BI72" i="7"/>
  <c r="J79" i="2"/>
  <c r="E79" i="2"/>
  <c r="C83" i="2"/>
  <c r="E83" i="2"/>
  <c r="G61" i="2"/>
  <c r="BH69" i="7"/>
  <c r="J43" i="2"/>
  <c r="BK67" i="7"/>
  <c r="BC67" i="7"/>
  <c r="K43" i="2" s="1"/>
  <c r="I13" i="2"/>
  <c r="BJ64" i="7"/>
  <c r="E61" i="2"/>
  <c r="D42" i="2"/>
  <c r="G72" i="2"/>
  <c r="BH71" i="7"/>
  <c r="BK72" i="7"/>
  <c r="BC72" i="7"/>
  <c r="H61" i="2"/>
  <c r="BI69" i="7"/>
  <c r="C59" i="2"/>
  <c r="E59" i="2"/>
  <c r="J61" i="2"/>
  <c r="BC69" i="7"/>
  <c r="BK69" i="7"/>
  <c r="F72" i="2"/>
  <c r="BG71" i="7"/>
  <c r="E13" i="2"/>
  <c r="J66" i="2"/>
  <c r="H80" i="2"/>
  <c r="BI74" i="7"/>
  <c r="BH64" i="7"/>
  <c r="G13" i="2"/>
  <c r="J83" i="2"/>
  <c r="BC75" i="7"/>
  <c r="K83" i="2" s="1"/>
  <c r="BK75" i="7"/>
  <c r="J71" i="2"/>
  <c r="D87" i="2" l="1"/>
  <c r="K78" i="2"/>
  <c r="K61" i="2"/>
  <c r="K73" i="2"/>
  <c r="J76" i="2"/>
  <c r="C61" i="2"/>
  <c r="C73" i="2"/>
  <c r="BC66" i="7"/>
  <c r="J70" i="2"/>
  <c r="BC70" i="7"/>
  <c r="K71" i="2" s="1"/>
  <c r="E78" i="2"/>
  <c r="C13" i="2"/>
  <c r="C66" i="2"/>
  <c r="E42" i="2"/>
  <c r="E70" i="2"/>
  <c r="BK74" i="7"/>
  <c r="BC74" i="7"/>
  <c r="K80" i="2" s="1"/>
  <c r="C80" i="2"/>
  <c r="BG76" i="7"/>
  <c r="C8" i="2" s="1"/>
  <c r="C9" i="2" s="1"/>
  <c r="BJ76" i="7"/>
  <c r="F8" i="2" s="1"/>
  <c r="F9" i="2" s="1"/>
  <c r="J42" i="2"/>
  <c r="E76" i="2"/>
  <c r="BH76" i="7"/>
  <c r="D8" i="2" s="1"/>
  <c r="D9" i="2" s="1"/>
  <c r="BK66" i="7"/>
  <c r="J72" i="2"/>
  <c r="BK71" i="7"/>
  <c r="BC71" i="7"/>
  <c r="BI76" i="7"/>
  <c r="E8" i="2" s="1"/>
  <c r="E9" i="2" s="1"/>
  <c r="C72" i="2"/>
  <c r="E72" i="2"/>
  <c r="J59" i="2"/>
  <c r="BK68" i="7"/>
  <c r="BC68" i="7"/>
  <c r="K59" i="2" s="1"/>
  <c r="E77" i="2"/>
  <c r="J77" i="2"/>
  <c r="BK73" i="7"/>
  <c r="BC73" i="7"/>
  <c r="BK64" i="7"/>
  <c r="J13" i="2"/>
  <c r="BC64" i="7"/>
  <c r="E87" i="2" l="1"/>
  <c r="K72" i="2"/>
  <c r="K76" i="2"/>
  <c r="K42" i="2"/>
  <c r="K70" i="2"/>
  <c r="K77" i="2"/>
  <c r="K79" i="2"/>
  <c r="C42" i="2"/>
  <c r="C70" i="2"/>
  <c r="C77" i="2"/>
  <c r="C79" i="2"/>
  <c r="K13" i="2"/>
  <c r="K66" i="2"/>
  <c r="C76" i="2"/>
  <c r="C78" i="2"/>
  <c r="BK76" i="7"/>
  <c r="G8" i="2" s="1"/>
  <c r="G9" i="2" s="1"/>
  <c r="C87" i="2" l="1"/>
</calcChain>
</file>

<file path=xl/sharedStrings.xml><?xml version="1.0" encoding="utf-8"?>
<sst xmlns="http://schemas.openxmlformats.org/spreadsheetml/2006/main" count="787" uniqueCount="343">
  <si>
    <t>Phase</t>
  </si>
  <si>
    <t>Minimal</t>
  </si>
  <si>
    <t>Stress</t>
  </si>
  <si>
    <t>Severe</t>
  </si>
  <si>
    <t>Extreme</t>
  </si>
  <si>
    <t>Catastrophic</t>
  </si>
  <si>
    <t>Profile</t>
  </si>
  <si>
    <t>Total population</t>
  </si>
  <si>
    <t>Affected</t>
  </si>
  <si>
    <t>PiN</t>
  </si>
  <si>
    <t>Urgent PiN</t>
  </si>
  <si>
    <t xml:space="preserve">PIN </t>
  </si>
  <si>
    <t>% PIN</t>
  </si>
  <si>
    <t>Severity Scoring</t>
  </si>
  <si>
    <t>District</t>
  </si>
  <si>
    <t>Total</t>
  </si>
  <si>
    <t>Non-displaced</t>
  </si>
  <si>
    <t>Displaced</t>
  </si>
  <si>
    <t>Severity Class</t>
  </si>
  <si>
    <t>Name</t>
  </si>
  <si>
    <t>Key reference outcome</t>
  </si>
  <si>
    <t>Potential Response objectives</t>
  </si>
  <si>
    <t>None / Minimal</t>
  </si>
  <si>
    <t>●        Living Standards are acceptable (taking into account the context): possibility of having some signs of deterioration and/or inadequate social basic services, possible needs for strengthening the Legal framework.</t>
  </si>
  <si>
    <t>Building</t>
  </si>
  <si>
    <t>Afgooye</t>
  </si>
  <si>
    <t>●        Ability to afford/meet all essential basic needs without adopting unsustainable Coping Mechanisms (such as erosion/depletion of assets).</t>
  </si>
  <si>
    <t>Resilience</t>
  </si>
  <si>
    <t>Afmadow</t>
  </si>
  <si>
    <t>●         No or minimal/low risk of impact on Physical and Mental Wellbeing.</t>
  </si>
  <si>
    <t>&amp;</t>
  </si>
  <si>
    <t>Baardheere</t>
  </si>
  <si>
    <t xml:space="preserve"> Supporting</t>
  </si>
  <si>
    <t>Badhaadhe</t>
  </si>
  <si>
    <t>Disaster Risk Reduction</t>
  </si>
  <si>
    <t>Baidoa</t>
  </si>
  <si>
    <t>●        Living Standards under stress, leading to adoption of coping strategies (that reduce ability to protect or invest in livelihoods).</t>
  </si>
  <si>
    <t>Supporting</t>
  </si>
  <si>
    <t>Baki</t>
  </si>
  <si>
    <t>●        Inability to afford/meet some basic needs without adopting stressed, unsustainable and/or short-term reversible Coping Mechanisms.</t>
  </si>
  <si>
    <t>Balcad</t>
  </si>
  <si>
    <t>●        Minimal impact on Physical and Mental Wellbeing (stressed Physical and Mental Wellbeing) overall.</t>
  </si>
  <si>
    <t xml:space="preserve"> &amp;</t>
  </si>
  <si>
    <t>Banadir</t>
  </si>
  <si>
    <t>●        Possibility of having some localized/targeted incidents of violence (including human rights violations).</t>
  </si>
  <si>
    <t xml:space="preserve"> Protecting</t>
  </si>
  <si>
    <t>Livelihoods</t>
  </si>
  <si>
    <t>Baraawe</t>
  </si>
  <si>
    <t>●        Degrading Living Standards (from usual/typical), leading to adoption of negative Coping Mechanisms with threat of irreversible harm (such as accelerated erosion/depletion of assets). Reduced access/availability of social/basic goods and services</t>
  </si>
  <si>
    <t>Protecting</t>
  </si>
  <si>
    <t>●        Inability to meet some basic needs without adopting crisis/emergency - short/medium term irreversible - Coping Mechanisms.</t>
  </si>
  <si>
    <t>●        Degrading Physical and Mental Wellbeing. Physical and mental harm resulting in a loss of dignity.</t>
  </si>
  <si>
    <t>Berbera</t>
  </si>
  <si>
    <t xml:space="preserve"> Preventing &amp; Mitigating</t>
  </si>
  <si>
    <t>Borama</t>
  </si>
  <si>
    <t>Risk of extreme deterioration</t>
  </si>
  <si>
    <t>Bossaso</t>
  </si>
  <si>
    <t>of Humanitarian conditions</t>
  </si>
  <si>
    <t>●        Collapse of Living Standards, with survival based on humanitarian assistance and/or long term irreversible extreme coping strategies.</t>
  </si>
  <si>
    <t>Saving</t>
  </si>
  <si>
    <t>●        Extreme loss/liquidation of livelihood assets that will lead to large gaps/needs in the short term.</t>
  </si>
  <si>
    <t>Lives &amp; Livelihoods</t>
  </si>
  <si>
    <t>Burco</t>
  </si>
  <si>
    <t>●        Widespread grave violations of human rights. Presence of irreversible harm and heightened mortality</t>
  </si>
  <si>
    <t>Burtinle</t>
  </si>
  <si>
    <t>●        Total collapse of Living Standards</t>
  </si>
  <si>
    <t>Reverting/Preventing</t>
  </si>
  <si>
    <t>Buuhoodle</t>
  </si>
  <si>
    <t>●        Near/Full exhaustion of coping options.</t>
  </si>
  <si>
    <t>Widespread death and/or</t>
  </si>
  <si>
    <t>●        Last resort Coping Mechanisms/exhausted.</t>
  </si>
  <si>
    <t>Total collapse of livelihoods</t>
  </si>
  <si>
    <t>Cabudwaaq</t>
  </si>
  <si>
    <t>●        Widespread mortality (CDR, U5DR) and/or irreversible harm. Widespread physical and mental irreversible harm leading to excess mortality.</t>
  </si>
  <si>
    <t>Cadaado</t>
  </si>
  <si>
    <t>●        Widespread grave violations of human rights.</t>
  </si>
  <si>
    <t>Cadale</t>
  </si>
  <si>
    <t>Caluula</t>
  </si>
  <si>
    <t>Caynabo</t>
  </si>
  <si>
    <t>Ceerigaabo</t>
  </si>
  <si>
    <t>Diinsoor</t>
  </si>
  <si>
    <t>Doolow</t>
  </si>
  <si>
    <t>Eyl</t>
  </si>
  <si>
    <t>Gaalkacyo</t>
  </si>
  <si>
    <t>Galdogob</t>
  </si>
  <si>
    <t>Gebiley</t>
  </si>
  <si>
    <t>Hargeysa</t>
  </si>
  <si>
    <t>Hobyo</t>
  </si>
  <si>
    <t>Iskushuban</t>
  </si>
  <si>
    <t>Jalalaqsi</t>
  </si>
  <si>
    <t>Jamaame</t>
  </si>
  <si>
    <t>Jilib</t>
  </si>
  <si>
    <t>Kismayo</t>
  </si>
  <si>
    <t>Kurtunwaarey</t>
  </si>
  <si>
    <t>Laasqoray</t>
  </si>
  <si>
    <t>Lughaye</t>
  </si>
  <si>
    <t>Luuq</t>
  </si>
  <si>
    <t>Marka</t>
  </si>
  <si>
    <t>Owdweyne</t>
  </si>
  <si>
    <t>Qandala</t>
  </si>
  <si>
    <t>Qardho</t>
  </si>
  <si>
    <t>Qoryooley</t>
  </si>
  <si>
    <t>Saakow</t>
  </si>
  <si>
    <t>Sablaale</t>
  </si>
  <si>
    <t>Sheikh</t>
  </si>
  <si>
    <t>Taleex</t>
  </si>
  <si>
    <t>Tayeeglow</t>
  </si>
  <si>
    <t>Waajid</t>
  </si>
  <si>
    <t>Xardheere</t>
  </si>
  <si>
    <t>Xudun</t>
  </si>
  <si>
    <t>Zeylac</t>
  </si>
  <si>
    <t>Somalia</t>
  </si>
  <si>
    <t>Area</t>
  </si>
  <si>
    <t>Population group</t>
  </si>
  <si>
    <t>Displaced - disaggregation</t>
  </si>
  <si>
    <t>Non-displaced - disaggregation</t>
  </si>
  <si>
    <t>Total Population - disaggregation</t>
  </si>
  <si>
    <t>Region</t>
  </si>
  <si>
    <t>Total population estimate</t>
  </si>
  <si>
    <t>of whom IDPs</t>
  </si>
  <si>
    <t>of whom non-displaced</t>
  </si>
  <si>
    <t>Children</t>
  </si>
  <si>
    <t>Men</t>
  </si>
  <si>
    <t>Women</t>
  </si>
  <si>
    <t>Elderly</t>
  </si>
  <si>
    <t>Subtotal - displaced</t>
  </si>
  <si>
    <t>Awdal</t>
  </si>
  <si>
    <t>Woqooyi Galbeed</t>
  </si>
  <si>
    <t>Togdheer</t>
  </si>
  <si>
    <t>Sool</t>
  </si>
  <si>
    <t>Sanaag</t>
  </si>
  <si>
    <t>Bari</t>
  </si>
  <si>
    <t>Bandarbayla</t>
  </si>
  <si>
    <t>Nugaal</t>
  </si>
  <si>
    <t>Garowe</t>
  </si>
  <si>
    <t>Mudug</t>
  </si>
  <si>
    <t>Jariiban</t>
  </si>
  <si>
    <t>Galgaduud</t>
  </si>
  <si>
    <t>Dhuusamarreeb</t>
  </si>
  <si>
    <t>Hiraan</t>
  </si>
  <si>
    <t>Middle Shabelle</t>
  </si>
  <si>
    <t>Jowhar</t>
  </si>
  <si>
    <t>Lower Shabelle</t>
  </si>
  <si>
    <t>Bay</t>
  </si>
  <si>
    <t>Bakool</t>
  </si>
  <si>
    <t>Xudur</t>
  </si>
  <si>
    <t>Gedo</t>
  </si>
  <si>
    <t>Garbahaarey</t>
  </si>
  <si>
    <t>Middle Juba</t>
  </si>
  <si>
    <t>Lower Juba</t>
  </si>
  <si>
    <t>Severity Phase</t>
  </si>
  <si>
    <t>FINAL_HH_Score</t>
  </si>
  <si>
    <t>Mean of max 50%</t>
  </si>
  <si>
    <t>Laas_Caanood</t>
  </si>
  <si>
    <t>Belet_Xaawo</t>
  </si>
  <si>
    <t>Wanla_Weyn</t>
  </si>
  <si>
    <t>Ceel_Waaq</t>
  </si>
  <si>
    <t>Belet_Weyne</t>
  </si>
  <si>
    <t>Ceel_Afweyn</t>
  </si>
  <si>
    <t>Ceel_Buur</t>
  </si>
  <si>
    <t>Bulo_Burto</t>
  </si>
  <si>
    <t>Buur_Hakaba</t>
  </si>
  <si>
    <t>Ceel_Barde</t>
  </si>
  <si>
    <t>Ceel_Dheer</t>
  </si>
  <si>
    <t>Buaale</t>
  </si>
  <si>
    <t>Adan_Yabaal</t>
  </si>
  <si>
    <t>Qansax_Dheere</t>
  </si>
  <si>
    <t>Rab_Dhuure</t>
  </si>
  <si>
    <t>Host community</t>
  </si>
  <si>
    <t>IDPs</t>
  </si>
  <si>
    <t>Neighbouring_district_1</t>
  </si>
  <si>
    <t>Neighbouring_district_2</t>
  </si>
  <si>
    <t>Neighbouring_district_3</t>
  </si>
  <si>
    <t>Neighbouring_district_4</t>
  </si>
  <si>
    <t>N1 HC_%P1</t>
  </si>
  <si>
    <t>N2 HC_%P1</t>
  </si>
  <si>
    <t>N3 HC_%P1</t>
  </si>
  <si>
    <t>N4 HC_%P1</t>
  </si>
  <si>
    <t>HC_%P1</t>
  </si>
  <si>
    <t>N1 HC_%P2</t>
  </si>
  <si>
    <t>N2 HC_%P2</t>
  </si>
  <si>
    <t>N3 HC_%P2</t>
  </si>
  <si>
    <t>N4 HC_%P2</t>
  </si>
  <si>
    <t>HC_%P2</t>
  </si>
  <si>
    <t>N1 HC_%P3</t>
  </si>
  <si>
    <t>N2 HC_%P3</t>
  </si>
  <si>
    <t>N3 HC_%P3</t>
  </si>
  <si>
    <t>N4 HC_%P3</t>
  </si>
  <si>
    <t>HC_%P3</t>
  </si>
  <si>
    <t>N1 HC_%P4</t>
  </si>
  <si>
    <t>N2 HC_%P4</t>
  </si>
  <si>
    <t>N3 HC_%P4</t>
  </si>
  <si>
    <t>N4 HC_%P4</t>
  </si>
  <si>
    <t>HC_%P4</t>
  </si>
  <si>
    <t>N1 IDP_%P1</t>
  </si>
  <si>
    <t>N2 IDP_%P1</t>
  </si>
  <si>
    <t>N3 IDP_%P1</t>
  </si>
  <si>
    <t>N4 IDP_%P1</t>
  </si>
  <si>
    <t>IDP_%P1</t>
  </si>
  <si>
    <t>N1 IDP_%P2</t>
  </si>
  <si>
    <t>N2 IDP_%P2</t>
  </si>
  <si>
    <t>N3 IDP_%P2</t>
  </si>
  <si>
    <t>N4 IDP_%P2</t>
  </si>
  <si>
    <t>IDP_%P2</t>
  </si>
  <si>
    <t>N1 IDP_%P3</t>
  </si>
  <si>
    <t>N2 IDP_%P3</t>
  </si>
  <si>
    <t>N3 IDP_%P3</t>
  </si>
  <si>
    <t>N4 IDP_%P3</t>
  </si>
  <si>
    <t>IDP_%P3</t>
  </si>
  <si>
    <t>N1 IDP_%P4</t>
  </si>
  <si>
    <t>N2 IDP_%P4</t>
  </si>
  <si>
    <t>N3 IDP_%P4</t>
  </si>
  <si>
    <t>N4 IDP_%P4</t>
  </si>
  <si>
    <t>IDP_%P4</t>
  </si>
  <si>
    <t>N1 IDP_%P5</t>
  </si>
  <si>
    <t>N2 IDP_%P5</t>
  </si>
  <si>
    <t>N3 IDP_%P5</t>
  </si>
  <si>
    <t>N4 IDP_%P5</t>
  </si>
  <si>
    <t>IDP_%P5</t>
  </si>
  <si>
    <t>N1 HC_%P5</t>
  </si>
  <si>
    <t>N2 HC_%P5</t>
  </si>
  <si>
    <t>N3 HC_%P5</t>
  </si>
  <si>
    <t>N4 HC_%P5</t>
  </si>
  <si>
    <t>HC_%P5</t>
  </si>
  <si>
    <t>HC_Population</t>
  </si>
  <si>
    <t>IDP_Population</t>
  </si>
  <si>
    <t>Total_Population</t>
  </si>
  <si>
    <t>Data availability</t>
  </si>
  <si>
    <t>Pop_total</t>
  </si>
  <si>
    <t>Pop_IDP</t>
  </si>
  <si>
    <t>Pop_HC</t>
  </si>
  <si>
    <t>Severity total</t>
  </si>
  <si>
    <t>Severity IDP</t>
  </si>
  <si>
    <t>Severity HC</t>
  </si>
  <si>
    <t>HC_severity</t>
  </si>
  <si>
    <t>IDP_severity</t>
  </si>
  <si>
    <t>HC_pop_P1</t>
  </si>
  <si>
    <t>HC_pop_P2</t>
  </si>
  <si>
    <t>HC_pop_P3</t>
  </si>
  <si>
    <t>HC_pop_P5</t>
  </si>
  <si>
    <t>HC_pop_P4</t>
  </si>
  <si>
    <t>IDP_pop_P5</t>
  </si>
  <si>
    <t>IDP_pop_P4</t>
  </si>
  <si>
    <t>IDP_pop_P3</t>
  </si>
  <si>
    <t>IDP_pop_P2</t>
  </si>
  <si>
    <t>IDP_pop_P1</t>
  </si>
  <si>
    <t>% population severity 1</t>
  </si>
  <si>
    <t>% population severity 2</t>
  </si>
  <si>
    <t>% population severity 3</t>
  </si>
  <si>
    <t>% population severity 4</t>
  </si>
  <si>
    <t>% population severity 5</t>
  </si>
  <si>
    <t>PiN IDP</t>
  </si>
  <si>
    <t>PiN HC</t>
  </si>
  <si>
    <t>PiN Total</t>
  </si>
  <si>
    <t>Pop total severity 1</t>
  </si>
  <si>
    <t>Pop total severity 2</t>
  </si>
  <si>
    <t>Pop total severity 3</t>
  </si>
  <si>
    <t>Pop total severity 4</t>
  </si>
  <si>
    <t>Pop total severity 5</t>
  </si>
  <si>
    <t>all</t>
  </si>
  <si>
    <t># of ERW / Mine Accidents</t>
  </si>
  <si>
    <t># of IED Incidents</t>
  </si>
  <si>
    <t># of civilian casualties</t>
  </si>
  <si>
    <t># of confirmed hazard areas</t>
  </si>
  <si>
    <t># of suspected hazard areas</t>
  </si>
  <si>
    <t># of active hazard spots</t>
  </si>
  <si>
    <t>Total_pop</t>
  </si>
  <si>
    <t>PiN_HC</t>
  </si>
  <si>
    <t>PiN_total</t>
  </si>
  <si>
    <t>PiN_IDP</t>
  </si>
  <si>
    <t>Pop_sev_score1</t>
  </si>
  <si>
    <t>Pop_sev_score2</t>
  </si>
  <si>
    <t>Pop_sev_score3</t>
  </si>
  <si>
    <t>Pop_sev_score4</t>
  </si>
  <si>
    <t>Pop_sev_score5</t>
  </si>
  <si>
    <t>IDP_sev_score1</t>
  </si>
  <si>
    <t>IDP_sev_score2</t>
  </si>
  <si>
    <t>IDP_sev_score3</t>
  </si>
  <si>
    <t>IDP_sev_score4</t>
  </si>
  <si>
    <t>IDP_sev_score5</t>
  </si>
  <si>
    <t>HC_sev_score1</t>
  </si>
  <si>
    <t>HC_sev_score2</t>
  </si>
  <si>
    <t>HC_sev_score3</t>
  </si>
  <si>
    <t>HC_sev_score4</t>
  </si>
  <si>
    <t>HC_sev_score5</t>
  </si>
  <si>
    <t>Data available</t>
  </si>
  <si>
    <t>Not in UNMAS data</t>
  </si>
  <si>
    <t>No data</t>
  </si>
  <si>
    <t>No explicit data available</t>
  </si>
  <si>
    <t>SOMALIA - 2021 POPULATION FIGURES AND DISAGGREGATION</t>
  </si>
  <si>
    <t>Children2</t>
  </si>
  <si>
    <t>Men3</t>
  </si>
  <si>
    <t>Women4</t>
  </si>
  <si>
    <t>Elderly5</t>
  </si>
  <si>
    <t>Subtotal - displaced6</t>
  </si>
  <si>
    <t>Children7</t>
  </si>
  <si>
    <t>Men8</t>
  </si>
  <si>
    <t>Women9</t>
  </si>
  <si>
    <t>Elderly10</t>
  </si>
  <si>
    <t>Subtotal - displaced11</t>
  </si>
  <si>
    <t>Indicator</t>
  </si>
  <si>
    <t>Survey question(s)</t>
  </si>
  <si>
    <t>Survey response(s)</t>
  </si>
  <si>
    <t>Notes on indicator</t>
  </si>
  <si>
    <t>Source</t>
  </si>
  <si>
    <t>SEVERITY 1</t>
  </si>
  <si>
    <t>SEVERITY 2</t>
  </si>
  <si>
    <t>SEVERITY 3</t>
  </si>
  <si>
    <t>SEVERITY 4</t>
  </si>
  <si>
    <t>SEVERITY 5</t>
  </si>
  <si>
    <t>N/A</t>
  </si>
  <si>
    <t>Number of ERW /landmine accidents in the area</t>
  </si>
  <si>
    <t xml:space="preserve">IMSMA Database </t>
  </si>
  <si>
    <t>1-2 incidents</t>
  </si>
  <si>
    <t>3 - 4 incidents</t>
  </si>
  <si>
    <t>5 -6 incidents</t>
  </si>
  <si>
    <t>7 - 8 incidents</t>
  </si>
  <si>
    <t>&gt; 8 incidents</t>
  </si>
  <si>
    <t>Number of IED accidents in the area</t>
  </si>
  <si>
    <t>No IED incident/event reported</t>
  </si>
  <si>
    <t>Between 1 to 2 IED events occurred</t>
  </si>
  <si>
    <t>Between 3 to 4 IED events occurred</t>
  </si>
  <si>
    <t>Between 5 to 20 IED events occurred</t>
  </si>
  <si>
    <t>&gt; 20 events</t>
  </si>
  <si>
    <t>Number of ERW/ landmine casualties in the area</t>
  </si>
  <si>
    <t>Less than or equal to 0</t>
  </si>
  <si>
    <t>1 - 5 casualties</t>
  </si>
  <si>
    <t>6 - 15 casualties</t>
  </si>
  <si>
    <t>16 - 40 casualties</t>
  </si>
  <si>
    <t>&gt; 40 casualties</t>
  </si>
  <si>
    <t>Number of IED casulaties in the area</t>
  </si>
  <si>
    <t>Number of confirmed mine fields in the area</t>
  </si>
  <si>
    <t>No confirmed hazard areas</t>
  </si>
  <si>
    <t>Between 1 to 2 confirmed hazard areas</t>
  </si>
  <si>
    <t>Between 3 to 4 confirmed hazard areas</t>
  </si>
  <si>
    <t>5+ confirmed hazard areas</t>
  </si>
  <si>
    <t xml:space="preserve">Number of ERW spots recorded in the area </t>
  </si>
  <si>
    <t>1-2 spots reported</t>
  </si>
  <si>
    <t>3 - 4 spots reported</t>
  </si>
  <si>
    <t>5 -6 spots reported</t>
  </si>
  <si>
    <t>7 - 8 spots reported</t>
  </si>
  <si>
    <t>&gt; 8 spots reported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</si>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</sst>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0.0"/>
    <numFmt numFmtId="166" formatCode="_-* #,##0_-;\-* #,##0_-;_-* &quot;-&quot;??_-;_-@_-"/>
    <numFmt numFmtId="167" formatCode="_ * #,##0_ ;_ * \-#,##0_ ;_ 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000000"/>
      <name val="Calibri"/>
      <family val="2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i/>
      <sz val="12"/>
      <color rgb="FF000000"/>
      <name val="Calibri"/>
      <family val="2"/>
    </font>
    <font>
      <b/>
      <sz val="8"/>
      <color rgb="FFFF0000"/>
      <name val="Arial Narrow"/>
      <family val="2"/>
    </font>
    <font>
      <sz val="8"/>
      <color theme="1"/>
      <name val="Arial Narrow"/>
      <family val="2"/>
    </font>
    <font>
      <sz val="8"/>
      <name val="Arial Narrow"/>
      <family val="2"/>
    </font>
    <font>
      <b/>
      <sz val="8"/>
      <color theme="0"/>
      <name val="Arial Narrow"/>
      <family val="2"/>
    </font>
    <font>
      <b/>
      <sz val="8"/>
      <color rgb="FF58585A"/>
      <name val="Arial Narrow"/>
      <family val="2"/>
    </font>
    <font>
      <sz val="8"/>
      <color rgb="FF58585A"/>
      <name val="Arial Narrow"/>
      <family val="2"/>
    </font>
    <font>
      <b/>
      <sz val="8"/>
      <color rgb="FF3C4043"/>
      <name val="Arial Narrow"/>
      <family val="2"/>
    </font>
    <font>
      <sz val="8"/>
      <color rgb="FFFFFFFF"/>
      <name val="Arial Narrow"/>
      <family val="2"/>
    </font>
    <font>
      <sz val="8"/>
      <color theme="0"/>
      <name val="Arial Narrow"/>
      <family val="2"/>
    </font>
    <font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b/>
      <sz val="1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E36C0A"/>
        <bgColor indexed="64"/>
      </patternFill>
    </fill>
    <fill>
      <patternFill patternType="solid">
        <fgColor rgb="FF98480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5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2" fillId="0" borderId="0"/>
  </cellStyleXfs>
  <cellXfs count="250">
    <xf numFmtId="0" fontId="0" fillId="0" borderId="0" xfId="0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6" fillId="0" borderId="0" xfId="4" applyFont="1" applyFill="1" applyAlignment="1">
      <alignment horizontal="center" vertical="center"/>
    </xf>
    <xf numFmtId="9" fontId="12" fillId="0" borderId="34" xfId="2" applyFont="1" applyFill="1" applyBorder="1"/>
    <xf numFmtId="9" fontId="12" fillId="0" borderId="0" xfId="2" applyFont="1" applyFill="1" applyBorder="1"/>
    <xf numFmtId="9" fontId="12" fillId="0" borderId="35" xfId="2" applyFont="1" applyFill="1" applyBorder="1"/>
    <xf numFmtId="0" fontId="14" fillId="0" borderId="0" xfId="0" applyFont="1"/>
    <xf numFmtId="0" fontId="14" fillId="4" borderId="0" xfId="0" applyFont="1" applyFill="1" applyAlignment="1"/>
    <xf numFmtId="0" fontId="15" fillId="0" borderId="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165" fontId="3" fillId="5" borderId="6" xfId="0" applyNumberFormat="1" applyFont="1" applyFill="1" applyBorder="1" applyAlignment="1">
      <alignment horizontal="center" vertical="center"/>
    </xf>
    <xf numFmtId="165" fontId="3" fillId="5" borderId="7" xfId="0" applyNumberFormat="1" applyFont="1" applyFill="1" applyBorder="1" applyAlignment="1">
      <alignment horizontal="left" vertical="center"/>
    </xf>
    <xf numFmtId="165" fontId="3" fillId="5" borderId="8" xfId="0" applyNumberFormat="1" applyFont="1" applyFill="1" applyBorder="1" applyAlignment="1">
      <alignment horizontal="left" vertical="center"/>
    </xf>
    <xf numFmtId="0" fontId="3" fillId="10" borderId="9" xfId="0" applyFont="1" applyFill="1" applyBorder="1" applyAlignment="1">
      <alignment horizontal="center" vertical="center"/>
    </xf>
    <xf numFmtId="165" fontId="3" fillId="10" borderId="10" xfId="0" applyNumberFormat="1" applyFont="1" applyFill="1" applyBorder="1" applyAlignment="1">
      <alignment horizontal="left" vertical="center"/>
    </xf>
    <xf numFmtId="165" fontId="3" fillId="6" borderId="6" xfId="0" applyNumberFormat="1" applyFont="1" applyFill="1" applyBorder="1" applyAlignment="1">
      <alignment horizontal="center" vertical="center"/>
    </xf>
    <xf numFmtId="165" fontId="3" fillId="6" borderId="7" xfId="0" applyNumberFormat="1" applyFont="1" applyFill="1" applyBorder="1" applyAlignment="1">
      <alignment horizontal="left" vertical="center"/>
    </xf>
    <xf numFmtId="165" fontId="3" fillId="6" borderId="8" xfId="0" applyNumberFormat="1" applyFont="1" applyFill="1" applyBorder="1" applyAlignment="1">
      <alignment horizontal="left" vertical="center"/>
    </xf>
    <xf numFmtId="0" fontId="3" fillId="10" borderId="11" xfId="0" applyFont="1" applyFill="1" applyBorder="1" applyAlignment="1">
      <alignment horizontal="center" vertical="center"/>
    </xf>
    <xf numFmtId="165" fontId="15" fillId="10" borderId="0" xfId="0" applyNumberFormat="1" applyFont="1" applyFill="1" applyBorder="1" applyAlignment="1">
      <alignment horizontal="left" vertical="center"/>
    </xf>
    <xf numFmtId="165" fontId="15" fillId="10" borderId="10" xfId="0" applyNumberFormat="1" applyFont="1" applyFill="1" applyBorder="1" applyAlignment="1">
      <alignment horizontal="left" vertical="center"/>
    </xf>
    <xf numFmtId="165" fontId="3" fillId="7" borderId="6" xfId="0" applyNumberFormat="1" applyFont="1" applyFill="1" applyBorder="1" applyAlignment="1">
      <alignment horizontal="center" vertical="center"/>
    </xf>
    <xf numFmtId="165" fontId="3" fillId="7" borderId="0" xfId="0" applyNumberFormat="1" applyFont="1" applyFill="1" applyBorder="1" applyAlignment="1">
      <alignment horizontal="left" vertical="center"/>
    </xf>
    <xf numFmtId="165" fontId="3" fillId="7" borderId="12" xfId="0" applyNumberFormat="1" applyFont="1" applyFill="1" applyBorder="1" applyAlignment="1">
      <alignment horizontal="left" vertical="center"/>
    </xf>
    <xf numFmtId="0" fontId="17" fillId="10" borderId="13" xfId="0" applyFont="1" applyFill="1" applyBorder="1" applyAlignment="1">
      <alignment horizontal="center" vertical="center"/>
    </xf>
    <xf numFmtId="165" fontId="18" fillId="10" borderId="0" xfId="0" applyNumberFormat="1" applyFont="1" applyFill="1" applyBorder="1" applyAlignment="1">
      <alignment horizontal="left" vertical="center"/>
    </xf>
    <xf numFmtId="165" fontId="17" fillId="10" borderId="14" xfId="0" applyNumberFormat="1" applyFont="1" applyFill="1" applyBorder="1" applyAlignment="1">
      <alignment horizontal="left" vertical="center"/>
    </xf>
    <xf numFmtId="165" fontId="16" fillId="8" borderId="15" xfId="0" applyNumberFormat="1" applyFont="1" applyFill="1" applyBorder="1" applyAlignment="1">
      <alignment horizontal="center" vertical="center"/>
    </xf>
    <xf numFmtId="165" fontId="16" fillId="8" borderId="16" xfId="0" applyNumberFormat="1" applyFont="1" applyFill="1" applyBorder="1" applyAlignment="1">
      <alignment horizontal="left" vertical="center"/>
    </xf>
    <xf numFmtId="0" fontId="3" fillId="10" borderId="17" xfId="0" applyFont="1" applyFill="1" applyBorder="1" applyAlignment="1">
      <alignment horizontal="center" vertical="center"/>
    </xf>
    <xf numFmtId="9" fontId="3" fillId="10" borderId="3" xfId="0" applyNumberFormat="1" applyFont="1" applyFill="1" applyBorder="1" applyAlignment="1">
      <alignment horizontal="center" vertical="center"/>
    </xf>
    <xf numFmtId="9" fontId="13" fillId="10" borderId="3" xfId="0" applyNumberFormat="1" applyFont="1" applyFill="1" applyBorder="1" applyAlignment="1">
      <alignment horizontal="center" vertical="center"/>
    </xf>
    <xf numFmtId="0" fontId="14" fillId="0" borderId="6" xfId="0" applyFont="1" applyBorder="1" applyAlignment="1"/>
    <xf numFmtId="0" fontId="4" fillId="0" borderId="10" xfId="0" applyFont="1" applyFill="1" applyBorder="1" applyAlignment="1"/>
    <xf numFmtId="0" fontId="4" fillId="0" borderId="18" xfId="0" applyFont="1" applyFill="1" applyBorder="1" applyAlignment="1"/>
    <xf numFmtId="0" fontId="14" fillId="0" borderId="19" xfId="0" applyFont="1" applyBorder="1" applyAlignment="1"/>
    <xf numFmtId="0" fontId="14" fillId="0" borderId="20" xfId="0" applyFont="1" applyBorder="1" applyAlignment="1"/>
    <xf numFmtId="0" fontId="14" fillId="0" borderId="21" xfId="0" applyFont="1" applyBorder="1" applyAlignment="1"/>
    <xf numFmtId="0" fontId="4" fillId="0" borderId="22" xfId="0" applyFont="1" applyBorder="1" applyAlignment="1"/>
    <xf numFmtId="0" fontId="4" fillId="0" borderId="24" xfId="0" applyFont="1" applyFill="1" applyBorder="1" applyAlignment="1"/>
    <xf numFmtId="0" fontId="4" fillId="11" borderId="25" xfId="0" applyFont="1" applyFill="1" applyBorder="1" applyAlignment="1">
      <alignment horizontal="center" vertical="center"/>
    </xf>
    <xf numFmtId="0" fontId="4" fillId="11" borderId="26" xfId="0" applyFont="1" applyFill="1" applyBorder="1" applyAlignment="1">
      <alignment horizontal="center" vertical="center"/>
    </xf>
    <xf numFmtId="0" fontId="19" fillId="12" borderId="26" xfId="0" applyFont="1" applyFill="1" applyBorder="1" applyAlignment="1">
      <alignment horizontal="justify" vertical="center"/>
    </xf>
    <xf numFmtId="0" fontId="4" fillId="11" borderId="26" xfId="0" applyFont="1" applyFill="1" applyBorder="1" applyAlignment="1">
      <alignment vertical="center"/>
    </xf>
    <xf numFmtId="0" fontId="14" fillId="0" borderId="13" xfId="0" applyFont="1" applyBorder="1" applyAlignment="1"/>
    <xf numFmtId="3" fontId="14" fillId="0" borderId="0" xfId="0" applyNumberFormat="1" applyFont="1" applyBorder="1" applyAlignment="1"/>
    <xf numFmtId="0" fontId="14" fillId="13" borderId="28" xfId="0" applyFont="1" applyFill="1" applyBorder="1" applyAlignment="1">
      <alignment horizontal="left" vertical="center"/>
    </xf>
    <xf numFmtId="0" fontId="14" fillId="13" borderId="28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vertical="top"/>
    </xf>
    <xf numFmtId="0" fontId="14" fillId="13" borderId="26" xfId="0" applyFont="1" applyFill="1" applyBorder="1" applyAlignment="1">
      <alignment vertical="top"/>
    </xf>
    <xf numFmtId="0" fontId="14" fillId="13" borderId="26" xfId="0" applyFont="1" applyFill="1" applyBorder="1" applyAlignment="1">
      <alignment horizontal="center" vertical="center"/>
    </xf>
    <xf numFmtId="0" fontId="14" fillId="14" borderId="28" xfId="0" applyFont="1" applyFill="1" applyBorder="1" applyAlignment="1">
      <alignment horizontal="left" vertical="center"/>
    </xf>
    <xf numFmtId="0" fontId="14" fillId="14" borderId="28" xfId="0" applyFont="1" applyFill="1" applyBorder="1" applyAlignment="1">
      <alignment horizontal="center" vertical="center"/>
    </xf>
    <xf numFmtId="0" fontId="14" fillId="14" borderId="26" xfId="0" applyFont="1" applyFill="1" applyBorder="1" applyAlignment="1">
      <alignment vertical="top"/>
    </xf>
    <xf numFmtId="0" fontId="14" fillId="14" borderId="26" xfId="0" applyFont="1" applyFill="1" applyBorder="1" applyAlignment="1">
      <alignment horizontal="center" vertical="center"/>
    </xf>
    <xf numFmtId="0" fontId="14" fillId="15" borderId="28" xfId="0" applyFont="1" applyFill="1" applyBorder="1" applyAlignment="1">
      <alignment horizontal="left" vertical="center"/>
    </xf>
    <xf numFmtId="0" fontId="14" fillId="15" borderId="28" xfId="0" applyFont="1" applyFill="1" applyBorder="1" applyAlignment="1">
      <alignment horizontal="center" vertical="center"/>
    </xf>
    <xf numFmtId="0" fontId="14" fillId="15" borderId="28" xfId="0" applyFont="1" applyFill="1" applyBorder="1" applyAlignment="1">
      <alignment vertical="top"/>
    </xf>
    <xf numFmtId="0" fontId="14" fillId="15" borderId="26" xfId="0" applyFont="1" applyFill="1" applyBorder="1" applyAlignment="1">
      <alignment vertical="top"/>
    </xf>
    <xf numFmtId="0" fontId="14" fillId="15" borderId="26" xfId="0" applyFont="1" applyFill="1" applyBorder="1" applyAlignment="1">
      <alignment horizontal="center" vertical="center"/>
    </xf>
    <xf numFmtId="0" fontId="21" fillId="16" borderId="28" xfId="0" applyFont="1" applyFill="1" applyBorder="1" applyAlignment="1">
      <alignment horizontal="left" vertical="center"/>
    </xf>
    <xf numFmtId="0" fontId="20" fillId="16" borderId="28" xfId="0" applyFont="1" applyFill="1" applyBorder="1" applyAlignment="1">
      <alignment horizontal="center" vertical="center"/>
    </xf>
    <xf numFmtId="0" fontId="21" fillId="16" borderId="26" xfId="0" applyFont="1" applyFill="1" applyBorder="1" applyAlignment="1">
      <alignment horizontal="left" vertical="center"/>
    </xf>
    <xf numFmtId="0" fontId="14" fillId="16" borderId="26" xfId="0" applyFont="1" applyFill="1" applyBorder="1" applyAlignment="1">
      <alignment vertical="top"/>
    </xf>
    <xf numFmtId="0" fontId="21" fillId="17" borderId="28" xfId="0" applyFont="1" applyFill="1" applyBorder="1" applyAlignment="1">
      <alignment horizontal="left" vertical="center"/>
    </xf>
    <xf numFmtId="0" fontId="20" fillId="17" borderId="28" xfId="0" applyFont="1" applyFill="1" applyBorder="1" applyAlignment="1">
      <alignment horizontal="center" vertical="center"/>
    </xf>
    <xf numFmtId="0" fontId="14" fillId="17" borderId="28" xfId="0" applyFont="1" applyFill="1" applyBorder="1" applyAlignment="1">
      <alignment vertical="top"/>
    </xf>
    <xf numFmtId="0" fontId="21" fillId="17" borderId="26" xfId="0" applyFont="1" applyFill="1" applyBorder="1" applyAlignment="1">
      <alignment horizontal="left" vertical="center"/>
    </xf>
    <xf numFmtId="0" fontId="14" fillId="17" borderId="26" xfId="0" applyFont="1" applyFill="1" applyBorder="1" applyAlignment="1">
      <alignment vertical="top"/>
    </xf>
    <xf numFmtId="0" fontId="4" fillId="0" borderId="30" xfId="0" applyFont="1" applyBorder="1" applyAlignment="1"/>
    <xf numFmtId="0" fontId="14" fillId="0" borderId="0" xfId="0" applyFont="1" applyAlignment="1"/>
    <xf numFmtId="0" fontId="3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Border="1" applyAlignment="1">
      <alignment horizontal="center"/>
    </xf>
    <xf numFmtId="167" fontId="4" fillId="0" borderId="7" xfId="1" applyNumberFormat="1" applyFont="1" applyBorder="1" applyAlignment="1">
      <alignment horizontal="center"/>
    </xf>
    <xf numFmtId="9" fontId="4" fillId="5" borderId="0" xfId="0" applyNumberFormat="1" applyFont="1" applyFill="1" applyBorder="1" applyAlignment="1">
      <alignment horizontal="center"/>
    </xf>
    <xf numFmtId="9" fontId="4" fillId="6" borderId="0" xfId="0" applyNumberFormat="1" applyFont="1" applyFill="1" applyBorder="1" applyAlignment="1">
      <alignment horizontal="center"/>
    </xf>
    <xf numFmtId="9" fontId="4" fillId="7" borderId="0" xfId="0" applyNumberFormat="1" applyFont="1" applyFill="1" applyBorder="1" applyAlignment="1">
      <alignment horizontal="center"/>
    </xf>
    <xf numFmtId="9" fontId="16" fillId="8" borderId="0" xfId="0" applyNumberFormat="1" applyFont="1" applyFill="1" applyBorder="1" applyAlignment="1">
      <alignment horizontal="center"/>
    </xf>
    <xf numFmtId="9" fontId="16" fillId="9" borderId="0" xfId="0" applyNumberFormat="1" applyFont="1" applyFill="1" applyBorder="1" applyAlignment="1">
      <alignment horizontal="center"/>
    </xf>
    <xf numFmtId="0" fontId="4" fillId="5" borderId="23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16" fillId="8" borderId="23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9" fontId="4" fillId="5" borderId="7" xfId="0" applyNumberFormat="1" applyFont="1" applyFill="1" applyBorder="1" applyAlignment="1">
      <alignment horizontal="center"/>
    </xf>
    <xf numFmtId="9" fontId="4" fillId="6" borderId="7" xfId="0" applyNumberFormat="1" applyFont="1" applyFill="1" applyBorder="1" applyAlignment="1">
      <alignment horizontal="center"/>
    </xf>
    <xf numFmtId="9" fontId="4" fillId="7" borderId="7" xfId="0" applyNumberFormat="1" applyFont="1" applyFill="1" applyBorder="1" applyAlignment="1">
      <alignment horizontal="center"/>
    </xf>
    <xf numFmtId="9" fontId="16" fillId="8" borderId="7" xfId="0" applyNumberFormat="1" applyFont="1" applyFill="1" applyBorder="1" applyAlignment="1">
      <alignment horizontal="center"/>
    </xf>
    <xf numFmtId="9" fontId="16" fillId="9" borderId="7" xfId="0" applyNumberFormat="1" applyFont="1" applyFill="1" applyBorder="1" applyAlignment="1">
      <alignment horizontal="center"/>
    </xf>
    <xf numFmtId="0" fontId="0" fillId="19" borderId="0" xfId="0" applyFont="1" applyFill="1" applyBorder="1"/>
    <xf numFmtId="0" fontId="0" fillId="20" borderId="0" xfId="0" applyFont="1" applyFill="1" applyBorder="1"/>
    <xf numFmtId="0" fontId="0" fillId="5" borderId="0" xfId="0" applyFont="1" applyFill="1" applyBorder="1"/>
    <xf numFmtId="0" fontId="0" fillId="7" borderId="0" xfId="0" applyFont="1" applyFill="1" applyBorder="1"/>
    <xf numFmtId="9" fontId="0" fillId="5" borderId="0" xfId="2" applyFont="1" applyFill="1" applyBorder="1"/>
    <xf numFmtId="9" fontId="0" fillId="7" borderId="0" xfId="2" applyFont="1" applyFill="1" applyBorder="1"/>
    <xf numFmtId="9" fontId="0" fillId="19" borderId="0" xfId="2" applyFont="1" applyFill="1" applyBorder="1"/>
    <xf numFmtId="9" fontId="0" fillId="20" borderId="0" xfId="0" applyNumberFormat="1" applyFont="1" applyFill="1" applyBorder="1"/>
    <xf numFmtId="9" fontId="0" fillId="20" borderId="0" xfId="2" applyFont="1" applyFill="1" applyBorder="1"/>
    <xf numFmtId="167" fontId="0" fillId="0" borderId="0" xfId="1" applyNumberFormat="1" applyFont="1"/>
    <xf numFmtId="0" fontId="0" fillId="0" borderId="47" xfId="0" applyBorder="1" applyAlignment="1">
      <alignment wrapText="1"/>
    </xf>
    <xf numFmtId="167" fontId="14" fillId="0" borderId="0" xfId="1" applyNumberFormat="1" applyFont="1" applyBorder="1" applyAlignment="1"/>
    <xf numFmtId="0" fontId="0" fillId="0" borderId="47" xfId="0" applyBorder="1"/>
    <xf numFmtId="167" fontId="14" fillId="0" borderId="31" xfId="1" applyNumberFormat="1" applyFont="1" applyBorder="1" applyAlignment="1"/>
    <xf numFmtId="167" fontId="14" fillId="0" borderId="32" xfId="1" applyNumberFormat="1" applyFont="1" applyBorder="1" applyAlignment="1"/>
    <xf numFmtId="167" fontId="14" fillId="0" borderId="33" xfId="1" applyNumberFormat="1" applyFont="1" applyBorder="1" applyAlignment="1"/>
    <xf numFmtId="167" fontId="14" fillId="0" borderId="34" xfId="1" applyNumberFormat="1" applyFont="1" applyBorder="1" applyAlignment="1"/>
    <xf numFmtId="167" fontId="14" fillId="0" borderId="35" xfId="1" applyNumberFormat="1" applyFont="1" applyBorder="1" applyAlignment="1"/>
    <xf numFmtId="167" fontId="14" fillId="0" borderId="41" xfId="1" applyNumberFormat="1" applyFont="1" applyBorder="1" applyAlignment="1"/>
    <xf numFmtId="167" fontId="14" fillId="0" borderId="42" xfId="1" applyNumberFormat="1" applyFont="1" applyBorder="1" applyAlignment="1"/>
    <xf numFmtId="167" fontId="14" fillId="0" borderId="43" xfId="1" applyNumberFormat="1" applyFont="1" applyBorder="1" applyAlignment="1"/>
    <xf numFmtId="0" fontId="0" fillId="0" borderId="19" xfId="0" applyFill="1" applyBorder="1" applyAlignment="1">
      <alignment wrapText="1"/>
    </xf>
    <xf numFmtId="0" fontId="0" fillId="0" borderId="20" xfId="0" applyFill="1" applyBorder="1" applyAlignment="1">
      <alignment wrapText="1"/>
    </xf>
    <xf numFmtId="0" fontId="0" fillId="0" borderId="21" xfId="0" applyFill="1" applyBorder="1" applyAlignment="1">
      <alignment wrapText="1"/>
    </xf>
    <xf numFmtId="0" fontId="23" fillId="18" borderId="0" xfId="0" applyFont="1" applyFill="1" applyBorder="1"/>
    <xf numFmtId="0" fontId="23" fillId="8" borderId="0" xfId="0" applyFont="1" applyFill="1" applyBorder="1"/>
    <xf numFmtId="0" fontId="23" fillId="8" borderId="0" xfId="0" applyFont="1" applyFill="1" applyAlignment="1">
      <alignment horizontal="center"/>
    </xf>
    <xf numFmtId="0" fontId="23" fillId="18" borderId="0" xfId="0" applyFont="1" applyFill="1" applyAlignment="1">
      <alignment horizontal="center"/>
    </xf>
    <xf numFmtId="0" fontId="0" fillId="0" borderId="0" xfId="0" applyBorder="1"/>
    <xf numFmtId="0" fontId="0" fillId="0" borderId="42" xfId="0" applyBorder="1"/>
    <xf numFmtId="167" fontId="0" fillId="20" borderId="0" xfId="1" applyNumberFormat="1" applyFont="1" applyFill="1" applyBorder="1"/>
    <xf numFmtId="166" fontId="0" fillId="20" borderId="0" xfId="1" applyNumberFormat="1" applyFont="1" applyFill="1" applyBorder="1"/>
    <xf numFmtId="167" fontId="0" fillId="7" borderId="0" xfId="1" applyNumberFormat="1" applyFont="1" applyFill="1" applyBorder="1"/>
    <xf numFmtId="0" fontId="0" fillId="0" borderId="34" xfId="0" applyBorder="1"/>
    <xf numFmtId="0" fontId="0" fillId="0" borderId="35" xfId="0" applyBorder="1"/>
    <xf numFmtId="0" fontId="0" fillId="0" borderId="41" xfId="0" applyBorder="1"/>
    <xf numFmtId="0" fontId="0" fillId="0" borderId="43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7" fontId="0" fillId="0" borderId="32" xfId="1" applyNumberFormat="1" applyFont="1" applyBorder="1"/>
    <xf numFmtId="167" fontId="0" fillId="0" borderId="33" xfId="1" applyNumberFormat="1" applyFont="1" applyBorder="1"/>
    <xf numFmtId="167" fontId="0" fillId="0" borderId="0" xfId="1" applyNumberFormat="1" applyFont="1" applyBorder="1"/>
    <xf numFmtId="167" fontId="0" fillId="0" borderId="35" xfId="1" applyNumberFormat="1" applyFont="1" applyBorder="1"/>
    <xf numFmtId="167" fontId="0" fillId="0" borderId="42" xfId="1" applyNumberFormat="1" applyFont="1" applyBorder="1"/>
    <xf numFmtId="167" fontId="0" fillId="0" borderId="43" xfId="1" applyNumberFormat="1" applyFont="1" applyBorder="1"/>
    <xf numFmtId="0" fontId="0" fillId="0" borderId="32" xfId="0" applyFill="1" applyBorder="1" applyAlignment="1">
      <alignment wrapText="1"/>
    </xf>
    <xf numFmtId="167" fontId="0" fillId="0" borderId="44" xfId="1" applyNumberFormat="1" applyFont="1" applyBorder="1" applyAlignment="1">
      <alignment horizontal="center"/>
    </xf>
    <xf numFmtId="167" fontId="0" fillId="0" borderId="45" xfId="1" applyNumberFormat="1" applyFont="1" applyBorder="1" applyAlignment="1">
      <alignment horizontal="center"/>
    </xf>
    <xf numFmtId="167" fontId="0" fillId="0" borderId="46" xfId="1" applyNumberFormat="1" applyFont="1" applyBorder="1" applyAlignment="1">
      <alignment horizontal="center"/>
    </xf>
    <xf numFmtId="167" fontId="0" fillId="0" borderId="31" xfId="1" applyNumberFormat="1" applyFont="1" applyBorder="1"/>
    <xf numFmtId="167" fontId="0" fillId="0" borderId="34" xfId="1" applyNumberFormat="1" applyFont="1" applyBorder="1"/>
    <xf numFmtId="167" fontId="0" fillId="0" borderId="41" xfId="1" applyNumberFormat="1" applyFont="1" applyBorder="1"/>
    <xf numFmtId="3" fontId="3" fillId="10" borderId="17" xfId="0" applyNumberFormat="1" applyFont="1" applyFill="1" applyBorder="1" applyAlignment="1">
      <alignment horizontal="center" vertical="center"/>
    </xf>
    <xf numFmtId="3" fontId="13" fillId="10" borderId="17" xfId="0" applyNumberFormat="1" applyFont="1" applyFill="1" applyBorder="1" applyAlignment="1">
      <alignment horizontal="center" vertical="center"/>
    </xf>
    <xf numFmtId="167" fontId="0" fillId="0" borderId="0" xfId="1" applyNumberFormat="1" applyFont="1" applyFill="1" applyBorder="1"/>
    <xf numFmtId="167" fontId="0" fillId="0" borderId="0" xfId="0" applyNumberFormat="1"/>
    <xf numFmtId="167" fontId="0" fillId="0" borderId="45" xfId="1" applyNumberFormat="1" applyFont="1" applyBorder="1" applyAlignment="1"/>
    <xf numFmtId="167" fontId="0" fillId="0" borderId="34" xfId="1" applyNumberFormat="1" applyFont="1" applyBorder="1" applyAlignment="1"/>
    <xf numFmtId="167" fontId="0" fillId="0" borderId="0" xfId="1" applyNumberFormat="1" applyFont="1" applyBorder="1" applyAlignment="1"/>
    <xf numFmtId="167" fontId="0" fillId="0" borderId="35" xfId="1" applyNumberFormat="1" applyFont="1" applyBorder="1" applyAlignment="1"/>
    <xf numFmtId="0" fontId="7" fillId="0" borderId="47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4" fillId="0" borderId="44" xfId="0" applyFont="1" applyBorder="1" applyAlignment="1"/>
    <xf numFmtId="0" fontId="14" fillId="0" borderId="45" xfId="0" applyFont="1" applyBorder="1" applyAlignment="1"/>
    <xf numFmtId="0" fontId="14" fillId="0" borderId="46" xfId="0" applyFont="1" applyBorder="1" applyAlignment="1"/>
    <xf numFmtId="0" fontId="14" fillId="0" borderId="48" xfId="0" applyFont="1" applyFill="1" applyBorder="1" applyAlignment="1"/>
    <xf numFmtId="167" fontId="24" fillId="0" borderId="41" xfId="0" applyNumberFormat="1" applyFont="1" applyBorder="1"/>
    <xf numFmtId="167" fontId="24" fillId="0" borderId="42" xfId="0" applyNumberFormat="1" applyFont="1" applyBorder="1"/>
    <xf numFmtId="167" fontId="24" fillId="0" borderId="43" xfId="0" applyNumberFormat="1" applyFont="1" applyBorder="1"/>
    <xf numFmtId="167" fontId="24" fillId="0" borderId="46" xfId="0" applyNumberFormat="1" applyFont="1" applyBorder="1"/>
    <xf numFmtId="167" fontId="0" fillId="0" borderId="41" xfId="0" applyNumberFormat="1" applyBorder="1"/>
    <xf numFmtId="167" fontId="0" fillId="0" borderId="42" xfId="0" applyNumberFormat="1" applyBorder="1"/>
    <xf numFmtId="167" fontId="0" fillId="0" borderId="43" xfId="0" applyNumberFormat="1" applyBorder="1"/>
    <xf numFmtId="167" fontId="0" fillId="0" borderId="0" xfId="1" applyNumberFormat="1" applyFont="1" applyBorder="1" applyAlignment="1">
      <alignment horizontal="center"/>
    </xf>
    <xf numFmtId="167" fontId="0" fillId="0" borderId="32" xfId="1" applyNumberFormat="1" applyFont="1" applyBorder="1" applyAlignment="1">
      <alignment horizontal="center"/>
    </xf>
    <xf numFmtId="0" fontId="14" fillId="0" borderId="34" xfId="0" applyFont="1" applyBorder="1" applyAlignment="1"/>
    <xf numFmtId="0" fontId="14" fillId="0" borderId="31" xfId="0" applyFont="1" applyBorder="1" applyAlignment="1"/>
    <xf numFmtId="0" fontId="0" fillId="0" borderId="31" xfId="0" applyFill="1" applyBorder="1" applyAlignment="1">
      <alignment wrapText="1"/>
    </xf>
    <xf numFmtId="0" fontId="0" fillId="0" borderId="33" xfId="0" applyFill="1" applyBorder="1" applyAlignment="1">
      <alignment wrapText="1"/>
    </xf>
    <xf numFmtId="0" fontId="0" fillId="0" borderId="45" xfId="0" applyBorder="1"/>
    <xf numFmtId="0" fontId="0" fillId="0" borderId="31" xfId="2" applyNumberFormat="1" applyFont="1" applyBorder="1" applyAlignment="1">
      <alignment horizontal="center"/>
    </xf>
    <xf numFmtId="0" fontId="0" fillId="0" borderId="32" xfId="2" applyNumberFormat="1" applyFont="1" applyBorder="1" applyAlignment="1">
      <alignment horizontal="center"/>
    </xf>
    <xf numFmtId="0" fontId="0" fillId="0" borderId="33" xfId="2" applyNumberFormat="1" applyFont="1" applyBorder="1" applyAlignment="1">
      <alignment horizontal="center"/>
    </xf>
    <xf numFmtId="0" fontId="0" fillId="0" borderId="34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0" fontId="0" fillId="0" borderId="35" xfId="2" applyNumberFormat="1" applyFont="1" applyBorder="1" applyAlignment="1">
      <alignment horizontal="center"/>
    </xf>
    <xf numFmtId="0" fontId="0" fillId="0" borderId="41" xfId="2" applyNumberFormat="1" applyFont="1" applyBorder="1" applyAlignment="1">
      <alignment horizontal="center"/>
    </xf>
    <xf numFmtId="0" fontId="0" fillId="0" borderId="42" xfId="2" applyNumberFormat="1" applyFont="1" applyBorder="1" applyAlignment="1">
      <alignment horizontal="center"/>
    </xf>
    <xf numFmtId="0" fontId="0" fillId="0" borderId="43" xfId="2" applyNumberFormat="1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31" xfId="0" applyFont="1" applyBorder="1"/>
    <xf numFmtId="0" fontId="11" fillId="0" borderId="32" xfId="0" applyFont="1" applyBorder="1"/>
    <xf numFmtId="0" fontId="11" fillId="0" borderId="33" xfId="0" applyFont="1" applyBorder="1"/>
    <xf numFmtId="3" fontId="10" fillId="0" borderId="36" xfId="0" applyNumberFormat="1" applyFont="1" applyBorder="1"/>
    <xf numFmtId="3" fontId="10" fillId="0" borderId="37" xfId="0" applyNumberFormat="1" applyFont="1" applyBorder="1"/>
    <xf numFmtId="3" fontId="10" fillId="0" borderId="38" xfId="0" applyNumberFormat="1" applyFont="1" applyBorder="1"/>
    <xf numFmtId="0" fontId="11" fillId="0" borderId="23" xfId="0" applyFont="1" applyBorder="1" applyAlignment="1">
      <alignment horizontal="left" wrapText="1"/>
    </xf>
    <xf numFmtId="0" fontId="11" fillId="0" borderId="23" xfId="0" applyFont="1" applyBorder="1" applyAlignment="1">
      <alignment horizontal="right" wrapText="1"/>
    </xf>
    <xf numFmtId="0" fontId="11" fillId="0" borderId="39" xfId="0" applyFont="1" applyBorder="1" applyAlignment="1">
      <alignment horizontal="right" wrapText="1"/>
    </xf>
    <xf numFmtId="0" fontId="11" fillId="0" borderId="40" xfId="0" applyFont="1" applyBorder="1" applyAlignment="1">
      <alignment horizontal="right" wrapText="1"/>
    </xf>
    <xf numFmtId="0" fontId="11" fillId="0" borderId="20" xfId="0" applyFont="1" applyBorder="1" applyAlignment="1">
      <alignment horizontal="right" wrapText="1"/>
    </xf>
    <xf numFmtId="0" fontId="11" fillId="0" borderId="21" xfId="0" applyFont="1" applyBorder="1" applyAlignment="1">
      <alignment horizontal="right" wrapText="1"/>
    </xf>
    <xf numFmtId="0" fontId="11" fillId="0" borderId="0" xfId="0" applyFont="1" applyAlignment="1">
      <alignment wrapText="1"/>
    </xf>
    <xf numFmtId="3" fontId="10" fillId="0" borderId="0" xfId="0" applyNumberFormat="1" applyFont="1"/>
    <xf numFmtId="3" fontId="10" fillId="0" borderId="34" xfId="0" applyNumberFormat="1" applyFont="1" applyBorder="1"/>
    <xf numFmtId="3" fontId="10" fillId="0" borderId="35" xfId="0" applyNumberFormat="1" applyFont="1" applyBorder="1"/>
    <xf numFmtId="3" fontId="10" fillId="0" borderId="41" xfId="0" applyNumberFormat="1" applyFont="1" applyBorder="1"/>
    <xf numFmtId="3" fontId="10" fillId="0" borderId="42" xfId="0" applyNumberFormat="1" applyFont="1" applyBorder="1"/>
    <xf numFmtId="3" fontId="10" fillId="0" borderId="43" xfId="0" applyNumberFormat="1" applyFont="1" applyBorder="1"/>
    <xf numFmtId="0" fontId="25" fillId="0" borderId="10" xfId="0" applyFont="1" applyBorder="1" applyAlignment="1">
      <alignment horizontal="center"/>
    </xf>
    <xf numFmtId="0" fontId="26" fillId="0" borderId="10" xfId="0" applyFont="1" applyBorder="1" applyAlignment="1">
      <alignment horizontal="center"/>
    </xf>
    <xf numFmtId="3" fontId="25" fillId="0" borderId="23" xfId="0" applyNumberFormat="1" applyFont="1" applyFill="1" applyBorder="1" applyAlignment="1">
      <alignment horizontal="center"/>
    </xf>
    <xf numFmtId="0" fontId="20" fillId="16" borderId="27" xfId="0" applyFont="1" applyFill="1" applyBorder="1" applyAlignment="1">
      <alignment horizontal="center" vertical="center"/>
    </xf>
    <xf numFmtId="0" fontId="20" fillId="16" borderId="29" xfId="0" applyFont="1" applyFill="1" applyBorder="1" applyAlignment="1">
      <alignment horizontal="center" vertical="center"/>
    </xf>
    <xf numFmtId="0" fontId="20" fillId="16" borderId="25" xfId="0" applyFont="1" applyFill="1" applyBorder="1" applyAlignment="1">
      <alignment horizontal="center" vertical="center"/>
    </xf>
    <xf numFmtId="0" fontId="20" fillId="17" borderId="27" xfId="0" applyFont="1" applyFill="1" applyBorder="1" applyAlignment="1">
      <alignment horizontal="center" vertical="center"/>
    </xf>
    <xf numFmtId="0" fontId="20" fillId="17" borderId="29" xfId="0" applyFont="1" applyFill="1" applyBorder="1" applyAlignment="1">
      <alignment horizontal="center" vertical="center"/>
    </xf>
    <xf numFmtId="0" fontId="20" fillId="17" borderId="25" xfId="0" applyFont="1" applyFill="1" applyBorder="1" applyAlignment="1">
      <alignment horizontal="center" vertical="center"/>
    </xf>
    <xf numFmtId="0" fontId="14" fillId="13" borderId="27" xfId="0" applyFont="1" applyFill="1" applyBorder="1" applyAlignment="1">
      <alignment horizontal="center" vertical="center"/>
    </xf>
    <xf numFmtId="0" fontId="14" fillId="13" borderId="29" xfId="0" applyFont="1" applyFill="1" applyBorder="1" applyAlignment="1">
      <alignment horizontal="center" vertical="center"/>
    </xf>
    <xf numFmtId="0" fontId="14" fillId="13" borderId="25" xfId="0" applyFont="1" applyFill="1" applyBorder="1" applyAlignment="1">
      <alignment horizontal="center" vertical="center"/>
    </xf>
    <xf numFmtId="0" fontId="14" fillId="14" borderId="27" xfId="0" applyFont="1" applyFill="1" applyBorder="1" applyAlignment="1">
      <alignment horizontal="center" vertical="center"/>
    </xf>
    <xf numFmtId="0" fontId="14" fillId="14" borderId="29" xfId="0" applyFont="1" applyFill="1" applyBorder="1" applyAlignment="1">
      <alignment horizontal="center" vertical="center"/>
    </xf>
    <xf numFmtId="0" fontId="14" fillId="14" borderId="25" xfId="0" applyFont="1" applyFill="1" applyBorder="1" applyAlignment="1">
      <alignment horizontal="center" vertical="center"/>
    </xf>
    <xf numFmtId="0" fontId="14" fillId="15" borderId="27" xfId="0" applyFont="1" applyFill="1" applyBorder="1" applyAlignment="1">
      <alignment horizontal="center" vertical="center"/>
    </xf>
    <xf numFmtId="0" fontId="14" fillId="15" borderId="29" xfId="0" applyFont="1" applyFill="1" applyBorder="1" applyAlignment="1">
      <alignment horizontal="center" vertical="center"/>
    </xf>
    <xf numFmtId="0" fontId="14" fillId="15" borderId="25" xfId="0" applyFont="1" applyFill="1" applyBorder="1" applyAlignment="1">
      <alignment horizontal="center" vertical="center"/>
    </xf>
    <xf numFmtId="0" fontId="0" fillId="0" borderId="44" xfId="0" applyBorder="1" applyAlignment="1">
      <alignment horizontal="center" vertical="center" textRotation="90"/>
    </xf>
    <xf numFmtId="0" fontId="0" fillId="0" borderId="45" xfId="0" applyBorder="1" applyAlignment="1">
      <alignment horizontal="center" vertical="center" textRotation="90"/>
    </xf>
    <xf numFmtId="0" fontId="0" fillId="0" borderId="46" xfId="0" applyBorder="1" applyAlignment="1">
      <alignment horizontal="center" vertical="center" textRotation="90"/>
    </xf>
    <xf numFmtId="0" fontId="0" fillId="0" borderId="31" xfId="0" applyBorder="1" applyAlignment="1">
      <alignment horizontal="center" vertical="center" textRotation="90"/>
    </xf>
    <xf numFmtId="0" fontId="0" fillId="0" borderId="34" xfId="0" applyBorder="1" applyAlignment="1">
      <alignment horizontal="center" vertical="center" textRotation="90"/>
    </xf>
    <xf numFmtId="0" fontId="0" fillId="0" borderId="41" xfId="0" applyBorder="1" applyAlignment="1">
      <alignment horizontal="center" vertical="center" textRotation="90"/>
    </xf>
    <xf numFmtId="0" fontId="27" fillId="21" borderId="6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7" fillId="6" borderId="6" xfId="0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/>
    </xf>
    <xf numFmtId="0" fontId="27" fillId="8" borderId="6" xfId="0" applyFont="1" applyFill="1" applyBorder="1" applyAlignment="1">
      <alignment horizontal="center" vertical="center"/>
    </xf>
    <xf numFmtId="0" fontId="27" fillId="9" borderId="6" xfId="0" applyFont="1" applyFill="1" applyBorder="1" applyAlignment="1">
      <alignment horizontal="center" vertical="center"/>
    </xf>
    <xf numFmtId="0" fontId="0" fillId="0" borderId="49" xfId="0" applyFont="1" applyBorder="1"/>
    <xf numFmtId="0" fontId="0" fillId="22" borderId="49" xfId="0" applyFont="1" applyFill="1" applyBorder="1"/>
    <xf numFmtId="0" fontId="0" fillId="22" borderId="50" xfId="0" applyFont="1" applyFill="1" applyBorder="1"/>
  </cellXfs>
  <cellStyles count="6">
    <cellStyle name="Accent1" xfId="3" builtinId="29"/>
    <cellStyle name="Accent5" xfId="4" builtinId="45"/>
    <cellStyle name="Comma" xfId="1" builtinId="3"/>
    <cellStyle name="Normal" xfId="0" builtinId="0"/>
    <cellStyle name="Normal 2" xfId="5"/>
    <cellStyle name="Percent" xfId="2" builtinId="5"/>
  </cellStyles>
  <dxfs count="34"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3" formatCode="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.unhcr.org/Users/STOBBSM/Documents/IM/PRMN-12042017/PRMN-Drought-Displacements-Dashboard-for21Apr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MapsNew"/>
      <sheetName val="OUTPUTcumulative"/>
      <sheetName val="OUTPUTSingle"/>
      <sheetName val="OutputsArrivals"/>
      <sheetName val="OutputsWeek"/>
      <sheetName val="PivotWeekConflict"/>
      <sheetName val="ChartSingleDrought"/>
      <sheetName val="ChartCumulDrought"/>
      <sheetName val="OUTPUTMapsOLD"/>
      <sheetName val="pivotOriginsDrought"/>
      <sheetName val="pivotMatrixMonth"/>
      <sheetName val="pivotMonthDistricts"/>
      <sheetName val="FAO"/>
      <sheetName val="pivotMatrixCumulative"/>
      <sheetName val="pivotMatrixCumDrRelated"/>
      <sheetName val="pivotAdhoc2"/>
      <sheetName val="pivotAdhoc1"/>
      <sheetName val="pivotMatrixTest"/>
      <sheetName val="pivotDeparturesbyMonth"/>
      <sheetName val="pivArrivalsMonthSumm"/>
      <sheetName val="pivotArrivalsbyMonth"/>
      <sheetName val="About"/>
      <sheetName val="pivotStatus"/>
      <sheetName val="pivotArrivalsDrought"/>
      <sheetName val="Sheet2"/>
      <sheetName val="Chart1"/>
      <sheetName val="pivotSANKEYGEO"/>
      <sheetName val="pivotSANKEY"/>
      <sheetName val="PivotChart1"/>
      <sheetName val="PivotRegion"/>
      <sheetName val="PivotChartWeek"/>
      <sheetName val="link2data"/>
      <sheetName val="Sheet1"/>
      <sheetName val="Sheet6"/>
      <sheetName val="lookupDistricts"/>
      <sheetName val="lookupReasons"/>
      <sheetName val="lookupRegions"/>
      <sheetName val="PRMN-Drought-Displacements-Das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tables/table1.xml><?xml version="1.0" encoding="utf-8"?>
<table xmlns="http://schemas.openxmlformats.org/spreadsheetml/2006/main" id="2" name="Table1" displayName="Table1" ref="A6:T80" totalsRowShown="0" headerRowDxfId="33" dataDxfId="31" headerRowBorderDxfId="32" tableBorderDxfId="30">
  <autoFilter ref="A6:T80"/>
  <sortState ref="A7:T80">
    <sortCondition ref="B6:B80"/>
  </sortState>
  <tableColumns count="20">
    <tableColumn id="1" name="Region" dataDxfId="29"/>
    <tableColumn id="2" name="District" dataDxfId="28"/>
    <tableColumn id="3" name="Total population estimate" dataDxfId="27"/>
    <tableColumn id="4" name="of whom IDPs" dataDxfId="26"/>
    <tableColumn id="5" name="of whom non-displaced" dataDxfId="25"/>
    <tableColumn id="6" name="Children" dataDxfId="24"/>
    <tableColumn id="7" name="Men" dataDxfId="23"/>
    <tableColumn id="8" name="Women" dataDxfId="22"/>
    <tableColumn id="9" name="Elderly" dataDxfId="21"/>
    <tableColumn id="10" name="Subtotal - displaced" dataDxfId="20"/>
    <tableColumn id="11" name="Children2" dataDxfId="19"/>
    <tableColumn id="12" name="Men3" dataDxfId="18"/>
    <tableColumn id="13" name="Women4" dataDxfId="17"/>
    <tableColumn id="14" name="Elderly5" dataDxfId="16"/>
    <tableColumn id="15" name="Subtotal - displaced6" dataDxfId="15"/>
    <tableColumn id="16" name="Children7" dataDxfId="14"/>
    <tableColumn id="17" name="Men8" dataDxfId="13"/>
    <tableColumn id="18" name="Women9" dataDxfId="12"/>
    <tableColumn id="19" name="Elderly10" dataDxfId="11"/>
    <tableColumn id="20" name="Subtotal - displaced11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87"/>
  <sheetViews>
    <sheetView tabSelected="1" zoomScaleNormal="100" workbookViewId="0">
      <selection activeCell="C21" sqref="C21"/>
    </sheetView>
  </sheetViews>
  <sheetFormatPr defaultColWidth="9.1796875" defaultRowHeight="10.5" x14ac:dyDescent="0.25"/>
  <cols>
    <col min="1" max="1" width="5" style="12" customWidth="1"/>
    <col min="2" max="11" width="13.1796875" style="82" customWidth="1"/>
    <col min="12" max="16" width="9.1796875" style="12"/>
    <col min="17" max="17" width="78.36328125" style="12" customWidth="1"/>
    <col min="18" max="18" width="53.36328125" style="12" customWidth="1"/>
    <col min="19" max="16384" width="9.1796875" style="12"/>
  </cols>
  <sheetData>
    <row r="1" spans="2:18" x14ac:dyDescent="0.25"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2:18" x14ac:dyDescent="0.25">
      <c r="B2" s="13"/>
      <c r="C2" s="14">
        <v>1</v>
      </c>
      <c r="D2" s="15">
        <v>2</v>
      </c>
      <c r="E2" s="16">
        <v>3</v>
      </c>
      <c r="F2" s="17">
        <v>4</v>
      </c>
      <c r="G2" s="18">
        <v>5</v>
      </c>
      <c r="H2" s="12"/>
      <c r="I2" s="12"/>
      <c r="J2" s="12"/>
      <c r="K2" s="12"/>
    </row>
    <row r="3" spans="2:18" x14ac:dyDescent="0.25">
      <c r="B3" s="19" t="s">
        <v>0</v>
      </c>
      <c r="C3" s="20" t="s">
        <v>1</v>
      </c>
      <c r="D3" s="20" t="s">
        <v>2</v>
      </c>
      <c r="E3" s="20" t="s">
        <v>3</v>
      </c>
      <c r="F3" s="20" t="s">
        <v>4</v>
      </c>
      <c r="G3" s="20" t="s">
        <v>5</v>
      </c>
      <c r="H3" s="12"/>
      <c r="I3" s="12"/>
      <c r="J3" s="12"/>
      <c r="K3" s="12"/>
    </row>
    <row r="4" spans="2:18" x14ac:dyDescent="0.25">
      <c r="B4" s="21" t="s">
        <v>6</v>
      </c>
      <c r="C4" s="22"/>
      <c r="D4" s="23" t="s">
        <v>7</v>
      </c>
      <c r="E4" s="23"/>
      <c r="F4" s="23"/>
      <c r="G4" s="24"/>
      <c r="H4" s="12"/>
      <c r="I4" s="12"/>
      <c r="J4" s="12"/>
      <c r="K4" s="12"/>
    </row>
    <row r="5" spans="2:18" x14ac:dyDescent="0.25">
      <c r="B5" s="25"/>
      <c r="C5" s="26"/>
      <c r="D5" s="27"/>
      <c r="E5" s="28" t="s">
        <v>8</v>
      </c>
      <c r="F5" s="28"/>
      <c r="G5" s="29"/>
      <c r="H5" s="12"/>
      <c r="I5" s="12"/>
      <c r="J5" s="12"/>
      <c r="K5" s="12"/>
    </row>
    <row r="6" spans="2:18" x14ac:dyDescent="0.25">
      <c r="B6" s="30"/>
      <c r="C6" s="31"/>
      <c r="D6" s="32"/>
      <c r="E6" s="33"/>
      <c r="F6" s="34" t="s">
        <v>9</v>
      </c>
      <c r="G6" s="35"/>
      <c r="H6" s="12"/>
      <c r="I6" s="12"/>
      <c r="J6" s="12"/>
      <c r="K6" s="12"/>
    </row>
    <row r="7" spans="2:18" x14ac:dyDescent="0.25">
      <c r="B7" s="36"/>
      <c r="C7" s="37"/>
      <c r="D7" s="37"/>
      <c r="E7" s="38"/>
      <c r="F7" s="39"/>
      <c r="G7" s="40" t="s">
        <v>10</v>
      </c>
      <c r="H7" s="12"/>
      <c r="I7" s="12"/>
      <c r="J7" s="12"/>
      <c r="K7" s="12"/>
    </row>
    <row r="8" spans="2:18" x14ac:dyDescent="0.25">
      <c r="B8" s="41" t="s">
        <v>11</v>
      </c>
      <c r="C8" s="156">
        <f>'C-H2R_Estimation'!BG76</f>
        <v>8195043</v>
      </c>
      <c r="D8" s="156">
        <f>'C-H2R_Estimation'!BH76</f>
        <v>3740263</v>
      </c>
      <c r="E8" s="157">
        <f>'C-H2R_Estimation'!BI76</f>
        <v>3803872</v>
      </c>
      <c r="F8" s="157">
        <f>'C-H2R_Estimation'!BJ76</f>
        <v>0</v>
      </c>
      <c r="G8" s="157">
        <f>'C-H2R_Estimation'!BK76</f>
        <v>0</v>
      </c>
      <c r="H8" s="12"/>
      <c r="I8" s="12"/>
      <c r="J8" s="12"/>
      <c r="K8" s="12"/>
    </row>
    <row r="9" spans="2:18" x14ac:dyDescent="0.25">
      <c r="B9" s="19" t="s">
        <v>12</v>
      </c>
      <c r="C9" s="42">
        <f>C8/'C-H2R_Estimation'!AR76</f>
        <v>0.52067795408375206</v>
      </c>
      <c r="D9" s="42">
        <f>D8/'C-H2R_Estimation'!AR76</f>
        <v>0.23764030116439372</v>
      </c>
      <c r="E9" s="43">
        <f>E8/'C-H2R_Estimation'!AR76</f>
        <v>0.24168174475185425</v>
      </c>
      <c r="F9" s="43">
        <f>F8/'C-H2R_Estimation'!AR76</f>
        <v>0</v>
      </c>
      <c r="G9" s="43">
        <f>G8/'C-H2R_Estimation'!AR76</f>
        <v>0</v>
      </c>
      <c r="H9" s="12"/>
      <c r="I9" s="12"/>
      <c r="J9" s="12"/>
      <c r="K9" s="12"/>
    </row>
    <row r="10" spans="2:18" ht="11" thickBot="1" x14ac:dyDescent="0.3"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2:18" ht="12" thickBot="1" x14ac:dyDescent="0.3">
      <c r="B11" s="44"/>
      <c r="C11" s="217" t="s">
        <v>9</v>
      </c>
      <c r="D11" s="218"/>
      <c r="E11" s="218"/>
      <c r="F11" s="45" t="s">
        <v>18</v>
      </c>
      <c r="G11" s="45"/>
      <c r="H11" s="45"/>
      <c r="I11" s="45"/>
      <c r="J11" s="45"/>
      <c r="K11" s="46"/>
      <c r="O11" s="47"/>
      <c r="P11" s="48"/>
      <c r="Q11" s="48" t="s">
        <v>13</v>
      </c>
      <c r="R11" s="49"/>
    </row>
    <row r="12" spans="2:18" ht="12" thickBot="1" x14ac:dyDescent="0.3">
      <c r="B12" s="50" t="s">
        <v>14</v>
      </c>
      <c r="C12" s="219" t="s">
        <v>15</v>
      </c>
      <c r="D12" s="219" t="s">
        <v>16</v>
      </c>
      <c r="E12" s="219" t="s">
        <v>17</v>
      </c>
      <c r="F12" s="92">
        <v>1</v>
      </c>
      <c r="G12" s="93">
        <v>2</v>
      </c>
      <c r="H12" s="94">
        <v>3</v>
      </c>
      <c r="I12" s="95">
        <v>4</v>
      </c>
      <c r="J12" s="96">
        <v>5</v>
      </c>
      <c r="K12" s="51" t="s">
        <v>150</v>
      </c>
      <c r="O12" s="52" t="s">
        <v>18</v>
      </c>
      <c r="P12" s="53" t="s">
        <v>19</v>
      </c>
      <c r="Q12" s="54" t="s">
        <v>20</v>
      </c>
      <c r="R12" s="55" t="s">
        <v>21</v>
      </c>
    </row>
    <row r="13" spans="2:18" x14ac:dyDescent="0.25">
      <c r="B13" s="56" t="s">
        <v>165</v>
      </c>
      <c r="C13" s="57">
        <f>VLOOKUP(B13,'C-H2R_Estimation'!AQ:BF,14,FALSE)</f>
        <v>0</v>
      </c>
      <c r="D13" s="85">
        <f>VLOOKUP(B13,'C-H2R_Estimation'!AQ:BF,16,FALSE)</f>
        <v>0</v>
      </c>
      <c r="E13" s="85">
        <f>VLOOKUP(B13,'C-H2R_Estimation'!AQ:BF,15,FALSE)</f>
        <v>0</v>
      </c>
      <c r="F13" s="87">
        <f>VLOOKUP(B13,'C-H2R_Estimation'!AQ:BF,8,FALSE)</f>
        <v>1</v>
      </c>
      <c r="G13" s="88">
        <f>VLOOKUP(B13,'C-H2R_Estimation'!AQ:BF,9,FALSE)</f>
        <v>0</v>
      </c>
      <c r="H13" s="89">
        <f>VLOOKUP(B13,'C-H2R_Estimation'!AQ:BF,10,FALSE)</f>
        <v>0</v>
      </c>
      <c r="I13" s="90">
        <f>VLOOKUP(B13,'C-H2R_Estimation'!AQ:BF,11,FALSE)</f>
        <v>0</v>
      </c>
      <c r="J13" s="91">
        <f>VLOOKUP(B13,'C-H2R_Estimation'!AQ:BF,12,FALSE)</f>
        <v>0</v>
      </c>
      <c r="K13" s="97">
        <f>VLOOKUP(B13,'C-H2R_Estimation'!AQ:BF,13,FALSE)</f>
        <v>1</v>
      </c>
      <c r="O13" s="226">
        <v>1</v>
      </c>
      <c r="P13" s="226" t="s">
        <v>22</v>
      </c>
      <c r="Q13" s="58" t="s">
        <v>23</v>
      </c>
      <c r="R13" s="59" t="s">
        <v>24</v>
      </c>
    </row>
    <row r="14" spans="2:18" x14ac:dyDescent="0.25">
      <c r="B14" s="56" t="s">
        <v>25</v>
      </c>
      <c r="C14" s="57">
        <f>VLOOKUP(B14,'C-H2R_Estimation'!AQ:BF,14,FALSE)</f>
        <v>0</v>
      </c>
      <c r="D14" s="85">
        <f>VLOOKUP(B14,'C-H2R_Estimation'!AQ:BF,16,FALSE)</f>
        <v>0</v>
      </c>
      <c r="E14" s="85">
        <f>VLOOKUP(B14,'C-H2R_Estimation'!AQ:BF,15,FALSE)</f>
        <v>0</v>
      </c>
      <c r="F14" s="87">
        <f>VLOOKUP(B14,'C-H2R_Estimation'!AQ:BF,8,FALSE)</f>
        <v>0</v>
      </c>
      <c r="G14" s="88">
        <f>VLOOKUP(B14,'C-H2R_Estimation'!AQ:BF,9,FALSE)</f>
        <v>1</v>
      </c>
      <c r="H14" s="89">
        <f>VLOOKUP(B14,'C-H2R_Estimation'!AQ:BF,10,FALSE)</f>
        <v>0</v>
      </c>
      <c r="I14" s="90">
        <f>VLOOKUP(B14,'C-H2R_Estimation'!AQ:BF,11,FALSE)</f>
        <v>0</v>
      </c>
      <c r="J14" s="91">
        <f>VLOOKUP(B14,'C-H2R_Estimation'!AQ:BF,12,FALSE)</f>
        <v>0</v>
      </c>
      <c r="K14" s="97">
        <f>VLOOKUP(B14,'C-H2R_Estimation'!AQ:BF,13,FALSE)</f>
        <v>2</v>
      </c>
      <c r="O14" s="227"/>
      <c r="P14" s="227"/>
      <c r="Q14" s="58" t="s">
        <v>26</v>
      </c>
      <c r="R14" s="59" t="s">
        <v>27</v>
      </c>
    </row>
    <row r="15" spans="2:18" x14ac:dyDescent="0.25">
      <c r="B15" s="56" t="s">
        <v>28</v>
      </c>
      <c r="C15" s="57">
        <f>VLOOKUP(B15,'C-H2R_Estimation'!AQ:BF,14,FALSE)</f>
        <v>0</v>
      </c>
      <c r="D15" s="85">
        <f>VLOOKUP(B15,'C-H2R_Estimation'!AQ:BF,16,FALSE)</f>
        <v>0</v>
      </c>
      <c r="E15" s="85">
        <f>VLOOKUP(B15,'C-H2R_Estimation'!AQ:BF,15,FALSE)</f>
        <v>0</v>
      </c>
      <c r="F15" s="87">
        <f>VLOOKUP(B15,'C-H2R_Estimation'!AQ:BF,8,FALSE)</f>
        <v>0</v>
      </c>
      <c r="G15" s="88">
        <f>VLOOKUP(B15,'C-H2R_Estimation'!AQ:BF,9,FALSE)</f>
        <v>1</v>
      </c>
      <c r="H15" s="89">
        <f>VLOOKUP(B15,'C-H2R_Estimation'!AQ:BF,10,FALSE)</f>
        <v>0</v>
      </c>
      <c r="I15" s="90">
        <f>VLOOKUP(B15,'C-H2R_Estimation'!AQ:BF,11,FALSE)</f>
        <v>0</v>
      </c>
      <c r="J15" s="91">
        <f>VLOOKUP(B15,'C-H2R_Estimation'!AQ:BF,12,FALSE)</f>
        <v>0</v>
      </c>
      <c r="K15" s="97">
        <f>VLOOKUP(B15,'C-H2R_Estimation'!AQ:BF,13,FALSE)</f>
        <v>2</v>
      </c>
      <c r="O15" s="227"/>
      <c r="P15" s="227"/>
      <c r="Q15" s="58" t="s">
        <v>29</v>
      </c>
      <c r="R15" s="59" t="s">
        <v>30</v>
      </c>
    </row>
    <row r="16" spans="2:18" x14ac:dyDescent="0.25">
      <c r="B16" s="56" t="s">
        <v>31</v>
      </c>
      <c r="C16" s="57">
        <f>VLOOKUP(B16,'C-H2R_Estimation'!AQ:BF,14,FALSE)</f>
        <v>0</v>
      </c>
      <c r="D16" s="85">
        <f>VLOOKUP(B16,'C-H2R_Estimation'!AQ:BF,16,FALSE)</f>
        <v>0</v>
      </c>
      <c r="E16" s="85">
        <f>VLOOKUP(B16,'C-H2R_Estimation'!AQ:BF,15,FALSE)</f>
        <v>0</v>
      </c>
      <c r="F16" s="87">
        <f>VLOOKUP(B16,'C-H2R_Estimation'!AQ:BF,8,FALSE)</f>
        <v>1</v>
      </c>
      <c r="G16" s="88">
        <f>VLOOKUP(B16,'C-H2R_Estimation'!AQ:BF,9,FALSE)</f>
        <v>0</v>
      </c>
      <c r="H16" s="89">
        <f>VLOOKUP(B16,'C-H2R_Estimation'!AQ:BF,10,FALSE)</f>
        <v>0</v>
      </c>
      <c r="I16" s="90">
        <f>VLOOKUP(B16,'C-H2R_Estimation'!AQ:BF,11,FALSE)</f>
        <v>0</v>
      </c>
      <c r="J16" s="91">
        <f>VLOOKUP(B16,'C-H2R_Estimation'!AQ:BF,12,FALSE)</f>
        <v>0</v>
      </c>
      <c r="K16" s="97">
        <f>VLOOKUP(B16,'C-H2R_Estimation'!AQ:BF,13,FALSE)</f>
        <v>1</v>
      </c>
      <c r="O16" s="227"/>
      <c r="P16" s="227"/>
      <c r="Q16" s="60"/>
      <c r="R16" s="59" t="s">
        <v>32</v>
      </c>
    </row>
    <row r="17" spans="2:18" ht="11" thickBot="1" x14ac:dyDescent="0.3">
      <c r="B17" s="56" t="s">
        <v>33</v>
      </c>
      <c r="C17" s="57">
        <f>VLOOKUP(B17,'C-H2R_Estimation'!AQ:BF,14,FALSE)</f>
        <v>0</v>
      </c>
      <c r="D17" s="85">
        <f>VLOOKUP(B17,'C-H2R_Estimation'!AQ:BF,16,FALSE)</f>
        <v>0</v>
      </c>
      <c r="E17" s="85">
        <f>VLOOKUP(B17,'C-H2R_Estimation'!AQ:BF,15,FALSE)</f>
        <v>0</v>
      </c>
      <c r="F17" s="87">
        <f>VLOOKUP(B17,'C-H2R_Estimation'!AQ:BF,8,FALSE)</f>
        <v>1</v>
      </c>
      <c r="G17" s="88">
        <f>VLOOKUP(B17,'C-H2R_Estimation'!AQ:BF,9,FALSE)</f>
        <v>0</v>
      </c>
      <c r="H17" s="89">
        <f>VLOOKUP(B17,'C-H2R_Estimation'!AQ:BF,10,FALSE)</f>
        <v>0</v>
      </c>
      <c r="I17" s="90">
        <f>VLOOKUP(B17,'C-H2R_Estimation'!AQ:BF,11,FALSE)</f>
        <v>0</v>
      </c>
      <c r="J17" s="91">
        <f>VLOOKUP(B17,'C-H2R_Estimation'!AQ:BF,12,FALSE)</f>
        <v>0</v>
      </c>
      <c r="K17" s="97">
        <f>VLOOKUP(B17,'C-H2R_Estimation'!AQ:BF,13,FALSE)</f>
        <v>1</v>
      </c>
      <c r="O17" s="228"/>
      <c r="P17" s="228"/>
      <c r="Q17" s="61"/>
      <c r="R17" s="62" t="s">
        <v>34</v>
      </c>
    </row>
    <row r="18" spans="2:18" x14ac:dyDescent="0.25">
      <c r="B18" s="56" t="s">
        <v>35</v>
      </c>
      <c r="C18" s="57">
        <f>VLOOKUP(B18,'C-H2R_Estimation'!AQ:BF,14,FALSE)</f>
        <v>620749</v>
      </c>
      <c r="D18" s="85">
        <f>VLOOKUP(B18,'C-H2R_Estimation'!AQ:BF,16,FALSE)</f>
        <v>166549</v>
      </c>
      <c r="E18" s="85">
        <f>VLOOKUP(B18,'C-H2R_Estimation'!AQ:BF,15,FALSE)</f>
        <v>454200</v>
      </c>
      <c r="F18" s="87">
        <f>VLOOKUP(B18,'C-H2R_Estimation'!AQ:BF,8,FALSE)</f>
        <v>0</v>
      </c>
      <c r="G18" s="88">
        <f>VLOOKUP(B18,'C-H2R_Estimation'!AQ:BF,9,FALSE)</f>
        <v>0</v>
      </c>
      <c r="H18" s="89">
        <f>VLOOKUP(B18,'C-H2R_Estimation'!AQ:BF,10,FALSE)</f>
        <v>1</v>
      </c>
      <c r="I18" s="90">
        <f>VLOOKUP(B18,'C-H2R_Estimation'!AQ:BF,11,FALSE)</f>
        <v>0</v>
      </c>
      <c r="J18" s="91">
        <f>VLOOKUP(B18,'C-H2R_Estimation'!AQ:BF,12,FALSE)</f>
        <v>0</v>
      </c>
      <c r="K18" s="97">
        <f>VLOOKUP(B18,'C-H2R_Estimation'!AQ:BF,13,FALSE)</f>
        <v>3</v>
      </c>
      <c r="O18" s="229">
        <v>2</v>
      </c>
      <c r="P18" s="229" t="s">
        <v>2</v>
      </c>
      <c r="Q18" s="63" t="s">
        <v>36</v>
      </c>
      <c r="R18" s="64" t="s">
        <v>37</v>
      </c>
    </row>
    <row r="19" spans="2:18" x14ac:dyDescent="0.25">
      <c r="B19" s="56" t="s">
        <v>38</v>
      </c>
      <c r="C19" s="57">
        <f>VLOOKUP(B19,'C-H2R_Estimation'!AQ:BF,14,FALSE)</f>
        <v>0</v>
      </c>
      <c r="D19" s="85">
        <f>VLOOKUP(B19,'C-H2R_Estimation'!AQ:BF,16,FALSE)</f>
        <v>0</v>
      </c>
      <c r="E19" s="85">
        <f>VLOOKUP(B19,'C-H2R_Estimation'!AQ:BF,15,FALSE)</f>
        <v>0</v>
      </c>
      <c r="F19" s="87">
        <f>VLOOKUP(B19,'C-H2R_Estimation'!AQ:BF,8,FALSE)</f>
        <v>1</v>
      </c>
      <c r="G19" s="88">
        <f>VLOOKUP(B19,'C-H2R_Estimation'!AQ:BF,9,FALSE)</f>
        <v>0</v>
      </c>
      <c r="H19" s="89">
        <f>VLOOKUP(B19,'C-H2R_Estimation'!AQ:BF,10,FALSE)</f>
        <v>0</v>
      </c>
      <c r="I19" s="90">
        <f>VLOOKUP(B19,'C-H2R_Estimation'!AQ:BF,11,FALSE)</f>
        <v>0</v>
      </c>
      <c r="J19" s="91">
        <f>VLOOKUP(B19,'C-H2R_Estimation'!AQ:BF,12,FALSE)</f>
        <v>0</v>
      </c>
      <c r="K19" s="97">
        <f>VLOOKUP(B19,'C-H2R_Estimation'!AQ:BF,13,FALSE)</f>
        <v>1</v>
      </c>
      <c r="O19" s="230"/>
      <c r="P19" s="230"/>
      <c r="Q19" s="63" t="s">
        <v>39</v>
      </c>
      <c r="R19" s="64" t="s">
        <v>34</v>
      </c>
    </row>
    <row r="20" spans="2:18" x14ac:dyDescent="0.25">
      <c r="B20" s="56" t="s">
        <v>40</v>
      </c>
      <c r="C20" s="57">
        <f>VLOOKUP(B20,'C-H2R_Estimation'!AQ:BF,14,FALSE)</f>
        <v>0</v>
      </c>
      <c r="D20" s="85">
        <f>VLOOKUP(B20,'C-H2R_Estimation'!AQ:BF,16,FALSE)</f>
        <v>0</v>
      </c>
      <c r="E20" s="85">
        <f>VLOOKUP(B20,'C-H2R_Estimation'!AQ:BF,15,FALSE)</f>
        <v>0</v>
      </c>
      <c r="F20" s="87">
        <f>VLOOKUP(B20,'C-H2R_Estimation'!AQ:BF,8,FALSE)</f>
        <v>0</v>
      </c>
      <c r="G20" s="88">
        <f>VLOOKUP(B20,'C-H2R_Estimation'!AQ:BF,9,FALSE)</f>
        <v>1</v>
      </c>
      <c r="H20" s="89">
        <f>VLOOKUP(B20,'C-H2R_Estimation'!AQ:BF,10,FALSE)</f>
        <v>0</v>
      </c>
      <c r="I20" s="90">
        <f>VLOOKUP(B20,'C-H2R_Estimation'!AQ:BF,11,FALSE)</f>
        <v>0</v>
      </c>
      <c r="J20" s="91">
        <f>VLOOKUP(B20,'C-H2R_Estimation'!AQ:BF,12,FALSE)</f>
        <v>0</v>
      </c>
      <c r="K20" s="97">
        <f>VLOOKUP(B20,'C-H2R_Estimation'!AQ:BF,13,FALSE)</f>
        <v>2</v>
      </c>
      <c r="O20" s="230"/>
      <c r="P20" s="230"/>
      <c r="Q20" s="63" t="s">
        <v>41</v>
      </c>
      <c r="R20" s="64" t="s">
        <v>42</v>
      </c>
    </row>
    <row r="21" spans="2:18" x14ac:dyDescent="0.25">
      <c r="B21" s="56" t="s">
        <v>43</v>
      </c>
      <c r="C21" s="57">
        <f>VLOOKUP(B21,'C-H2R_Estimation'!AQ:BF,14,FALSE)</f>
        <v>2683312</v>
      </c>
      <c r="D21" s="85">
        <f>VLOOKUP(B21,'C-H2R_Estimation'!AQ:BF,16,FALSE)</f>
        <v>1779312</v>
      </c>
      <c r="E21" s="85">
        <f>VLOOKUP(B21,'C-H2R_Estimation'!AQ:BF,15,FALSE)</f>
        <v>904000</v>
      </c>
      <c r="F21" s="87">
        <f>VLOOKUP(B21,'C-H2R_Estimation'!AQ:BF,8,FALSE)</f>
        <v>0</v>
      </c>
      <c r="G21" s="88">
        <f>VLOOKUP(B21,'C-H2R_Estimation'!AQ:BF,9,FALSE)</f>
        <v>0</v>
      </c>
      <c r="H21" s="89">
        <f>VLOOKUP(B21,'C-H2R_Estimation'!AQ:BF,10,FALSE)</f>
        <v>1</v>
      </c>
      <c r="I21" s="90">
        <f>VLOOKUP(B21,'C-H2R_Estimation'!AQ:BF,11,FALSE)</f>
        <v>0</v>
      </c>
      <c r="J21" s="91">
        <f>VLOOKUP(B21,'C-H2R_Estimation'!AQ:BF,12,FALSE)</f>
        <v>0</v>
      </c>
      <c r="K21" s="97">
        <f>VLOOKUP(B21,'C-H2R_Estimation'!AQ:BF,13,FALSE)</f>
        <v>3</v>
      </c>
      <c r="O21" s="230"/>
      <c r="P21" s="230"/>
      <c r="Q21" s="63" t="s">
        <v>44</v>
      </c>
      <c r="R21" s="64" t="s">
        <v>45</v>
      </c>
    </row>
    <row r="22" spans="2:18" ht="11" thickBot="1" x14ac:dyDescent="0.3">
      <c r="B22" s="56" t="s">
        <v>132</v>
      </c>
      <c r="C22" s="57">
        <f>VLOOKUP(B22,'C-H2R_Estimation'!AQ:BF,14,FALSE)</f>
        <v>0</v>
      </c>
      <c r="D22" s="85">
        <f>VLOOKUP(B22,'C-H2R_Estimation'!AQ:BF,16,FALSE)</f>
        <v>0</v>
      </c>
      <c r="E22" s="85">
        <f>VLOOKUP(B22,'C-H2R_Estimation'!AQ:BF,15,FALSE)</f>
        <v>0</v>
      </c>
      <c r="F22" s="87">
        <f>VLOOKUP(B22,'C-H2R_Estimation'!AQ:BF,8,FALSE)</f>
        <v>1</v>
      </c>
      <c r="G22" s="88">
        <f>VLOOKUP(B22,'C-H2R_Estimation'!AQ:BF,9,FALSE)</f>
        <v>0</v>
      </c>
      <c r="H22" s="89">
        <f>VLOOKUP(B22,'C-H2R_Estimation'!AQ:BF,10,FALSE)</f>
        <v>0</v>
      </c>
      <c r="I22" s="90">
        <f>VLOOKUP(B22,'C-H2R_Estimation'!AQ:BF,11,FALSE)</f>
        <v>0</v>
      </c>
      <c r="J22" s="91">
        <f>VLOOKUP(B22,'C-H2R_Estimation'!AQ:BF,12,FALSE)</f>
        <v>0</v>
      </c>
      <c r="K22" s="97">
        <f>VLOOKUP(B22,'C-H2R_Estimation'!AQ:BF,13,FALSE)</f>
        <v>1</v>
      </c>
      <c r="O22" s="231"/>
      <c r="P22" s="231"/>
      <c r="Q22" s="65"/>
      <c r="R22" s="66" t="s">
        <v>46</v>
      </c>
    </row>
    <row r="23" spans="2:18" x14ac:dyDescent="0.25">
      <c r="B23" s="56" t="s">
        <v>47</v>
      </c>
      <c r="C23" s="57">
        <f>VLOOKUP(B23,'C-H2R_Estimation'!AQ:BF,14,FALSE)</f>
        <v>0</v>
      </c>
      <c r="D23" s="85">
        <f>VLOOKUP(B23,'C-H2R_Estimation'!AQ:BF,16,FALSE)</f>
        <v>0</v>
      </c>
      <c r="E23" s="85">
        <f>VLOOKUP(B23,'C-H2R_Estimation'!AQ:BF,15,FALSE)</f>
        <v>0</v>
      </c>
      <c r="F23" s="87">
        <f>VLOOKUP(B23,'C-H2R_Estimation'!AQ:BF,8,FALSE)</f>
        <v>1</v>
      </c>
      <c r="G23" s="88">
        <f>VLOOKUP(B23,'C-H2R_Estimation'!AQ:BF,9,FALSE)</f>
        <v>0</v>
      </c>
      <c r="H23" s="89">
        <f>VLOOKUP(B23,'C-H2R_Estimation'!AQ:BF,10,FALSE)</f>
        <v>0</v>
      </c>
      <c r="I23" s="90">
        <f>VLOOKUP(B23,'C-H2R_Estimation'!AQ:BF,11,FALSE)</f>
        <v>0</v>
      </c>
      <c r="J23" s="91">
        <f>VLOOKUP(B23,'C-H2R_Estimation'!AQ:BF,12,FALSE)</f>
        <v>0</v>
      </c>
      <c r="K23" s="97">
        <f>VLOOKUP(B23,'C-H2R_Estimation'!AQ:BF,13,FALSE)</f>
        <v>1</v>
      </c>
      <c r="O23" s="232">
        <v>3</v>
      </c>
      <c r="P23" s="232" t="s">
        <v>3</v>
      </c>
      <c r="Q23" s="67" t="s">
        <v>48</v>
      </c>
      <c r="R23" s="68" t="s">
        <v>49</v>
      </c>
    </row>
    <row r="24" spans="2:18" x14ac:dyDescent="0.25">
      <c r="B24" s="56" t="s">
        <v>157</v>
      </c>
      <c r="C24" s="57">
        <f>VLOOKUP(B24,'C-H2R_Estimation'!AQ:BF,14,FALSE)</f>
        <v>287761</v>
      </c>
      <c r="D24" s="85">
        <f>VLOOKUP(B24,'C-H2R_Estimation'!AQ:BF,16,FALSE)</f>
        <v>207661</v>
      </c>
      <c r="E24" s="85">
        <f>VLOOKUP(B24,'C-H2R_Estimation'!AQ:BF,15,FALSE)</f>
        <v>80100</v>
      </c>
      <c r="F24" s="87">
        <f>VLOOKUP(B24,'C-H2R_Estimation'!AQ:BF,8,FALSE)</f>
        <v>0</v>
      </c>
      <c r="G24" s="88">
        <f>VLOOKUP(B24,'C-H2R_Estimation'!AQ:BF,9,FALSE)</f>
        <v>0</v>
      </c>
      <c r="H24" s="89">
        <f>VLOOKUP(B24,'C-H2R_Estimation'!AQ:BF,10,FALSE)</f>
        <v>1</v>
      </c>
      <c r="I24" s="90">
        <f>VLOOKUP(B24,'C-H2R_Estimation'!AQ:BF,11,FALSE)</f>
        <v>0</v>
      </c>
      <c r="J24" s="91">
        <f>VLOOKUP(B24,'C-H2R_Estimation'!AQ:BF,12,FALSE)</f>
        <v>0</v>
      </c>
      <c r="K24" s="97">
        <f>VLOOKUP(B24,'C-H2R_Estimation'!AQ:BF,13,FALSE)</f>
        <v>3</v>
      </c>
      <c r="O24" s="233"/>
      <c r="P24" s="233"/>
      <c r="Q24" s="67" t="s">
        <v>50</v>
      </c>
      <c r="R24" s="68" t="s">
        <v>46</v>
      </c>
    </row>
    <row r="25" spans="2:18" x14ac:dyDescent="0.25">
      <c r="B25" s="56" t="s">
        <v>154</v>
      </c>
      <c r="C25" s="57">
        <f>VLOOKUP(B25,'C-H2R_Estimation'!AQ:BF,14,FALSE)</f>
        <v>0</v>
      </c>
      <c r="D25" s="85">
        <f>VLOOKUP(B25,'C-H2R_Estimation'!AQ:BF,16,FALSE)</f>
        <v>0</v>
      </c>
      <c r="E25" s="85">
        <f>VLOOKUP(B25,'C-H2R_Estimation'!AQ:BF,15,FALSE)</f>
        <v>0</v>
      </c>
      <c r="F25" s="87">
        <f>VLOOKUP(B25,'C-H2R_Estimation'!AQ:BF,8,FALSE)</f>
        <v>1</v>
      </c>
      <c r="G25" s="88">
        <f>VLOOKUP(B25,'C-H2R_Estimation'!AQ:BF,9,FALSE)</f>
        <v>0</v>
      </c>
      <c r="H25" s="89">
        <f>VLOOKUP(B25,'C-H2R_Estimation'!AQ:BF,10,FALSE)</f>
        <v>0</v>
      </c>
      <c r="I25" s="90">
        <f>VLOOKUP(B25,'C-H2R_Estimation'!AQ:BF,11,FALSE)</f>
        <v>0</v>
      </c>
      <c r="J25" s="91">
        <f>VLOOKUP(B25,'C-H2R_Estimation'!AQ:BF,12,FALSE)</f>
        <v>0</v>
      </c>
      <c r="K25" s="97">
        <f>VLOOKUP(B25,'C-H2R_Estimation'!AQ:BF,13,FALSE)</f>
        <v>1</v>
      </c>
      <c r="O25" s="233"/>
      <c r="P25" s="233"/>
      <c r="Q25" s="67" t="s">
        <v>51</v>
      </c>
      <c r="R25" s="68" t="s">
        <v>42</v>
      </c>
    </row>
    <row r="26" spans="2:18" x14ac:dyDescent="0.25">
      <c r="B26" s="56" t="s">
        <v>52</v>
      </c>
      <c r="C26" s="57">
        <f>VLOOKUP(B26,'C-H2R_Estimation'!AQ:BF,14,FALSE)</f>
        <v>0</v>
      </c>
      <c r="D26" s="85">
        <f>VLOOKUP(B26,'C-H2R_Estimation'!AQ:BF,16,FALSE)</f>
        <v>0</v>
      </c>
      <c r="E26" s="85">
        <f>VLOOKUP(B26,'C-H2R_Estimation'!AQ:BF,15,FALSE)</f>
        <v>0</v>
      </c>
      <c r="F26" s="87">
        <f>VLOOKUP(B26,'C-H2R_Estimation'!AQ:BF,8,FALSE)</f>
        <v>1</v>
      </c>
      <c r="G26" s="88">
        <f>VLOOKUP(B26,'C-H2R_Estimation'!AQ:BF,9,FALSE)</f>
        <v>0</v>
      </c>
      <c r="H26" s="89">
        <f>VLOOKUP(B26,'C-H2R_Estimation'!AQ:BF,10,FALSE)</f>
        <v>0</v>
      </c>
      <c r="I26" s="90">
        <f>VLOOKUP(B26,'C-H2R_Estimation'!AQ:BF,11,FALSE)</f>
        <v>0</v>
      </c>
      <c r="J26" s="91">
        <f>VLOOKUP(B26,'C-H2R_Estimation'!AQ:BF,12,FALSE)</f>
        <v>0</v>
      </c>
      <c r="K26" s="97">
        <f>VLOOKUP(B26,'C-H2R_Estimation'!AQ:BF,13,FALSE)</f>
        <v>1</v>
      </c>
      <c r="O26" s="233"/>
      <c r="P26" s="233"/>
      <c r="Q26" s="69"/>
      <c r="R26" s="68" t="s">
        <v>53</v>
      </c>
    </row>
    <row r="27" spans="2:18" x14ac:dyDescent="0.25">
      <c r="B27" s="56" t="s">
        <v>54</v>
      </c>
      <c r="C27" s="57">
        <f>VLOOKUP(B27,'C-H2R_Estimation'!AQ:BF,14,FALSE)</f>
        <v>0</v>
      </c>
      <c r="D27" s="85">
        <f>VLOOKUP(B27,'C-H2R_Estimation'!AQ:BF,16,FALSE)</f>
        <v>0</v>
      </c>
      <c r="E27" s="85">
        <f>VLOOKUP(B27,'C-H2R_Estimation'!AQ:BF,15,FALSE)</f>
        <v>0</v>
      </c>
      <c r="F27" s="87">
        <f>VLOOKUP(B27,'C-H2R_Estimation'!AQ:BF,8,FALSE)</f>
        <v>1</v>
      </c>
      <c r="G27" s="88">
        <f>VLOOKUP(B27,'C-H2R_Estimation'!AQ:BF,9,FALSE)</f>
        <v>0</v>
      </c>
      <c r="H27" s="89">
        <f>VLOOKUP(B27,'C-H2R_Estimation'!AQ:BF,10,FALSE)</f>
        <v>0</v>
      </c>
      <c r="I27" s="90">
        <f>VLOOKUP(B27,'C-H2R_Estimation'!AQ:BF,11,FALSE)</f>
        <v>0</v>
      </c>
      <c r="J27" s="91">
        <f>VLOOKUP(B27,'C-H2R_Estimation'!AQ:BF,12,FALSE)</f>
        <v>0</v>
      </c>
      <c r="K27" s="97">
        <f>VLOOKUP(B27,'C-H2R_Estimation'!AQ:BF,13,FALSE)</f>
        <v>1</v>
      </c>
      <c r="O27" s="233"/>
      <c r="P27" s="233"/>
      <c r="Q27" s="69"/>
      <c r="R27" s="68" t="s">
        <v>55</v>
      </c>
    </row>
    <row r="28" spans="2:18" ht="11" thickBot="1" x14ac:dyDescent="0.3">
      <c r="B28" s="56" t="s">
        <v>56</v>
      </c>
      <c r="C28" s="57">
        <f>VLOOKUP(B28,'C-H2R_Estimation'!AQ:BF,14,FALSE)</f>
        <v>0</v>
      </c>
      <c r="D28" s="85">
        <f>VLOOKUP(B28,'C-H2R_Estimation'!AQ:BF,16,FALSE)</f>
        <v>0</v>
      </c>
      <c r="E28" s="85">
        <f>VLOOKUP(B28,'C-H2R_Estimation'!AQ:BF,15,FALSE)</f>
        <v>0</v>
      </c>
      <c r="F28" s="87">
        <f>VLOOKUP(B28,'C-H2R_Estimation'!AQ:BF,8,FALSE)</f>
        <v>1</v>
      </c>
      <c r="G28" s="88">
        <f>VLOOKUP(B28,'C-H2R_Estimation'!AQ:BF,9,FALSE)</f>
        <v>0</v>
      </c>
      <c r="H28" s="89">
        <f>VLOOKUP(B28,'C-H2R_Estimation'!AQ:BF,10,FALSE)</f>
        <v>0</v>
      </c>
      <c r="I28" s="90">
        <f>VLOOKUP(B28,'C-H2R_Estimation'!AQ:BF,11,FALSE)</f>
        <v>0</v>
      </c>
      <c r="J28" s="91">
        <f>VLOOKUP(B28,'C-H2R_Estimation'!AQ:BF,12,FALSE)</f>
        <v>0</v>
      </c>
      <c r="K28" s="97">
        <f>VLOOKUP(B28,'C-H2R_Estimation'!AQ:BF,13,FALSE)</f>
        <v>1</v>
      </c>
      <c r="O28" s="234"/>
      <c r="P28" s="234"/>
      <c r="Q28" s="70"/>
      <c r="R28" s="71" t="s">
        <v>57</v>
      </c>
    </row>
    <row r="29" spans="2:18" x14ac:dyDescent="0.25">
      <c r="B29" s="56" t="s">
        <v>164</v>
      </c>
      <c r="C29" s="57">
        <f>VLOOKUP(B29,'C-H2R_Estimation'!AQ:BF,14,FALSE)</f>
        <v>0</v>
      </c>
      <c r="D29" s="85">
        <f>VLOOKUP(B29,'C-H2R_Estimation'!AQ:BF,16,FALSE)</f>
        <v>0</v>
      </c>
      <c r="E29" s="85">
        <f>VLOOKUP(B29,'C-H2R_Estimation'!AQ:BF,15,FALSE)</f>
        <v>0</v>
      </c>
      <c r="F29" s="87">
        <f>VLOOKUP(B29,'C-H2R_Estimation'!AQ:BF,8,FALSE)</f>
        <v>1</v>
      </c>
      <c r="G29" s="88">
        <f>VLOOKUP(B29,'C-H2R_Estimation'!AQ:BF,9,FALSE)</f>
        <v>0</v>
      </c>
      <c r="H29" s="89">
        <f>VLOOKUP(B29,'C-H2R_Estimation'!AQ:BF,10,FALSE)</f>
        <v>0</v>
      </c>
      <c r="I29" s="90">
        <f>VLOOKUP(B29,'C-H2R_Estimation'!AQ:BF,11,FALSE)</f>
        <v>0</v>
      </c>
      <c r="J29" s="91">
        <f>VLOOKUP(B29,'C-H2R_Estimation'!AQ:BF,12,FALSE)</f>
        <v>0</v>
      </c>
      <c r="K29" s="97">
        <f>VLOOKUP(B29,'C-H2R_Estimation'!AQ:BF,13,FALSE)</f>
        <v>1</v>
      </c>
      <c r="O29" s="220">
        <v>4</v>
      </c>
      <c r="P29" s="220" t="s">
        <v>4</v>
      </c>
      <c r="Q29" s="72" t="s">
        <v>58</v>
      </c>
      <c r="R29" s="73" t="s">
        <v>59</v>
      </c>
    </row>
    <row r="30" spans="2:18" x14ac:dyDescent="0.25">
      <c r="B30" s="56" t="s">
        <v>160</v>
      </c>
      <c r="C30" s="57">
        <f>VLOOKUP(B30,'C-H2R_Estimation'!AQ:BF,14,FALSE)</f>
        <v>0</v>
      </c>
      <c r="D30" s="85">
        <f>VLOOKUP(B30,'C-H2R_Estimation'!AQ:BF,16,FALSE)</f>
        <v>0</v>
      </c>
      <c r="E30" s="85">
        <f>VLOOKUP(B30,'C-H2R_Estimation'!AQ:BF,15,FALSE)</f>
        <v>0</v>
      </c>
      <c r="F30" s="87">
        <f>VLOOKUP(B30,'C-H2R_Estimation'!AQ:BF,8,FALSE)</f>
        <v>1</v>
      </c>
      <c r="G30" s="88">
        <f>VLOOKUP(B30,'C-H2R_Estimation'!AQ:BF,9,FALSE)</f>
        <v>0</v>
      </c>
      <c r="H30" s="89">
        <f>VLOOKUP(B30,'C-H2R_Estimation'!AQ:BF,10,FALSE)</f>
        <v>0</v>
      </c>
      <c r="I30" s="90">
        <f>VLOOKUP(B30,'C-H2R_Estimation'!AQ:BF,11,FALSE)</f>
        <v>0</v>
      </c>
      <c r="J30" s="91">
        <f>VLOOKUP(B30,'C-H2R_Estimation'!AQ:BF,12,FALSE)</f>
        <v>0</v>
      </c>
      <c r="K30" s="97">
        <f>VLOOKUP(B30,'C-H2R_Estimation'!AQ:BF,13,FALSE)</f>
        <v>1</v>
      </c>
      <c r="O30" s="221"/>
      <c r="P30" s="221"/>
      <c r="Q30" s="72" t="s">
        <v>60</v>
      </c>
      <c r="R30" s="73" t="s">
        <v>61</v>
      </c>
    </row>
    <row r="31" spans="2:18" ht="11" thickBot="1" x14ac:dyDescent="0.3">
      <c r="B31" s="56" t="s">
        <v>62</v>
      </c>
      <c r="C31" s="57">
        <f>VLOOKUP(B31,'C-H2R_Estimation'!AQ:BF,14,FALSE)</f>
        <v>0</v>
      </c>
      <c r="D31" s="85">
        <f>VLOOKUP(B31,'C-H2R_Estimation'!AQ:BF,16,FALSE)</f>
        <v>0</v>
      </c>
      <c r="E31" s="85">
        <f>VLOOKUP(B31,'C-H2R_Estimation'!AQ:BF,15,FALSE)</f>
        <v>0</v>
      </c>
      <c r="F31" s="87">
        <f>VLOOKUP(B31,'C-H2R_Estimation'!AQ:BF,8,FALSE)</f>
        <v>1</v>
      </c>
      <c r="G31" s="88">
        <f>VLOOKUP(B31,'C-H2R_Estimation'!AQ:BF,9,FALSE)</f>
        <v>0</v>
      </c>
      <c r="H31" s="89">
        <f>VLOOKUP(B31,'C-H2R_Estimation'!AQ:BF,10,FALSE)</f>
        <v>0</v>
      </c>
      <c r="I31" s="90">
        <f>VLOOKUP(B31,'C-H2R_Estimation'!AQ:BF,11,FALSE)</f>
        <v>0</v>
      </c>
      <c r="J31" s="91">
        <f>VLOOKUP(B31,'C-H2R_Estimation'!AQ:BF,12,FALSE)</f>
        <v>0</v>
      </c>
      <c r="K31" s="97">
        <f>VLOOKUP(B31,'C-H2R_Estimation'!AQ:BF,13,FALSE)</f>
        <v>1</v>
      </c>
      <c r="O31" s="222"/>
      <c r="P31" s="222"/>
      <c r="Q31" s="74" t="s">
        <v>63</v>
      </c>
      <c r="R31" s="75"/>
    </row>
    <row r="32" spans="2:18" x14ac:dyDescent="0.25">
      <c r="B32" s="56" t="s">
        <v>64</v>
      </c>
      <c r="C32" s="57">
        <f>VLOOKUP(B32,'C-H2R_Estimation'!AQ:BF,14,FALSE)</f>
        <v>0</v>
      </c>
      <c r="D32" s="85">
        <f>VLOOKUP(B32,'C-H2R_Estimation'!AQ:BF,16,FALSE)</f>
        <v>0</v>
      </c>
      <c r="E32" s="85">
        <f>VLOOKUP(B32,'C-H2R_Estimation'!AQ:BF,15,FALSE)</f>
        <v>0</v>
      </c>
      <c r="F32" s="87">
        <f>VLOOKUP(B32,'C-H2R_Estimation'!AQ:BF,8,FALSE)</f>
        <v>1</v>
      </c>
      <c r="G32" s="88">
        <f>VLOOKUP(B32,'C-H2R_Estimation'!AQ:BF,9,FALSE)</f>
        <v>0</v>
      </c>
      <c r="H32" s="89">
        <f>VLOOKUP(B32,'C-H2R_Estimation'!AQ:BF,10,FALSE)</f>
        <v>0</v>
      </c>
      <c r="I32" s="90">
        <f>VLOOKUP(B32,'C-H2R_Estimation'!AQ:BF,11,FALSE)</f>
        <v>0</v>
      </c>
      <c r="J32" s="91">
        <f>VLOOKUP(B32,'C-H2R_Estimation'!AQ:BF,12,FALSE)</f>
        <v>0</v>
      </c>
      <c r="K32" s="97">
        <f>VLOOKUP(B32,'C-H2R_Estimation'!AQ:BF,13,FALSE)</f>
        <v>1</v>
      </c>
      <c r="O32" s="223">
        <v>5</v>
      </c>
      <c r="P32" s="223" t="s">
        <v>5</v>
      </c>
      <c r="Q32" s="76" t="s">
        <v>65</v>
      </c>
      <c r="R32" s="77" t="s">
        <v>66</v>
      </c>
    </row>
    <row r="33" spans="2:18" x14ac:dyDescent="0.25">
      <c r="B33" s="56" t="s">
        <v>67</v>
      </c>
      <c r="C33" s="57">
        <f>VLOOKUP(B33,'C-H2R_Estimation'!AQ:BF,14,FALSE)</f>
        <v>0</v>
      </c>
      <c r="D33" s="85">
        <f>VLOOKUP(B33,'C-H2R_Estimation'!AQ:BF,16,FALSE)</f>
        <v>0</v>
      </c>
      <c r="E33" s="85">
        <f>VLOOKUP(B33,'C-H2R_Estimation'!AQ:BF,15,FALSE)</f>
        <v>0</v>
      </c>
      <c r="F33" s="87">
        <f>VLOOKUP(B33,'C-H2R_Estimation'!AQ:BF,8,FALSE)</f>
        <v>1</v>
      </c>
      <c r="G33" s="88">
        <f>VLOOKUP(B33,'C-H2R_Estimation'!AQ:BF,9,FALSE)</f>
        <v>0</v>
      </c>
      <c r="H33" s="89">
        <f>VLOOKUP(B33,'C-H2R_Estimation'!AQ:BF,10,FALSE)</f>
        <v>0</v>
      </c>
      <c r="I33" s="90">
        <f>VLOOKUP(B33,'C-H2R_Estimation'!AQ:BF,11,FALSE)</f>
        <v>0</v>
      </c>
      <c r="J33" s="91">
        <f>VLOOKUP(B33,'C-H2R_Estimation'!AQ:BF,12,FALSE)</f>
        <v>0</v>
      </c>
      <c r="K33" s="97">
        <f>VLOOKUP(B33,'C-H2R_Estimation'!AQ:BF,13,FALSE)</f>
        <v>1</v>
      </c>
      <c r="O33" s="224"/>
      <c r="P33" s="224"/>
      <c r="Q33" s="76" t="s">
        <v>68</v>
      </c>
      <c r="R33" s="77" t="s">
        <v>69</v>
      </c>
    </row>
    <row r="34" spans="2:18" x14ac:dyDescent="0.25">
      <c r="B34" s="56" t="s">
        <v>161</v>
      </c>
      <c r="C34" s="57">
        <f>VLOOKUP(B34,'C-H2R_Estimation'!AQ:BF,14,FALSE)</f>
        <v>0</v>
      </c>
      <c r="D34" s="85">
        <f>VLOOKUP(B34,'C-H2R_Estimation'!AQ:BF,16,FALSE)</f>
        <v>0</v>
      </c>
      <c r="E34" s="85">
        <f>VLOOKUP(B34,'C-H2R_Estimation'!AQ:BF,15,FALSE)</f>
        <v>0</v>
      </c>
      <c r="F34" s="87">
        <f>VLOOKUP(B34,'C-H2R_Estimation'!AQ:BF,8,FALSE)</f>
        <v>1</v>
      </c>
      <c r="G34" s="88">
        <f>VLOOKUP(B34,'C-H2R_Estimation'!AQ:BF,9,FALSE)</f>
        <v>0</v>
      </c>
      <c r="H34" s="89">
        <f>VLOOKUP(B34,'C-H2R_Estimation'!AQ:BF,10,FALSE)</f>
        <v>0</v>
      </c>
      <c r="I34" s="90">
        <f>VLOOKUP(B34,'C-H2R_Estimation'!AQ:BF,11,FALSE)</f>
        <v>0</v>
      </c>
      <c r="J34" s="91">
        <f>VLOOKUP(B34,'C-H2R_Estimation'!AQ:BF,12,FALSE)</f>
        <v>0</v>
      </c>
      <c r="K34" s="97">
        <f>VLOOKUP(B34,'C-H2R_Estimation'!AQ:BF,13,FALSE)</f>
        <v>1</v>
      </c>
      <c r="O34" s="224"/>
      <c r="P34" s="224"/>
      <c r="Q34" s="76" t="s">
        <v>70</v>
      </c>
      <c r="R34" s="77" t="s">
        <v>71</v>
      </c>
    </row>
    <row r="35" spans="2:18" x14ac:dyDescent="0.25">
      <c r="B35" s="56" t="s">
        <v>72</v>
      </c>
      <c r="C35" s="57">
        <f>VLOOKUP(B35,'C-H2R_Estimation'!AQ:BF,14,FALSE)</f>
        <v>0</v>
      </c>
      <c r="D35" s="85">
        <f>VLOOKUP(B35,'C-H2R_Estimation'!AQ:BF,16,FALSE)</f>
        <v>0</v>
      </c>
      <c r="E35" s="85">
        <f>VLOOKUP(B35,'C-H2R_Estimation'!AQ:BF,15,FALSE)</f>
        <v>0</v>
      </c>
      <c r="F35" s="87">
        <f>VLOOKUP(B35,'C-H2R_Estimation'!AQ:BF,8,FALSE)</f>
        <v>1</v>
      </c>
      <c r="G35" s="88">
        <f>VLOOKUP(B35,'C-H2R_Estimation'!AQ:BF,9,FALSE)</f>
        <v>0</v>
      </c>
      <c r="H35" s="89">
        <f>VLOOKUP(B35,'C-H2R_Estimation'!AQ:BF,10,FALSE)</f>
        <v>0</v>
      </c>
      <c r="I35" s="90">
        <f>VLOOKUP(B35,'C-H2R_Estimation'!AQ:BF,11,FALSE)</f>
        <v>0</v>
      </c>
      <c r="J35" s="91">
        <f>VLOOKUP(B35,'C-H2R_Estimation'!AQ:BF,12,FALSE)</f>
        <v>0</v>
      </c>
      <c r="K35" s="97">
        <f>VLOOKUP(B35,'C-H2R_Estimation'!AQ:BF,13,FALSE)</f>
        <v>1</v>
      </c>
      <c r="O35" s="224"/>
      <c r="P35" s="224"/>
      <c r="Q35" s="76" t="s">
        <v>73</v>
      </c>
      <c r="R35" s="78"/>
    </row>
    <row r="36" spans="2:18" ht="11" thickBot="1" x14ac:dyDescent="0.3">
      <c r="B36" s="56" t="s">
        <v>74</v>
      </c>
      <c r="C36" s="57">
        <f>VLOOKUP(B36,'C-H2R_Estimation'!AQ:BF,14,FALSE)</f>
        <v>0</v>
      </c>
      <c r="D36" s="85">
        <f>VLOOKUP(B36,'C-H2R_Estimation'!AQ:BF,16,FALSE)</f>
        <v>0</v>
      </c>
      <c r="E36" s="85">
        <f>VLOOKUP(B36,'C-H2R_Estimation'!AQ:BF,15,FALSE)</f>
        <v>0</v>
      </c>
      <c r="F36" s="87">
        <f>VLOOKUP(B36,'C-H2R_Estimation'!AQ:BF,8,FALSE)</f>
        <v>1</v>
      </c>
      <c r="G36" s="88">
        <f>VLOOKUP(B36,'C-H2R_Estimation'!AQ:BF,9,FALSE)</f>
        <v>0</v>
      </c>
      <c r="H36" s="89">
        <f>VLOOKUP(B36,'C-H2R_Estimation'!AQ:BF,10,FALSE)</f>
        <v>0</v>
      </c>
      <c r="I36" s="90">
        <f>VLOOKUP(B36,'C-H2R_Estimation'!AQ:BF,11,FALSE)</f>
        <v>0</v>
      </c>
      <c r="J36" s="91">
        <f>VLOOKUP(B36,'C-H2R_Estimation'!AQ:BF,12,FALSE)</f>
        <v>0</v>
      </c>
      <c r="K36" s="97">
        <f>VLOOKUP(B36,'C-H2R_Estimation'!AQ:BF,13,FALSE)</f>
        <v>1</v>
      </c>
      <c r="O36" s="225"/>
      <c r="P36" s="225"/>
      <c r="Q36" s="79" t="s">
        <v>75</v>
      </c>
      <c r="R36" s="80"/>
    </row>
    <row r="37" spans="2:18" x14ac:dyDescent="0.25">
      <c r="B37" s="56" t="s">
        <v>76</v>
      </c>
      <c r="C37" s="57">
        <f>VLOOKUP(B37,'C-H2R_Estimation'!AQ:BF,14,FALSE)</f>
        <v>0</v>
      </c>
      <c r="D37" s="85">
        <f>VLOOKUP(B37,'C-H2R_Estimation'!AQ:BF,16,FALSE)</f>
        <v>0</v>
      </c>
      <c r="E37" s="85">
        <f>VLOOKUP(B37,'C-H2R_Estimation'!AQ:BF,15,FALSE)</f>
        <v>0</v>
      </c>
      <c r="F37" s="87">
        <f>VLOOKUP(B37,'C-H2R_Estimation'!AQ:BF,8,FALSE)</f>
        <v>1</v>
      </c>
      <c r="G37" s="88">
        <f>VLOOKUP(B37,'C-H2R_Estimation'!AQ:BF,9,FALSE)</f>
        <v>0</v>
      </c>
      <c r="H37" s="89">
        <f>VLOOKUP(B37,'C-H2R_Estimation'!AQ:BF,10,FALSE)</f>
        <v>0</v>
      </c>
      <c r="I37" s="90">
        <f>VLOOKUP(B37,'C-H2R_Estimation'!AQ:BF,11,FALSE)</f>
        <v>0</v>
      </c>
      <c r="J37" s="91">
        <f>VLOOKUP(B37,'C-H2R_Estimation'!AQ:BF,12,FALSE)</f>
        <v>0</v>
      </c>
      <c r="K37" s="97">
        <f>VLOOKUP(B37,'C-H2R_Estimation'!AQ:BF,13,FALSE)</f>
        <v>1</v>
      </c>
    </row>
    <row r="38" spans="2:18" x14ac:dyDescent="0.25">
      <c r="B38" s="56" t="s">
        <v>77</v>
      </c>
      <c r="C38" s="57">
        <f>VLOOKUP(B38,'C-H2R_Estimation'!AQ:BF,14,FALSE)</f>
        <v>0</v>
      </c>
      <c r="D38" s="85">
        <f>VLOOKUP(B38,'C-H2R_Estimation'!AQ:BF,16,FALSE)</f>
        <v>0</v>
      </c>
      <c r="E38" s="85">
        <f>VLOOKUP(B38,'C-H2R_Estimation'!AQ:BF,15,FALSE)</f>
        <v>0</v>
      </c>
      <c r="F38" s="87">
        <f>VLOOKUP(B38,'C-H2R_Estimation'!AQ:BF,8,FALSE)</f>
        <v>1</v>
      </c>
      <c r="G38" s="88">
        <f>VLOOKUP(B38,'C-H2R_Estimation'!AQ:BF,9,FALSE)</f>
        <v>0</v>
      </c>
      <c r="H38" s="89">
        <f>VLOOKUP(B38,'C-H2R_Estimation'!AQ:BF,10,FALSE)</f>
        <v>0</v>
      </c>
      <c r="I38" s="90">
        <f>VLOOKUP(B38,'C-H2R_Estimation'!AQ:BF,11,FALSE)</f>
        <v>0</v>
      </c>
      <c r="J38" s="91">
        <f>VLOOKUP(B38,'C-H2R_Estimation'!AQ:BF,12,FALSE)</f>
        <v>0</v>
      </c>
      <c r="K38" s="97">
        <f>VLOOKUP(B38,'C-H2R_Estimation'!AQ:BF,13,FALSE)</f>
        <v>1</v>
      </c>
    </row>
    <row r="39" spans="2:18" x14ac:dyDescent="0.25">
      <c r="B39" s="56" t="s">
        <v>78</v>
      </c>
      <c r="C39" s="57">
        <f>VLOOKUP(B39,'C-H2R_Estimation'!AQ:BF,14,FALSE)</f>
        <v>0</v>
      </c>
      <c r="D39" s="85">
        <f>VLOOKUP(B39,'C-H2R_Estimation'!AQ:BF,16,FALSE)</f>
        <v>0</v>
      </c>
      <c r="E39" s="85">
        <f>VLOOKUP(B39,'C-H2R_Estimation'!AQ:BF,15,FALSE)</f>
        <v>0</v>
      </c>
      <c r="F39" s="87">
        <f>VLOOKUP(B39,'C-H2R_Estimation'!AQ:BF,8,FALSE)</f>
        <v>1</v>
      </c>
      <c r="G39" s="88">
        <f>VLOOKUP(B39,'C-H2R_Estimation'!AQ:BF,9,FALSE)</f>
        <v>0</v>
      </c>
      <c r="H39" s="89">
        <f>VLOOKUP(B39,'C-H2R_Estimation'!AQ:BF,10,FALSE)</f>
        <v>0</v>
      </c>
      <c r="I39" s="90">
        <f>VLOOKUP(B39,'C-H2R_Estimation'!AQ:BF,11,FALSE)</f>
        <v>0</v>
      </c>
      <c r="J39" s="91">
        <f>VLOOKUP(B39,'C-H2R_Estimation'!AQ:BF,12,FALSE)</f>
        <v>0</v>
      </c>
      <c r="K39" s="97">
        <f>VLOOKUP(B39,'C-H2R_Estimation'!AQ:BF,13,FALSE)</f>
        <v>1</v>
      </c>
    </row>
    <row r="40" spans="2:18" x14ac:dyDescent="0.25">
      <c r="B40" s="56" t="s">
        <v>158</v>
      </c>
      <c r="C40" s="57">
        <f>VLOOKUP(B40,'C-H2R_Estimation'!AQ:BF,14,FALSE)</f>
        <v>0</v>
      </c>
      <c r="D40" s="85">
        <f>VLOOKUP(B40,'C-H2R_Estimation'!AQ:BF,16,FALSE)</f>
        <v>0</v>
      </c>
      <c r="E40" s="85">
        <f>VLOOKUP(B40,'C-H2R_Estimation'!AQ:BF,15,FALSE)</f>
        <v>0</v>
      </c>
      <c r="F40" s="87">
        <f>VLOOKUP(B40,'C-H2R_Estimation'!AQ:BF,8,FALSE)</f>
        <v>1</v>
      </c>
      <c r="G40" s="88">
        <f>VLOOKUP(B40,'C-H2R_Estimation'!AQ:BF,9,FALSE)</f>
        <v>0</v>
      </c>
      <c r="H40" s="89">
        <f>VLOOKUP(B40,'C-H2R_Estimation'!AQ:BF,10,FALSE)</f>
        <v>0</v>
      </c>
      <c r="I40" s="90">
        <f>VLOOKUP(B40,'C-H2R_Estimation'!AQ:BF,11,FALSE)</f>
        <v>0</v>
      </c>
      <c r="J40" s="91">
        <f>VLOOKUP(B40,'C-H2R_Estimation'!AQ:BF,12,FALSE)</f>
        <v>0</v>
      </c>
      <c r="K40" s="97">
        <f>VLOOKUP(B40,'C-H2R_Estimation'!AQ:BF,13,FALSE)</f>
        <v>1</v>
      </c>
    </row>
    <row r="41" spans="2:18" x14ac:dyDescent="0.25">
      <c r="B41" s="56" t="s">
        <v>162</v>
      </c>
      <c r="C41" s="57">
        <f>VLOOKUP(B41,'C-H2R_Estimation'!AQ:BF,14,FALSE)</f>
        <v>0</v>
      </c>
      <c r="D41" s="85">
        <f>VLOOKUP(B41,'C-H2R_Estimation'!AQ:BF,16,FALSE)</f>
        <v>0</v>
      </c>
      <c r="E41" s="85">
        <f>VLOOKUP(B41,'C-H2R_Estimation'!AQ:BF,15,FALSE)</f>
        <v>0</v>
      </c>
      <c r="F41" s="87">
        <f>VLOOKUP(B41,'C-H2R_Estimation'!AQ:BF,8,FALSE)</f>
        <v>0</v>
      </c>
      <c r="G41" s="88">
        <f>VLOOKUP(B41,'C-H2R_Estimation'!AQ:BF,9,FALSE)</f>
        <v>1</v>
      </c>
      <c r="H41" s="89">
        <f>VLOOKUP(B41,'C-H2R_Estimation'!AQ:BF,10,FALSE)</f>
        <v>0</v>
      </c>
      <c r="I41" s="90">
        <f>VLOOKUP(B41,'C-H2R_Estimation'!AQ:BF,11,FALSE)</f>
        <v>0</v>
      </c>
      <c r="J41" s="91">
        <f>VLOOKUP(B41,'C-H2R_Estimation'!AQ:BF,12,FALSE)</f>
        <v>0</v>
      </c>
      <c r="K41" s="97">
        <f>VLOOKUP(B41,'C-H2R_Estimation'!AQ:BF,13,FALSE)</f>
        <v>2</v>
      </c>
    </row>
    <row r="42" spans="2:18" x14ac:dyDescent="0.25">
      <c r="B42" s="56" t="s">
        <v>159</v>
      </c>
      <c r="C42" s="57">
        <f>VLOOKUP(B42,'C-H2R_Estimation'!AQ:BF,14,FALSE)</f>
        <v>0</v>
      </c>
      <c r="D42" s="85">
        <f>VLOOKUP(B42,'C-H2R_Estimation'!AQ:BF,16,FALSE)</f>
        <v>0</v>
      </c>
      <c r="E42" s="85">
        <f>VLOOKUP(B42,'C-H2R_Estimation'!AQ:BF,15,FALSE)</f>
        <v>0</v>
      </c>
      <c r="F42" s="87">
        <f>VLOOKUP(B42,'C-H2R_Estimation'!AQ:BF,8,FALSE)</f>
        <v>1</v>
      </c>
      <c r="G42" s="88">
        <f>VLOOKUP(B42,'C-H2R_Estimation'!AQ:BF,9,FALSE)</f>
        <v>0</v>
      </c>
      <c r="H42" s="89">
        <f>VLOOKUP(B42,'C-H2R_Estimation'!AQ:BF,10,FALSE)</f>
        <v>0</v>
      </c>
      <c r="I42" s="90">
        <f>VLOOKUP(B42,'C-H2R_Estimation'!AQ:BF,11,FALSE)</f>
        <v>0</v>
      </c>
      <c r="J42" s="91">
        <f>VLOOKUP(B42,'C-H2R_Estimation'!AQ:BF,12,FALSE)</f>
        <v>0</v>
      </c>
      <c r="K42" s="97">
        <f>VLOOKUP(B42,'C-H2R_Estimation'!AQ:BF,13,FALSE)</f>
        <v>1</v>
      </c>
    </row>
    <row r="43" spans="2:18" x14ac:dyDescent="0.25">
      <c r="B43" s="56" t="s">
        <v>163</v>
      </c>
      <c r="C43" s="57">
        <f>VLOOKUP(B43,'C-H2R_Estimation'!AQ:BF,14,FALSE)</f>
        <v>0</v>
      </c>
      <c r="D43" s="85">
        <f>VLOOKUP(B43,'C-H2R_Estimation'!AQ:BF,16,FALSE)</f>
        <v>0</v>
      </c>
      <c r="E43" s="85">
        <f>VLOOKUP(B43,'C-H2R_Estimation'!AQ:BF,15,FALSE)</f>
        <v>0</v>
      </c>
      <c r="F43" s="87">
        <f>VLOOKUP(B43,'C-H2R_Estimation'!AQ:BF,8,FALSE)</f>
        <v>1</v>
      </c>
      <c r="G43" s="88">
        <f>VLOOKUP(B43,'C-H2R_Estimation'!AQ:BF,9,FALSE)</f>
        <v>0</v>
      </c>
      <c r="H43" s="89">
        <f>VLOOKUP(B43,'C-H2R_Estimation'!AQ:BF,10,FALSE)</f>
        <v>0</v>
      </c>
      <c r="I43" s="90">
        <f>VLOOKUP(B43,'C-H2R_Estimation'!AQ:BF,11,FALSE)</f>
        <v>0</v>
      </c>
      <c r="J43" s="91">
        <f>VLOOKUP(B43,'C-H2R_Estimation'!AQ:BF,12,FALSE)</f>
        <v>0</v>
      </c>
      <c r="K43" s="97">
        <f>VLOOKUP(B43,'C-H2R_Estimation'!AQ:BF,13,FALSE)</f>
        <v>1</v>
      </c>
    </row>
    <row r="44" spans="2:18" x14ac:dyDescent="0.25">
      <c r="B44" s="56" t="s">
        <v>156</v>
      </c>
      <c r="C44" s="57">
        <f>VLOOKUP(B44,'C-H2R_Estimation'!AQ:BF,14,FALSE)</f>
        <v>0</v>
      </c>
      <c r="D44" s="85">
        <f>VLOOKUP(B44,'C-H2R_Estimation'!AQ:BF,16,FALSE)</f>
        <v>0</v>
      </c>
      <c r="E44" s="85">
        <f>VLOOKUP(B44,'C-H2R_Estimation'!AQ:BF,15,FALSE)</f>
        <v>0</v>
      </c>
      <c r="F44" s="87">
        <f>VLOOKUP(B44,'C-H2R_Estimation'!AQ:BF,8,FALSE)</f>
        <v>1</v>
      </c>
      <c r="G44" s="88">
        <f>VLOOKUP(B44,'C-H2R_Estimation'!AQ:BF,9,FALSE)</f>
        <v>0</v>
      </c>
      <c r="H44" s="89">
        <f>VLOOKUP(B44,'C-H2R_Estimation'!AQ:BF,10,FALSE)</f>
        <v>0</v>
      </c>
      <c r="I44" s="90">
        <f>VLOOKUP(B44,'C-H2R_Estimation'!AQ:BF,11,FALSE)</f>
        <v>0</v>
      </c>
      <c r="J44" s="91">
        <f>VLOOKUP(B44,'C-H2R_Estimation'!AQ:BF,12,FALSE)</f>
        <v>0</v>
      </c>
      <c r="K44" s="97">
        <f>VLOOKUP(B44,'C-H2R_Estimation'!AQ:BF,13,FALSE)</f>
        <v>1</v>
      </c>
    </row>
    <row r="45" spans="2:18" x14ac:dyDescent="0.25">
      <c r="B45" s="56" t="s">
        <v>79</v>
      </c>
      <c r="C45" s="57">
        <f>VLOOKUP(B45,'C-H2R_Estimation'!AQ:BF,14,FALSE)</f>
        <v>0</v>
      </c>
      <c r="D45" s="85">
        <f>VLOOKUP(B45,'C-H2R_Estimation'!AQ:BF,16,FALSE)</f>
        <v>0</v>
      </c>
      <c r="E45" s="85">
        <f>VLOOKUP(B45,'C-H2R_Estimation'!AQ:BF,15,FALSE)</f>
        <v>0</v>
      </c>
      <c r="F45" s="87">
        <f>VLOOKUP(B45,'C-H2R_Estimation'!AQ:BF,8,FALSE)</f>
        <v>1</v>
      </c>
      <c r="G45" s="88">
        <f>VLOOKUP(B45,'C-H2R_Estimation'!AQ:BF,9,FALSE)</f>
        <v>0</v>
      </c>
      <c r="H45" s="89">
        <f>VLOOKUP(B45,'C-H2R_Estimation'!AQ:BF,10,FALSE)</f>
        <v>0</v>
      </c>
      <c r="I45" s="90">
        <f>VLOOKUP(B45,'C-H2R_Estimation'!AQ:BF,11,FALSE)</f>
        <v>0</v>
      </c>
      <c r="J45" s="91">
        <f>VLOOKUP(B45,'C-H2R_Estimation'!AQ:BF,12,FALSE)</f>
        <v>0</v>
      </c>
      <c r="K45" s="97">
        <f>VLOOKUP(B45,'C-H2R_Estimation'!AQ:BF,13,FALSE)</f>
        <v>1</v>
      </c>
    </row>
    <row r="46" spans="2:18" x14ac:dyDescent="0.25">
      <c r="B46" s="56" t="s">
        <v>138</v>
      </c>
      <c r="C46" s="57">
        <f>VLOOKUP(B46,'C-H2R_Estimation'!AQ:BF,14,FALSE)</f>
        <v>212050</v>
      </c>
      <c r="D46" s="85">
        <f>VLOOKUP(B46,'C-H2R_Estimation'!AQ:BF,16,FALSE)</f>
        <v>179450</v>
      </c>
      <c r="E46" s="85">
        <f>VLOOKUP(B46,'C-H2R_Estimation'!AQ:BF,15,FALSE)</f>
        <v>32600</v>
      </c>
      <c r="F46" s="87">
        <f>VLOOKUP(B46,'C-H2R_Estimation'!AQ:BF,8,FALSE)</f>
        <v>0</v>
      </c>
      <c r="G46" s="88">
        <f>VLOOKUP(B46,'C-H2R_Estimation'!AQ:BF,9,FALSE)</f>
        <v>0</v>
      </c>
      <c r="H46" s="89">
        <f>VLOOKUP(B46,'C-H2R_Estimation'!AQ:BF,10,FALSE)</f>
        <v>1</v>
      </c>
      <c r="I46" s="90">
        <f>VLOOKUP(B46,'C-H2R_Estimation'!AQ:BF,11,FALSE)</f>
        <v>0</v>
      </c>
      <c r="J46" s="91">
        <f>VLOOKUP(B46,'C-H2R_Estimation'!AQ:BF,12,FALSE)</f>
        <v>0</v>
      </c>
      <c r="K46" s="97">
        <f>VLOOKUP(B46,'C-H2R_Estimation'!AQ:BF,13,FALSE)</f>
        <v>3</v>
      </c>
    </row>
    <row r="47" spans="2:18" x14ac:dyDescent="0.25">
      <c r="B47" s="56" t="s">
        <v>80</v>
      </c>
      <c r="C47" s="57">
        <f>VLOOKUP(B47,'C-H2R_Estimation'!AQ:BF,14,FALSE)</f>
        <v>0</v>
      </c>
      <c r="D47" s="85">
        <f>VLOOKUP(B47,'C-H2R_Estimation'!AQ:BF,16,FALSE)</f>
        <v>0</v>
      </c>
      <c r="E47" s="85">
        <f>VLOOKUP(B47,'C-H2R_Estimation'!AQ:BF,15,FALSE)</f>
        <v>0</v>
      </c>
      <c r="F47" s="87">
        <f>VLOOKUP(B47,'C-H2R_Estimation'!AQ:BF,8,FALSE)</f>
        <v>1</v>
      </c>
      <c r="G47" s="88">
        <f>VLOOKUP(B47,'C-H2R_Estimation'!AQ:BF,9,FALSE)</f>
        <v>0</v>
      </c>
      <c r="H47" s="89">
        <f>VLOOKUP(B47,'C-H2R_Estimation'!AQ:BF,10,FALSE)</f>
        <v>0</v>
      </c>
      <c r="I47" s="90">
        <f>VLOOKUP(B47,'C-H2R_Estimation'!AQ:BF,11,FALSE)</f>
        <v>0</v>
      </c>
      <c r="J47" s="91">
        <f>VLOOKUP(B47,'C-H2R_Estimation'!AQ:BF,12,FALSE)</f>
        <v>0</v>
      </c>
      <c r="K47" s="97">
        <f>VLOOKUP(B47,'C-H2R_Estimation'!AQ:BF,13,FALSE)</f>
        <v>1</v>
      </c>
    </row>
    <row r="48" spans="2:18" x14ac:dyDescent="0.25">
      <c r="B48" s="56" t="s">
        <v>81</v>
      </c>
      <c r="C48" s="57">
        <f>VLOOKUP(B48,'C-H2R_Estimation'!AQ:BF,14,FALSE)</f>
        <v>0</v>
      </c>
      <c r="D48" s="85">
        <f>VLOOKUP(B48,'C-H2R_Estimation'!AQ:BF,16,FALSE)</f>
        <v>0</v>
      </c>
      <c r="E48" s="85">
        <f>VLOOKUP(B48,'C-H2R_Estimation'!AQ:BF,15,FALSE)</f>
        <v>0</v>
      </c>
      <c r="F48" s="87">
        <f>VLOOKUP(B48,'C-H2R_Estimation'!AQ:BF,8,FALSE)</f>
        <v>1</v>
      </c>
      <c r="G48" s="88">
        <f>VLOOKUP(B48,'C-H2R_Estimation'!AQ:BF,9,FALSE)</f>
        <v>0</v>
      </c>
      <c r="H48" s="89">
        <f>VLOOKUP(B48,'C-H2R_Estimation'!AQ:BF,10,FALSE)</f>
        <v>0</v>
      </c>
      <c r="I48" s="90">
        <f>VLOOKUP(B48,'C-H2R_Estimation'!AQ:BF,11,FALSE)</f>
        <v>0</v>
      </c>
      <c r="J48" s="91">
        <f>VLOOKUP(B48,'C-H2R_Estimation'!AQ:BF,12,FALSE)</f>
        <v>0</v>
      </c>
      <c r="K48" s="97">
        <f>VLOOKUP(B48,'C-H2R_Estimation'!AQ:BF,13,FALSE)</f>
        <v>1</v>
      </c>
    </row>
    <row r="49" spans="2:11" x14ac:dyDescent="0.25">
      <c r="B49" s="56" t="s">
        <v>82</v>
      </c>
      <c r="C49" s="57">
        <f>VLOOKUP(B49,'C-H2R_Estimation'!AQ:BF,14,FALSE)</f>
        <v>0</v>
      </c>
      <c r="D49" s="85">
        <f>VLOOKUP(B49,'C-H2R_Estimation'!AQ:BF,16,FALSE)</f>
        <v>0</v>
      </c>
      <c r="E49" s="85">
        <f>VLOOKUP(B49,'C-H2R_Estimation'!AQ:BF,15,FALSE)</f>
        <v>0</v>
      </c>
      <c r="F49" s="87">
        <f>VLOOKUP(B49,'C-H2R_Estimation'!AQ:BF,8,FALSE)</f>
        <v>1</v>
      </c>
      <c r="G49" s="88">
        <f>VLOOKUP(B49,'C-H2R_Estimation'!AQ:BF,9,FALSE)</f>
        <v>0</v>
      </c>
      <c r="H49" s="89">
        <f>VLOOKUP(B49,'C-H2R_Estimation'!AQ:BF,10,FALSE)</f>
        <v>0</v>
      </c>
      <c r="I49" s="90">
        <f>VLOOKUP(B49,'C-H2R_Estimation'!AQ:BF,11,FALSE)</f>
        <v>0</v>
      </c>
      <c r="J49" s="91">
        <f>VLOOKUP(B49,'C-H2R_Estimation'!AQ:BF,12,FALSE)</f>
        <v>0</v>
      </c>
      <c r="K49" s="97">
        <f>VLOOKUP(B49,'C-H2R_Estimation'!AQ:BF,13,FALSE)</f>
        <v>1</v>
      </c>
    </row>
    <row r="50" spans="2:11" x14ac:dyDescent="0.25">
      <c r="B50" s="56" t="s">
        <v>83</v>
      </c>
      <c r="C50" s="57">
        <f>VLOOKUP(B50,'C-H2R_Estimation'!AQ:BF,14,FALSE)</f>
        <v>0</v>
      </c>
      <c r="D50" s="85">
        <f>VLOOKUP(B50,'C-H2R_Estimation'!AQ:BF,16,FALSE)</f>
        <v>0</v>
      </c>
      <c r="E50" s="85">
        <f>VLOOKUP(B50,'C-H2R_Estimation'!AQ:BF,15,FALSE)</f>
        <v>0</v>
      </c>
      <c r="F50" s="87">
        <f>VLOOKUP(B50,'C-H2R_Estimation'!AQ:BF,8,FALSE)</f>
        <v>0</v>
      </c>
      <c r="G50" s="88">
        <f>VLOOKUP(B50,'C-H2R_Estimation'!AQ:BF,9,FALSE)</f>
        <v>1</v>
      </c>
      <c r="H50" s="89">
        <f>VLOOKUP(B50,'C-H2R_Estimation'!AQ:BF,10,FALSE)</f>
        <v>0</v>
      </c>
      <c r="I50" s="90">
        <f>VLOOKUP(B50,'C-H2R_Estimation'!AQ:BF,11,FALSE)</f>
        <v>0</v>
      </c>
      <c r="J50" s="91">
        <f>VLOOKUP(B50,'C-H2R_Estimation'!AQ:BF,12,FALSE)</f>
        <v>0</v>
      </c>
      <c r="K50" s="97">
        <f>VLOOKUP(B50,'C-H2R_Estimation'!AQ:BF,13,FALSE)</f>
        <v>2</v>
      </c>
    </row>
    <row r="51" spans="2:11" x14ac:dyDescent="0.25">
      <c r="B51" s="56" t="s">
        <v>84</v>
      </c>
      <c r="C51" s="57">
        <f>VLOOKUP(B51,'C-H2R_Estimation'!AQ:BF,14,FALSE)</f>
        <v>0</v>
      </c>
      <c r="D51" s="85">
        <f>VLOOKUP(B51,'C-H2R_Estimation'!AQ:BF,16,FALSE)</f>
        <v>0</v>
      </c>
      <c r="E51" s="85">
        <f>VLOOKUP(B51,'C-H2R_Estimation'!AQ:BF,15,FALSE)</f>
        <v>0</v>
      </c>
      <c r="F51" s="87">
        <f>VLOOKUP(B51,'C-H2R_Estimation'!AQ:BF,8,FALSE)</f>
        <v>1</v>
      </c>
      <c r="G51" s="88">
        <f>VLOOKUP(B51,'C-H2R_Estimation'!AQ:BF,9,FALSE)</f>
        <v>0</v>
      </c>
      <c r="H51" s="89">
        <f>VLOOKUP(B51,'C-H2R_Estimation'!AQ:BF,10,FALSE)</f>
        <v>0</v>
      </c>
      <c r="I51" s="90">
        <f>VLOOKUP(B51,'C-H2R_Estimation'!AQ:BF,11,FALSE)</f>
        <v>0</v>
      </c>
      <c r="J51" s="91">
        <f>VLOOKUP(B51,'C-H2R_Estimation'!AQ:BF,12,FALSE)</f>
        <v>0</v>
      </c>
      <c r="K51" s="97">
        <f>VLOOKUP(B51,'C-H2R_Estimation'!AQ:BF,13,FALSE)</f>
        <v>1</v>
      </c>
    </row>
    <row r="52" spans="2:11" x14ac:dyDescent="0.25">
      <c r="B52" s="56" t="s">
        <v>147</v>
      </c>
      <c r="C52" s="57">
        <f>VLOOKUP(B52,'C-H2R_Estimation'!AQ:BF,14,FALSE)</f>
        <v>0</v>
      </c>
      <c r="D52" s="85">
        <f>VLOOKUP(B52,'C-H2R_Estimation'!AQ:BF,16,FALSE)</f>
        <v>0</v>
      </c>
      <c r="E52" s="85">
        <f>VLOOKUP(B52,'C-H2R_Estimation'!AQ:BF,15,FALSE)</f>
        <v>0</v>
      </c>
      <c r="F52" s="87">
        <f>VLOOKUP(B52,'C-H2R_Estimation'!AQ:BF,8,FALSE)</f>
        <v>1</v>
      </c>
      <c r="G52" s="88">
        <f>VLOOKUP(B52,'C-H2R_Estimation'!AQ:BF,9,FALSE)</f>
        <v>0</v>
      </c>
      <c r="H52" s="89">
        <f>VLOOKUP(B52,'C-H2R_Estimation'!AQ:BF,10,FALSE)</f>
        <v>0</v>
      </c>
      <c r="I52" s="90">
        <f>VLOOKUP(B52,'C-H2R_Estimation'!AQ:BF,11,FALSE)</f>
        <v>0</v>
      </c>
      <c r="J52" s="91">
        <f>VLOOKUP(B52,'C-H2R_Estimation'!AQ:BF,12,FALSE)</f>
        <v>0</v>
      </c>
      <c r="K52" s="97">
        <f>VLOOKUP(B52,'C-H2R_Estimation'!AQ:BF,13,FALSE)</f>
        <v>1</v>
      </c>
    </row>
    <row r="53" spans="2:11" x14ac:dyDescent="0.25">
      <c r="B53" s="56" t="s">
        <v>134</v>
      </c>
      <c r="C53" s="57">
        <f>VLOOKUP(B53,'C-H2R_Estimation'!AQ:BF,14,FALSE)</f>
        <v>0</v>
      </c>
      <c r="D53" s="85">
        <f>VLOOKUP(B53,'C-H2R_Estimation'!AQ:BF,16,FALSE)</f>
        <v>0</v>
      </c>
      <c r="E53" s="85">
        <f>VLOOKUP(B53,'C-H2R_Estimation'!AQ:BF,15,FALSE)</f>
        <v>0</v>
      </c>
      <c r="F53" s="87">
        <f>VLOOKUP(B53,'C-H2R_Estimation'!AQ:BF,8,FALSE)</f>
        <v>1</v>
      </c>
      <c r="G53" s="88">
        <f>VLOOKUP(B53,'C-H2R_Estimation'!AQ:BF,9,FALSE)</f>
        <v>0</v>
      </c>
      <c r="H53" s="89">
        <f>VLOOKUP(B53,'C-H2R_Estimation'!AQ:BF,10,FALSE)</f>
        <v>0</v>
      </c>
      <c r="I53" s="90">
        <f>VLOOKUP(B53,'C-H2R_Estimation'!AQ:BF,11,FALSE)</f>
        <v>0</v>
      </c>
      <c r="J53" s="91">
        <f>VLOOKUP(B53,'C-H2R_Estimation'!AQ:BF,12,FALSE)</f>
        <v>0</v>
      </c>
      <c r="K53" s="97">
        <f>VLOOKUP(B53,'C-H2R_Estimation'!AQ:BF,13,FALSE)</f>
        <v>1</v>
      </c>
    </row>
    <row r="54" spans="2:11" x14ac:dyDescent="0.25">
      <c r="B54" s="56" t="s">
        <v>85</v>
      </c>
      <c r="C54" s="57">
        <f>VLOOKUP(B54,'C-H2R_Estimation'!AQ:BF,14,FALSE)</f>
        <v>0</v>
      </c>
      <c r="D54" s="85">
        <f>VLOOKUP(B54,'C-H2R_Estimation'!AQ:BF,16,FALSE)</f>
        <v>0</v>
      </c>
      <c r="E54" s="85">
        <f>VLOOKUP(B54,'C-H2R_Estimation'!AQ:BF,15,FALSE)</f>
        <v>0</v>
      </c>
      <c r="F54" s="87">
        <f>VLOOKUP(B54,'C-H2R_Estimation'!AQ:BF,8,FALSE)</f>
        <v>1</v>
      </c>
      <c r="G54" s="88">
        <f>VLOOKUP(B54,'C-H2R_Estimation'!AQ:BF,9,FALSE)</f>
        <v>0</v>
      </c>
      <c r="H54" s="89">
        <f>VLOOKUP(B54,'C-H2R_Estimation'!AQ:BF,10,FALSE)</f>
        <v>0</v>
      </c>
      <c r="I54" s="90">
        <f>VLOOKUP(B54,'C-H2R_Estimation'!AQ:BF,11,FALSE)</f>
        <v>0</v>
      </c>
      <c r="J54" s="91">
        <f>VLOOKUP(B54,'C-H2R_Estimation'!AQ:BF,12,FALSE)</f>
        <v>0</v>
      </c>
      <c r="K54" s="97">
        <f>VLOOKUP(B54,'C-H2R_Estimation'!AQ:BF,13,FALSE)</f>
        <v>1</v>
      </c>
    </row>
    <row r="55" spans="2:11" x14ac:dyDescent="0.25">
      <c r="B55" s="56" t="s">
        <v>86</v>
      </c>
      <c r="C55" s="57">
        <f>VLOOKUP(B55,'C-H2R_Estimation'!AQ:BF,14,FALSE)</f>
        <v>0</v>
      </c>
      <c r="D55" s="85">
        <f>VLOOKUP(B55,'C-H2R_Estimation'!AQ:BF,16,FALSE)</f>
        <v>0</v>
      </c>
      <c r="E55" s="85">
        <f>VLOOKUP(B55,'C-H2R_Estimation'!AQ:BF,15,FALSE)</f>
        <v>0</v>
      </c>
      <c r="F55" s="87">
        <f>VLOOKUP(B55,'C-H2R_Estimation'!AQ:BF,8,FALSE)</f>
        <v>1</v>
      </c>
      <c r="G55" s="88">
        <f>VLOOKUP(B55,'C-H2R_Estimation'!AQ:BF,9,FALSE)</f>
        <v>0</v>
      </c>
      <c r="H55" s="89">
        <f>VLOOKUP(B55,'C-H2R_Estimation'!AQ:BF,10,FALSE)</f>
        <v>0</v>
      </c>
      <c r="I55" s="90">
        <f>VLOOKUP(B55,'C-H2R_Estimation'!AQ:BF,11,FALSE)</f>
        <v>0</v>
      </c>
      <c r="J55" s="91">
        <f>VLOOKUP(B55,'C-H2R_Estimation'!AQ:BF,12,FALSE)</f>
        <v>0</v>
      </c>
      <c r="K55" s="97">
        <f>VLOOKUP(B55,'C-H2R_Estimation'!AQ:BF,13,FALSE)</f>
        <v>1</v>
      </c>
    </row>
    <row r="56" spans="2:11" x14ac:dyDescent="0.25">
      <c r="B56" s="56" t="s">
        <v>87</v>
      </c>
      <c r="C56" s="57">
        <f>VLOOKUP(B56,'C-H2R_Estimation'!AQ:BF,14,FALSE)</f>
        <v>0</v>
      </c>
      <c r="D56" s="85">
        <f>VLOOKUP(B56,'C-H2R_Estimation'!AQ:BF,16,FALSE)</f>
        <v>0</v>
      </c>
      <c r="E56" s="85">
        <f>VLOOKUP(B56,'C-H2R_Estimation'!AQ:BF,15,FALSE)</f>
        <v>0</v>
      </c>
      <c r="F56" s="87">
        <f>VLOOKUP(B56,'C-H2R_Estimation'!AQ:BF,8,FALSE)</f>
        <v>0</v>
      </c>
      <c r="G56" s="88">
        <f>VLOOKUP(B56,'C-H2R_Estimation'!AQ:BF,9,FALSE)</f>
        <v>1</v>
      </c>
      <c r="H56" s="89">
        <f>VLOOKUP(B56,'C-H2R_Estimation'!AQ:BF,10,FALSE)</f>
        <v>0</v>
      </c>
      <c r="I56" s="90">
        <f>VLOOKUP(B56,'C-H2R_Estimation'!AQ:BF,11,FALSE)</f>
        <v>0</v>
      </c>
      <c r="J56" s="91">
        <f>VLOOKUP(B56,'C-H2R_Estimation'!AQ:BF,12,FALSE)</f>
        <v>0</v>
      </c>
      <c r="K56" s="97">
        <f>VLOOKUP(B56,'C-H2R_Estimation'!AQ:BF,13,FALSE)</f>
        <v>2</v>
      </c>
    </row>
    <row r="57" spans="2:11" x14ac:dyDescent="0.25">
      <c r="B57" s="56" t="s">
        <v>88</v>
      </c>
      <c r="C57" s="57">
        <f>VLOOKUP(B57,'C-H2R_Estimation'!AQ:BF,14,FALSE)</f>
        <v>0</v>
      </c>
      <c r="D57" s="85">
        <f>VLOOKUP(B57,'C-H2R_Estimation'!AQ:BF,16,FALSE)</f>
        <v>0</v>
      </c>
      <c r="E57" s="85">
        <f>VLOOKUP(B57,'C-H2R_Estimation'!AQ:BF,15,FALSE)</f>
        <v>0</v>
      </c>
      <c r="F57" s="87">
        <f>VLOOKUP(B57,'C-H2R_Estimation'!AQ:BF,8,FALSE)</f>
        <v>1</v>
      </c>
      <c r="G57" s="88">
        <f>VLOOKUP(B57,'C-H2R_Estimation'!AQ:BF,9,FALSE)</f>
        <v>0</v>
      </c>
      <c r="H57" s="89">
        <f>VLOOKUP(B57,'C-H2R_Estimation'!AQ:BF,10,FALSE)</f>
        <v>0</v>
      </c>
      <c r="I57" s="90">
        <f>VLOOKUP(B57,'C-H2R_Estimation'!AQ:BF,11,FALSE)</f>
        <v>0</v>
      </c>
      <c r="J57" s="91">
        <f>VLOOKUP(B57,'C-H2R_Estimation'!AQ:BF,12,FALSE)</f>
        <v>0</v>
      </c>
      <c r="K57" s="97">
        <f>VLOOKUP(B57,'C-H2R_Estimation'!AQ:BF,13,FALSE)</f>
        <v>1</v>
      </c>
    </row>
    <row r="58" spans="2:11" x14ac:dyDescent="0.25">
      <c r="B58" s="56" t="s">
        <v>89</v>
      </c>
      <c r="C58" s="57">
        <f>VLOOKUP(B58,'C-H2R_Estimation'!AQ:BF,14,FALSE)</f>
        <v>0</v>
      </c>
      <c r="D58" s="85">
        <f>VLOOKUP(B58,'C-H2R_Estimation'!AQ:BF,16,FALSE)</f>
        <v>0</v>
      </c>
      <c r="E58" s="85">
        <f>VLOOKUP(B58,'C-H2R_Estimation'!AQ:BF,15,FALSE)</f>
        <v>0</v>
      </c>
      <c r="F58" s="87">
        <f>VLOOKUP(B58,'C-H2R_Estimation'!AQ:BF,8,FALSE)</f>
        <v>1</v>
      </c>
      <c r="G58" s="88">
        <f>VLOOKUP(B58,'C-H2R_Estimation'!AQ:BF,9,FALSE)</f>
        <v>0</v>
      </c>
      <c r="H58" s="89">
        <f>VLOOKUP(B58,'C-H2R_Estimation'!AQ:BF,10,FALSE)</f>
        <v>0</v>
      </c>
      <c r="I58" s="90">
        <f>VLOOKUP(B58,'C-H2R_Estimation'!AQ:BF,11,FALSE)</f>
        <v>0</v>
      </c>
      <c r="J58" s="91">
        <f>VLOOKUP(B58,'C-H2R_Estimation'!AQ:BF,12,FALSE)</f>
        <v>0</v>
      </c>
      <c r="K58" s="97">
        <f>VLOOKUP(B58,'C-H2R_Estimation'!AQ:BF,13,FALSE)</f>
        <v>1</v>
      </c>
    </row>
    <row r="59" spans="2:11" x14ac:dyDescent="0.25">
      <c r="B59" s="56" t="s">
        <v>90</v>
      </c>
      <c r="C59" s="57">
        <f>VLOOKUP(B59,'C-H2R_Estimation'!AQ:BF,14,FALSE)</f>
        <v>0</v>
      </c>
      <c r="D59" s="85">
        <f>VLOOKUP(B59,'C-H2R_Estimation'!AQ:BF,16,FALSE)</f>
        <v>0</v>
      </c>
      <c r="E59" s="85">
        <f>VLOOKUP(B59,'C-H2R_Estimation'!AQ:BF,15,FALSE)</f>
        <v>0</v>
      </c>
      <c r="F59" s="87">
        <f>VLOOKUP(B59,'C-H2R_Estimation'!AQ:BF,8,FALSE)</f>
        <v>1</v>
      </c>
      <c r="G59" s="88">
        <f>VLOOKUP(B59,'C-H2R_Estimation'!AQ:BF,9,FALSE)</f>
        <v>0</v>
      </c>
      <c r="H59" s="89">
        <f>VLOOKUP(B59,'C-H2R_Estimation'!AQ:BF,10,FALSE)</f>
        <v>0</v>
      </c>
      <c r="I59" s="90">
        <f>VLOOKUP(B59,'C-H2R_Estimation'!AQ:BF,11,FALSE)</f>
        <v>0</v>
      </c>
      <c r="J59" s="91">
        <f>VLOOKUP(B59,'C-H2R_Estimation'!AQ:BF,12,FALSE)</f>
        <v>0</v>
      </c>
      <c r="K59" s="97">
        <f>VLOOKUP(B59,'C-H2R_Estimation'!AQ:BF,13,FALSE)</f>
        <v>1</v>
      </c>
    </row>
    <row r="60" spans="2:11" x14ac:dyDescent="0.25">
      <c r="B60" s="56" t="s">
        <v>136</v>
      </c>
      <c r="C60" s="57">
        <f>VLOOKUP(B60,'C-H2R_Estimation'!AQ:BF,14,FALSE)</f>
        <v>0</v>
      </c>
      <c r="D60" s="85">
        <f>VLOOKUP(B60,'C-H2R_Estimation'!AQ:BF,16,FALSE)</f>
        <v>0</v>
      </c>
      <c r="E60" s="85">
        <f>VLOOKUP(B60,'C-H2R_Estimation'!AQ:BF,15,FALSE)</f>
        <v>0</v>
      </c>
      <c r="F60" s="87">
        <f>VLOOKUP(B60,'C-H2R_Estimation'!AQ:BF,8,FALSE)</f>
        <v>0</v>
      </c>
      <c r="G60" s="88">
        <f>VLOOKUP(B60,'C-H2R_Estimation'!AQ:BF,9,FALSE)</f>
        <v>1</v>
      </c>
      <c r="H60" s="89">
        <f>VLOOKUP(B60,'C-H2R_Estimation'!AQ:BF,10,FALSE)</f>
        <v>0</v>
      </c>
      <c r="I60" s="90">
        <f>VLOOKUP(B60,'C-H2R_Estimation'!AQ:BF,11,FALSE)</f>
        <v>0</v>
      </c>
      <c r="J60" s="91">
        <f>VLOOKUP(B60,'C-H2R_Estimation'!AQ:BF,12,FALSE)</f>
        <v>0</v>
      </c>
      <c r="K60" s="97">
        <f>VLOOKUP(B60,'C-H2R_Estimation'!AQ:BF,13,FALSE)</f>
        <v>2</v>
      </c>
    </row>
    <row r="61" spans="2:11" x14ac:dyDescent="0.25">
      <c r="B61" s="56" t="s">
        <v>91</v>
      </c>
      <c r="C61" s="57">
        <f>VLOOKUP(B61,'C-H2R_Estimation'!AQ:BF,14,FALSE)</f>
        <v>0</v>
      </c>
      <c r="D61" s="85">
        <f>VLOOKUP(B61,'C-H2R_Estimation'!AQ:BF,16,FALSE)</f>
        <v>0</v>
      </c>
      <c r="E61" s="85">
        <f>VLOOKUP(B61,'C-H2R_Estimation'!AQ:BF,15,FALSE)</f>
        <v>0</v>
      </c>
      <c r="F61" s="87">
        <f>VLOOKUP(B61,'C-H2R_Estimation'!AQ:BF,8,FALSE)</f>
        <v>1</v>
      </c>
      <c r="G61" s="88">
        <f>VLOOKUP(B61,'C-H2R_Estimation'!AQ:BF,9,FALSE)</f>
        <v>0</v>
      </c>
      <c r="H61" s="89">
        <f>VLOOKUP(B61,'C-H2R_Estimation'!AQ:BF,10,FALSE)</f>
        <v>0</v>
      </c>
      <c r="I61" s="90">
        <f>VLOOKUP(B61,'C-H2R_Estimation'!AQ:BF,11,FALSE)</f>
        <v>0</v>
      </c>
      <c r="J61" s="91">
        <f>VLOOKUP(B61,'C-H2R_Estimation'!AQ:BF,12,FALSE)</f>
        <v>0</v>
      </c>
      <c r="K61" s="97">
        <f>VLOOKUP(B61,'C-H2R_Estimation'!AQ:BF,13,FALSE)</f>
        <v>1</v>
      </c>
    </row>
    <row r="62" spans="2:11" x14ac:dyDescent="0.25">
      <c r="B62" s="56" t="s">
        <v>141</v>
      </c>
      <c r="C62" s="57">
        <f>VLOOKUP(B62,'C-H2R_Estimation'!AQ:BF,14,FALSE)</f>
        <v>0</v>
      </c>
      <c r="D62" s="85">
        <f>VLOOKUP(B62,'C-H2R_Estimation'!AQ:BF,16,FALSE)</f>
        <v>0</v>
      </c>
      <c r="E62" s="85">
        <f>VLOOKUP(B62,'C-H2R_Estimation'!AQ:BF,15,FALSE)</f>
        <v>0</v>
      </c>
      <c r="F62" s="87">
        <f>VLOOKUP(B62,'C-H2R_Estimation'!AQ:BF,8,FALSE)</f>
        <v>0</v>
      </c>
      <c r="G62" s="88">
        <f>VLOOKUP(B62,'C-H2R_Estimation'!AQ:BF,9,FALSE)</f>
        <v>1</v>
      </c>
      <c r="H62" s="89">
        <f>VLOOKUP(B62,'C-H2R_Estimation'!AQ:BF,10,FALSE)</f>
        <v>0</v>
      </c>
      <c r="I62" s="90">
        <f>VLOOKUP(B62,'C-H2R_Estimation'!AQ:BF,11,FALSE)</f>
        <v>0</v>
      </c>
      <c r="J62" s="91">
        <f>VLOOKUP(B62,'C-H2R_Estimation'!AQ:BF,12,FALSE)</f>
        <v>0</v>
      </c>
      <c r="K62" s="97">
        <f>VLOOKUP(B62,'C-H2R_Estimation'!AQ:BF,13,FALSE)</f>
        <v>2</v>
      </c>
    </row>
    <row r="63" spans="2:11" x14ac:dyDescent="0.25">
      <c r="B63" s="56" t="s">
        <v>92</v>
      </c>
      <c r="C63" s="57">
        <f>VLOOKUP(B63,'C-H2R_Estimation'!AQ:BF,14,FALSE)</f>
        <v>0</v>
      </c>
      <c r="D63" s="85">
        <f>VLOOKUP(B63,'C-H2R_Estimation'!AQ:BF,16,FALSE)</f>
        <v>0</v>
      </c>
      <c r="E63" s="85">
        <f>VLOOKUP(B63,'C-H2R_Estimation'!AQ:BF,15,FALSE)</f>
        <v>0</v>
      </c>
      <c r="F63" s="87">
        <f>VLOOKUP(B63,'C-H2R_Estimation'!AQ:BF,8,FALSE)</f>
        <v>0</v>
      </c>
      <c r="G63" s="88">
        <f>VLOOKUP(B63,'C-H2R_Estimation'!AQ:BF,9,FALSE)</f>
        <v>1</v>
      </c>
      <c r="H63" s="89">
        <f>VLOOKUP(B63,'C-H2R_Estimation'!AQ:BF,10,FALSE)</f>
        <v>0</v>
      </c>
      <c r="I63" s="90">
        <f>VLOOKUP(B63,'C-H2R_Estimation'!AQ:BF,11,FALSE)</f>
        <v>0</v>
      </c>
      <c r="J63" s="91">
        <f>VLOOKUP(B63,'C-H2R_Estimation'!AQ:BF,12,FALSE)</f>
        <v>0</v>
      </c>
      <c r="K63" s="97">
        <f>VLOOKUP(B63,'C-H2R_Estimation'!AQ:BF,13,FALSE)</f>
        <v>2</v>
      </c>
    </row>
    <row r="64" spans="2:11" x14ac:dyDescent="0.25">
      <c r="B64" s="56" t="s">
        <v>93</v>
      </c>
      <c r="C64" s="57">
        <f>VLOOKUP(B64,'C-H2R_Estimation'!AQ:BF,14,FALSE)</f>
        <v>0</v>
      </c>
      <c r="D64" s="85">
        <f>VLOOKUP(B64,'C-H2R_Estimation'!AQ:BF,16,FALSE)</f>
        <v>0</v>
      </c>
      <c r="E64" s="85">
        <f>VLOOKUP(B64,'C-H2R_Estimation'!AQ:BF,15,FALSE)</f>
        <v>0</v>
      </c>
      <c r="F64" s="87">
        <f>VLOOKUP(B64,'C-H2R_Estimation'!AQ:BF,8,FALSE)</f>
        <v>1</v>
      </c>
      <c r="G64" s="88">
        <f>VLOOKUP(B64,'C-H2R_Estimation'!AQ:BF,9,FALSE)</f>
        <v>0</v>
      </c>
      <c r="H64" s="89">
        <f>VLOOKUP(B64,'C-H2R_Estimation'!AQ:BF,10,FALSE)</f>
        <v>0</v>
      </c>
      <c r="I64" s="90">
        <f>VLOOKUP(B64,'C-H2R_Estimation'!AQ:BF,11,FALSE)</f>
        <v>0</v>
      </c>
      <c r="J64" s="91">
        <f>VLOOKUP(B64,'C-H2R_Estimation'!AQ:BF,12,FALSE)</f>
        <v>0</v>
      </c>
      <c r="K64" s="97">
        <f>VLOOKUP(B64,'C-H2R_Estimation'!AQ:BF,13,FALSE)</f>
        <v>1</v>
      </c>
    </row>
    <row r="65" spans="2:11" x14ac:dyDescent="0.25">
      <c r="B65" s="56" t="s">
        <v>153</v>
      </c>
      <c r="C65" s="57">
        <f>VLOOKUP(B65,'C-H2R_Estimation'!AQ:BF,14,FALSE)</f>
        <v>0</v>
      </c>
      <c r="D65" s="85">
        <f>VLOOKUP(B65,'C-H2R_Estimation'!AQ:BF,16,FALSE)</f>
        <v>0</v>
      </c>
      <c r="E65" s="85">
        <f>VLOOKUP(B65,'C-H2R_Estimation'!AQ:BF,15,FALSE)</f>
        <v>0</v>
      </c>
      <c r="F65" s="87">
        <f>VLOOKUP(B65,'C-H2R_Estimation'!AQ:BF,8,FALSE)</f>
        <v>1</v>
      </c>
      <c r="G65" s="88">
        <f>VLOOKUP(B65,'C-H2R_Estimation'!AQ:BF,9,FALSE)</f>
        <v>0</v>
      </c>
      <c r="H65" s="89">
        <f>VLOOKUP(B65,'C-H2R_Estimation'!AQ:BF,10,FALSE)</f>
        <v>0</v>
      </c>
      <c r="I65" s="90">
        <f>VLOOKUP(B65,'C-H2R_Estimation'!AQ:BF,11,FALSE)</f>
        <v>0</v>
      </c>
      <c r="J65" s="91">
        <f>VLOOKUP(B65,'C-H2R_Estimation'!AQ:BF,12,FALSE)</f>
        <v>0</v>
      </c>
      <c r="K65" s="97">
        <f>VLOOKUP(B65,'C-H2R_Estimation'!AQ:BF,13,FALSE)</f>
        <v>1</v>
      </c>
    </row>
    <row r="66" spans="2:11" x14ac:dyDescent="0.25">
      <c r="B66" s="56" t="s">
        <v>94</v>
      </c>
      <c r="C66" s="57">
        <f>VLOOKUP(B66,'C-H2R_Estimation'!AQ:BF,14,FALSE)</f>
        <v>0</v>
      </c>
      <c r="D66" s="85">
        <f>VLOOKUP(B66,'C-H2R_Estimation'!AQ:BF,16,FALSE)</f>
        <v>0</v>
      </c>
      <c r="E66" s="85">
        <f>VLOOKUP(B66,'C-H2R_Estimation'!AQ:BF,15,FALSE)</f>
        <v>0</v>
      </c>
      <c r="F66" s="87">
        <f>VLOOKUP(B66,'C-H2R_Estimation'!AQ:BF,8,FALSE)</f>
        <v>1</v>
      </c>
      <c r="G66" s="88">
        <f>VLOOKUP(B66,'C-H2R_Estimation'!AQ:BF,9,FALSE)</f>
        <v>0</v>
      </c>
      <c r="H66" s="89">
        <f>VLOOKUP(B66,'C-H2R_Estimation'!AQ:BF,10,FALSE)</f>
        <v>0</v>
      </c>
      <c r="I66" s="90">
        <f>VLOOKUP(B66,'C-H2R_Estimation'!AQ:BF,11,FALSE)</f>
        <v>0</v>
      </c>
      <c r="J66" s="91">
        <f>VLOOKUP(B66,'C-H2R_Estimation'!AQ:BF,12,FALSE)</f>
        <v>0</v>
      </c>
      <c r="K66" s="97">
        <f>VLOOKUP(B66,'C-H2R_Estimation'!AQ:BF,13,FALSE)</f>
        <v>1</v>
      </c>
    </row>
    <row r="67" spans="2:11" x14ac:dyDescent="0.25">
      <c r="B67" s="56" t="s">
        <v>95</v>
      </c>
      <c r="C67" s="57">
        <f>VLOOKUP(B67,'C-H2R_Estimation'!AQ:BF,14,FALSE)</f>
        <v>0</v>
      </c>
      <c r="D67" s="85">
        <f>VLOOKUP(B67,'C-H2R_Estimation'!AQ:BF,16,FALSE)</f>
        <v>0</v>
      </c>
      <c r="E67" s="85">
        <f>VLOOKUP(B67,'C-H2R_Estimation'!AQ:BF,15,FALSE)</f>
        <v>0</v>
      </c>
      <c r="F67" s="87">
        <f>VLOOKUP(B67,'C-H2R_Estimation'!AQ:BF,8,FALSE)</f>
        <v>1</v>
      </c>
      <c r="G67" s="88">
        <f>VLOOKUP(B67,'C-H2R_Estimation'!AQ:BF,9,FALSE)</f>
        <v>0</v>
      </c>
      <c r="H67" s="89">
        <f>VLOOKUP(B67,'C-H2R_Estimation'!AQ:BF,10,FALSE)</f>
        <v>0</v>
      </c>
      <c r="I67" s="90">
        <f>VLOOKUP(B67,'C-H2R_Estimation'!AQ:BF,11,FALSE)</f>
        <v>0</v>
      </c>
      <c r="J67" s="91">
        <f>VLOOKUP(B67,'C-H2R_Estimation'!AQ:BF,12,FALSE)</f>
        <v>0</v>
      </c>
      <c r="K67" s="97">
        <f>VLOOKUP(B67,'C-H2R_Estimation'!AQ:BF,13,FALSE)</f>
        <v>1</v>
      </c>
    </row>
    <row r="68" spans="2:11" x14ac:dyDescent="0.25">
      <c r="B68" s="56" t="s">
        <v>96</v>
      </c>
      <c r="C68" s="57">
        <f>VLOOKUP(B68,'C-H2R_Estimation'!AQ:BF,14,FALSE)</f>
        <v>0</v>
      </c>
      <c r="D68" s="85">
        <f>VLOOKUP(B68,'C-H2R_Estimation'!AQ:BF,16,FALSE)</f>
        <v>0</v>
      </c>
      <c r="E68" s="85">
        <f>VLOOKUP(B68,'C-H2R_Estimation'!AQ:BF,15,FALSE)</f>
        <v>0</v>
      </c>
      <c r="F68" s="87">
        <f>VLOOKUP(B68,'C-H2R_Estimation'!AQ:BF,8,FALSE)</f>
        <v>0</v>
      </c>
      <c r="G68" s="88">
        <f>VLOOKUP(B68,'C-H2R_Estimation'!AQ:BF,9,FALSE)</f>
        <v>1</v>
      </c>
      <c r="H68" s="89">
        <f>VLOOKUP(B68,'C-H2R_Estimation'!AQ:BF,10,FALSE)</f>
        <v>0</v>
      </c>
      <c r="I68" s="90">
        <f>VLOOKUP(B68,'C-H2R_Estimation'!AQ:BF,11,FALSE)</f>
        <v>0</v>
      </c>
      <c r="J68" s="91">
        <f>VLOOKUP(B68,'C-H2R_Estimation'!AQ:BF,12,FALSE)</f>
        <v>0</v>
      </c>
      <c r="K68" s="97">
        <f>VLOOKUP(B68,'C-H2R_Estimation'!AQ:BF,13,FALSE)</f>
        <v>2</v>
      </c>
    </row>
    <row r="69" spans="2:11" x14ac:dyDescent="0.25">
      <c r="B69" s="56" t="s">
        <v>97</v>
      </c>
      <c r="C69" s="57">
        <f>VLOOKUP(B69,'C-H2R_Estimation'!AQ:BF,14,FALSE)</f>
        <v>0</v>
      </c>
      <c r="D69" s="85">
        <f>VLOOKUP(B69,'C-H2R_Estimation'!AQ:BF,16,FALSE)</f>
        <v>0</v>
      </c>
      <c r="E69" s="85">
        <f>VLOOKUP(B69,'C-H2R_Estimation'!AQ:BF,15,FALSE)</f>
        <v>0</v>
      </c>
      <c r="F69" s="87">
        <f>VLOOKUP(B69,'C-H2R_Estimation'!AQ:BF,8,FALSE)</f>
        <v>0</v>
      </c>
      <c r="G69" s="88">
        <f>VLOOKUP(B69,'C-H2R_Estimation'!AQ:BF,9,FALSE)</f>
        <v>1</v>
      </c>
      <c r="H69" s="89">
        <f>VLOOKUP(B69,'C-H2R_Estimation'!AQ:BF,10,FALSE)</f>
        <v>0</v>
      </c>
      <c r="I69" s="90">
        <f>VLOOKUP(B69,'C-H2R_Estimation'!AQ:BF,11,FALSE)</f>
        <v>0</v>
      </c>
      <c r="J69" s="91">
        <f>VLOOKUP(B69,'C-H2R_Estimation'!AQ:BF,12,FALSE)</f>
        <v>0</v>
      </c>
      <c r="K69" s="97">
        <f>VLOOKUP(B69,'C-H2R_Estimation'!AQ:BF,13,FALSE)</f>
        <v>2</v>
      </c>
    </row>
    <row r="70" spans="2:11" x14ac:dyDescent="0.25">
      <c r="B70" s="56" t="s">
        <v>98</v>
      </c>
      <c r="C70" s="57">
        <f>VLOOKUP(B70,'C-H2R_Estimation'!AQ:BF,14,FALSE)</f>
        <v>0</v>
      </c>
      <c r="D70" s="85">
        <f>VLOOKUP(B70,'C-H2R_Estimation'!AQ:BF,16,FALSE)</f>
        <v>0</v>
      </c>
      <c r="E70" s="85">
        <f>VLOOKUP(B70,'C-H2R_Estimation'!AQ:BF,15,FALSE)</f>
        <v>0</v>
      </c>
      <c r="F70" s="87">
        <f>VLOOKUP(B70,'C-H2R_Estimation'!AQ:BF,8,FALSE)</f>
        <v>1</v>
      </c>
      <c r="G70" s="88">
        <f>VLOOKUP(B70,'C-H2R_Estimation'!AQ:BF,9,FALSE)</f>
        <v>0</v>
      </c>
      <c r="H70" s="89">
        <f>VLOOKUP(B70,'C-H2R_Estimation'!AQ:BF,10,FALSE)</f>
        <v>0</v>
      </c>
      <c r="I70" s="90">
        <f>VLOOKUP(B70,'C-H2R_Estimation'!AQ:BF,11,FALSE)</f>
        <v>0</v>
      </c>
      <c r="J70" s="91">
        <f>VLOOKUP(B70,'C-H2R_Estimation'!AQ:BF,12,FALSE)</f>
        <v>0</v>
      </c>
      <c r="K70" s="97">
        <f>VLOOKUP(B70,'C-H2R_Estimation'!AQ:BF,13,FALSE)</f>
        <v>1</v>
      </c>
    </row>
    <row r="71" spans="2:11" x14ac:dyDescent="0.25">
      <c r="B71" s="56" t="s">
        <v>99</v>
      </c>
      <c r="C71" s="57">
        <f>VLOOKUP(B71,'C-H2R_Estimation'!AQ:BF,14,FALSE)</f>
        <v>0</v>
      </c>
      <c r="D71" s="85">
        <f>VLOOKUP(B71,'C-H2R_Estimation'!AQ:BF,16,FALSE)</f>
        <v>0</v>
      </c>
      <c r="E71" s="85">
        <f>VLOOKUP(B71,'C-H2R_Estimation'!AQ:BF,15,FALSE)</f>
        <v>0</v>
      </c>
      <c r="F71" s="87">
        <f>VLOOKUP(B71,'C-H2R_Estimation'!AQ:BF,8,FALSE)</f>
        <v>1</v>
      </c>
      <c r="G71" s="88">
        <f>VLOOKUP(B71,'C-H2R_Estimation'!AQ:BF,9,FALSE)</f>
        <v>0</v>
      </c>
      <c r="H71" s="89">
        <f>VLOOKUP(B71,'C-H2R_Estimation'!AQ:BF,10,FALSE)</f>
        <v>0</v>
      </c>
      <c r="I71" s="90">
        <f>VLOOKUP(B71,'C-H2R_Estimation'!AQ:BF,11,FALSE)</f>
        <v>0</v>
      </c>
      <c r="J71" s="91">
        <f>VLOOKUP(B71,'C-H2R_Estimation'!AQ:BF,12,FALSE)</f>
        <v>0</v>
      </c>
      <c r="K71" s="97">
        <f>VLOOKUP(B71,'C-H2R_Estimation'!AQ:BF,13,FALSE)</f>
        <v>1</v>
      </c>
    </row>
    <row r="72" spans="2:11" x14ac:dyDescent="0.25">
      <c r="B72" s="56" t="s">
        <v>166</v>
      </c>
      <c r="C72" s="57">
        <f>VLOOKUP(B72,'C-H2R_Estimation'!AQ:BF,14,FALSE)</f>
        <v>0</v>
      </c>
      <c r="D72" s="85">
        <f>VLOOKUP(B72,'C-H2R_Estimation'!AQ:BF,16,FALSE)</f>
        <v>0</v>
      </c>
      <c r="E72" s="85">
        <f>VLOOKUP(B72,'C-H2R_Estimation'!AQ:BF,15,FALSE)</f>
        <v>0</v>
      </c>
      <c r="F72" s="87">
        <f>VLOOKUP(B72,'C-H2R_Estimation'!AQ:BF,8,FALSE)</f>
        <v>1</v>
      </c>
      <c r="G72" s="88">
        <f>VLOOKUP(B72,'C-H2R_Estimation'!AQ:BF,9,FALSE)</f>
        <v>0</v>
      </c>
      <c r="H72" s="89">
        <f>VLOOKUP(B72,'C-H2R_Estimation'!AQ:BF,10,FALSE)</f>
        <v>0</v>
      </c>
      <c r="I72" s="90">
        <f>VLOOKUP(B72,'C-H2R_Estimation'!AQ:BF,11,FALSE)</f>
        <v>0</v>
      </c>
      <c r="J72" s="91">
        <f>VLOOKUP(B72,'C-H2R_Estimation'!AQ:BF,12,FALSE)</f>
        <v>0</v>
      </c>
      <c r="K72" s="97">
        <f>VLOOKUP(B72,'C-H2R_Estimation'!AQ:BF,13,FALSE)</f>
        <v>1</v>
      </c>
    </row>
    <row r="73" spans="2:11" x14ac:dyDescent="0.25">
      <c r="B73" s="56" t="s">
        <v>100</v>
      </c>
      <c r="C73" s="57">
        <f>VLOOKUP(B73,'C-H2R_Estimation'!AQ:BF,14,FALSE)</f>
        <v>0</v>
      </c>
      <c r="D73" s="85">
        <f>VLOOKUP(B73,'C-H2R_Estimation'!AQ:BF,16,FALSE)</f>
        <v>0</v>
      </c>
      <c r="E73" s="85">
        <f>VLOOKUP(B73,'C-H2R_Estimation'!AQ:BF,15,FALSE)</f>
        <v>0</v>
      </c>
      <c r="F73" s="87">
        <f>VLOOKUP(B73,'C-H2R_Estimation'!AQ:BF,8,FALSE)</f>
        <v>1</v>
      </c>
      <c r="G73" s="88">
        <f>VLOOKUP(B73,'C-H2R_Estimation'!AQ:BF,9,FALSE)</f>
        <v>0</v>
      </c>
      <c r="H73" s="89">
        <f>VLOOKUP(B73,'C-H2R_Estimation'!AQ:BF,10,FALSE)</f>
        <v>0</v>
      </c>
      <c r="I73" s="90">
        <f>VLOOKUP(B73,'C-H2R_Estimation'!AQ:BF,11,FALSE)</f>
        <v>0</v>
      </c>
      <c r="J73" s="91">
        <f>VLOOKUP(B73,'C-H2R_Estimation'!AQ:BF,12,FALSE)</f>
        <v>0</v>
      </c>
      <c r="K73" s="97">
        <f>VLOOKUP(B73,'C-H2R_Estimation'!AQ:BF,13,FALSE)</f>
        <v>1</v>
      </c>
    </row>
    <row r="74" spans="2:11" x14ac:dyDescent="0.25">
      <c r="B74" s="56" t="s">
        <v>101</v>
      </c>
      <c r="C74" s="57">
        <f>VLOOKUP(B74,'C-H2R_Estimation'!AQ:BF,14,FALSE)</f>
        <v>0</v>
      </c>
      <c r="D74" s="85">
        <f>VLOOKUP(B74,'C-H2R_Estimation'!AQ:BF,16,FALSE)</f>
        <v>0</v>
      </c>
      <c r="E74" s="85">
        <f>VLOOKUP(B74,'C-H2R_Estimation'!AQ:BF,15,FALSE)</f>
        <v>0</v>
      </c>
      <c r="F74" s="87">
        <f>VLOOKUP(B74,'C-H2R_Estimation'!AQ:BF,8,FALSE)</f>
        <v>1</v>
      </c>
      <c r="G74" s="88">
        <f>VLOOKUP(B74,'C-H2R_Estimation'!AQ:BF,9,FALSE)</f>
        <v>0</v>
      </c>
      <c r="H74" s="89">
        <f>VLOOKUP(B74,'C-H2R_Estimation'!AQ:BF,10,FALSE)</f>
        <v>0</v>
      </c>
      <c r="I74" s="90">
        <f>VLOOKUP(B74,'C-H2R_Estimation'!AQ:BF,11,FALSE)</f>
        <v>0</v>
      </c>
      <c r="J74" s="91">
        <f>VLOOKUP(B74,'C-H2R_Estimation'!AQ:BF,12,FALSE)</f>
        <v>0</v>
      </c>
      <c r="K74" s="97">
        <f>VLOOKUP(B74,'C-H2R_Estimation'!AQ:BF,13,FALSE)</f>
        <v>1</v>
      </c>
    </row>
    <row r="75" spans="2:11" x14ac:dyDescent="0.25">
      <c r="B75" s="56" t="s">
        <v>167</v>
      </c>
      <c r="C75" s="57">
        <f>VLOOKUP(B75,'C-H2R_Estimation'!AQ:BF,14,FALSE)</f>
        <v>0</v>
      </c>
      <c r="D75" s="85">
        <f>VLOOKUP(B75,'C-H2R_Estimation'!AQ:BF,16,FALSE)</f>
        <v>0</v>
      </c>
      <c r="E75" s="85">
        <f>VLOOKUP(B75,'C-H2R_Estimation'!AQ:BF,15,FALSE)</f>
        <v>0</v>
      </c>
      <c r="F75" s="87">
        <f>VLOOKUP(B75,'C-H2R_Estimation'!AQ:BF,8,FALSE)</f>
        <v>0</v>
      </c>
      <c r="G75" s="88">
        <f>VLOOKUP(B75,'C-H2R_Estimation'!AQ:BF,9,FALSE)</f>
        <v>1</v>
      </c>
      <c r="H75" s="89">
        <f>VLOOKUP(B75,'C-H2R_Estimation'!AQ:BF,10,FALSE)</f>
        <v>0</v>
      </c>
      <c r="I75" s="90">
        <f>VLOOKUP(B75,'C-H2R_Estimation'!AQ:BF,11,FALSE)</f>
        <v>0</v>
      </c>
      <c r="J75" s="91">
        <f>VLOOKUP(B75,'C-H2R_Estimation'!AQ:BF,12,FALSE)</f>
        <v>0</v>
      </c>
      <c r="K75" s="97">
        <f>VLOOKUP(B75,'C-H2R_Estimation'!AQ:BF,13,FALSE)</f>
        <v>2</v>
      </c>
    </row>
    <row r="76" spans="2:11" x14ac:dyDescent="0.25">
      <c r="B76" s="56" t="s">
        <v>102</v>
      </c>
      <c r="C76" s="57">
        <f>VLOOKUP(B76,'C-H2R_Estimation'!AQ:BF,14,FALSE)</f>
        <v>0</v>
      </c>
      <c r="D76" s="85">
        <f>VLOOKUP(B76,'C-H2R_Estimation'!AQ:BF,16,FALSE)</f>
        <v>0</v>
      </c>
      <c r="E76" s="85">
        <f>VLOOKUP(B76,'C-H2R_Estimation'!AQ:BF,15,FALSE)</f>
        <v>0</v>
      </c>
      <c r="F76" s="87">
        <f>VLOOKUP(B76,'C-H2R_Estimation'!AQ:BF,8,FALSE)</f>
        <v>1</v>
      </c>
      <c r="G76" s="88">
        <f>VLOOKUP(B76,'C-H2R_Estimation'!AQ:BF,9,FALSE)</f>
        <v>0</v>
      </c>
      <c r="H76" s="89">
        <f>VLOOKUP(B76,'C-H2R_Estimation'!AQ:BF,10,FALSE)</f>
        <v>0</v>
      </c>
      <c r="I76" s="90">
        <f>VLOOKUP(B76,'C-H2R_Estimation'!AQ:BF,11,FALSE)</f>
        <v>0</v>
      </c>
      <c r="J76" s="91">
        <f>VLOOKUP(B76,'C-H2R_Estimation'!AQ:BF,12,FALSE)</f>
        <v>0</v>
      </c>
      <c r="K76" s="97">
        <f>VLOOKUP(B76,'C-H2R_Estimation'!AQ:BF,13,FALSE)</f>
        <v>1</v>
      </c>
    </row>
    <row r="77" spans="2:11" x14ac:dyDescent="0.25">
      <c r="B77" s="56" t="s">
        <v>103</v>
      </c>
      <c r="C77" s="57">
        <f>VLOOKUP(B77,'C-H2R_Estimation'!AQ:BF,14,FALSE)</f>
        <v>0</v>
      </c>
      <c r="D77" s="85">
        <f>VLOOKUP(B77,'C-H2R_Estimation'!AQ:BF,16,FALSE)</f>
        <v>0</v>
      </c>
      <c r="E77" s="85">
        <f>VLOOKUP(B77,'C-H2R_Estimation'!AQ:BF,15,FALSE)</f>
        <v>0</v>
      </c>
      <c r="F77" s="87">
        <f>VLOOKUP(B77,'C-H2R_Estimation'!AQ:BF,8,FALSE)</f>
        <v>1</v>
      </c>
      <c r="G77" s="88">
        <f>VLOOKUP(B77,'C-H2R_Estimation'!AQ:BF,9,FALSE)</f>
        <v>0</v>
      </c>
      <c r="H77" s="89">
        <f>VLOOKUP(B77,'C-H2R_Estimation'!AQ:BF,10,FALSE)</f>
        <v>0</v>
      </c>
      <c r="I77" s="90">
        <f>VLOOKUP(B77,'C-H2R_Estimation'!AQ:BF,11,FALSE)</f>
        <v>0</v>
      </c>
      <c r="J77" s="91">
        <f>VLOOKUP(B77,'C-H2R_Estimation'!AQ:BF,12,FALSE)</f>
        <v>0</v>
      </c>
      <c r="K77" s="97">
        <f>VLOOKUP(B77,'C-H2R_Estimation'!AQ:BF,13,FALSE)</f>
        <v>1</v>
      </c>
    </row>
    <row r="78" spans="2:11" x14ac:dyDescent="0.25">
      <c r="B78" s="56" t="s">
        <v>104</v>
      </c>
      <c r="C78" s="57">
        <f>VLOOKUP(B78,'C-H2R_Estimation'!AQ:BF,14,FALSE)</f>
        <v>0</v>
      </c>
      <c r="D78" s="85">
        <f>VLOOKUP(B78,'C-H2R_Estimation'!AQ:BF,16,FALSE)</f>
        <v>0</v>
      </c>
      <c r="E78" s="85">
        <f>VLOOKUP(B78,'C-H2R_Estimation'!AQ:BF,15,FALSE)</f>
        <v>0</v>
      </c>
      <c r="F78" s="87">
        <f>VLOOKUP(B78,'C-H2R_Estimation'!AQ:BF,8,FALSE)</f>
        <v>1</v>
      </c>
      <c r="G78" s="88">
        <f>VLOOKUP(B78,'C-H2R_Estimation'!AQ:BF,9,FALSE)</f>
        <v>0</v>
      </c>
      <c r="H78" s="89">
        <f>VLOOKUP(B78,'C-H2R_Estimation'!AQ:BF,10,FALSE)</f>
        <v>0</v>
      </c>
      <c r="I78" s="90">
        <f>VLOOKUP(B78,'C-H2R_Estimation'!AQ:BF,11,FALSE)</f>
        <v>0</v>
      </c>
      <c r="J78" s="91">
        <f>VLOOKUP(B78,'C-H2R_Estimation'!AQ:BF,12,FALSE)</f>
        <v>0</v>
      </c>
      <c r="K78" s="97">
        <f>VLOOKUP(B78,'C-H2R_Estimation'!AQ:BF,13,FALSE)</f>
        <v>1</v>
      </c>
    </row>
    <row r="79" spans="2:11" x14ac:dyDescent="0.25">
      <c r="B79" s="56" t="s">
        <v>105</v>
      </c>
      <c r="C79" s="57">
        <f>VLOOKUP(B79,'C-H2R_Estimation'!AQ:BF,14,FALSE)</f>
        <v>0</v>
      </c>
      <c r="D79" s="85">
        <f>VLOOKUP(B79,'C-H2R_Estimation'!AQ:BF,16,FALSE)</f>
        <v>0</v>
      </c>
      <c r="E79" s="85">
        <f>VLOOKUP(B79,'C-H2R_Estimation'!AQ:BF,15,FALSE)</f>
        <v>0</v>
      </c>
      <c r="F79" s="87">
        <f>VLOOKUP(B79,'C-H2R_Estimation'!AQ:BF,8,FALSE)</f>
        <v>1</v>
      </c>
      <c r="G79" s="88">
        <f>VLOOKUP(B79,'C-H2R_Estimation'!AQ:BF,9,FALSE)</f>
        <v>0</v>
      </c>
      <c r="H79" s="89">
        <f>VLOOKUP(B79,'C-H2R_Estimation'!AQ:BF,10,FALSE)</f>
        <v>0</v>
      </c>
      <c r="I79" s="90">
        <f>VLOOKUP(B79,'C-H2R_Estimation'!AQ:BF,11,FALSE)</f>
        <v>0</v>
      </c>
      <c r="J79" s="91">
        <f>VLOOKUP(B79,'C-H2R_Estimation'!AQ:BF,12,FALSE)</f>
        <v>0</v>
      </c>
      <c r="K79" s="97">
        <f>VLOOKUP(B79,'C-H2R_Estimation'!AQ:BF,13,FALSE)</f>
        <v>1</v>
      </c>
    </row>
    <row r="80" spans="2:11" x14ac:dyDescent="0.25">
      <c r="B80" s="56" t="s">
        <v>106</v>
      </c>
      <c r="C80" s="57">
        <f>VLOOKUP(B80,'C-H2R_Estimation'!AQ:BF,14,FALSE)</f>
        <v>0</v>
      </c>
      <c r="D80" s="85">
        <f>VLOOKUP(B80,'C-H2R_Estimation'!AQ:BF,16,FALSE)</f>
        <v>0</v>
      </c>
      <c r="E80" s="85">
        <f>VLOOKUP(B80,'C-H2R_Estimation'!AQ:BF,15,FALSE)</f>
        <v>0</v>
      </c>
      <c r="F80" s="87">
        <f>VLOOKUP(B80,'C-H2R_Estimation'!AQ:BF,8,FALSE)</f>
        <v>1</v>
      </c>
      <c r="G80" s="88">
        <f>VLOOKUP(B80,'C-H2R_Estimation'!AQ:BF,9,FALSE)</f>
        <v>0</v>
      </c>
      <c r="H80" s="89">
        <f>VLOOKUP(B80,'C-H2R_Estimation'!AQ:BF,10,FALSE)</f>
        <v>0</v>
      </c>
      <c r="I80" s="90">
        <f>VLOOKUP(B80,'C-H2R_Estimation'!AQ:BF,11,FALSE)</f>
        <v>0</v>
      </c>
      <c r="J80" s="91">
        <f>VLOOKUP(B80,'C-H2R_Estimation'!AQ:BF,12,FALSE)</f>
        <v>0</v>
      </c>
      <c r="K80" s="97">
        <f>VLOOKUP(B80,'C-H2R_Estimation'!AQ:BF,13,FALSE)</f>
        <v>1</v>
      </c>
    </row>
    <row r="81" spans="2:11" x14ac:dyDescent="0.25">
      <c r="B81" s="56" t="s">
        <v>107</v>
      </c>
      <c r="C81" s="57">
        <f>VLOOKUP(B81,'C-H2R_Estimation'!AQ:BF,14,FALSE)</f>
        <v>0</v>
      </c>
      <c r="D81" s="85">
        <f>VLOOKUP(B81,'C-H2R_Estimation'!AQ:BF,16,FALSE)</f>
        <v>0</v>
      </c>
      <c r="E81" s="85">
        <f>VLOOKUP(B81,'C-H2R_Estimation'!AQ:BF,15,FALSE)</f>
        <v>0</v>
      </c>
      <c r="F81" s="87">
        <f>VLOOKUP(B81,'C-H2R_Estimation'!AQ:BF,8,FALSE)</f>
        <v>1</v>
      </c>
      <c r="G81" s="88">
        <f>VLOOKUP(B81,'C-H2R_Estimation'!AQ:BF,9,FALSE)</f>
        <v>0</v>
      </c>
      <c r="H81" s="89">
        <f>VLOOKUP(B81,'C-H2R_Estimation'!AQ:BF,10,FALSE)</f>
        <v>0</v>
      </c>
      <c r="I81" s="90">
        <f>VLOOKUP(B81,'C-H2R_Estimation'!AQ:BF,11,FALSE)</f>
        <v>0</v>
      </c>
      <c r="J81" s="91">
        <f>VLOOKUP(B81,'C-H2R_Estimation'!AQ:BF,12,FALSE)</f>
        <v>0</v>
      </c>
      <c r="K81" s="97">
        <f>VLOOKUP(B81,'C-H2R_Estimation'!AQ:BF,13,FALSE)</f>
        <v>1</v>
      </c>
    </row>
    <row r="82" spans="2:11" x14ac:dyDescent="0.25">
      <c r="B82" s="56" t="s">
        <v>155</v>
      </c>
      <c r="C82" s="57">
        <f>VLOOKUP(B82,'C-H2R_Estimation'!AQ:BF,14,FALSE)</f>
        <v>0</v>
      </c>
      <c r="D82" s="85">
        <f>VLOOKUP(B82,'C-H2R_Estimation'!AQ:BF,16,FALSE)</f>
        <v>0</v>
      </c>
      <c r="E82" s="85">
        <f>VLOOKUP(B82,'C-H2R_Estimation'!AQ:BF,15,FALSE)</f>
        <v>0</v>
      </c>
      <c r="F82" s="87">
        <f>VLOOKUP(B82,'C-H2R_Estimation'!AQ:BF,8,FALSE)</f>
        <v>0</v>
      </c>
      <c r="G82" s="88">
        <f>VLOOKUP(B82,'C-H2R_Estimation'!AQ:BF,9,FALSE)</f>
        <v>1</v>
      </c>
      <c r="H82" s="89">
        <f>VLOOKUP(B82,'C-H2R_Estimation'!AQ:BF,10,FALSE)</f>
        <v>0</v>
      </c>
      <c r="I82" s="90">
        <f>VLOOKUP(B82,'C-H2R_Estimation'!AQ:BF,11,FALSE)</f>
        <v>0</v>
      </c>
      <c r="J82" s="91">
        <f>VLOOKUP(B82,'C-H2R_Estimation'!AQ:BF,12,FALSE)</f>
        <v>0</v>
      </c>
      <c r="K82" s="97">
        <f>VLOOKUP(B82,'C-H2R_Estimation'!AQ:BF,13,FALSE)</f>
        <v>2</v>
      </c>
    </row>
    <row r="83" spans="2:11" x14ac:dyDescent="0.25">
      <c r="B83" s="56" t="s">
        <v>108</v>
      </c>
      <c r="C83" s="57">
        <f>VLOOKUP(B83,'C-H2R_Estimation'!AQ:BF,14,FALSE)</f>
        <v>0</v>
      </c>
      <c r="D83" s="85">
        <f>VLOOKUP(B83,'C-H2R_Estimation'!AQ:BF,16,FALSE)</f>
        <v>0</v>
      </c>
      <c r="E83" s="85">
        <f>VLOOKUP(B83,'C-H2R_Estimation'!AQ:BF,15,FALSE)</f>
        <v>0</v>
      </c>
      <c r="F83" s="87">
        <f>VLOOKUP(B83,'C-H2R_Estimation'!AQ:BF,8,FALSE)</f>
        <v>1</v>
      </c>
      <c r="G83" s="88">
        <f>VLOOKUP(B83,'C-H2R_Estimation'!AQ:BF,9,FALSE)</f>
        <v>0</v>
      </c>
      <c r="H83" s="89">
        <f>VLOOKUP(B83,'C-H2R_Estimation'!AQ:BF,10,FALSE)</f>
        <v>0</v>
      </c>
      <c r="I83" s="90">
        <f>VLOOKUP(B83,'C-H2R_Estimation'!AQ:BF,11,FALSE)</f>
        <v>0</v>
      </c>
      <c r="J83" s="91">
        <f>VLOOKUP(B83,'C-H2R_Estimation'!AQ:BF,12,FALSE)</f>
        <v>0</v>
      </c>
      <c r="K83" s="97">
        <f>VLOOKUP(B83,'C-H2R_Estimation'!AQ:BF,13,FALSE)</f>
        <v>1</v>
      </c>
    </row>
    <row r="84" spans="2:11" x14ac:dyDescent="0.25">
      <c r="B84" s="56" t="s">
        <v>109</v>
      </c>
      <c r="C84" s="57">
        <f>VLOOKUP(B84,'C-H2R_Estimation'!AQ:BF,14,FALSE)</f>
        <v>0</v>
      </c>
      <c r="D84" s="85">
        <f>VLOOKUP(B84,'C-H2R_Estimation'!AQ:BF,16,FALSE)</f>
        <v>0</v>
      </c>
      <c r="E84" s="85">
        <f>VLOOKUP(B84,'C-H2R_Estimation'!AQ:BF,15,FALSE)</f>
        <v>0</v>
      </c>
      <c r="F84" s="87">
        <f>VLOOKUP(B84,'C-H2R_Estimation'!AQ:BF,8,FALSE)</f>
        <v>0</v>
      </c>
      <c r="G84" s="88">
        <f>VLOOKUP(B84,'C-H2R_Estimation'!AQ:BF,9,FALSE)</f>
        <v>1</v>
      </c>
      <c r="H84" s="89">
        <f>VLOOKUP(B84,'C-H2R_Estimation'!AQ:BF,10,FALSE)</f>
        <v>0</v>
      </c>
      <c r="I84" s="90">
        <f>VLOOKUP(B84,'C-H2R_Estimation'!AQ:BF,11,FALSE)</f>
        <v>0</v>
      </c>
      <c r="J84" s="91">
        <f>VLOOKUP(B84,'C-H2R_Estimation'!AQ:BF,12,FALSE)</f>
        <v>0</v>
      </c>
      <c r="K84" s="97">
        <f>VLOOKUP(B84,'C-H2R_Estimation'!AQ:BF,13,FALSE)</f>
        <v>2</v>
      </c>
    </row>
    <row r="85" spans="2:11" x14ac:dyDescent="0.25">
      <c r="B85" s="56" t="s">
        <v>145</v>
      </c>
      <c r="C85" s="57">
        <f>VLOOKUP(B85,'C-H2R_Estimation'!AQ:BF,14,FALSE)</f>
        <v>0</v>
      </c>
      <c r="D85" s="85">
        <f>VLOOKUP(B85,'C-H2R_Estimation'!AQ:BF,16,FALSE)</f>
        <v>0</v>
      </c>
      <c r="E85" s="85">
        <f>VLOOKUP(B85,'C-H2R_Estimation'!AQ:BF,15,FALSE)</f>
        <v>0</v>
      </c>
      <c r="F85" s="87">
        <f>VLOOKUP(B85,'C-H2R_Estimation'!AQ:BF,8,FALSE)</f>
        <v>0</v>
      </c>
      <c r="G85" s="88">
        <f>VLOOKUP(B85,'C-H2R_Estimation'!AQ:BF,9,FALSE)</f>
        <v>1</v>
      </c>
      <c r="H85" s="89">
        <f>VLOOKUP(B85,'C-H2R_Estimation'!AQ:BF,10,FALSE)</f>
        <v>0</v>
      </c>
      <c r="I85" s="90">
        <f>VLOOKUP(B85,'C-H2R_Estimation'!AQ:BF,11,FALSE)</f>
        <v>0</v>
      </c>
      <c r="J85" s="91">
        <f>VLOOKUP(B85,'C-H2R_Estimation'!AQ:BF,12,FALSE)</f>
        <v>0</v>
      </c>
      <c r="K85" s="97">
        <f>VLOOKUP(B85,'C-H2R_Estimation'!AQ:BF,13,FALSE)</f>
        <v>2</v>
      </c>
    </row>
    <row r="86" spans="2:11" x14ac:dyDescent="0.25">
      <c r="B86" s="56" t="s">
        <v>110</v>
      </c>
      <c r="C86" s="57">
        <f>VLOOKUP(B86,'C-H2R_Estimation'!AQ:BF,14,FALSE)</f>
        <v>0</v>
      </c>
      <c r="D86" s="85">
        <f>VLOOKUP(B86,'C-H2R_Estimation'!AQ:BF,16,FALSE)</f>
        <v>0</v>
      </c>
      <c r="E86" s="85">
        <f>VLOOKUP(B86,'C-H2R_Estimation'!AQ:BF,15,FALSE)</f>
        <v>0</v>
      </c>
      <c r="F86" s="87">
        <f>VLOOKUP(B86,'C-H2R_Estimation'!AQ:BF,8,FALSE)</f>
        <v>1</v>
      </c>
      <c r="G86" s="88">
        <f>VLOOKUP(B86,'C-H2R_Estimation'!AQ:BF,9,FALSE)</f>
        <v>0</v>
      </c>
      <c r="H86" s="89">
        <f>VLOOKUP(B86,'C-H2R_Estimation'!AQ:BF,10,FALSE)</f>
        <v>0</v>
      </c>
      <c r="I86" s="90">
        <f>VLOOKUP(B86,'C-H2R_Estimation'!AQ:BF,11,FALSE)</f>
        <v>0</v>
      </c>
      <c r="J86" s="91">
        <f>VLOOKUP(B86,'C-H2R_Estimation'!AQ:BF,12,FALSE)</f>
        <v>0</v>
      </c>
      <c r="K86" s="97">
        <f>VLOOKUP(B86,'C-H2R_Estimation'!AQ:BF,13,FALSE)</f>
        <v>1</v>
      </c>
    </row>
    <row r="87" spans="2:11" x14ac:dyDescent="0.25">
      <c r="B87" s="81" t="s">
        <v>111</v>
      </c>
      <c r="C87" s="86">
        <f>SUM(C13:C86)</f>
        <v>3803872</v>
      </c>
      <c r="D87" s="86">
        <f>SUM(D13:D86)</f>
        <v>2332972</v>
      </c>
      <c r="E87" s="86">
        <f>SUM(E13:E86)</f>
        <v>1470900</v>
      </c>
      <c r="F87" s="98"/>
      <c r="G87" s="99"/>
      <c r="H87" s="100"/>
      <c r="I87" s="101"/>
      <c r="J87" s="102"/>
      <c r="K87" s="97">
        <f>IF(J87="-","-",IF(J87&gt;=0.25,5,IF(SUM(I87:J87)&gt;=0.25,4,IF(SUM(H87:J87)&gt;=0.25,3,IF(SUM(G87:J87)&gt;=0.25,2,1)))))</f>
        <v>1</v>
      </c>
    </row>
  </sheetData>
  <mergeCells count="10">
    <mergeCell ref="O29:O31"/>
    <mergeCell ref="P29:P31"/>
    <mergeCell ref="O32:O36"/>
    <mergeCell ref="P32:P36"/>
    <mergeCell ref="O13:O17"/>
    <mergeCell ref="P13:P17"/>
    <mergeCell ref="O18:O22"/>
    <mergeCell ref="P18:P22"/>
    <mergeCell ref="O23:O28"/>
    <mergeCell ref="P23:P28"/>
  </mergeCells>
  <conditionalFormatting sqref="K87">
    <cfRule type="cellIs" dxfId="9" priority="6" operator="equal">
      <formula>5</formula>
    </cfRule>
    <cfRule type="cellIs" dxfId="8" priority="7" operator="equal">
      <formula>4</formula>
    </cfRule>
    <cfRule type="cellIs" dxfId="7" priority="8" operator="equal">
      <formula>3</formula>
    </cfRule>
    <cfRule type="cellIs" dxfId="6" priority="9" operator="equal">
      <formula>2</formula>
    </cfRule>
    <cfRule type="cellIs" dxfId="5" priority="10" operator="equal">
      <formula>1</formula>
    </cfRule>
  </conditionalFormatting>
  <conditionalFormatting sqref="K13:K86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I3" sqref="I3"/>
    </sheetView>
  </sheetViews>
  <sheetFormatPr defaultColWidth="8.81640625" defaultRowHeight="14.5" x14ac:dyDescent="0.35"/>
  <cols>
    <col min="1" max="1" width="14.36328125" style="11" bestFit="1" customWidth="1"/>
    <col min="2" max="2" width="17.453125" customWidth="1"/>
    <col min="3" max="3" width="14.1796875" style="84" customWidth="1"/>
    <col min="4" max="4" width="11.453125" style="84" customWidth="1"/>
    <col min="5" max="13" width="6.6328125" style="84" customWidth="1"/>
  </cols>
  <sheetData>
    <row r="1" spans="1:14" x14ac:dyDescent="0.35">
      <c r="A1" s="83" t="s">
        <v>112</v>
      </c>
      <c r="B1" s="83" t="s">
        <v>113</v>
      </c>
      <c r="C1" s="83">
        <v>1</v>
      </c>
      <c r="D1" s="83">
        <v>2</v>
      </c>
      <c r="E1" s="83">
        <v>3</v>
      </c>
      <c r="F1" s="83">
        <v>4</v>
      </c>
      <c r="G1" s="83">
        <v>5</v>
      </c>
      <c r="H1" s="83">
        <v>6</v>
      </c>
      <c r="I1" s="83"/>
      <c r="J1" s="83"/>
      <c r="K1" s="83"/>
      <c r="L1" s="83"/>
      <c r="M1" s="83"/>
    </row>
    <row r="2" spans="1:14" x14ac:dyDescent="0.35">
      <c r="A2" t="s">
        <v>25</v>
      </c>
      <c r="B2" t="s">
        <v>259</v>
      </c>
      <c r="C2" s="84">
        <v>1</v>
      </c>
      <c r="D2" s="84">
        <v>4</v>
      </c>
      <c r="E2" s="84">
        <v>1</v>
      </c>
      <c r="F2" s="84">
        <v>5</v>
      </c>
      <c r="G2" s="84">
        <v>1</v>
      </c>
      <c r="H2" s="84">
        <v>2</v>
      </c>
    </row>
    <row r="3" spans="1:14" x14ac:dyDescent="0.35">
      <c r="A3" t="s">
        <v>28</v>
      </c>
      <c r="B3" t="s">
        <v>259</v>
      </c>
      <c r="C3" s="84">
        <v>1</v>
      </c>
      <c r="D3" s="84">
        <v>2</v>
      </c>
      <c r="E3" s="84">
        <v>1</v>
      </c>
      <c r="F3" s="84">
        <v>3</v>
      </c>
      <c r="G3" s="84">
        <v>1</v>
      </c>
      <c r="H3" s="84">
        <v>3</v>
      </c>
    </row>
    <row r="4" spans="1:14" x14ac:dyDescent="0.35">
      <c r="A4" t="s">
        <v>31</v>
      </c>
      <c r="B4" t="s">
        <v>259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1</v>
      </c>
    </row>
    <row r="5" spans="1:14" x14ac:dyDescent="0.35">
      <c r="A5" t="s">
        <v>33</v>
      </c>
      <c r="B5" t="s">
        <v>259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2</v>
      </c>
    </row>
    <row r="6" spans="1:14" x14ac:dyDescent="0.35">
      <c r="A6" t="s">
        <v>35</v>
      </c>
      <c r="B6" t="s">
        <v>259</v>
      </c>
      <c r="C6" s="84">
        <v>1</v>
      </c>
      <c r="D6" s="84">
        <v>4</v>
      </c>
      <c r="E6" s="84">
        <v>3</v>
      </c>
      <c r="F6" s="84">
        <v>5</v>
      </c>
      <c r="G6" s="84">
        <v>1</v>
      </c>
      <c r="H6" s="84">
        <v>5</v>
      </c>
    </row>
    <row r="7" spans="1:14" x14ac:dyDescent="0.35">
      <c r="A7" t="s">
        <v>40</v>
      </c>
      <c r="B7" t="s">
        <v>259</v>
      </c>
      <c r="C7" s="84">
        <v>1</v>
      </c>
      <c r="D7" s="84">
        <v>4</v>
      </c>
      <c r="E7" s="84">
        <v>1</v>
      </c>
      <c r="F7" s="84">
        <v>4</v>
      </c>
      <c r="G7" s="84">
        <v>1</v>
      </c>
      <c r="H7" s="84">
        <v>1</v>
      </c>
    </row>
    <row r="8" spans="1:14" x14ac:dyDescent="0.35">
      <c r="A8" t="s">
        <v>43</v>
      </c>
      <c r="B8" t="s">
        <v>259</v>
      </c>
      <c r="C8" s="84">
        <v>1</v>
      </c>
      <c r="D8" s="84">
        <v>5</v>
      </c>
      <c r="E8" s="84">
        <v>1</v>
      </c>
      <c r="F8" s="84">
        <v>5</v>
      </c>
      <c r="G8" s="84">
        <v>1</v>
      </c>
      <c r="H8" s="84">
        <v>2</v>
      </c>
    </row>
    <row r="9" spans="1:14" x14ac:dyDescent="0.35">
      <c r="A9" t="s">
        <v>47</v>
      </c>
      <c r="B9" t="s">
        <v>259</v>
      </c>
      <c r="C9" s="84">
        <v>1</v>
      </c>
      <c r="D9" s="84">
        <v>1</v>
      </c>
      <c r="E9" s="84">
        <v>1</v>
      </c>
      <c r="F9" s="84">
        <v>1</v>
      </c>
      <c r="G9" s="84">
        <v>1</v>
      </c>
      <c r="H9" s="84">
        <v>1</v>
      </c>
      <c r="N9" s="84"/>
    </row>
    <row r="10" spans="1:14" x14ac:dyDescent="0.35">
      <c r="A10" t="s">
        <v>157</v>
      </c>
      <c r="B10" t="s">
        <v>259</v>
      </c>
      <c r="C10" s="84">
        <v>1</v>
      </c>
      <c r="D10" s="84">
        <v>2</v>
      </c>
      <c r="E10" s="84">
        <v>1</v>
      </c>
      <c r="F10" s="84">
        <v>4</v>
      </c>
      <c r="G10" s="84">
        <v>4</v>
      </c>
      <c r="H10" s="84">
        <v>5</v>
      </c>
    </row>
    <row r="11" spans="1:14" x14ac:dyDescent="0.35">
      <c r="A11" t="s">
        <v>160</v>
      </c>
      <c r="B11" t="s">
        <v>259</v>
      </c>
      <c r="C11" s="84">
        <v>1</v>
      </c>
      <c r="D11" s="84">
        <v>1</v>
      </c>
      <c r="E11" s="84">
        <v>1</v>
      </c>
      <c r="F11" s="84">
        <v>1</v>
      </c>
      <c r="G11" s="84">
        <v>3</v>
      </c>
      <c r="H11" s="84">
        <v>1</v>
      </c>
    </row>
    <row r="12" spans="1:14" x14ac:dyDescent="0.35">
      <c r="A12" t="s">
        <v>161</v>
      </c>
      <c r="B12" t="s">
        <v>259</v>
      </c>
      <c r="C12" s="84">
        <v>1</v>
      </c>
      <c r="D12" s="84">
        <v>1</v>
      </c>
      <c r="E12" s="84">
        <v>1</v>
      </c>
      <c r="F12" s="84">
        <v>1</v>
      </c>
      <c r="G12" s="84">
        <v>1</v>
      </c>
      <c r="H12" s="84">
        <v>1</v>
      </c>
    </row>
    <row r="13" spans="1:14" x14ac:dyDescent="0.35">
      <c r="A13" t="s">
        <v>74</v>
      </c>
      <c r="B13" t="s">
        <v>259</v>
      </c>
      <c r="C13" s="84">
        <v>1</v>
      </c>
      <c r="D13" s="84">
        <v>1</v>
      </c>
      <c r="E13" s="84">
        <v>1</v>
      </c>
      <c r="F13" s="84">
        <v>1</v>
      </c>
      <c r="G13" s="84">
        <v>1</v>
      </c>
      <c r="H13" s="84">
        <v>3</v>
      </c>
    </row>
    <row r="14" spans="1:14" x14ac:dyDescent="0.35">
      <c r="A14" t="s">
        <v>76</v>
      </c>
      <c r="B14" t="s">
        <v>259</v>
      </c>
      <c r="C14" s="84">
        <v>1</v>
      </c>
      <c r="D14" s="84">
        <v>1</v>
      </c>
      <c r="E14" s="84">
        <v>1</v>
      </c>
      <c r="F14" s="84">
        <v>1</v>
      </c>
      <c r="G14" s="84">
        <v>1</v>
      </c>
      <c r="H14" s="84">
        <v>1</v>
      </c>
    </row>
    <row r="15" spans="1:14" x14ac:dyDescent="0.35">
      <c r="A15" t="s">
        <v>162</v>
      </c>
      <c r="B15" t="s">
        <v>259</v>
      </c>
      <c r="C15" s="84">
        <v>1</v>
      </c>
      <c r="D15" s="84">
        <v>1</v>
      </c>
      <c r="E15" s="84">
        <v>1</v>
      </c>
      <c r="F15" s="84">
        <v>1</v>
      </c>
      <c r="G15" s="84">
        <v>4</v>
      </c>
      <c r="H15" s="84">
        <v>5</v>
      </c>
    </row>
    <row r="16" spans="1:14" x14ac:dyDescent="0.35">
      <c r="A16" t="s">
        <v>138</v>
      </c>
      <c r="B16" t="s">
        <v>259</v>
      </c>
      <c r="C16" s="84">
        <v>1</v>
      </c>
      <c r="D16" s="84">
        <v>2</v>
      </c>
      <c r="E16" s="84">
        <v>1</v>
      </c>
      <c r="F16" s="84">
        <v>2</v>
      </c>
      <c r="G16" s="84">
        <v>4</v>
      </c>
      <c r="H16" s="84">
        <v>5</v>
      </c>
    </row>
    <row r="17" spans="1:8" x14ac:dyDescent="0.35">
      <c r="A17" t="s">
        <v>83</v>
      </c>
      <c r="B17" t="s">
        <v>259</v>
      </c>
      <c r="C17" s="84">
        <v>1</v>
      </c>
      <c r="D17" s="84">
        <v>2</v>
      </c>
      <c r="E17" s="84">
        <v>2</v>
      </c>
      <c r="F17" s="84">
        <v>3</v>
      </c>
      <c r="G17" s="84">
        <v>1</v>
      </c>
      <c r="H17" s="84">
        <v>5</v>
      </c>
    </row>
    <row r="18" spans="1:8" x14ac:dyDescent="0.35">
      <c r="A18" t="s">
        <v>84</v>
      </c>
      <c r="B18" t="s">
        <v>259</v>
      </c>
      <c r="C18" s="84">
        <v>1</v>
      </c>
      <c r="D18" s="84">
        <v>1</v>
      </c>
      <c r="E18" s="84">
        <v>1</v>
      </c>
      <c r="F18" s="84">
        <v>1</v>
      </c>
      <c r="G18" s="84">
        <v>1</v>
      </c>
      <c r="H18" s="84">
        <v>1</v>
      </c>
    </row>
    <row r="19" spans="1:8" x14ac:dyDescent="0.35">
      <c r="A19" t="s">
        <v>147</v>
      </c>
      <c r="B19" t="s">
        <v>259</v>
      </c>
      <c r="C19" s="84">
        <v>1</v>
      </c>
      <c r="D19" s="84">
        <v>1</v>
      </c>
      <c r="E19" s="84">
        <v>2</v>
      </c>
      <c r="F19" s="84">
        <v>1</v>
      </c>
      <c r="G19" s="84">
        <v>1</v>
      </c>
      <c r="H19" s="84">
        <v>2</v>
      </c>
    </row>
    <row r="20" spans="1:8" x14ac:dyDescent="0.35">
      <c r="A20" t="s">
        <v>87</v>
      </c>
      <c r="B20" t="s">
        <v>259</v>
      </c>
      <c r="C20" s="84">
        <v>1</v>
      </c>
      <c r="D20" s="84">
        <v>1</v>
      </c>
      <c r="E20" s="84">
        <v>1</v>
      </c>
      <c r="F20" s="84">
        <v>1</v>
      </c>
      <c r="G20" s="84">
        <v>1</v>
      </c>
      <c r="H20" s="84">
        <v>5</v>
      </c>
    </row>
    <row r="21" spans="1:8" x14ac:dyDescent="0.35">
      <c r="A21" t="s">
        <v>89</v>
      </c>
      <c r="B21" t="s">
        <v>259</v>
      </c>
      <c r="C21" s="84">
        <v>1</v>
      </c>
      <c r="D21" s="84">
        <v>1</v>
      </c>
      <c r="E21" s="84">
        <v>1</v>
      </c>
      <c r="F21" s="84">
        <v>1</v>
      </c>
      <c r="G21" s="84">
        <v>1</v>
      </c>
      <c r="H21" s="84">
        <v>1</v>
      </c>
    </row>
    <row r="22" spans="1:8" x14ac:dyDescent="0.35">
      <c r="A22" t="s">
        <v>136</v>
      </c>
      <c r="B22" t="s">
        <v>259</v>
      </c>
      <c r="C22" s="84">
        <v>1</v>
      </c>
      <c r="D22" s="84">
        <v>1</v>
      </c>
      <c r="E22" s="84">
        <v>1</v>
      </c>
      <c r="F22" s="84">
        <v>1</v>
      </c>
      <c r="G22" s="84">
        <v>1</v>
      </c>
      <c r="H22" s="84">
        <v>4</v>
      </c>
    </row>
    <row r="23" spans="1:8" x14ac:dyDescent="0.35">
      <c r="A23" t="s">
        <v>141</v>
      </c>
      <c r="B23" t="s">
        <v>259</v>
      </c>
      <c r="C23" s="84">
        <v>1</v>
      </c>
      <c r="D23" s="84">
        <v>3</v>
      </c>
      <c r="E23" s="84">
        <v>1</v>
      </c>
      <c r="F23" s="84">
        <v>3</v>
      </c>
      <c r="G23" s="84">
        <v>1</v>
      </c>
      <c r="H23" s="84">
        <v>1</v>
      </c>
    </row>
    <row r="24" spans="1:8" x14ac:dyDescent="0.35">
      <c r="A24" t="s">
        <v>92</v>
      </c>
      <c r="B24" t="s">
        <v>259</v>
      </c>
      <c r="C24" s="84">
        <v>1</v>
      </c>
      <c r="D24" s="84">
        <v>4</v>
      </c>
      <c r="E24" s="84">
        <v>1</v>
      </c>
      <c r="F24" s="84">
        <v>4</v>
      </c>
      <c r="G24" s="84">
        <v>1</v>
      </c>
      <c r="H24" s="84">
        <v>1</v>
      </c>
    </row>
    <row r="25" spans="1:8" x14ac:dyDescent="0.35">
      <c r="A25" t="s">
        <v>96</v>
      </c>
      <c r="B25" t="s">
        <v>259</v>
      </c>
      <c r="C25" s="84">
        <v>1</v>
      </c>
      <c r="D25" s="84">
        <v>1</v>
      </c>
      <c r="E25" s="84">
        <v>2</v>
      </c>
      <c r="F25" s="84">
        <v>1</v>
      </c>
      <c r="G25" s="84">
        <v>1</v>
      </c>
      <c r="H25" s="84">
        <v>5</v>
      </c>
    </row>
    <row r="26" spans="1:8" x14ac:dyDescent="0.35">
      <c r="A26" t="s">
        <v>97</v>
      </c>
      <c r="B26" t="s">
        <v>259</v>
      </c>
      <c r="C26" s="84">
        <v>1</v>
      </c>
      <c r="D26" s="84">
        <v>4</v>
      </c>
      <c r="E26" s="84">
        <v>4</v>
      </c>
      <c r="F26" s="84">
        <v>3</v>
      </c>
      <c r="G26" s="84">
        <v>1</v>
      </c>
      <c r="H26" s="84">
        <v>1</v>
      </c>
    </row>
    <row r="27" spans="1:8" x14ac:dyDescent="0.35">
      <c r="A27" t="s">
        <v>166</v>
      </c>
      <c r="B27" t="s">
        <v>259</v>
      </c>
      <c r="C27" s="84">
        <v>1</v>
      </c>
      <c r="D27" s="84">
        <v>2</v>
      </c>
      <c r="E27" s="84">
        <v>1</v>
      </c>
      <c r="F27" s="84">
        <v>2</v>
      </c>
      <c r="G27" s="84">
        <v>1</v>
      </c>
      <c r="H27" s="84">
        <v>1</v>
      </c>
    </row>
    <row r="28" spans="1:8" x14ac:dyDescent="0.35">
      <c r="A28" t="s">
        <v>101</v>
      </c>
      <c r="B28" t="s">
        <v>259</v>
      </c>
      <c r="C28" s="84">
        <v>1</v>
      </c>
      <c r="D28" s="84">
        <v>1</v>
      </c>
      <c r="E28" s="84">
        <v>1</v>
      </c>
      <c r="F28" s="84">
        <v>1</v>
      </c>
      <c r="G28" s="84">
        <v>1</v>
      </c>
      <c r="H28" s="84">
        <v>3</v>
      </c>
    </row>
    <row r="29" spans="1:8" x14ac:dyDescent="0.35">
      <c r="A29" t="s">
        <v>167</v>
      </c>
      <c r="B29" t="s">
        <v>259</v>
      </c>
      <c r="C29" s="84">
        <v>1</v>
      </c>
      <c r="D29" s="84">
        <v>1</v>
      </c>
      <c r="E29" s="84">
        <v>2</v>
      </c>
      <c r="F29" s="84">
        <v>1</v>
      </c>
      <c r="G29" s="84">
        <v>1</v>
      </c>
      <c r="H29" s="84">
        <v>5</v>
      </c>
    </row>
    <row r="30" spans="1:8" x14ac:dyDescent="0.35">
      <c r="A30" t="s">
        <v>107</v>
      </c>
      <c r="B30" t="s">
        <v>259</v>
      </c>
      <c r="C30" s="84">
        <v>1</v>
      </c>
      <c r="D30" s="84">
        <v>1</v>
      </c>
      <c r="E30" s="84">
        <v>1</v>
      </c>
      <c r="F30" s="84">
        <v>1</v>
      </c>
      <c r="G30" s="84">
        <v>1</v>
      </c>
      <c r="H30" s="84">
        <v>2</v>
      </c>
    </row>
    <row r="31" spans="1:8" x14ac:dyDescent="0.35">
      <c r="A31" t="s">
        <v>155</v>
      </c>
      <c r="B31" t="s">
        <v>259</v>
      </c>
      <c r="C31" s="84">
        <v>1</v>
      </c>
      <c r="D31" s="84">
        <v>2</v>
      </c>
      <c r="E31" s="84">
        <v>1</v>
      </c>
      <c r="F31" s="84">
        <v>3</v>
      </c>
      <c r="G31" s="84">
        <v>1</v>
      </c>
      <c r="H31" s="84">
        <v>1</v>
      </c>
    </row>
    <row r="32" spans="1:8" x14ac:dyDescent="0.35">
      <c r="A32" t="s">
        <v>109</v>
      </c>
      <c r="B32" t="s">
        <v>259</v>
      </c>
      <c r="C32" s="84">
        <v>1</v>
      </c>
      <c r="D32" s="84">
        <v>4</v>
      </c>
      <c r="E32" s="84">
        <v>1</v>
      </c>
      <c r="F32" s="84">
        <v>4</v>
      </c>
      <c r="G32" s="84">
        <v>1</v>
      </c>
      <c r="H32" s="84">
        <v>1</v>
      </c>
    </row>
    <row r="33" spans="1:8" x14ac:dyDescent="0.35">
      <c r="A33" t="s">
        <v>145</v>
      </c>
      <c r="B33" t="s">
        <v>259</v>
      </c>
      <c r="C33" s="84">
        <v>1</v>
      </c>
      <c r="D33" s="84">
        <v>3</v>
      </c>
      <c r="E33" s="84">
        <v>2</v>
      </c>
      <c r="F33" s="84">
        <v>3</v>
      </c>
      <c r="G33" s="84">
        <v>1</v>
      </c>
      <c r="H33" s="84">
        <v>5</v>
      </c>
    </row>
  </sheetData>
  <autoFilter ref="A1:H33">
    <sortState ref="A2:H77">
      <sortCondition ref="A1:A77"/>
    </sortState>
  </autoFilter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zoomScaleNormal="100" workbookViewId="0">
      <selection activeCell="K2" sqref="K2"/>
    </sheetView>
  </sheetViews>
  <sheetFormatPr defaultColWidth="8.81640625" defaultRowHeight="14.5" x14ac:dyDescent="0.35"/>
  <cols>
    <col min="1" max="1" width="14.36328125" style="11" bestFit="1" customWidth="1"/>
    <col min="2" max="2" width="8.36328125" style="3" bestFit="1" customWidth="1"/>
    <col min="3" max="7" width="6.6328125" style="84" customWidth="1"/>
    <col min="8" max="8" width="3.81640625" style="3" customWidth="1"/>
    <col min="9" max="9" width="3.36328125" style="3" customWidth="1"/>
    <col min="10" max="10" width="3.81640625" style="3" customWidth="1"/>
    <col min="11" max="11" width="24.453125" style="3" bestFit="1" customWidth="1"/>
    <col min="12" max="12" width="14.36328125" style="3" bestFit="1" customWidth="1"/>
    <col min="13" max="14" width="12.453125" style="3" bestFit="1" customWidth="1"/>
    <col min="15" max="15" width="11" style="3" bestFit="1" customWidth="1"/>
    <col min="16" max="16" width="12.453125" style="3" bestFit="1" customWidth="1"/>
    <col min="17" max="17" width="12.6328125" style="3" customWidth="1"/>
    <col min="18" max="18" width="12.453125" style="3" bestFit="1" customWidth="1"/>
    <col min="19" max="19" width="12.453125" style="3" customWidth="1"/>
    <col min="20" max="20" width="11" style="3" bestFit="1" customWidth="1"/>
    <col min="21" max="21" width="9" style="3" bestFit="1" customWidth="1"/>
    <col min="22" max="25" width="11" style="3" bestFit="1" customWidth="1"/>
    <col min="26" max="26" width="9" style="3" bestFit="1" customWidth="1"/>
    <col min="27" max="29" width="12.453125" style="3" bestFit="1" customWidth="1"/>
    <col min="30" max="30" width="11" style="3" bestFit="1" customWidth="1"/>
    <col min="31" max="31" width="9" style="3" bestFit="1" customWidth="1"/>
    <col min="32" max="16384" width="8.81640625" style="3"/>
  </cols>
  <sheetData>
    <row r="1" spans="1:31" s="2" customFormat="1" ht="26.25" customHeight="1" thickBot="1" x14ac:dyDescent="0.4">
      <c r="A1" s="4" t="s">
        <v>112</v>
      </c>
      <c r="B1" s="5" t="s">
        <v>260</v>
      </c>
      <c r="C1" s="5" t="s">
        <v>261</v>
      </c>
      <c r="D1" s="5" t="s">
        <v>262</v>
      </c>
      <c r="E1" s="5" t="s">
        <v>263</v>
      </c>
      <c r="F1" s="5" t="s">
        <v>264</v>
      </c>
      <c r="G1" s="5" t="s">
        <v>265</v>
      </c>
      <c r="H1" s="6">
        <v>1</v>
      </c>
      <c r="I1" s="6">
        <v>2</v>
      </c>
      <c r="J1" s="6">
        <v>3</v>
      </c>
      <c r="K1" s="7" t="s">
        <v>152</v>
      </c>
      <c r="L1" s="1" t="s">
        <v>151</v>
      </c>
      <c r="M1" s="164" t="s">
        <v>266</v>
      </c>
      <c r="N1" s="165" t="s">
        <v>268</v>
      </c>
      <c r="O1" s="166" t="s">
        <v>269</v>
      </c>
      <c r="P1" s="167" t="s">
        <v>267</v>
      </c>
      <c r="Q1" s="165" t="s">
        <v>270</v>
      </c>
      <c r="R1" s="166" t="s">
        <v>271</v>
      </c>
      <c r="S1" s="166" t="s">
        <v>272</v>
      </c>
      <c r="T1" s="166" t="s">
        <v>273</v>
      </c>
      <c r="U1" s="167" t="s">
        <v>274</v>
      </c>
      <c r="V1" s="165" t="s">
        <v>275</v>
      </c>
      <c r="W1" s="166" t="s">
        <v>276</v>
      </c>
      <c r="X1" s="166" t="s">
        <v>277</v>
      </c>
      <c r="Y1" s="166" t="s">
        <v>278</v>
      </c>
      <c r="Z1" s="167" t="s">
        <v>279</v>
      </c>
      <c r="AA1" s="165" t="s">
        <v>280</v>
      </c>
      <c r="AB1" s="166" t="s">
        <v>281</v>
      </c>
      <c r="AC1" s="166" t="s">
        <v>282</v>
      </c>
      <c r="AD1" s="166" t="s">
        <v>283</v>
      </c>
      <c r="AE1" s="167" t="s">
        <v>284</v>
      </c>
    </row>
    <row r="2" spans="1:31" x14ac:dyDescent="0.35">
      <c r="A2" s="11" t="s">
        <v>25</v>
      </c>
      <c r="B2">
        <v>1</v>
      </c>
      <c r="C2">
        <v>4</v>
      </c>
      <c r="D2">
        <v>1</v>
      </c>
      <c r="E2">
        <v>5</v>
      </c>
      <c r="F2">
        <v>1</v>
      </c>
      <c r="G2">
        <v>2</v>
      </c>
      <c r="H2" s="3">
        <f>LARGE(B2:G2,1)</f>
        <v>5</v>
      </c>
      <c r="I2" s="3">
        <f>LARGE(B2:G2,2)</f>
        <v>4</v>
      </c>
      <c r="J2" s="3">
        <f>LARGE(B2:G2,3)</f>
        <v>2</v>
      </c>
      <c r="K2" s="3">
        <f>ROUND(AVERAGE(B2:G2),0)</f>
        <v>2</v>
      </c>
      <c r="L2" s="3">
        <f t="shared" ref="L2:L33" si="0">MAX(K2,)</f>
        <v>2</v>
      </c>
      <c r="M2" s="160">
        <f>VLOOKUP(A2,'E-REF_HNO_pop'!B:E,2,FALSE)</f>
        <v>472223</v>
      </c>
      <c r="N2" s="161">
        <f>IF(L2&gt;=3,(VLOOKUP(A2,'E-REF_HNO_pop'!B:E,2,FALSE)),0)</f>
        <v>0</v>
      </c>
      <c r="O2" s="162">
        <f>IF(L2&gt;=3,(VLOOKUP(A2,'E-REF_HNO_pop'!B:E,3,FALSE)),0)</f>
        <v>0</v>
      </c>
      <c r="P2" s="163">
        <f>IF(L2&gt;=3,(VLOOKUP(A2,'E-REF_HNO_pop'!B:E,4,FALSE)),0)</f>
        <v>0</v>
      </c>
      <c r="Q2" s="161">
        <f>IF(L2=1,(VLOOKUP(A2,'E-REF_HNO_pop'!B:E,2,FALSE)),0)</f>
        <v>0</v>
      </c>
      <c r="R2" s="162">
        <f>IF(L2=2,(VLOOKUP(A2,'E-REF_HNO_pop'!B:E,2,FALSE)),0)</f>
        <v>472223</v>
      </c>
      <c r="S2" s="162">
        <f>IF(L2=3,(VLOOKUP(A2,'E-REF_HNO_pop'!B:E,2,FALSE)),0)</f>
        <v>0</v>
      </c>
      <c r="T2" s="162">
        <f>IF(L2=4,(VLOOKUP(A2,'E-REF_HNO_pop'!B:E,2,FALSE)),0)</f>
        <v>0</v>
      </c>
      <c r="U2" s="163">
        <f>IF(L2=5,(VLOOKUP(A2,'E-REF_HNO_pop'!B:E,2,FALSE)),0)</f>
        <v>0</v>
      </c>
      <c r="V2" s="161">
        <f>IF(L2=1,(VLOOKUP(A2,'E-REF_HNO_pop'!B:E,3,FALSE)),0)</f>
        <v>0</v>
      </c>
      <c r="W2" s="162">
        <f>IF(L2=2,(VLOOKUP(A2,'E-REF_HNO_pop'!B:E,3,FALSE)),0)</f>
        <v>66200</v>
      </c>
      <c r="X2" s="162">
        <f>IF(L2=3,(VLOOKUP(A2,'E-REF_HNO_pop'!B:E,3,FALSE)),0)</f>
        <v>0</v>
      </c>
      <c r="Y2" s="162">
        <f>IF(L2=4,(VLOOKUP(A2,'E-REF_HNO_pop'!B:E,3,FALSE)),0)</f>
        <v>0</v>
      </c>
      <c r="Z2" s="163">
        <f>IF(L2=5,(VLOOKUP(A2,'E-REF_HNO_pop'!B:E,3,FALSE)),0)</f>
        <v>0</v>
      </c>
      <c r="AA2" s="161">
        <f>IF(L2=1,(VLOOKUP(A2,'E-REF_HNO_pop'!B:E,4,FALSE)),0)</f>
        <v>0</v>
      </c>
      <c r="AB2" s="162">
        <f>IF(L2=2,(VLOOKUP(A2,'E-REF_HNO_pop'!B:E,4,FALSE)),0)</f>
        <v>406023</v>
      </c>
      <c r="AC2" s="162">
        <f>IF(L2=3,(VLOOKUP(A2,'E-REF_HNO_pop'!B:E,4,FALSE)),0)</f>
        <v>0</v>
      </c>
      <c r="AD2" s="162">
        <f>IF(L2=4,(VLOOKUP(A2,'E-REF_HNO_pop'!B:E,4,FALSE)),0)</f>
        <v>0</v>
      </c>
      <c r="AE2" s="163">
        <f>IF(L2=5,(VLOOKUP(A2,'E-REF_HNO_pop'!B:E,4,FALSE)),0)</f>
        <v>0</v>
      </c>
    </row>
    <row r="3" spans="1:31" x14ac:dyDescent="0.35">
      <c r="A3" s="11" t="s">
        <v>28</v>
      </c>
      <c r="B3">
        <v>1</v>
      </c>
      <c r="C3">
        <v>2</v>
      </c>
      <c r="D3">
        <v>1</v>
      </c>
      <c r="E3">
        <v>3</v>
      </c>
      <c r="F3">
        <v>1</v>
      </c>
      <c r="G3">
        <v>3</v>
      </c>
      <c r="H3" s="3">
        <f t="shared" ref="H3:H33" si="1">LARGE(B3:G3,1)</f>
        <v>3</v>
      </c>
      <c r="I3" s="3">
        <f t="shared" ref="I3:I33" si="2">LARGE(B3:G3,2)</f>
        <v>3</v>
      </c>
      <c r="J3" s="3">
        <f t="shared" ref="J3:J33" si="3">LARGE(B3:G3,3)</f>
        <v>2</v>
      </c>
      <c r="K3" s="3">
        <f t="shared" ref="K3:K33" si="4">ROUND(AVERAGE(B3:G3),0)</f>
        <v>2</v>
      </c>
      <c r="L3" s="3">
        <f t="shared" si="0"/>
        <v>2</v>
      </c>
      <c r="M3" s="160">
        <f>VLOOKUP(A3,'E-REF_HNO_pop'!B:E,2,FALSE)</f>
        <v>233519</v>
      </c>
      <c r="N3" s="161">
        <f>IF(L3&gt;=3,(VLOOKUP(A3,'E-REF_HNO_pop'!B:E,2,FALSE)),0)</f>
        <v>0</v>
      </c>
      <c r="O3" s="162">
        <f>IF(L3&gt;=3,(VLOOKUP(A3,'E-REF_HNO_pop'!B:E,3,FALSE)),0)</f>
        <v>0</v>
      </c>
      <c r="P3" s="163">
        <f>IF(L3&gt;=3,(VLOOKUP(A3,'E-REF_HNO_pop'!B:E,4,FALSE)),0)</f>
        <v>0</v>
      </c>
      <c r="Q3" s="161">
        <f>IF(L3=1,(VLOOKUP(A3,'E-REF_HNO_pop'!B:E,2,FALSE)),0)</f>
        <v>0</v>
      </c>
      <c r="R3" s="162">
        <f>IF(L3=2,(VLOOKUP(A3,'E-REF_HNO_pop'!B:E,2,FALSE)),0)</f>
        <v>233519</v>
      </c>
      <c r="S3" s="162">
        <f>IF(L3=3,(VLOOKUP(A3,'E-REF_HNO_pop'!B:E,2,FALSE)),0)</f>
        <v>0</v>
      </c>
      <c r="T3" s="162">
        <f>IF(L3=4,(VLOOKUP(A3,'E-REF_HNO_pop'!B:E,2,FALSE)),0)</f>
        <v>0</v>
      </c>
      <c r="U3" s="163">
        <f>IF(L3=5,(VLOOKUP(A3,'E-REF_HNO_pop'!B:E,2,FALSE)),0)</f>
        <v>0</v>
      </c>
      <c r="V3" s="161">
        <f>IF(L3=1,(VLOOKUP(A3,'E-REF_HNO_pop'!B:E,3,FALSE)),0)</f>
        <v>0</v>
      </c>
      <c r="W3" s="162">
        <f>IF(L3=2,(VLOOKUP(A3,'E-REF_HNO_pop'!B:E,3,FALSE)),0)</f>
        <v>2600</v>
      </c>
      <c r="X3" s="162">
        <f>IF(L3=3,(VLOOKUP(A3,'E-REF_HNO_pop'!B:E,3,FALSE)),0)</f>
        <v>0</v>
      </c>
      <c r="Y3" s="162">
        <f>IF(L3=4,(VLOOKUP(A3,'E-REF_HNO_pop'!B:E,3,FALSE)),0)</f>
        <v>0</v>
      </c>
      <c r="Z3" s="163">
        <f>IF(L3=5,(VLOOKUP(A3,'E-REF_HNO_pop'!B:E,3,FALSE)),0)</f>
        <v>0</v>
      </c>
      <c r="AA3" s="161">
        <f>IF(L3=1,(VLOOKUP(A3,'E-REF_HNO_pop'!B:E,4,FALSE)),0)</f>
        <v>0</v>
      </c>
      <c r="AB3" s="162">
        <f>IF(L3=2,(VLOOKUP(A3,'E-REF_HNO_pop'!B:E,4,FALSE)),0)</f>
        <v>230919</v>
      </c>
      <c r="AC3" s="162">
        <f>IF(L3=3,(VLOOKUP(A3,'E-REF_HNO_pop'!B:E,4,FALSE)),0)</f>
        <v>0</v>
      </c>
      <c r="AD3" s="162">
        <f>IF(L3=4,(VLOOKUP(A3,'E-REF_HNO_pop'!B:E,4,FALSE)),0)</f>
        <v>0</v>
      </c>
      <c r="AE3" s="163">
        <f>IF(L3=5,(VLOOKUP(A3,'E-REF_HNO_pop'!B:E,4,FALSE)),0)</f>
        <v>0</v>
      </c>
    </row>
    <row r="4" spans="1:31" x14ac:dyDescent="0.35">
      <c r="A4" s="11" t="s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3">
        <f t="shared" si="1"/>
        <v>1</v>
      </c>
      <c r="I4" s="3">
        <f t="shared" si="2"/>
        <v>1</v>
      </c>
      <c r="J4" s="3">
        <f t="shared" si="3"/>
        <v>1</v>
      </c>
      <c r="K4" s="3">
        <f t="shared" si="4"/>
        <v>1</v>
      </c>
      <c r="L4" s="3">
        <f t="shared" si="0"/>
        <v>1</v>
      </c>
      <c r="M4" s="160">
        <f>VLOOKUP(A4,'E-REF_HNO_pop'!B:E,2,FALSE)</f>
        <v>172267</v>
      </c>
      <c r="N4" s="161">
        <f>IF(L4&gt;=3,(VLOOKUP(A4,'E-REF_HNO_pop'!B:E,2,FALSE)),0)</f>
        <v>0</v>
      </c>
      <c r="O4" s="162">
        <f>IF(L4&gt;=3,(VLOOKUP(A4,'E-REF_HNO_pop'!B:E,3,FALSE)),0)</f>
        <v>0</v>
      </c>
      <c r="P4" s="163">
        <f>IF(L4&gt;=3,(VLOOKUP(A4,'E-REF_HNO_pop'!B:E,4,FALSE)),0)</f>
        <v>0</v>
      </c>
      <c r="Q4" s="161">
        <f>IF(L4=1,(VLOOKUP(A4,'E-REF_HNO_pop'!B:E,2,FALSE)),0)</f>
        <v>172267</v>
      </c>
      <c r="R4" s="162">
        <f>IF(L4=2,(VLOOKUP(A4,'E-REF_HNO_pop'!B:E,2,FALSE)),0)</f>
        <v>0</v>
      </c>
      <c r="S4" s="162">
        <f>IF(L4=3,(VLOOKUP(A4,'E-REF_HNO_pop'!B:E,2,FALSE)),0)</f>
        <v>0</v>
      </c>
      <c r="T4" s="162">
        <f>IF(L4=4,(VLOOKUP(A4,'E-REF_HNO_pop'!B:E,2,FALSE)),0)</f>
        <v>0</v>
      </c>
      <c r="U4" s="163">
        <f>IF(L4=5,(VLOOKUP(A4,'E-REF_HNO_pop'!B:E,2,FALSE)),0)</f>
        <v>0</v>
      </c>
      <c r="V4" s="161">
        <f>IF(L4=1,(VLOOKUP(A4,'E-REF_HNO_pop'!B:E,3,FALSE)),0)</f>
        <v>18400</v>
      </c>
      <c r="W4" s="162">
        <f>IF(L4=2,(VLOOKUP(A4,'E-REF_HNO_pop'!B:E,3,FALSE)),0)</f>
        <v>0</v>
      </c>
      <c r="X4" s="162">
        <f>IF(L4=3,(VLOOKUP(A4,'E-REF_HNO_pop'!B:E,3,FALSE)),0)</f>
        <v>0</v>
      </c>
      <c r="Y4" s="162">
        <f>IF(L4=4,(VLOOKUP(A4,'E-REF_HNO_pop'!B:E,3,FALSE)),0)</f>
        <v>0</v>
      </c>
      <c r="Z4" s="163">
        <f>IF(L4=5,(VLOOKUP(A4,'E-REF_HNO_pop'!B:E,3,FALSE)),0)</f>
        <v>0</v>
      </c>
      <c r="AA4" s="161">
        <f>IF(L4=1,(VLOOKUP(A4,'E-REF_HNO_pop'!B:E,4,FALSE)),0)</f>
        <v>153867</v>
      </c>
      <c r="AB4" s="162">
        <f>IF(L4=2,(VLOOKUP(A4,'E-REF_HNO_pop'!B:E,4,FALSE)),0)</f>
        <v>0</v>
      </c>
      <c r="AC4" s="162">
        <f>IF(L4=3,(VLOOKUP(A4,'E-REF_HNO_pop'!B:E,4,FALSE)),0)</f>
        <v>0</v>
      </c>
      <c r="AD4" s="162">
        <f>IF(L4=4,(VLOOKUP(A4,'E-REF_HNO_pop'!B:E,4,FALSE)),0)</f>
        <v>0</v>
      </c>
      <c r="AE4" s="163">
        <f>IF(L4=5,(VLOOKUP(A4,'E-REF_HNO_pop'!B:E,4,FALSE)),0)</f>
        <v>0</v>
      </c>
    </row>
    <row r="5" spans="1:31" x14ac:dyDescent="0.35">
      <c r="A5" s="11" t="s">
        <v>33</v>
      </c>
      <c r="B5">
        <v>1</v>
      </c>
      <c r="C5">
        <v>1</v>
      </c>
      <c r="D5">
        <v>1</v>
      </c>
      <c r="E5">
        <v>1</v>
      </c>
      <c r="F5">
        <v>1</v>
      </c>
      <c r="G5">
        <v>2</v>
      </c>
      <c r="H5" s="3">
        <f t="shared" si="1"/>
        <v>2</v>
      </c>
      <c r="I5" s="3">
        <f t="shared" si="2"/>
        <v>1</v>
      </c>
      <c r="J5" s="3">
        <f t="shared" si="3"/>
        <v>1</v>
      </c>
      <c r="K5" s="3">
        <f t="shared" si="4"/>
        <v>1</v>
      </c>
      <c r="L5" s="3">
        <f t="shared" si="0"/>
        <v>1</v>
      </c>
      <c r="M5" s="160">
        <f>VLOOKUP(A5,'E-REF_HNO_pop'!B:E,2,FALSE)</f>
        <v>71363</v>
      </c>
      <c r="N5" s="161">
        <f>IF(L5&gt;=3,(VLOOKUP(A5,'E-REF_HNO_pop'!B:E,2,FALSE)),0)</f>
        <v>0</v>
      </c>
      <c r="O5" s="162">
        <f>IF(L5&gt;=3,(VLOOKUP(A5,'E-REF_HNO_pop'!B:E,3,FALSE)),0)</f>
        <v>0</v>
      </c>
      <c r="P5" s="163">
        <f>IF(L5&gt;=3,(VLOOKUP(A5,'E-REF_HNO_pop'!B:E,4,FALSE)),0)</f>
        <v>0</v>
      </c>
      <c r="Q5" s="161">
        <f>IF(L5=1,(VLOOKUP(A5,'E-REF_HNO_pop'!B:E,2,FALSE)),0)</f>
        <v>71363</v>
      </c>
      <c r="R5" s="162">
        <f>IF(L5=2,(VLOOKUP(A5,'E-REF_HNO_pop'!B:E,2,FALSE)),0)</f>
        <v>0</v>
      </c>
      <c r="S5" s="162">
        <f>IF(L5=3,(VLOOKUP(A5,'E-REF_HNO_pop'!B:E,2,FALSE)),0)</f>
        <v>0</v>
      </c>
      <c r="T5" s="162">
        <f>IF(L5=4,(VLOOKUP(A5,'E-REF_HNO_pop'!B:E,2,FALSE)),0)</f>
        <v>0</v>
      </c>
      <c r="U5" s="163">
        <f>IF(L5=5,(VLOOKUP(A5,'E-REF_HNO_pop'!B:E,2,FALSE)),0)</f>
        <v>0</v>
      </c>
      <c r="V5" s="161">
        <f>IF(L5=1,(VLOOKUP(A5,'E-REF_HNO_pop'!B:E,3,FALSE)),0)</f>
        <v>2000</v>
      </c>
      <c r="W5" s="162">
        <f>IF(L5=2,(VLOOKUP(A5,'E-REF_HNO_pop'!B:E,3,FALSE)),0)</f>
        <v>0</v>
      </c>
      <c r="X5" s="162">
        <f>IF(L5=3,(VLOOKUP(A5,'E-REF_HNO_pop'!B:E,3,FALSE)),0)</f>
        <v>0</v>
      </c>
      <c r="Y5" s="162">
        <f>IF(L5=4,(VLOOKUP(A5,'E-REF_HNO_pop'!B:E,3,FALSE)),0)</f>
        <v>0</v>
      </c>
      <c r="Z5" s="163">
        <f>IF(L5=5,(VLOOKUP(A5,'E-REF_HNO_pop'!B:E,3,FALSE)),0)</f>
        <v>0</v>
      </c>
      <c r="AA5" s="161">
        <f>IF(L5=1,(VLOOKUP(A5,'E-REF_HNO_pop'!B:E,4,FALSE)),0)</f>
        <v>69363</v>
      </c>
      <c r="AB5" s="162">
        <f>IF(L5=2,(VLOOKUP(A5,'E-REF_HNO_pop'!B:E,4,FALSE)),0)</f>
        <v>0</v>
      </c>
      <c r="AC5" s="162">
        <f>IF(L5=3,(VLOOKUP(A5,'E-REF_HNO_pop'!B:E,4,FALSE)),0)</f>
        <v>0</v>
      </c>
      <c r="AD5" s="162">
        <f>IF(L5=4,(VLOOKUP(A5,'E-REF_HNO_pop'!B:E,4,FALSE)),0)</f>
        <v>0</v>
      </c>
      <c r="AE5" s="163">
        <f>IF(L5=5,(VLOOKUP(A5,'E-REF_HNO_pop'!B:E,4,FALSE)),0)</f>
        <v>0</v>
      </c>
    </row>
    <row r="6" spans="1:31" x14ac:dyDescent="0.35">
      <c r="A6" s="11" t="s">
        <v>35</v>
      </c>
      <c r="B6">
        <v>1</v>
      </c>
      <c r="C6">
        <v>4</v>
      </c>
      <c r="D6">
        <v>3</v>
      </c>
      <c r="E6">
        <v>5</v>
      </c>
      <c r="F6">
        <v>1</v>
      </c>
      <c r="G6">
        <v>5</v>
      </c>
      <c r="H6" s="3">
        <f t="shared" si="1"/>
        <v>5</v>
      </c>
      <c r="I6" s="3">
        <f t="shared" si="2"/>
        <v>5</v>
      </c>
      <c r="J6" s="3">
        <f t="shared" si="3"/>
        <v>4</v>
      </c>
      <c r="K6" s="3">
        <f t="shared" si="4"/>
        <v>3</v>
      </c>
      <c r="L6" s="3">
        <f t="shared" si="0"/>
        <v>3</v>
      </c>
      <c r="M6" s="160">
        <f>VLOOKUP(A6,'E-REF_HNO_pop'!B:E,2,FALSE)</f>
        <v>620749</v>
      </c>
      <c r="N6" s="161">
        <f>IF(L6&gt;=3,(VLOOKUP(A6,'E-REF_HNO_pop'!B:E,2,FALSE)),0)</f>
        <v>620749</v>
      </c>
      <c r="O6" s="162">
        <f>IF(L6&gt;=3,(VLOOKUP(A6,'E-REF_HNO_pop'!B:E,3,FALSE)),0)</f>
        <v>454200</v>
      </c>
      <c r="P6" s="163">
        <f>IF(L6&gt;=3,(VLOOKUP(A6,'E-REF_HNO_pop'!B:E,4,FALSE)),0)</f>
        <v>166549</v>
      </c>
      <c r="Q6" s="161">
        <f>IF(L6=1,(VLOOKUP(A6,'E-REF_HNO_pop'!B:E,2,FALSE)),0)</f>
        <v>0</v>
      </c>
      <c r="R6" s="162">
        <f>IF(L6=2,(VLOOKUP(A6,'E-REF_HNO_pop'!B:E,2,FALSE)),0)</f>
        <v>0</v>
      </c>
      <c r="S6" s="162">
        <f>IF(L6=3,(VLOOKUP(A6,'E-REF_HNO_pop'!B:E,2,FALSE)),0)</f>
        <v>620749</v>
      </c>
      <c r="T6" s="162">
        <f>IF(L6=4,(VLOOKUP(A6,'E-REF_HNO_pop'!B:E,2,FALSE)),0)</f>
        <v>0</v>
      </c>
      <c r="U6" s="163">
        <f>IF(L6=5,(VLOOKUP(A6,'E-REF_HNO_pop'!B:E,2,FALSE)),0)</f>
        <v>0</v>
      </c>
      <c r="V6" s="161">
        <f>IF(L6=1,(VLOOKUP(A6,'E-REF_HNO_pop'!B:E,3,FALSE)),0)</f>
        <v>0</v>
      </c>
      <c r="W6" s="162">
        <f>IF(L6=2,(VLOOKUP(A6,'E-REF_HNO_pop'!B:E,3,FALSE)),0)</f>
        <v>0</v>
      </c>
      <c r="X6" s="162">
        <f>IF(L6=3,(VLOOKUP(A6,'E-REF_HNO_pop'!B:E,3,FALSE)),0)</f>
        <v>454200</v>
      </c>
      <c r="Y6" s="162">
        <f>IF(L6=4,(VLOOKUP(A6,'E-REF_HNO_pop'!B:E,3,FALSE)),0)</f>
        <v>0</v>
      </c>
      <c r="Z6" s="163">
        <f>IF(L6=5,(VLOOKUP(A6,'E-REF_HNO_pop'!B:E,3,FALSE)),0)</f>
        <v>0</v>
      </c>
      <c r="AA6" s="161">
        <f>IF(L6=1,(VLOOKUP(A6,'E-REF_HNO_pop'!B:E,4,FALSE)),0)</f>
        <v>0</v>
      </c>
      <c r="AB6" s="162">
        <f>IF(L6=2,(VLOOKUP(A6,'E-REF_HNO_pop'!B:E,4,FALSE)),0)</f>
        <v>0</v>
      </c>
      <c r="AC6" s="162">
        <f>IF(L6=3,(VLOOKUP(A6,'E-REF_HNO_pop'!B:E,4,FALSE)),0)</f>
        <v>166549</v>
      </c>
      <c r="AD6" s="162">
        <f>IF(L6=4,(VLOOKUP(A6,'E-REF_HNO_pop'!B:E,4,FALSE)),0)</f>
        <v>0</v>
      </c>
      <c r="AE6" s="163">
        <f>IF(L6=5,(VLOOKUP(A6,'E-REF_HNO_pop'!B:E,4,FALSE)),0)</f>
        <v>0</v>
      </c>
    </row>
    <row r="7" spans="1:31" x14ac:dyDescent="0.35">
      <c r="A7" s="11" t="s">
        <v>40</v>
      </c>
      <c r="B7">
        <v>1</v>
      </c>
      <c r="C7">
        <v>4</v>
      </c>
      <c r="D7">
        <v>1</v>
      </c>
      <c r="E7">
        <v>4</v>
      </c>
      <c r="F7">
        <v>1</v>
      </c>
      <c r="G7">
        <v>1</v>
      </c>
      <c r="H7" s="3">
        <f t="shared" si="1"/>
        <v>4</v>
      </c>
      <c r="I7" s="3">
        <f t="shared" si="2"/>
        <v>4</v>
      </c>
      <c r="J7" s="3">
        <f t="shared" si="3"/>
        <v>1</v>
      </c>
      <c r="K7" s="3">
        <f t="shared" si="4"/>
        <v>2</v>
      </c>
      <c r="L7" s="3">
        <f t="shared" si="0"/>
        <v>2</v>
      </c>
      <c r="M7" s="160">
        <f>VLOOKUP(A7,'E-REF_HNO_pop'!B:E,2,FALSE)</f>
        <v>334620</v>
      </c>
      <c r="N7" s="161">
        <f>IF(L7&gt;=3,(VLOOKUP(A7,'E-REF_HNO_pop'!B:E,2,FALSE)),0)</f>
        <v>0</v>
      </c>
      <c r="O7" s="162">
        <f>IF(L7&gt;=3,(VLOOKUP(A7,'E-REF_HNO_pop'!B:E,3,FALSE)),0)</f>
        <v>0</v>
      </c>
      <c r="P7" s="163">
        <f>IF(L7&gt;=3,(VLOOKUP(A7,'E-REF_HNO_pop'!B:E,4,FALSE)),0)</f>
        <v>0</v>
      </c>
      <c r="Q7" s="161">
        <f>IF(L7=1,(VLOOKUP(A7,'E-REF_HNO_pop'!B:E,2,FALSE)),0)</f>
        <v>0</v>
      </c>
      <c r="R7" s="162">
        <f>IF(L7=2,(VLOOKUP(A7,'E-REF_HNO_pop'!B:E,2,FALSE)),0)</f>
        <v>334620</v>
      </c>
      <c r="S7" s="162">
        <f>IF(L7=3,(VLOOKUP(A7,'E-REF_HNO_pop'!B:E,2,FALSE)),0)</f>
        <v>0</v>
      </c>
      <c r="T7" s="162">
        <f>IF(L7=4,(VLOOKUP(A7,'E-REF_HNO_pop'!B:E,2,FALSE)),0)</f>
        <v>0</v>
      </c>
      <c r="U7" s="163">
        <f>IF(L7=5,(VLOOKUP(A7,'E-REF_HNO_pop'!B:E,2,FALSE)),0)</f>
        <v>0</v>
      </c>
      <c r="V7" s="161">
        <f>IF(L7=1,(VLOOKUP(A7,'E-REF_HNO_pop'!B:E,3,FALSE)),0)</f>
        <v>0</v>
      </c>
      <c r="W7" s="162">
        <f>IF(L7=2,(VLOOKUP(A7,'E-REF_HNO_pop'!B:E,3,FALSE)),0)</f>
        <v>61500</v>
      </c>
      <c r="X7" s="162">
        <f>IF(L7=3,(VLOOKUP(A7,'E-REF_HNO_pop'!B:E,3,FALSE)),0)</f>
        <v>0</v>
      </c>
      <c r="Y7" s="162">
        <f>IF(L7=4,(VLOOKUP(A7,'E-REF_HNO_pop'!B:E,3,FALSE)),0)</f>
        <v>0</v>
      </c>
      <c r="Z7" s="163">
        <f>IF(L7=5,(VLOOKUP(A7,'E-REF_HNO_pop'!B:E,3,FALSE)),0)</f>
        <v>0</v>
      </c>
      <c r="AA7" s="161">
        <f>IF(L7=1,(VLOOKUP(A7,'E-REF_HNO_pop'!B:E,4,FALSE)),0)</f>
        <v>0</v>
      </c>
      <c r="AB7" s="162">
        <f>IF(L7=2,(VLOOKUP(A7,'E-REF_HNO_pop'!B:E,4,FALSE)),0)</f>
        <v>273120</v>
      </c>
      <c r="AC7" s="162">
        <f>IF(L7=3,(VLOOKUP(A7,'E-REF_HNO_pop'!B:E,4,FALSE)),0)</f>
        <v>0</v>
      </c>
      <c r="AD7" s="162">
        <f>IF(L7=4,(VLOOKUP(A7,'E-REF_HNO_pop'!B:E,4,FALSE)),0)</f>
        <v>0</v>
      </c>
      <c r="AE7" s="163">
        <f>IF(L7=5,(VLOOKUP(A7,'E-REF_HNO_pop'!B:E,4,FALSE)),0)</f>
        <v>0</v>
      </c>
    </row>
    <row r="8" spans="1:31" x14ac:dyDescent="0.35">
      <c r="A8" s="11" t="s">
        <v>43</v>
      </c>
      <c r="B8">
        <v>1</v>
      </c>
      <c r="C8">
        <v>5</v>
      </c>
      <c r="D8">
        <v>1</v>
      </c>
      <c r="E8">
        <v>5</v>
      </c>
      <c r="F8">
        <v>1</v>
      </c>
      <c r="G8">
        <v>2</v>
      </c>
      <c r="H8" s="3">
        <f t="shared" si="1"/>
        <v>5</v>
      </c>
      <c r="I8" s="3">
        <f t="shared" si="2"/>
        <v>5</v>
      </c>
      <c r="J8" s="3">
        <f t="shared" si="3"/>
        <v>2</v>
      </c>
      <c r="K8" s="3">
        <f t="shared" si="4"/>
        <v>3</v>
      </c>
      <c r="L8" s="3">
        <f t="shared" si="0"/>
        <v>3</v>
      </c>
      <c r="M8" s="160">
        <f>VLOOKUP(A8,'E-REF_HNO_pop'!B:E,2,FALSE)</f>
        <v>2683312</v>
      </c>
      <c r="N8" s="161">
        <f>IF(L8&gt;=3,(VLOOKUP(A8,'E-REF_HNO_pop'!B:E,2,FALSE)),0)</f>
        <v>2683312</v>
      </c>
      <c r="O8" s="162">
        <f>IF(L8&gt;=3,(VLOOKUP(A8,'E-REF_HNO_pop'!B:E,3,FALSE)),0)</f>
        <v>904000</v>
      </c>
      <c r="P8" s="163">
        <f>IF(L8&gt;=3,(VLOOKUP(A8,'E-REF_HNO_pop'!B:E,4,FALSE)),0)</f>
        <v>1779312</v>
      </c>
      <c r="Q8" s="161">
        <f>IF(L8=1,(VLOOKUP(A8,'E-REF_HNO_pop'!B:E,2,FALSE)),0)</f>
        <v>0</v>
      </c>
      <c r="R8" s="162">
        <f>IF(L8=2,(VLOOKUP(A8,'E-REF_HNO_pop'!B:E,2,FALSE)),0)</f>
        <v>0</v>
      </c>
      <c r="S8" s="162">
        <f>IF(L8=3,(VLOOKUP(A8,'E-REF_HNO_pop'!B:E,2,FALSE)),0)</f>
        <v>2683312</v>
      </c>
      <c r="T8" s="162">
        <f>IF(L8=4,(VLOOKUP(A8,'E-REF_HNO_pop'!B:E,2,FALSE)),0)</f>
        <v>0</v>
      </c>
      <c r="U8" s="163">
        <f>IF(L8=5,(VLOOKUP(A8,'E-REF_HNO_pop'!B:E,2,FALSE)),0)</f>
        <v>0</v>
      </c>
      <c r="V8" s="161">
        <f>IF(L8=1,(VLOOKUP(A8,'E-REF_HNO_pop'!B:E,3,FALSE)),0)</f>
        <v>0</v>
      </c>
      <c r="W8" s="162">
        <f>IF(L8=2,(VLOOKUP(A8,'E-REF_HNO_pop'!B:E,3,FALSE)),0)</f>
        <v>0</v>
      </c>
      <c r="X8" s="162">
        <f>IF(L8=3,(VLOOKUP(A8,'E-REF_HNO_pop'!B:E,3,FALSE)),0)</f>
        <v>904000</v>
      </c>
      <c r="Y8" s="162">
        <f>IF(L8=4,(VLOOKUP(A8,'E-REF_HNO_pop'!B:E,3,FALSE)),0)</f>
        <v>0</v>
      </c>
      <c r="Z8" s="163">
        <f>IF(L8=5,(VLOOKUP(A8,'E-REF_HNO_pop'!B:E,3,FALSE)),0)</f>
        <v>0</v>
      </c>
      <c r="AA8" s="161">
        <f>IF(L8=1,(VLOOKUP(A8,'E-REF_HNO_pop'!B:E,4,FALSE)),0)</f>
        <v>0</v>
      </c>
      <c r="AB8" s="162">
        <f>IF(L8=2,(VLOOKUP(A8,'E-REF_HNO_pop'!B:E,4,FALSE)),0)</f>
        <v>0</v>
      </c>
      <c r="AC8" s="162">
        <f>IF(L8=3,(VLOOKUP(A8,'E-REF_HNO_pop'!B:E,4,FALSE)),0)</f>
        <v>1779312</v>
      </c>
      <c r="AD8" s="162">
        <f>IF(L8=4,(VLOOKUP(A8,'E-REF_HNO_pop'!B:E,4,FALSE)),0)</f>
        <v>0</v>
      </c>
      <c r="AE8" s="163">
        <f>IF(L8=5,(VLOOKUP(A8,'E-REF_HNO_pop'!B:E,4,FALSE)),0)</f>
        <v>0</v>
      </c>
    </row>
    <row r="9" spans="1:31" x14ac:dyDescent="0.35">
      <c r="A9" s="11" t="s">
        <v>47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 s="3">
        <f t="shared" si="1"/>
        <v>1</v>
      </c>
      <c r="I9" s="3">
        <f t="shared" si="2"/>
        <v>1</v>
      </c>
      <c r="J9" s="3">
        <f t="shared" si="3"/>
        <v>1</v>
      </c>
      <c r="K9" s="3">
        <f t="shared" si="4"/>
        <v>1</v>
      </c>
      <c r="L9" s="3">
        <f t="shared" si="0"/>
        <v>1</v>
      </c>
      <c r="M9" s="160">
        <f>VLOOKUP(A9,'E-REF_HNO_pop'!B:E,2,FALSE)</f>
        <v>54775</v>
      </c>
      <c r="N9" s="161">
        <f>IF(L9&gt;=3,(VLOOKUP(A9,'E-REF_HNO_pop'!B:E,2,FALSE)),0)</f>
        <v>0</v>
      </c>
      <c r="O9" s="162">
        <f>IF(L9&gt;=3,(VLOOKUP(A9,'E-REF_HNO_pop'!B:E,3,FALSE)),0)</f>
        <v>0</v>
      </c>
      <c r="P9" s="163">
        <f>IF(L9&gt;=3,(VLOOKUP(A9,'E-REF_HNO_pop'!B:E,4,FALSE)),0)</f>
        <v>0</v>
      </c>
      <c r="Q9" s="161">
        <f>IF(L9=1,(VLOOKUP(A9,'E-REF_HNO_pop'!B:E,2,FALSE)),0)</f>
        <v>54775</v>
      </c>
      <c r="R9" s="162">
        <f>IF(L9=2,(VLOOKUP(A9,'E-REF_HNO_pop'!B:E,2,FALSE)),0)</f>
        <v>0</v>
      </c>
      <c r="S9" s="162">
        <f>IF(L9=3,(VLOOKUP(A9,'E-REF_HNO_pop'!B:E,2,FALSE)),0)</f>
        <v>0</v>
      </c>
      <c r="T9" s="162">
        <f>IF(L9=4,(VLOOKUP(A9,'E-REF_HNO_pop'!B:E,2,FALSE)),0)</f>
        <v>0</v>
      </c>
      <c r="U9" s="163">
        <f>IF(L9=5,(VLOOKUP(A9,'E-REF_HNO_pop'!B:E,2,FALSE)),0)</f>
        <v>0</v>
      </c>
      <c r="V9" s="161">
        <f>IF(L9=1,(VLOOKUP(A9,'E-REF_HNO_pop'!B:E,3,FALSE)),0)</f>
        <v>4400</v>
      </c>
      <c r="W9" s="162">
        <f>IF(L9=2,(VLOOKUP(A9,'E-REF_HNO_pop'!B:E,3,FALSE)),0)</f>
        <v>0</v>
      </c>
      <c r="X9" s="162">
        <f>IF(L9=3,(VLOOKUP(A9,'E-REF_HNO_pop'!B:E,3,FALSE)),0)</f>
        <v>0</v>
      </c>
      <c r="Y9" s="162">
        <f>IF(L9=4,(VLOOKUP(A9,'E-REF_HNO_pop'!B:E,3,FALSE)),0)</f>
        <v>0</v>
      </c>
      <c r="Z9" s="163">
        <f>IF(L9=5,(VLOOKUP(A9,'E-REF_HNO_pop'!B:E,3,FALSE)),0)</f>
        <v>0</v>
      </c>
      <c r="AA9" s="161">
        <f>IF(L9=1,(VLOOKUP(A9,'E-REF_HNO_pop'!B:E,4,FALSE)),0)</f>
        <v>50375</v>
      </c>
      <c r="AB9" s="162">
        <f>IF(L9=2,(VLOOKUP(A9,'E-REF_HNO_pop'!B:E,4,FALSE)),0)</f>
        <v>0</v>
      </c>
      <c r="AC9" s="162">
        <f>IF(L9=3,(VLOOKUP(A9,'E-REF_HNO_pop'!B:E,4,FALSE)),0)</f>
        <v>0</v>
      </c>
      <c r="AD9" s="162">
        <f>IF(L9=4,(VLOOKUP(A9,'E-REF_HNO_pop'!B:E,4,FALSE)),0)</f>
        <v>0</v>
      </c>
      <c r="AE9" s="163">
        <f>IF(L9=5,(VLOOKUP(A9,'E-REF_HNO_pop'!B:E,4,FALSE)),0)</f>
        <v>0</v>
      </c>
    </row>
    <row r="10" spans="1:31" x14ac:dyDescent="0.35">
      <c r="A10" s="11" t="s">
        <v>157</v>
      </c>
      <c r="B10">
        <v>1</v>
      </c>
      <c r="C10">
        <v>2</v>
      </c>
      <c r="D10">
        <v>1</v>
      </c>
      <c r="E10">
        <v>4</v>
      </c>
      <c r="F10">
        <v>4</v>
      </c>
      <c r="G10">
        <v>5</v>
      </c>
      <c r="H10" s="3">
        <f t="shared" si="1"/>
        <v>5</v>
      </c>
      <c r="I10" s="3">
        <f t="shared" si="2"/>
        <v>4</v>
      </c>
      <c r="J10" s="3">
        <f t="shared" si="3"/>
        <v>4</v>
      </c>
      <c r="K10" s="3">
        <f t="shared" si="4"/>
        <v>3</v>
      </c>
      <c r="L10" s="3">
        <f t="shared" si="0"/>
        <v>3</v>
      </c>
      <c r="M10" s="160">
        <f>VLOOKUP(A10,'E-REF_HNO_pop'!B:E,2,FALSE)</f>
        <v>287761</v>
      </c>
      <c r="N10" s="161">
        <f>IF(L10&gt;=3,(VLOOKUP(A10,'E-REF_HNO_pop'!B:E,2,FALSE)),0)</f>
        <v>287761</v>
      </c>
      <c r="O10" s="162">
        <f>IF(L10&gt;=3,(VLOOKUP(A10,'E-REF_HNO_pop'!B:E,3,FALSE)),0)</f>
        <v>80100</v>
      </c>
      <c r="P10" s="163">
        <f>IF(L10&gt;=3,(VLOOKUP(A10,'E-REF_HNO_pop'!B:E,4,FALSE)),0)</f>
        <v>207661</v>
      </c>
      <c r="Q10" s="161">
        <f>IF(L10=1,(VLOOKUP(A10,'E-REF_HNO_pop'!B:E,2,FALSE)),0)</f>
        <v>0</v>
      </c>
      <c r="R10" s="162">
        <f>IF(L10=2,(VLOOKUP(A10,'E-REF_HNO_pop'!B:E,2,FALSE)),0)</f>
        <v>0</v>
      </c>
      <c r="S10" s="162">
        <f>IF(L10=3,(VLOOKUP(A10,'E-REF_HNO_pop'!B:E,2,FALSE)),0)</f>
        <v>287761</v>
      </c>
      <c r="T10" s="162">
        <f>IF(L10=4,(VLOOKUP(A10,'E-REF_HNO_pop'!B:E,2,FALSE)),0)</f>
        <v>0</v>
      </c>
      <c r="U10" s="163">
        <f>IF(L10=5,(VLOOKUP(A10,'E-REF_HNO_pop'!B:E,2,FALSE)),0)</f>
        <v>0</v>
      </c>
      <c r="V10" s="161">
        <f>IF(L10=1,(VLOOKUP(A10,'E-REF_HNO_pop'!B:E,3,FALSE)),0)</f>
        <v>0</v>
      </c>
      <c r="W10" s="162">
        <f>IF(L10=2,(VLOOKUP(A10,'E-REF_HNO_pop'!B:E,3,FALSE)),0)</f>
        <v>0</v>
      </c>
      <c r="X10" s="162">
        <f>IF(L10=3,(VLOOKUP(A10,'E-REF_HNO_pop'!B:E,3,FALSE)),0)</f>
        <v>80100</v>
      </c>
      <c r="Y10" s="162">
        <f>IF(L10=4,(VLOOKUP(A10,'E-REF_HNO_pop'!B:E,3,FALSE)),0)</f>
        <v>0</v>
      </c>
      <c r="Z10" s="163">
        <f>IF(L10=5,(VLOOKUP(A10,'E-REF_HNO_pop'!B:E,3,FALSE)),0)</f>
        <v>0</v>
      </c>
      <c r="AA10" s="161">
        <f>IF(L10=1,(VLOOKUP(A10,'E-REF_HNO_pop'!B:E,4,FALSE)),0)</f>
        <v>0</v>
      </c>
      <c r="AB10" s="162">
        <f>IF(L10=2,(VLOOKUP(A10,'E-REF_HNO_pop'!B:E,4,FALSE)),0)</f>
        <v>0</v>
      </c>
      <c r="AC10" s="162">
        <f>IF(L10=3,(VLOOKUP(A10,'E-REF_HNO_pop'!B:E,4,FALSE)),0)</f>
        <v>207661</v>
      </c>
      <c r="AD10" s="162">
        <f>IF(L10=4,(VLOOKUP(A10,'E-REF_HNO_pop'!B:E,4,FALSE)),0)</f>
        <v>0</v>
      </c>
      <c r="AE10" s="163">
        <f>IF(L10=5,(VLOOKUP(A10,'E-REF_HNO_pop'!B:E,4,FALSE)),0)</f>
        <v>0</v>
      </c>
    </row>
    <row r="11" spans="1:31" x14ac:dyDescent="0.35">
      <c r="A11" s="11" t="s">
        <v>160</v>
      </c>
      <c r="B11">
        <v>1</v>
      </c>
      <c r="C11">
        <v>1</v>
      </c>
      <c r="D11">
        <v>1</v>
      </c>
      <c r="E11">
        <v>1</v>
      </c>
      <c r="F11">
        <v>3</v>
      </c>
      <c r="G11">
        <v>1</v>
      </c>
      <c r="H11" s="3">
        <f t="shared" si="1"/>
        <v>3</v>
      </c>
      <c r="I11" s="3">
        <f t="shared" si="2"/>
        <v>1</v>
      </c>
      <c r="J11" s="3">
        <f t="shared" si="3"/>
        <v>1</v>
      </c>
      <c r="K11" s="3">
        <f t="shared" si="4"/>
        <v>1</v>
      </c>
      <c r="L11" s="3">
        <f t="shared" si="0"/>
        <v>1</v>
      </c>
      <c r="M11" s="160">
        <f>VLOOKUP(A11,'E-REF_HNO_pop'!B:E,2,FALSE)</f>
        <v>85206</v>
      </c>
      <c r="N11" s="161">
        <f>IF(L11&gt;=3,(VLOOKUP(A11,'E-REF_HNO_pop'!B:E,2,FALSE)),0)</f>
        <v>0</v>
      </c>
      <c r="O11" s="162">
        <f>IF(L11&gt;=3,(VLOOKUP(A11,'E-REF_HNO_pop'!B:E,3,FALSE)),0)</f>
        <v>0</v>
      </c>
      <c r="P11" s="163">
        <f>IF(L11&gt;=3,(VLOOKUP(A11,'E-REF_HNO_pop'!B:E,4,FALSE)),0)</f>
        <v>0</v>
      </c>
      <c r="Q11" s="161">
        <f>IF(L11=1,(VLOOKUP(A11,'E-REF_HNO_pop'!B:E,2,FALSE)),0)</f>
        <v>85206</v>
      </c>
      <c r="R11" s="162">
        <f>IF(L11=2,(VLOOKUP(A11,'E-REF_HNO_pop'!B:E,2,FALSE)),0)</f>
        <v>0</v>
      </c>
      <c r="S11" s="162">
        <f>IF(L11=3,(VLOOKUP(A11,'E-REF_HNO_pop'!B:E,2,FALSE)),0)</f>
        <v>0</v>
      </c>
      <c r="T11" s="162">
        <f>IF(L11=4,(VLOOKUP(A11,'E-REF_HNO_pop'!B:E,2,FALSE)),0)</f>
        <v>0</v>
      </c>
      <c r="U11" s="163">
        <f>IF(L11=5,(VLOOKUP(A11,'E-REF_HNO_pop'!B:E,2,FALSE)),0)</f>
        <v>0</v>
      </c>
      <c r="V11" s="161">
        <f>IF(L11=1,(VLOOKUP(A11,'E-REF_HNO_pop'!B:E,3,FALSE)),0)</f>
        <v>3600</v>
      </c>
      <c r="W11" s="162">
        <f>IF(L11=2,(VLOOKUP(A11,'E-REF_HNO_pop'!B:E,3,FALSE)),0)</f>
        <v>0</v>
      </c>
      <c r="X11" s="162">
        <f>IF(L11=3,(VLOOKUP(A11,'E-REF_HNO_pop'!B:E,3,FALSE)),0)</f>
        <v>0</v>
      </c>
      <c r="Y11" s="162">
        <f>IF(L11=4,(VLOOKUP(A11,'E-REF_HNO_pop'!B:E,3,FALSE)),0)</f>
        <v>0</v>
      </c>
      <c r="Z11" s="163">
        <f>IF(L11=5,(VLOOKUP(A11,'E-REF_HNO_pop'!B:E,3,FALSE)),0)</f>
        <v>0</v>
      </c>
      <c r="AA11" s="161">
        <f>IF(L11=1,(VLOOKUP(A11,'E-REF_HNO_pop'!B:E,4,FALSE)),0)</f>
        <v>81606</v>
      </c>
      <c r="AB11" s="162">
        <f>IF(L11=2,(VLOOKUP(A11,'E-REF_HNO_pop'!B:E,4,FALSE)),0)</f>
        <v>0</v>
      </c>
      <c r="AC11" s="162">
        <f>IF(L11=3,(VLOOKUP(A11,'E-REF_HNO_pop'!B:E,4,FALSE)),0)</f>
        <v>0</v>
      </c>
      <c r="AD11" s="162">
        <f>IF(L11=4,(VLOOKUP(A11,'E-REF_HNO_pop'!B:E,4,FALSE)),0)</f>
        <v>0</v>
      </c>
      <c r="AE11" s="163">
        <f>IF(L11=5,(VLOOKUP(A11,'E-REF_HNO_pop'!B:E,4,FALSE)),0)</f>
        <v>0</v>
      </c>
    </row>
    <row r="12" spans="1:31" x14ac:dyDescent="0.35">
      <c r="A12" s="11" t="s">
        <v>161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 s="3">
        <f t="shared" si="1"/>
        <v>1</v>
      </c>
      <c r="I12" s="3">
        <f t="shared" si="2"/>
        <v>1</v>
      </c>
      <c r="J12" s="3">
        <f t="shared" si="3"/>
        <v>1</v>
      </c>
      <c r="K12" s="3">
        <f t="shared" si="4"/>
        <v>1</v>
      </c>
      <c r="L12" s="3">
        <f t="shared" si="0"/>
        <v>1</v>
      </c>
      <c r="M12" s="160">
        <f>VLOOKUP(A12,'E-REF_HNO_pop'!B:E,2,FALSE)</f>
        <v>172803</v>
      </c>
      <c r="N12" s="161">
        <f>IF(L12&gt;=3,(VLOOKUP(A12,'E-REF_HNO_pop'!B:E,2,FALSE)),0)</f>
        <v>0</v>
      </c>
      <c r="O12" s="162">
        <f>IF(L12&gt;=3,(VLOOKUP(A12,'E-REF_HNO_pop'!B:E,3,FALSE)),0)</f>
        <v>0</v>
      </c>
      <c r="P12" s="163">
        <f>IF(L12&gt;=3,(VLOOKUP(A12,'E-REF_HNO_pop'!B:E,4,FALSE)),0)</f>
        <v>0</v>
      </c>
      <c r="Q12" s="161">
        <f>IF(L12=1,(VLOOKUP(A12,'E-REF_HNO_pop'!B:E,2,FALSE)),0)</f>
        <v>172803</v>
      </c>
      <c r="R12" s="162">
        <f>IF(L12=2,(VLOOKUP(A12,'E-REF_HNO_pop'!B:E,2,FALSE)),0)</f>
        <v>0</v>
      </c>
      <c r="S12" s="162">
        <f>IF(L12=3,(VLOOKUP(A12,'E-REF_HNO_pop'!B:E,2,FALSE)),0)</f>
        <v>0</v>
      </c>
      <c r="T12" s="162">
        <f>IF(L12=4,(VLOOKUP(A12,'E-REF_HNO_pop'!B:E,2,FALSE)),0)</f>
        <v>0</v>
      </c>
      <c r="U12" s="163">
        <f>IF(L12=5,(VLOOKUP(A12,'E-REF_HNO_pop'!B:E,2,FALSE)),0)</f>
        <v>0</v>
      </c>
      <c r="V12" s="161">
        <f>IF(L12=1,(VLOOKUP(A12,'E-REF_HNO_pop'!B:E,3,FALSE)),0)</f>
        <v>0</v>
      </c>
      <c r="W12" s="162">
        <f>IF(L12=2,(VLOOKUP(A12,'E-REF_HNO_pop'!B:E,3,FALSE)),0)</f>
        <v>0</v>
      </c>
      <c r="X12" s="162">
        <f>IF(L12=3,(VLOOKUP(A12,'E-REF_HNO_pop'!B:E,3,FALSE)),0)</f>
        <v>0</v>
      </c>
      <c r="Y12" s="162">
        <f>IF(L12=4,(VLOOKUP(A12,'E-REF_HNO_pop'!B:E,3,FALSE)),0)</f>
        <v>0</v>
      </c>
      <c r="Z12" s="163">
        <f>IF(L12=5,(VLOOKUP(A12,'E-REF_HNO_pop'!B:E,3,FALSE)),0)</f>
        <v>0</v>
      </c>
      <c r="AA12" s="161">
        <f>IF(L12=1,(VLOOKUP(A12,'E-REF_HNO_pop'!B:E,4,FALSE)),0)</f>
        <v>172803</v>
      </c>
      <c r="AB12" s="162">
        <f>IF(L12=2,(VLOOKUP(A12,'E-REF_HNO_pop'!B:E,4,FALSE)),0)</f>
        <v>0</v>
      </c>
      <c r="AC12" s="162">
        <f>IF(L12=3,(VLOOKUP(A12,'E-REF_HNO_pop'!B:E,4,FALSE)),0)</f>
        <v>0</v>
      </c>
      <c r="AD12" s="162">
        <f>IF(L12=4,(VLOOKUP(A12,'E-REF_HNO_pop'!B:E,4,FALSE)),0)</f>
        <v>0</v>
      </c>
      <c r="AE12" s="163">
        <f>IF(L12=5,(VLOOKUP(A12,'E-REF_HNO_pop'!B:E,4,FALSE)),0)</f>
        <v>0</v>
      </c>
    </row>
    <row r="13" spans="1:31" x14ac:dyDescent="0.35">
      <c r="A13" s="11" t="s">
        <v>74</v>
      </c>
      <c r="B13">
        <v>1</v>
      </c>
      <c r="C13">
        <v>1</v>
      </c>
      <c r="D13">
        <v>1</v>
      </c>
      <c r="E13">
        <v>1</v>
      </c>
      <c r="F13">
        <v>1</v>
      </c>
      <c r="G13">
        <v>3</v>
      </c>
      <c r="H13" s="3">
        <f t="shared" si="1"/>
        <v>3</v>
      </c>
      <c r="I13" s="3">
        <f t="shared" si="2"/>
        <v>1</v>
      </c>
      <c r="J13" s="3">
        <f t="shared" si="3"/>
        <v>1</v>
      </c>
      <c r="K13" s="3">
        <f t="shared" si="4"/>
        <v>1</v>
      </c>
      <c r="L13" s="3">
        <f t="shared" si="0"/>
        <v>1</v>
      </c>
      <c r="M13" s="160">
        <f>VLOOKUP(A13,'E-REF_HNO_pop'!B:E,2,FALSE)</f>
        <v>115132</v>
      </c>
      <c r="N13" s="161">
        <f>IF(L13&gt;=3,(VLOOKUP(A13,'E-REF_HNO_pop'!B:E,2,FALSE)),0)</f>
        <v>0</v>
      </c>
      <c r="O13" s="162">
        <f>IF(L13&gt;=3,(VLOOKUP(A13,'E-REF_HNO_pop'!B:E,3,FALSE)),0)</f>
        <v>0</v>
      </c>
      <c r="P13" s="163">
        <f>IF(L13&gt;=3,(VLOOKUP(A13,'E-REF_HNO_pop'!B:E,4,FALSE)),0)</f>
        <v>0</v>
      </c>
      <c r="Q13" s="161">
        <f>IF(L13=1,(VLOOKUP(A13,'E-REF_HNO_pop'!B:E,2,FALSE)),0)</f>
        <v>115132</v>
      </c>
      <c r="R13" s="162">
        <f>IF(L13=2,(VLOOKUP(A13,'E-REF_HNO_pop'!B:E,2,FALSE)),0)</f>
        <v>0</v>
      </c>
      <c r="S13" s="162">
        <f>IF(L13=3,(VLOOKUP(A13,'E-REF_HNO_pop'!B:E,2,FALSE)),0)</f>
        <v>0</v>
      </c>
      <c r="T13" s="162">
        <f>IF(L13=4,(VLOOKUP(A13,'E-REF_HNO_pop'!B:E,2,FALSE)),0)</f>
        <v>0</v>
      </c>
      <c r="U13" s="163">
        <f>IF(L13=5,(VLOOKUP(A13,'E-REF_HNO_pop'!B:E,2,FALSE)),0)</f>
        <v>0</v>
      </c>
      <c r="V13" s="161">
        <f>IF(L13=1,(VLOOKUP(A13,'E-REF_HNO_pop'!B:E,3,FALSE)),0)</f>
        <v>15600</v>
      </c>
      <c r="W13" s="162">
        <f>IF(L13=2,(VLOOKUP(A13,'E-REF_HNO_pop'!B:E,3,FALSE)),0)</f>
        <v>0</v>
      </c>
      <c r="X13" s="162">
        <f>IF(L13=3,(VLOOKUP(A13,'E-REF_HNO_pop'!B:E,3,FALSE)),0)</f>
        <v>0</v>
      </c>
      <c r="Y13" s="162">
        <f>IF(L13=4,(VLOOKUP(A13,'E-REF_HNO_pop'!B:E,3,FALSE)),0)</f>
        <v>0</v>
      </c>
      <c r="Z13" s="163">
        <f>IF(L13=5,(VLOOKUP(A13,'E-REF_HNO_pop'!B:E,3,FALSE)),0)</f>
        <v>0</v>
      </c>
      <c r="AA13" s="161">
        <f>IF(L13=1,(VLOOKUP(A13,'E-REF_HNO_pop'!B:E,4,FALSE)),0)</f>
        <v>99532</v>
      </c>
      <c r="AB13" s="162">
        <f>IF(L13=2,(VLOOKUP(A13,'E-REF_HNO_pop'!B:E,4,FALSE)),0)</f>
        <v>0</v>
      </c>
      <c r="AC13" s="162">
        <f>IF(L13=3,(VLOOKUP(A13,'E-REF_HNO_pop'!B:E,4,FALSE)),0)</f>
        <v>0</v>
      </c>
      <c r="AD13" s="162">
        <f>IF(L13=4,(VLOOKUP(A13,'E-REF_HNO_pop'!B:E,4,FALSE)),0)</f>
        <v>0</v>
      </c>
      <c r="AE13" s="163">
        <f>IF(L13=5,(VLOOKUP(A13,'E-REF_HNO_pop'!B:E,4,FALSE)),0)</f>
        <v>0</v>
      </c>
    </row>
    <row r="14" spans="1:31" x14ac:dyDescent="0.35">
      <c r="A14" s="11" t="s">
        <v>76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 s="3">
        <f t="shared" si="1"/>
        <v>1</v>
      </c>
      <c r="I14" s="3">
        <f t="shared" si="2"/>
        <v>1</v>
      </c>
      <c r="J14" s="3">
        <f t="shared" si="3"/>
        <v>1</v>
      </c>
      <c r="K14" s="3">
        <f t="shared" si="4"/>
        <v>1</v>
      </c>
      <c r="L14" s="3">
        <f t="shared" si="0"/>
        <v>1</v>
      </c>
      <c r="M14" s="160">
        <f>VLOOKUP(A14,'E-REF_HNO_pop'!B:E,2,FALSE)</f>
        <v>70925</v>
      </c>
      <c r="N14" s="161">
        <f>IF(L14&gt;=3,(VLOOKUP(A14,'E-REF_HNO_pop'!B:E,2,FALSE)),0)</f>
        <v>0</v>
      </c>
      <c r="O14" s="162">
        <f>IF(L14&gt;=3,(VLOOKUP(A14,'E-REF_HNO_pop'!B:E,3,FALSE)),0)</f>
        <v>0</v>
      </c>
      <c r="P14" s="163">
        <f>IF(L14&gt;=3,(VLOOKUP(A14,'E-REF_HNO_pop'!B:E,4,FALSE)),0)</f>
        <v>0</v>
      </c>
      <c r="Q14" s="161">
        <f>IF(L14=1,(VLOOKUP(A14,'E-REF_HNO_pop'!B:E,2,FALSE)),0)</f>
        <v>70925</v>
      </c>
      <c r="R14" s="162">
        <f>IF(L14=2,(VLOOKUP(A14,'E-REF_HNO_pop'!B:E,2,FALSE)),0)</f>
        <v>0</v>
      </c>
      <c r="S14" s="162">
        <f>IF(L14=3,(VLOOKUP(A14,'E-REF_HNO_pop'!B:E,2,FALSE)),0)</f>
        <v>0</v>
      </c>
      <c r="T14" s="162">
        <f>IF(L14=4,(VLOOKUP(A14,'E-REF_HNO_pop'!B:E,2,FALSE)),0)</f>
        <v>0</v>
      </c>
      <c r="U14" s="163">
        <f>IF(L14=5,(VLOOKUP(A14,'E-REF_HNO_pop'!B:E,2,FALSE)),0)</f>
        <v>0</v>
      </c>
      <c r="V14" s="161">
        <f>IF(L14=1,(VLOOKUP(A14,'E-REF_HNO_pop'!B:E,3,FALSE)),0)</f>
        <v>1500</v>
      </c>
      <c r="W14" s="162">
        <f>IF(L14=2,(VLOOKUP(A14,'E-REF_HNO_pop'!B:E,3,FALSE)),0)</f>
        <v>0</v>
      </c>
      <c r="X14" s="162">
        <f>IF(L14=3,(VLOOKUP(A14,'E-REF_HNO_pop'!B:E,3,FALSE)),0)</f>
        <v>0</v>
      </c>
      <c r="Y14" s="162">
        <f>IF(L14=4,(VLOOKUP(A14,'E-REF_HNO_pop'!B:E,3,FALSE)),0)</f>
        <v>0</v>
      </c>
      <c r="Z14" s="163">
        <f>IF(L14=5,(VLOOKUP(A14,'E-REF_HNO_pop'!B:E,3,FALSE)),0)</f>
        <v>0</v>
      </c>
      <c r="AA14" s="161">
        <f>IF(L14=1,(VLOOKUP(A14,'E-REF_HNO_pop'!B:E,4,FALSE)),0)</f>
        <v>69425</v>
      </c>
      <c r="AB14" s="162">
        <f>IF(L14=2,(VLOOKUP(A14,'E-REF_HNO_pop'!B:E,4,FALSE)),0)</f>
        <v>0</v>
      </c>
      <c r="AC14" s="162">
        <f>IF(L14=3,(VLOOKUP(A14,'E-REF_HNO_pop'!B:E,4,FALSE)),0)</f>
        <v>0</v>
      </c>
      <c r="AD14" s="162">
        <f>IF(L14=4,(VLOOKUP(A14,'E-REF_HNO_pop'!B:E,4,FALSE)),0)</f>
        <v>0</v>
      </c>
      <c r="AE14" s="163">
        <f>IF(L14=5,(VLOOKUP(A14,'E-REF_HNO_pop'!B:E,4,FALSE)),0)</f>
        <v>0</v>
      </c>
    </row>
    <row r="15" spans="1:31" x14ac:dyDescent="0.35">
      <c r="A15" s="11" t="s">
        <v>162</v>
      </c>
      <c r="B15">
        <v>1</v>
      </c>
      <c r="C15">
        <v>1</v>
      </c>
      <c r="D15">
        <v>1</v>
      </c>
      <c r="E15">
        <v>1</v>
      </c>
      <c r="F15">
        <v>4</v>
      </c>
      <c r="G15">
        <v>5</v>
      </c>
      <c r="H15" s="3">
        <f t="shared" si="1"/>
        <v>5</v>
      </c>
      <c r="I15" s="3">
        <f t="shared" si="2"/>
        <v>4</v>
      </c>
      <c r="J15" s="3">
        <f t="shared" si="3"/>
        <v>1</v>
      </c>
      <c r="K15" s="3">
        <f t="shared" si="4"/>
        <v>2</v>
      </c>
      <c r="L15" s="3">
        <f t="shared" si="0"/>
        <v>2</v>
      </c>
      <c r="M15" s="160">
        <f>VLOOKUP(A15,'E-REF_HNO_pop'!B:E,2,FALSE)</f>
        <v>71342</v>
      </c>
      <c r="N15" s="161">
        <f>IF(L15&gt;=3,(VLOOKUP(A15,'E-REF_HNO_pop'!B:E,2,FALSE)),0)</f>
        <v>0</v>
      </c>
      <c r="O15" s="162">
        <f>IF(L15&gt;=3,(VLOOKUP(A15,'E-REF_HNO_pop'!B:E,3,FALSE)),0)</f>
        <v>0</v>
      </c>
      <c r="P15" s="163">
        <f>IF(L15&gt;=3,(VLOOKUP(A15,'E-REF_HNO_pop'!B:E,4,FALSE)),0)</f>
        <v>0</v>
      </c>
      <c r="Q15" s="161">
        <f>IF(L15=1,(VLOOKUP(A15,'E-REF_HNO_pop'!B:E,2,FALSE)),0)</f>
        <v>0</v>
      </c>
      <c r="R15" s="162">
        <f>IF(L15=2,(VLOOKUP(A15,'E-REF_HNO_pop'!B:E,2,FALSE)),0)</f>
        <v>71342</v>
      </c>
      <c r="S15" s="162">
        <f>IF(L15=3,(VLOOKUP(A15,'E-REF_HNO_pop'!B:E,2,FALSE)),0)</f>
        <v>0</v>
      </c>
      <c r="T15" s="162">
        <f>IF(L15=4,(VLOOKUP(A15,'E-REF_HNO_pop'!B:E,2,FALSE)),0)</f>
        <v>0</v>
      </c>
      <c r="U15" s="163">
        <f>IF(L15=5,(VLOOKUP(A15,'E-REF_HNO_pop'!B:E,2,FALSE)),0)</f>
        <v>0</v>
      </c>
      <c r="V15" s="161">
        <f>IF(L15=1,(VLOOKUP(A15,'E-REF_HNO_pop'!B:E,3,FALSE)),0)</f>
        <v>0</v>
      </c>
      <c r="W15" s="162">
        <f>IF(L15=2,(VLOOKUP(A15,'E-REF_HNO_pop'!B:E,3,FALSE)),0)</f>
        <v>3100</v>
      </c>
      <c r="X15" s="162">
        <f>IF(L15=3,(VLOOKUP(A15,'E-REF_HNO_pop'!B:E,3,FALSE)),0)</f>
        <v>0</v>
      </c>
      <c r="Y15" s="162">
        <f>IF(L15=4,(VLOOKUP(A15,'E-REF_HNO_pop'!B:E,3,FALSE)),0)</f>
        <v>0</v>
      </c>
      <c r="Z15" s="163">
        <f>IF(L15=5,(VLOOKUP(A15,'E-REF_HNO_pop'!B:E,3,FALSE)),0)</f>
        <v>0</v>
      </c>
      <c r="AA15" s="161">
        <f>IF(L15=1,(VLOOKUP(A15,'E-REF_HNO_pop'!B:E,4,FALSE)),0)</f>
        <v>0</v>
      </c>
      <c r="AB15" s="162">
        <f>IF(L15=2,(VLOOKUP(A15,'E-REF_HNO_pop'!B:E,4,FALSE)),0)</f>
        <v>68242</v>
      </c>
      <c r="AC15" s="162">
        <f>IF(L15=3,(VLOOKUP(A15,'E-REF_HNO_pop'!B:E,4,FALSE)),0)</f>
        <v>0</v>
      </c>
      <c r="AD15" s="162">
        <f>IF(L15=4,(VLOOKUP(A15,'E-REF_HNO_pop'!B:E,4,FALSE)),0)</f>
        <v>0</v>
      </c>
      <c r="AE15" s="163">
        <f>IF(L15=5,(VLOOKUP(A15,'E-REF_HNO_pop'!B:E,4,FALSE)),0)</f>
        <v>0</v>
      </c>
    </row>
    <row r="16" spans="1:31" x14ac:dyDescent="0.35">
      <c r="A16" s="11" t="s">
        <v>138</v>
      </c>
      <c r="B16">
        <v>1</v>
      </c>
      <c r="C16">
        <v>2</v>
      </c>
      <c r="D16">
        <v>1</v>
      </c>
      <c r="E16">
        <v>2</v>
      </c>
      <c r="F16">
        <v>4</v>
      </c>
      <c r="G16">
        <v>5</v>
      </c>
      <c r="H16" s="3">
        <f t="shared" si="1"/>
        <v>5</v>
      </c>
      <c r="I16" s="3">
        <f t="shared" si="2"/>
        <v>4</v>
      </c>
      <c r="J16" s="3">
        <f t="shared" si="3"/>
        <v>2</v>
      </c>
      <c r="K16" s="3">
        <f t="shared" si="4"/>
        <v>3</v>
      </c>
      <c r="L16" s="3">
        <f t="shared" si="0"/>
        <v>3</v>
      </c>
      <c r="M16" s="160">
        <f>VLOOKUP(A16,'E-REF_HNO_pop'!B:E,2,FALSE)</f>
        <v>212050</v>
      </c>
      <c r="N16" s="161">
        <f>IF(L16&gt;=3,(VLOOKUP(A16,'E-REF_HNO_pop'!B:E,2,FALSE)),0)</f>
        <v>212050</v>
      </c>
      <c r="O16" s="162">
        <f>IF(L16&gt;=3,(VLOOKUP(A16,'E-REF_HNO_pop'!B:E,3,FALSE)),0)</f>
        <v>32600</v>
      </c>
      <c r="P16" s="163">
        <f>IF(L16&gt;=3,(VLOOKUP(A16,'E-REF_HNO_pop'!B:E,4,FALSE)),0)</f>
        <v>179450</v>
      </c>
      <c r="Q16" s="161">
        <f>IF(L16=1,(VLOOKUP(A16,'E-REF_HNO_pop'!B:E,2,FALSE)),0)</f>
        <v>0</v>
      </c>
      <c r="R16" s="162">
        <f>IF(L16=2,(VLOOKUP(A16,'E-REF_HNO_pop'!B:E,2,FALSE)),0)</f>
        <v>0</v>
      </c>
      <c r="S16" s="162">
        <f>IF(L16=3,(VLOOKUP(A16,'E-REF_HNO_pop'!B:E,2,FALSE)),0)</f>
        <v>212050</v>
      </c>
      <c r="T16" s="162">
        <f>IF(L16=4,(VLOOKUP(A16,'E-REF_HNO_pop'!B:E,2,FALSE)),0)</f>
        <v>0</v>
      </c>
      <c r="U16" s="163">
        <f>IF(L16=5,(VLOOKUP(A16,'E-REF_HNO_pop'!B:E,2,FALSE)),0)</f>
        <v>0</v>
      </c>
      <c r="V16" s="161">
        <f>IF(L16=1,(VLOOKUP(A16,'E-REF_HNO_pop'!B:E,3,FALSE)),0)</f>
        <v>0</v>
      </c>
      <c r="W16" s="162">
        <f>IF(L16=2,(VLOOKUP(A16,'E-REF_HNO_pop'!B:E,3,FALSE)),0)</f>
        <v>0</v>
      </c>
      <c r="X16" s="162">
        <f>IF(L16=3,(VLOOKUP(A16,'E-REF_HNO_pop'!B:E,3,FALSE)),0)</f>
        <v>32600</v>
      </c>
      <c r="Y16" s="162">
        <f>IF(L16=4,(VLOOKUP(A16,'E-REF_HNO_pop'!B:E,3,FALSE)),0)</f>
        <v>0</v>
      </c>
      <c r="Z16" s="163">
        <f>IF(L16=5,(VLOOKUP(A16,'E-REF_HNO_pop'!B:E,3,FALSE)),0)</f>
        <v>0</v>
      </c>
      <c r="AA16" s="161">
        <f>IF(L16=1,(VLOOKUP(A16,'E-REF_HNO_pop'!B:E,4,FALSE)),0)</f>
        <v>0</v>
      </c>
      <c r="AB16" s="162">
        <f>IF(L16=2,(VLOOKUP(A16,'E-REF_HNO_pop'!B:E,4,FALSE)),0)</f>
        <v>0</v>
      </c>
      <c r="AC16" s="162">
        <f>IF(L16=3,(VLOOKUP(A16,'E-REF_HNO_pop'!B:E,4,FALSE)),0)</f>
        <v>179450</v>
      </c>
      <c r="AD16" s="162">
        <f>IF(L16=4,(VLOOKUP(A16,'E-REF_HNO_pop'!B:E,4,FALSE)),0)</f>
        <v>0</v>
      </c>
      <c r="AE16" s="163">
        <f>IF(L16=5,(VLOOKUP(A16,'E-REF_HNO_pop'!B:E,4,FALSE)),0)</f>
        <v>0</v>
      </c>
    </row>
    <row r="17" spans="1:31" x14ac:dyDescent="0.35">
      <c r="A17" s="11" t="s">
        <v>83</v>
      </c>
      <c r="B17">
        <v>1</v>
      </c>
      <c r="C17">
        <v>2</v>
      </c>
      <c r="D17">
        <v>1</v>
      </c>
      <c r="E17">
        <v>3</v>
      </c>
      <c r="F17">
        <v>1</v>
      </c>
      <c r="G17">
        <v>5</v>
      </c>
      <c r="H17" s="3">
        <f t="shared" si="1"/>
        <v>5</v>
      </c>
      <c r="I17" s="3">
        <f t="shared" si="2"/>
        <v>3</v>
      </c>
      <c r="J17" s="3">
        <f t="shared" si="3"/>
        <v>2</v>
      </c>
      <c r="K17" s="3">
        <f t="shared" si="4"/>
        <v>2</v>
      </c>
      <c r="L17" s="3">
        <f t="shared" si="0"/>
        <v>2</v>
      </c>
      <c r="M17" s="160">
        <f>VLOOKUP(A17,'E-REF_HNO_pop'!B:E,2,FALSE)</f>
        <v>696454</v>
      </c>
      <c r="N17" s="161">
        <f>IF(L17&gt;=3,(VLOOKUP(A17,'E-REF_HNO_pop'!B:E,2,FALSE)),0)</f>
        <v>0</v>
      </c>
      <c r="O17" s="162">
        <f>IF(L17&gt;=3,(VLOOKUP(A17,'E-REF_HNO_pop'!B:E,3,FALSE)),0)</f>
        <v>0</v>
      </c>
      <c r="P17" s="163">
        <f>IF(L17&gt;=3,(VLOOKUP(A17,'E-REF_HNO_pop'!B:E,4,FALSE)),0)</f>
        <v>0</v>
      </c>
      <c r="Q17" s="161">
        <f>IF(L17=1,(VLOOKUP(A17,'E-REF_HNO_pop'!B:E,2,FALSE)),0)</f>
        <v>0</v>
      </c>
      <c r="R17" s="162">
        <f>IF(L17=2,(VLOOKUP(A17,'E-REF_HNO_pop'!B:E,2,FALSE)),0)</f>
        <v>696454</v>
      </c>
      <c r="S17" s="162">
        <f>IF(L17=3,(VLOOKUP(A17,'E-REF_HNO_pop'!B:E,2,FALSE)),0)</f>
        <v>0</v>
      </c>
      <c r="T17" s="162">
        <f>IF(L17=4,(VLOOKUP(A17,'E-REF_HNO_pop'!B:E,2,FALSE)),0)</f>
        <v>0</v>
      </c>
      <c r="U17" s="163">
        <f>IF(L17=5,(VLOOKUP(A17,'E-REF_HNO_pop'!B:E,2,FALSE)),0)</f>
        <v>0</v>
      </c>
      <c r="V17" s="161">
        <f>IF(L17=1,(VLOOKUP(A17,'E-REF_HNO_pop'!B:E,3,FALSE)),0)</f>
        <v>0</v>
      </c>
      <c r="W17" s="162">
        <f>IF(L17=2,(VLOOKUP(A17,'E-REF_HNO_pop'!B:E,3,FALSE)),0)</f>
        <v>119800</v>
      </c>
      <c r="X17" s="162">
        <f>IF(L17=3,(VLOOKUP(A17,'E-REF_HNO_pop'!B:E,3,FALSE)),0)</f>
        <v>0</v>
      </c>
      <c r="Y17" s="162">
        <f>IF(L17=4,(VLOOKUP(A17,'E-REF_HNO_pop'!B:E,3,FALSE)),0)</f>
        <v>0</v>
      </c>
      <c r="Z17" s="163">
        <f>IF(L17=5,(VLOOKUP(A17,'E-REF_HNO_pop'!B:E,3,FALSE)),0)</f>
        <v>0</v>
      </c>
      <c r="AA17" s="161">
        <f>IF(L17=1,(VLOOKUP(A17,'E-REF_HNO_pop'!B:E,4,FALSE)),0)</f>
        <v>0</v>
      </c>
      <c r="AB17" s="162">
        <f>IF(L17=2,(VLOOKUP(A17,'E-REF_HNO_pop'!B:E,4,FALSE)),0)</f>
        <v>576654</v>
      </c>
      <c r="AC17" s="162">
        <f>IF(L17=3,(VLOOKUP(A17,'E-REF_HNO_pop'!B:E,4,FALSE)),0)</f>
        <v>0</v>
      </c>
      <c r="AD17" s="162">
        <f>IF(L17=4,(VLOOKUP(A17,'E-REF_HNO_pop'!B:E,4,FALSE)),0)</f>
        <v>0</v>
      </c>
      <c r="AE17" s="163">
        <f>IF(L17=5,(VLOOKUP(A17,'E-REF_HNO_pop'!B:E,4,FALSE)),0)</f>
        <v>0</v>
      </c>
    </row>
    <row r="18" spans="1:31" x14ac:dyDescent="0.35">
      <c r="A18" s="11" t="s">
        <v>84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3">
        <f t="shared" si="1"/>
        <v>1</v>
      </c>
      <c r="I18" s="3">
        <f t="shared" si="2"/>
        <v>1</v>
      </c>
      <c r="J18" s="3">
        <f t="shared" si="3"/>
        <v>1</v>
      </c>
      <c r="K18" s="3">
        <f t="shared" si="4"/>
        <v>1</v>
      </c>
      <c r="L18" s="3">
        <f t="shared" si="0"/>
        <v>1</v>
      </c>
      <c r="M18" s="160">
        <f>VLOOKUP(A18,'E-REF_HNO_pop'!B:E,2,FALSE)</f>
        <v>155900</v>
      </c>
      <c r="N18" s="161">
        <f>IF(L18&gt;=3,(VLOOKUP(A18,'E-REF_HNO_pop'!B:E,2,FALSE)),0)</f>
        <v>0</v>
      </c>
      <c r="O18" s="162">
        <f>IF(L18&gt;=3,(VLOOKUP(A18,'E-REF_HNO_pop'!B:E,3,FALSE)),0)</f>
        <v>0</v>
      </c>
      <c r="P18" s="163">
        <f>IF(L18&gt;=3,(VLOOKUP(A18,'E-REF_HNO_pop'!B:E,4,FALSE)),0)</f>
        <v>0</v>
      </c>
      <c r="Q18" s="161">
        <f>IF(L18=1,(VLOOKUP(A18,'E-REF_HNO_pop'!B:E,2,FALSE)),0)</f>
        <v>155900</v>
      </c>
      <c r="R18" s="162">
        <f>IF(L18=2,(VLOOKUP(A18,'E-REF_HNO_pop'!B:E,2,FALSE)),0)</f>
        <v>0</v>
      </c>
      <c r="S18" s="162">
        <f>IF(L18=3,(VLOOKUP(A18,'E-REF_HNO_pop'!B:E,2,FALSE)),0)</f>
        <v>0</v>
      </c>
      <c r="T18" s="162">
        <f>IF(L18=4,(VLOOKUP(A18,'E-REF_HNO_pop'!B:E,2,FALSE)),0)</f>
        <v>0</v>
      </c>
      <c r="U18" s="163">
        <f>IF(L18=5,(VLOOKUP(A18,'E-REF_HNO_pop'!B:E,2,FALSE)),0)</f>
        <v>0</v>
      </c>
      <c r="V18" s="161">
        <f>IF(L18=1,(VLOOKUP(A18,'E-REF_HNO_pop'!B:E,3,FALSE)),0)</f>
        <v>4900</v>
      </c>
      <c r="W18" s="162">
        <f>IF(L18=2,(VLOOKUP(A18,'E-REF_HNO_pop'!B:E,3,FALSE)),0)</f>
        <v>0</v>
      </c>
      <c r="X18" s="162">
        <f>IF(L18=3,(VLOOKUP(A18,'E-REF_HNO_pop'!B:E,3,FALSE)),0)</f>
        <v>0</v>
      </c>
      <c r="Y18" s="162">
        <f>IF(L18=4,(VLOOKUP(A18,'E-REF_HNO_pop'!B:E,3,FALSE)),0)</f>
        <v>0</v>
      </c>
      <c r="Z18" s="163">
        <f>IF(L18=5,(VLOOKUP(A18,'E-REF_HNO_pop'!B:E,3,FALSE)),0)</f>
        <v>0</v>
      </c>
      <c r="AA18" s="161">
        <f>IF(L18=1,(VLOOKUP(A18,'E-REF_HNO_pop'!B:E,4,FALSE)),0)</f>
        <v>151000</v>
      </c>
      <c r="AB18" s="162">
        <f>IF(L18=2,(VLOOKUP(A18,'E-REF_HNO_pop'!B:E,4,FALSE)),0)</f>
        <v>0</v>
      </c>
      <c r="AC18" s="162">
        <f>IF(L18=3,(VLOOKUP(A18,'E-REF_HNO_pop'!B:E,4,FALSE)),0)</f>
        <v>0</v>
      </c>
      <c r="AD18" s="162">
        <f>IF(L18=4,(VLOOKUP(A18,'E-REF_HNO_pop'!B:E,4,FALSE)),0)</f>
        <v>0</v>
      </c>
      <c r="AE18" s="163">
        <f>IF(L18=5,(VLOOKUP(A18,'E-REF_HNO_pop'!B:E,4,FALSE)),0)</f>
        <v>0</v>
      </c>
    </row>
    <row r="19" spans="1:31" x14ac:dyDescent="0.35">
      <c r="A19" s="11" t="s">
        <v>147</v>
      </c>
      <c r="B19">
        <v>1</v>
      </c>
      <c r="C19">
        <v>1</v>
      </c>
      <c r="D19">
        <v>1</v>
      </c>
      <c r="E19">
        <v>1</v>
      </c>
      <c r="F19">
        <v>1</v>
      </c>
      <c r="G19">
        <v>2</v>
      </c>
      <c r="H19" s="3">
        <f t="shared" si="1"/>
        <v>2</v>
      </c>
      <c r="I19" s="3">
        <f t="shared" si="2"/>
        <v>1</v>
      </c>
      <c r="J19" s="3">
        <f t="shared" si="3"/>
        <v>1</v>
      </c>
      <c r="K19" s="3">
        <f t="shared" si="4"/>
        <v>1</v>
      </c>
      <c r="L19" s="3">
        <f t="shared" si="0"/>
        <v>1</v>
      </c>
      <c r="M19" s="160">
        <f>VLOOKUP(A19,'E-REF_HNO_pop'!B:E,2,FALSE)</f>
        <v>125417</v>
      </c>
      <c r="N19" s="161">
        <f>IF(L19&gt;=3,(VLOOKUP(A19,'E-REF_HNO_pop'!B:E,2,FALSE)),0)</f>
        <v>0</v>
      </c>
      <c r="O19" s="162">
        <f>IF(L19&gt;=3,(VLOOKUP(A19,'E-REF_HNO_pop'!B:E,3,FALSE)),0)</f>
        <v>0</v>
      </c>
      <c r="P19" s="163">
        <f>IF(L19&gt;=3,(VLOOKUP(A19,'E-REF_HNO_pop'!B:E,4,FALSE)),0)</f>
        <v>0</v>
      </c>
      <c r="Q19" s="161">
        <f>IF(L19=1,(VLOOKUP(A19,'E-REF_HNO_pop'!B:E,2,FALSE)),0)</f>
        <v>125417</v>
      </c>
      <c r="R19" s="162">
        <f>IF(L19=2,(VLOOKUP(A19,'E-REF_HNO_pop'!B:E,2,FALSE)),0)</f>
        <v>0</v>
      </c>
      <c r="S19" s="162">
        <f>IF(L19=3,(VLOOKUP(A19,'E-REF_HNO_pop'!B:E,2,FALSE)),0)</f>
        <v>0</v>
      </c>
      <c r="T19" s="162">
        <f>IF(L19=4,(VLOOKUP(A19,'E-REF_HNO_pop'!B:E,2,FALSE)),0)</f>
        <v>0</v>
      </c>
      <c r="U19" s="163">
        <f>IF(L19=5,(VLOOKUP(A19,'E-REF_HNO_pop'!B:E,2,FALSE)),0)</f>
        <v>0</v>
      </c>
      <c r="V19" s="161">
        <f>IF(L19=1,(VLOOKUP(A19,'E-REF_HNO_pop'!B:E,3,FALSE)),0)</f>
        <v>1500</v>
      </c>
      <c r="W19" s="162">
        <f>IF(L19=2,(VLOOKUP(A19,'E-REF_HNO_pop'!B:E,3,FALSE)),0)</f>
        <v>0</v>
      </c>
      <c r="X19" s="162">
        <f>IF(L19=3,(VLOOKUP(A19,'E-REF_HNO_pop'!B:E,3,FALSE)),0)</f>
        <v>0</v>
      </c>
      <c r="Y19" s="162">
        <f>IF(L19=4,(VLOOKUP(A19,'E-REF_HNO_pop'!B:E,3,FALSE)),0)</f>
        <v>0</v>
      </c>
      <c r="Z19" s="163">
        <f>IF(L19=5,(VLOOKUP(A19,'E-REF_HNO_pop'!B:E,3,FALSE)),0)</f>
        <v>0</v>
      </c>
      <c r="AA19" s="161">
        <f>IF(L19=1,(VLOOKUP(A19,'E-REF_HNO_pop'!B:E,4,FALSE)),0)</f>
        <v>123917</v>
      </c>
      <c r="AB19" s="162">
        <f>IF(L19=2,(VLOOKUP(A19,'E-REF_HNO_pop'!B:E,4,FALSE)),0)</f>
        <v>0</v>
      </c>
      <c r="AC19" s="162">
        <f>IF(L19=3,(VLOOKUP(A19,'E-REF_HNO_pop'!B:E,4,FALSE)),0)</f>
        <v>0</v>
      </c>
      <c r="AD19" s="162">
        <f>IF(L19=4,(VLOOKUP(A19,'E-REF_HNO_pop'!B:E,4,FALSE)),0)</f>
        <v>0</v>
      </c>
      <c r="AE19" s="163">
        <f>IF(L19=5,(VLOOKUP(A19,'E-REF_HNO_pop'!B:E,4,FALSE)),0)</f>
        <v>0</v>
      </c>
    </row>
    <row r="20" spans="1:31" x14ac:dyDescent="0.35">
      <c r="A20" s="11" t="s">
        <v>87</v>
      </c>
      <c r="B20">
        <v>1</v>
      </c>
      <c r="C20">
        <v>1</v>
      </c>
      <c r="D20">
        <v>1</v>
      </c>
      <c r="E20">
        <v>1</v>
      </c>
      <c r="F20">
        <v>1</v>
      </c>
      <c r="G20">
        <v>5</v>
      </c>
      <c r="H20" s="3">
        <f t="shared" si="1"/>
        <v>5</v>
      </c>
      <c r="I20" s="3">
        <f t="shared" si="2"/>
        <v>1</v>
      </c>
      <c r="J20" s="3">
        <f t="shared" si="3"/>
        <v>1</v>
      </c>
      <c r="K20" s="3">
        <f t="shared" si="4"/>
        <v>2</v>
      </c>
      <c r="L20" s="3">
        <f t="shared" si="0"/>
        <v>2</v>
      </c>
      <c r="M20" s="160">
        <f>VLOOKUP(A20,'E-REF_HNO_pop'!B:E,2,FALSE)</f>
        <v>159016</v>
      </c>
      <c r="N20" s="161">
        <f>IF(L20&gt;=3,(VLOOKUP(A20,'E-REF_HNO_pop'!B:E,2,FALSE)),0)</f>
        <v>0</v>
      </c>
      <c r="O20" s="162">
        <f>IF(L20&gt;=3,(VLOOKUP(A20,'E-REF_HNO_pop'!B:E,3,FALSE)),0)</f>
        <v>0</v>
      </c>
      <c r="P20" s="163">
        <f>IF(L20&gt;=3,(VLOOKUP(A20,'E-REF_HNO_pop'!B:E,4,FALSE)),0)</f>
        <v>0</v>
      </c>
      <c r="Q20" s="161">
        <f>IF(L20=1,(VLOOKUP(A20,'E-REF_HNO_pop'!B:E,2,FALSE)),0)</f>
        <v>0</v>
      </c>
      <c r="R20" s="162">
        <f>IF(L20=2,(VLOOKUP(A20,'E-REF_HNO_pop'!B:E,2,FALSE)),0)</f>
        <v>159016</v>
      </c>
      <c r="S20" s="162">
        <f>IF(L20=3,(VLOOKUP(A20,'E-REF_HNO_pop'!B:E,2,FALSE)),0)</f>
        <v>0</v>
      </c>
      <c r="T20" s="162">
        <f>IF(L20=4,(VLOOKUP(A20,'E-REF_HNO_pop'!B:E,2,FALSE)),0)</f>
        <v>0</v>
      </c>
      <c r="U20" s="163">
        <f>IF(L20=5,(VLOOKUP(A20,'E-REF_HNO_pop'!B:E,2,FALSE)),0)</f>
        <v>0</v>
      </c>
      <c r="V20" s="161">
        <f>IF(L20=1,(VLOOKUP(A20,'E-REF_HNO_pop'!B:E,3,FALSE)),0)</f>
        <v>0</v>
      </c>
      <c r="W20" s="162">
        <f>IF(L20=2,(VLOOKUP(A20,'E-REF_HNO_pop'!B:E,3,FALSE)),0)</f>
        <v>500</v>
      </c>
      <c r="X20" s="162">
        <f>IF(L20=3,(VLOOKUP(A20,'E-REF_HNO_pop'!B:E,3,FALSE)),0)</f>
        <v>0</v>
      </c>
      <c r="Y20" s="162">
        <f>IF(L20=4,(VLOOKUP(A20,'E-REF_HNO_pop'!B:E,3,FALSE)),0)</f>
        <v>0</v>
      </c>
      <c r="Z20" s="163">
        <f>IF(L20=5,(VLOOKUP(A20,'E-REF_HNO_pop'!B:E,3,FALSE)),0)</f>
        <v>0</v>
      </c>
      <c r="AA20" s="161">
        <f>IF(L20=1,(VLOOKUP(A20,'E-REF_HNO_pop'!B:E,4,FALSE)),0)</f>
        <v>0</v>
      </c>
      <c r="AB20" s="162">
        <f>IF(L20=2,(VLOOKUP(A20,'E-REF_HNO_pop'!B:E,4,FALSE)),0)</f>
        <v>158516</v>
      </c>
      <c r="AC20" s="162">
        <f>IF(L20=3,(VLOOKUP(A20,'E-REF_HNO_pop'!B:E,4,FALSE)),0)</f>
        <v>0</v>
      </c>
      <c r="AD20" s="162">
        <f>IF(L20=4,(VLOOKUP(A20,'E-REF_HNO_pop'!B:E,4,FALSE)),0)</f>
        <v>0</v>
      </c>
      <c r="AE20" s="163">
        <f>IF(L20=5,(VLOOKUP(A20,'E-REF_HNO_pop'!B:E,4,FALSE)),0)</f>
        <v>0</v>
      </c>
    </row>
    <row r="21" spans="1:31" x14ac:dyDescent="0.35">
      <c r="A21" s="11" t="s">
        <v>89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 s="3">
        <f t="shared" si="1"/>
        <v>1</v>
      </c>
      <c r="I21" s="3">
        <f t="shared" si="2"/>
        <v>1</v>
      </c>
      <c r="J21" s="3">
        <f t="shared" si="3"/>
        <v>1</v>
      </c>
      <c r="K21" s="3">
        <f t="shared" si="4"/>
        <v>1</v>
      </c>
      <c r="L21" s="3">
        <f t="shared" si="0"/>
        <v>1</v>
      </c>
      <c r="M21" s="160">
        <f>VLOOKUP(A21,'E-REF_HNO_pop'!B:E,2,FALSE)</f>
        <v>54157</v>
      </c>
      <c r="N21" s="161">
        <f>IF(L21&gt;=3,(VLOOKUP(A21,'E-REF_HNO_pop'!B:E,2,FALSE)),0)</f>
        <v>0</v>
      </c>
      <c r="O21" s="162">
        <f>IF(L21&gt;=3,(VLOOKUP(A21,'E-REF_HNO_pop'!B:E,3,FALSE)),0)</f>
        <v>0</v>
      </c>
      <c r="P21" s="163">
        <f>IF(L21&gt;=3,(VLOOKUP(A21,'E-REF_HNO_pop'!B:E,4,FALSE)),0)</f>
        <v>0</v>
      </c>
      <c r="Q21" s="161">
        <f>IF(L21=1,(VLOOKUP(A21,'E-REF_HNO_pop'!B:E,2,FALSE)),0)</f>
        <v>54157</v>
      </c>
      <c r="R21" s="162">
        <f>IF(L21=2,(VLOOKUP(A21,'E-REF_HNO_pop'!B:E,2,FALSE)),0)</f>
        <v>0</v>
      </c>
      <c r="S21" s="162">
        <f>IF(L21=3,(VLOOKUP(A21,'E-REF_HNO_pop'!B:E,2,FALSE)),0)</f>
        <v>0</v>
      </c>
      <c r="T21" s="162">
        <f>IF(L21=4,(VLOOKUP(A21,'E-REF_HNO_pop'!B:E,2,FALSE)),0)</f>
        <v>0</v>
      </c>
      <c r="U21" s="163">
        <f>IF(L21=5,(VLOOKUP(A21,'E-REF_HNO_pop'!B:E,2,FALSE)),0)</f>
        <v>0</v>
      </c>
      <c r="V21" s="161">
        <f>IF(L21=1,(VLOOKUP(A21,'E-REF_HNO_pop'!B:E,3,FALSE)),0)</f>
        <v>5000</v>
      </c>
      <c r="W21" s="162">
        <f>IF(L21=2,(VLOOKUP(A21,'E-REF_HNO_pop'!B:E,3,FALSE)),0)</f>
        <v>0</v>
      </c>
      <c r="X21" s="162">
        <f>IF(L21=3,(VLOOKUP(A21,'E-REF_HNO_pop'!B:E,3,FALSE)),0)</f>
        <v>0</v>
      </c>
      <c r="Y21" s="162">
        <f>IF(L21=4,(VLOOKUP(A21,'E-REF_HNO_pop'!B:E,3,FALSE)),0)</f>
        <v>0</v>
      </c>
      <c r="Z21" s="163">
        <f>IF(L21=5,(VLOOKUP(A21,'E-REF_HNO_pop'!B:E,3,FALSE)),0)</f>
        <v>0</v>
      </c>
      <c r="AA21" s="161">
        <f>IF(L21=1,(VLOOKUP(A21,'E-REF_HNO_pop'!B:E,4,FALSE)),0)</f>
        <v>49157</v>
      </c>
      <c r="AB21" s="162">
        <f>IF(L21=2,(VLOOKUP(A21,'E-REF_HNO_pop'!B:E,4,FALSE)),0)</f>
        <v>0</v>
      </c>
      <c r="AC21" s="162">
        <f>IF(L21=3,(VLOOKUP(A21,'E-REF_HNO_pop'!B:E,4,FALSE)),0)</f>
        <v>0</v>
      </c>
      <c r="AD21" s="162">
        <f>IF(L21=4,(VLOOKUP(A21,'E-REF_HNO_pop'!B:E,4,FALSE)),0)</f>
        <v>0</v>
      </c>
      <c r="AE21" s="163">
        <f>IF(L21=5,(VLOOKUP(A21,'E-REF_HNO_pop'!B:E,4,FALSE)),0)</f>
        <v>0</v>
      </c>
    </row>
    <row r="22" spans="1:31" x14ac:dyDescent="0.35">
      <c r="A22" s="11" t="s">
        <v>136</v>
      </c>
      <c r="B22">
        <v>1</v>
      </c>
      <c r="C22">
        <v>1</v>
      </c>
      <c r="D22">
        <v>1</v>
      </c>
      <c r="E22">
        <v>1</v>
      </c>
      <c r="F22">
        <v>1</v>
      </c>
      <c r="G22">
        <v>4</v>
      </c>
      <c r="H22" s="3">
        <f t="shared" si="1"/>
        <v>4</v>
      </c>
      <c r="I22" s="3">
        <f t="shared" si="2"/>
        <v>1</v>
      </c>
      <c r="J22" s="3">
        <f t="shared" si="3"/>
        <v>1</v>
      </c>
      <c r="K22" s="3">
        <f t="shared" si="4"/>
        <v>2</v>
      </c>
      <c r="L22" s="3">
        <f t="shared" si="0"/>
        <v>2</v>
      </c>
      <c r="M22" s="160">
        <f>VLOOKUP(A22,'E-REF_HNO_pop'!B:E,2,FALSE)</f>
        <v>163358</v>
      </c>
      <c r="N22" s="161">
        <f>IF(L22&gt;=3,(VLOOKUP(A22,'E-REF_HNO_pop'!B:E,2,FALSE)),0)</f>
        <v>0</v>
      </c>
      <c r="O22" s="162">
        <f>IF(L22&gt;=3,(VLOOKUP(A22,'E-REF_HNO_pop'!B:E,3,FALSE)),0)</f>
        <v>0</v>
      </c>
      <c r="P22" s="163">
        <f>IF(L22&gt;=3,(VLOOKUP(A22,'E-REF_HNO_pop'!B:E,4,FALSE)),0)</f>
        <v>0</v>
      </c>
      <c r="Q22" s="161">
        <f>IF(L22=1,(VLOOKUP(A22,'E-REF_HNO_pop'!B:E,2,FALSE)),0)</f>
        <v>0</v>
      </c>
      <c r="R22" s="162">
        <f>IF(L22=2,(VLOOKUP(A22,'E-REF_HNO_pop'!B:E,2,FALSE)),0)</f>
        <v>163358</v>
      </c>
      <c r="S22" s="162">
        <f>IF(L22=3,(VLOOKUP(A22,'E-REF_HNO_pop'!B:E,2,FALSE)),0)</f>
        <v>0</v>
      </c>
      <c r="T22" s="162">
        <f>IF(L22=4,(VLOOKUP(A22,'E-REF_HNO_pop'!B:E,2,FALSE)),0)</f>
        <v>0</v>
      </c>
      <c r="U22" s="163">
        <f>IF(L22=5,(VLOOKUP(A22,'E-REF_HNO_pop'!B:E,2,FALSE)),0)</f>
        <v>0</v>
      </c>
      <c r="V22" s="161">
        <f>IF(L22=1,(VLOOKUP(A22,'E-REF_HNO_pop'!B:E,3,FALSE)),0)</f>
        <v>0</v>
      </c>
      <c r="W22" s="162">
        <f>IF(L22=2,(VLOOKUP(A22,'E-REF_HNO_pop'!B:E,3,FALSE)),0)</f>
        <v>6000</v>
      </c>
      <c r="X22" s="162">
        <f>IF(L22=3,(VLOOKUP(A22,'E-REF_HNO_pop'!B:E,3,FALSE)),0)</f>
        <v>0</v>
      </c>
      <c r="Y22" s="162">
        <f>IF(L22=4,(VLOOKUP(A22,'E-REF_HNO_pop'!B:E,3,FALSE)),0)</f>
        <v>0</v>
      </c>
      <c r="Z22" s="163">
        <f>IF(L22=5,(VLOOKUP(A22,'E-REF_HNO_pop'!B:E,3,FALSE)),0)</f>
        <v>0</v>
      </c>
      <c r="AA22" s="161">
        <f>IF(L22=1,(VLOOKUP(A22,'E-REF_HNO_pop'!B:E,4,FALSE)),0)</f>
        <v>0</v>
      </c>
      <c r="AB22" s="162">
        <f>IF(L22=2,(VLOOKUP(A22,'E-REF_HNO_pop'!B:E,4,FALSE)),0)</f>
        <v>157358</v>
      </c>
      <c r="AC22" s="162">
        <f>IF(L22=3,(VLOOKUP(A22,'E-REF_HNO_pop'!B:E,4,FALSE)),0)</f>
        <v>0</v>
      </c>
      <c r="AD22" s="162">
        <f>IF(L22=4,(VLOOKUP(A22,'E-REF_HNO_pop'!B:E,4,FALSE)),0)</f>
        <v>0</v>
      </c>
      <c r="AE22" s="163">
        <f>IF(L22=5,(VLOOKUP(A22,'E-REF_HNO_pop'!B:E,4,FALSE)),0)</f>
        <v>0</v>
      </c>
    </row>
    <row r="23" spans="1:31" x14ac:dyDescent="0.35">
      <c r="A23" s="11" t="s">
        <v>141</v>
      </c>
      <c r="B23">
        <v>1</v>
      </c>
      <c r="C23">
        <v>3</v>
      </c>
      <c r="D23">
        <v>1</v>
      </c>
      <c r="E23">
        <v>3</v>
      </c>
      <c r="F23">
        <v>1</v>
      </c>
      <c r="G23">
        <v>1</v>
      </c>
      <c r="H23" s="3">
        <f t="shared" si="1"/>
        <v>3</v>
      </c>
      <c r="I23" s="3">
        <f t="shared" si="2"/>
        <v>3</v>
      </c>
      <c r="J23" s="3">
        <f t="shared" si="3"/>
        <v>1</v>
      </c>
      <c r="K23" s="3">
        <f t="shared" si="4"/>
        <v>2</v>
      </c>
      <c r="L23" s="3">
        <f t="shared" si="0"/>
        <v>2</v>
      </c>
      <c r="M23" s="160">
        <f>VLOOKUP(A23,'E-REF_HNO_pop'!B:E,2,FALSE)</f>
        <v>365900</v>
      </c>
      <c r="N23" s="161">
        <f>IF(L23&gt;=3,(VLOOKUP(A23,'E-REF_HNO_pop'!B:E,2,FALSE)),0)</f>
        <v>0</v>
      </c>
      <c r="O23" s="162">
        <f>IF(L23&gt;=3,(VLOOKUP(A23,'E-REF_HNO_pop'!B:E,3,FALSE)),0)</f>
        <v>0</v>
      </c>
      <c r="P23" s="163">
        <f>IF(L23&gt;=3,(VLOOKUP(A23,'E-REF_HNO_pop'!B:E,4,FALSE)),0)</f>
        <v>0</v>
      </c>
      <c r="Q23" s="161">
        <f>IF(L23=1,(VLOOKUP(A23,'E-REF_HNO_pop'!B:E,2,FALSE)),0)</f>
        <v>0</v>
      </c>
      <c r="R23" s="162">
        <f>IF(L23=2,(VLOOKUP(A23,'E-REF_HNO_pop'!B:E,2,FALSE)),0)</f>
        <v>365900</v>
      </c>
      <c r="S23" s="162">
        <f>IF(L23=3,(VLOOKUP(A23,'E-REF_HNO_pop'!B:E,2,FALSE)),0)</f>
        <v>0</v>
      </c>
      <c r="T23" s="162">
        <f>IF(L23=4,(VLOOKUP(A23,'E-REF_HNO_pop'!B:E,2,FALSE)),0)</f>
        <v>0</v>
      </c>
      <c r="U23" s="163">
        <f>IF(L23=5,(VLOOKUP(A23,'E-REF_HNO_pop'!B:E,2,FALSE)),0)</f>
        <v>0</v>
      </c>
      <c r="V23" s="161">
        <f>IF(L23=1,(VLOOKUP(A23,'E-REF_HNO_pop'!B:E,3,FALSE)),0)</f>
        <v>0</v>
      </c>
      <c r="W23" s="162">
        <f>IF(L23=2,(VLOOKUP(A23,'E-REF_HNO_pop'!B:E,3,FALSE)),0)</f>
        <v>23600</v>
      </c>
      <c r="X23" s="162">
        <f>IF(L23=3,(VLOOKUP(A23,'E-REF_HNO_pop'!B:E,3,FALSE)),0)</f>
        <v>0</v>
      </c>
      <c r="Y23" s="162">
        <f>IF(L23=4,(VLOOKUP(A23,'E-REF_HNO_pop'!B:E,3,FALSE)),0)</f>
        <v>0</v>
      </c>
      <c r="Z23" s="163">
        <f>IF(L23=5,(VLOOKUP(A23,'E-REF_HNO_pop'!B:E,3,FALSE)),0)</f>
        <v>0</v>
      </c>
      <c r="AA23" s="161">
        <f>IF(L23=1,(VLOOKUP(A23,'E-REF_HNO_pop'!B:E,4,FALSE)),0)</f>
        <v>0</v>
      </c>
      <c r="AB23" s="162">
        <f>IF(L23=2,(VLOOKUP(A23,'E-REF_HNO_pop'!B:E,4,FALSE)),0)</f>
        <v>342300</v>
      </c>
      <c r="AC23" s="162">
        <f>IF(L23=3,(VLOOKUP(A23,'E-REF_HNO_pop'!B:E,4,FALSE)),0)</f>
        <v>0</v>
      </c>
      <c r="AD23" s="162">
        <f>IF(L23=4,(VLOOKUP(A23,'E-REF_HNO_pop'!B:E,4,FALSE)),0)</f>
        <v>0</v>
      </c>
      <c r="AE23" s="163">
        <f>IF(L23=5,(VLOOKUP(A23,'E-REF_HNO_pop'!B:E,4,FALSE)),0)</f>
        <v>0</v>
      </c>
    </row>
    <row r="24" spans="1:31" x14ac:dyDescent="0.35">
      <c r="A24" s="11" t="s">
        <v>92</v>
      </c>
      <c r="B24">
        <v>1</v>
      </c>
      <c r="C24">
        <v>4</v>
      </c>
      <c r="D24">
        <v>1</v>
      </c>
      <c r="E24">
        <v>4</v>
      </c>
      <c r="F24">
        <v>1</v>
      </c>
      <c r="G24">
        <v>1</v>
      </c>
      <c r="H24" s="3">
        <f t="shared" si="1"/>
        <v>4</v>
      </c>
      <c r="I24" s="3">
        <f t="shared" si="2"/>
        <v>4</v>
      </c>
      <c r="J24" s="3">
        <f t="shared" si="3"/>
        <v>1</v>
      </c>
      <c r="K24" s="3">
        <f t="shared" si="4"/>
        <v>2</v>
      </c>
      <c r="L24" s="3">
        <f t="shared" si="0"/>
        <v>2</v>
      </c>
      <c r="M24" s="160">
        <f>VLOOKUP(A24,'E-REF_HNO_pop'!B:E,2,FALSE)</f>
        <v>303700</v>
      </c>
      <c r="N24" s="161">
        <f>IF(L24&gt;=3,(VLOOKUP(A24,'E-REF_HNO_pop'!B:E,2,FALSE)),0)</f>
        <v>0</v>
      </c>
      <c r="O24" s="162">
        <f>IF(L24&gt;=3,(VLOOKUP(A24,'E-REF_HNO_pop'!B:E,3,FALSE)),0)</f>
        <v>0</v>
      </c>
      <c r="P24" s="163">
        <f>IF(L24&gt;=3,(VLOOKUP(A24,'E-REF_HNO_pop'!B:E,4,FALSE)),0)</f>
        <v>0</v>
      </c>
      <c r="Q24" s="161">
        <f>IF(L24=1,(VLOOKUP(A24,'E-REF_HNO_pop'!B:E,2,FALSE)),0)</f>
        <v>0</v>
      </c>
      <c r="R24" s="162">
        <f>IF(L24=2,(VLOOKUP(A24,'E-REF_HNO_pop'!B:E,2,FALSE)),0)</f>
        <v>303700</v>
      </c>
      <c r="S24" s="162">
        <f>IF(L24=3,(VLOOKUP(A24,'E-REF_HNO_pop'!B:E,2,FALSE)),0)</f>
        <v>0</v>
      </c>
      <c r="T24" s="162">
        <f>IF(L24=4,(VLOOKUP(A24,'E-REF_HNO_pop'!B:E,2,FALSE)),0)</f>
        <v>0</v>
      </c>
      <c r="U24" s="163">
        <f>IF(L24=5,(VLOOKUP(A24,'E-REF_HNO_pop'!B:E,2,FALSE)),0)</f>
        <v>0</v>
      </c>
      <c r="V24" s="161">
        <f>IF(L24=1,(VLOOKUP(A24,'E-REF_HNO_pop'!B:E,3,FALSE)),0)</f>
        <v>0</v>
      </c>
      <c r="W24" s="162">
        <f>IF(L24=2,(VLOOKUP(A24,'E-REF_HNO_pop'!B:E,3,FALSE)),0)</f>
        <v>64100</v>
      </c>
      <c r="X24" s="162">
        <f>IF(L24=3,(VLOOKUP(A24,'E-REF_HNO_pop'!B:E,3,FALSE)),0)</f>
        <v>0</v>
      </c>
      <c r="Y24" s="162">
        <f>IF(L24=4,(VLOOKUP(A24,'E-REF_HNO_pop'!B:E,3,FALSE)),0)</f>
        <v>0</v>
      </c>
      <c r="Z24" s="163">
        <f>IF(L24=5,(VLOOKUP(A24,'E-REF_HNO_pop'!B:E,3,FALSE)),0)</f>
        <v>0</v>
      </c>
      <c r="AA24" s="161">
        <f>IF(L24=1,(VLOOKUP(A24,'E-REF_HNO_pop'!B:E,4,FALSE)),0)</f>
        <v>0</v>
      </c>
      <c r="AB24" s="162">
        <f>IF(L24=2,(VLOOKUP(A24,'E-REF_HNO_pop'!B:E,4,FALSE)),0)</f>
        <v>239600</v>
      </c>
      <c r="AC24" s="162">
        <f>IF(L24=3,(VLOOKUP(A24,'E-REF_HNO_pop'!B:E,4,FALSE)),0)</f>
        <v>0</v>
      </c>
      <c r="AD24" s="162">
        <f>IF(L24=4,(VLOOKUP(A24,'E-REF_HNO_pop'!B:E,4,FALSE)),0)</f>
        <v>0</v>
      </c>
      <c r="AE24" s="163">
        <f>IF(L24=5,(VLOOKUP(A24,'E-REF_HNO_pop'!B:E,4,FALSE)),0)</f>
        <v>0</v>
      </c>
    </row>
    <row r="25" spans="1:31" x14ac:dyDescent="0.35">
      <c r="A25" s="11" t="s">
        <v>96</v>
      </c>
      <c r="B25">
        <v>1</v>
      </c>
      <c r="C25">
        <v>1</v>
      </c>
      <c r="D25">
        <v>1</v>
      </c>
      <c r="E25">
        <v>1</v>
      </c>
      <c r="F25">
        <v>1</v>
      </c>
      <c r="G25">
        <v>5</v>
      </c>
      <c r="H25" s="3">
        <f t="shared" si="1"/>
        <v>5</v>
      </c>
      <c r="I25" s="3">
        <f t="shared" si="2"/>
        <v>1</v>
      </c>
      <c r="J25" s="3">
        <f t="shared" si="3"/>
        <v>1</v>
      </c>
      <c r="K25" s="3">
        <f t="shared" si="4"/>
        <v>2</v>
      </c>
      <c r="L25" s="3">
        <f t="shared" si="0"/>
        <v>2</v>
      </c>
      <c r="M25" s="160">
        <f>VLOOKUP(A25,'E-REF_HNO_pop'!B:E,2,FALSE)</f>
        <v>119516</v>
      </c>
      <c r="N25" s="161">
        <f>IF(L25&gt;=3,(VLOOKUP(A25,'E-REF_HNO_pop'!B:E,2,FALSE)),0)</f>
        <v>0</v>
      </c>
      <c r="O25" s="162">
        <f>IF(L25&gt;=3,(VLOOKUP(A25,'E-REF_HNO_pop'!B:E,3,FALSE)),0)</f>
        <v>0</v>
      </c>
      <c r="P25" s="163">
        <f>IF(L25&gt;=3,(VLOOKUP(A25,'E-REF_HNO_pop'!B:E,4,FALSE)),0)</f>
        <v>0</v>
      </c>
      <c r="Q25" s="161">
        <f>IF(L25=1,(VLOOKUP(A25,'E-REF_HNO_pop'!B:E,2,FALSE)),0)</f>
        <v>0</v>
      </c>
      <c r="R25" s="162">
        <f>IF(L25=2,(VLOOKUP(A25,'E-REF_HNO_pop'!B:E,2,FALSE)),0)</f>
        <v>119516</v>
      </c>
      <c r="S25" s="162">
        <f>IF(L25=3,(VLOOKUP(A25,'E-REF_HNO_pop'!B:E,2,FALSE)),0)</f>
        <v>0</v>
      </c>
      <c r="T25" s="162">
        <f>IF(L25=4,(VLOOKUP(A25,'E-REF_HNO_pop'!B:E,2,FALSE)),0)</f>
        <v>0</v>
      </c>
      <c r="U25" s="163">
        <f>IF(L25=5,(VLOOKUP(A25,'E-REF_HNO_pop'!B:E,2,FALSE)),0)</f>
        <v>0</v>
      </c>
      <c r="V25" s="161">
        <f>IF(L25=1,(VLOOKUP(A25,'E-REF_HNO_pop'!B:E,3,FALSE)),0)</f>
        <v>0</v>
      </c>
      <c r="W25" s="162">
        <f>IF(L25=2,(VLOOKUP(A25,'E-REF_HNO_pop'!B:E,3,FALSE)),0)</f>
        <v>25700</v>
      </c>
      <c r="X25" s="162">
        <f>IF(L25=3,(VLOOKUP(A25,'E-REF_HNO_pop'!B:E,3,FALSE)),0)</f>
        <v>0</v>
      </c>
      <c r="Y25" s="162">
        <f>IF(L25=4,(VLOOKUP(A25,'E-REF_HNO_pop'!B:E,3,FALSE)),0)</f>
        <v>0</v>
      </c>
      <c r="Z25" s="163">
        <f>IF(L25=5,(VLOOKUP(A25,'E-REF_HNO_pop'!B:E,3,FALSE)),0)</f>
        <v>0</v>
      </c>
      <c r="AA25" s="161">
        <f>IF(L25=1,(VLOOKUP(A25,'E-REF_HNO_pop'!B:E,4,FALSE)),0)</f>
        <v>0</v>
      </c>
      <c r="AB25" s="162">
        <f>IF(L25=2,(VLOOKUP(A25,'E-REF_HNO_pop'!B:E,4,FALSE)),0)</f>
        <v>93816</v>
      </c>
      <c r="AC25" s="162">
        <f>IF(L25=3,(VLOOKUP(A25,'E-REF_HNO_pop'!B:E,4,FALSE)),0)</f>
        <v>0</v>
      </c>
      <c r="AD25" s="162">
        <f>IF(L25=4,(VLOOKUP(A25,'E-REF_HNO_pop'!B:E,4,FALSE)),0)</f>
        <v>0</v>
      </c>
      <c r="AE25" s="163">
        <f>IF(L25=5,(VLOOKUP(A25,'E-REF_HNO_pop'!B:E,4,FALSE)),0)</f>
        <v>0</v>
      </c>
    </row>
    <row r="26" spans="1:31" x14ac:dyDescent="0.35">
      <c r="A26" s="11" t="s">
        <v>97</v>
      </c>
      <c r="B26">
        <v>1</v>
      </c>
      <c r="C26">
        <v>4</v>
      </c>
      <c r="D26">
        <v>4</v>
      </c>
      <c r="E26">
        <v>3</v>
      </c>
      <c r="F26">
        <v>1</v>
      </c>
      <c r="G26">
        <v>1</v>
      </c>
      <c r="H26" s="3">
        <f t="shared" si="1"/>
        <v>4</v>
      </c>
      <c r="I26" s="3">
        <f t="shared" si="2"/>
        <v>4</v>
      </c>
      <c r="J26" s="3">
        <f t="shared" si="3"/>
        <v>3</v>
      </c>
      <c r="K26" s="3">
        <f t="shared" si="4"/>
        <v>2</v>
      </c>
      <c r="L26" s="3">
        <f t="shared" si="0"/>
        <v>2</v>
      </c>
      <c r="M26" s="160">
        <f>VLOOKUP(A26,'E-REF_HNO_pop'!B:E,2,FALSE)</f>
        <v>247081</v>
      </c>
      <c r="N26" s="161">
        <f>IF(L26&gt;=3,(VLOOKUP(A26,'E-REF_HNO_pop'!B:E,2,FALSE)),0)</f>
        <v>0</v>
      </c>
      <c r="O26" s="162">
        <f>IF(L26&gt;=3,(VLOOKUP(A26,'E-REF_HNO_pop'!B:E,3,FALSE)),0)</f>
        <v>0</v>
      </c>
      <c r="P26" s="163">
        <f>IF(L26&gt;=3,(VLOOKUP(A26,'E-REF_HNO_pop'!B:E,4,FALSE)),0)</f>
        <v>0</v>
      </c>
      <c r="Q26" s="161">
        <f>IF(L26=1,(VLOOKUP(A26,'E-REF_HNO_pop'!B:E,2,FALSE)),0)</f>
        <v>0</v>
      </c>
      <c r="R26" s="162">
        <f>IF(L26=2,(VLOOKUP(A26,'E-REF_HNO_pop'!B:E,2,FALSE)),0)</f>
        <v>247081</v>
      </c>
      <c r="S26" s="162">
        <f>IF(L26=3,(VLOOKUP(A26,'E-REF_HNO_pop'!B:E,2,FALSE)),0)</f>
        <v>0</v>
      </c>
      <c r="T26" s="162">
        <f>IF(L26=4,(VLOOKUP(A26,'E-REF_HNO_pop'!B:E,2,FALSE)),0)</f>
        <v>0</v>
      </c>
      <c r="U26" s="163">
        <f>IF(L26=5,(VLOOKUP(A26,'E-REF_HNO_pop'!B:E,2,FALSE)),0)</f>
        <v>0</v>
      </c>
      <c r="V26" s="161">
        <f>IF(L26=1,(VLOOKUP(A26,'E-REF_HNO_pop'!B:E,3,FALSE)),0)</f>
        <v>0</v>
      </c>
      <c r="W26" s="162">
        <f>IF(L26=2,(VLOOKUP(A26,'E-REF_HNO_pop'!B:E,3,FALSE)),0)</f>
        <v>7100</v>
      </c>
      <c r="X26" s="162">
        <f>IF(L26=3,(VLOOKUP(A26,'E-REF_HNO_pop'!B:E,3,FALSE)),0)</f>
        <v>0</v>
      </c>
      <c r="Y26" s="162">
        <f>IF(L26=4,(VLOOKUP(A26,'E-REF_HNO_pop'!B:E,3,FALSE)),0)</f>
        <v>0</v>
      </c>
      <c r="Z26" s="163">
        <f>IF(L26=5,(VLOOKUP(A26,'E-REF_HNO_pop'!B:E,3,FALSE)),0)</f>
        <v>0</v>
      </c>
      <c r="AA26" s="161">
        <f>IF(L26=1,(VLOOKUP(A26,'E-REF_HNO_pop'!B:E,4,FALSE)),0)</f>
        <v>0</v>
      </c>
      <c r="AB26" s="162">
        <f>IF(L26=2,(VLOOKUP(A26,'E-REF_HNO_pop'!B:E,4,FALSE)),0)</f>
        <v>239981</v>
      </c>
      <c r="AC26" s="162">
        <f>IF(L26=3,(VLOOKUP(A26,'E-REF_HNO_pop'!B:E,4,FALSE)),0)</f>
        <v>0</v>
      </c>
      <c r="AD26" s="162">
        <f>IF(L26=4,(VLOOKUP(A26,'E-REF_HNO_pop'!B:E,4,FALSE)),0)</f>
        <v>0</v>
      </c>
      <c r="AE26" s="163">
        <f>IF(L26=5,(VLOOKUP(A26,'E-REF_HNO_pop'!B:E,4,FALSE)),0)</f>
        <v>0</v>
      </c>
    </row>
    <row r="27" spans="1:31" x14ac:dyDescent="0.35">
      <c r="A27" s="11" t="s">
        <v>166</v>
      </c>
      <c r="B27">
        <v>1</v>
      </c>
      <c r="C27">
        <v>2</v>
      </c>
      <c r="D27">
        <v>1</v>
      </c>
      <c r="E27">
        <v>2</v>
      </c>
      <c r="F27">
        <v>1</v>
      </c>
      <c r="G27">
        <v>1</v>
      </c>
      <c r="H27" s="3">
        <f t="shared" si="1"/>
        <v>2</v>
      </c>
      <c r="I27" s="3">
        <f t="shared" si="2"/>
        <v>2</v>
      </c>
      <c r="J27" s="3">
        <f t="shared" si="3"/>
        <v>1</v>
      </c>
      <c r="K27" s="3">
        <f t="shared" si="4"/>
        <v>1</v>
      </c>
      <c r="L27" s="3">
        <f t="shared" si="0"/>
        <v>1</v>
      </c>
      <c r="M27" s="160">
        <f>VLOOKUP(A27,'E-REF_HNO_pop'!B:E,2,FALSE)</f>
        <v>115329</v>
      </c>
      <c r="N27" s="161">
        <f>IF(L27&gt;=3,(VLOOKUP(A27,'E-REF_HNO_pop'!B:E,2,FALSE)),0)</f>
        <v>0</v>
      </c>
      <c r="O27" s="162">
        <f>IF(L27&gt;=3,(VLOOKUP(A27,'E-REF_HNO_pop'!B:E,3,FALSE)),0)</f>
        <v>0</v>
      </c>
      <c r="P27" s="163">
        <f>IF(L27&gt;=3,(VLOOKUP(A27,'E-REF_HNO_pop'!B:E,4,FALSE)),0)</f>
        <v>0</v>
      </c>
      <c r="Q27" s="161">
        <f>IF(L27=1,(VLOOKUP(A27,'E-REF_HNO_pop'!B:E,2,FALSE)),0)</f>
        <v>115329</v>
      </c>
      <c r="R27" s="162">
        <f>IF(L27=2,(VLOOKUP(A27,'E-REF_HNO_pop'!B:E,2,FALSE)),0)</f>
        <v>0</v>
      </c>
      <c r="S27" s="162">
        <f>IF(L27=3,(VLOOKUP(A27,'E-REF_HNO_pop'!B:E,2,FALSE)),0)</f>
        <v>0</v>
      </c>
      <c r="T27" s="162">
        <f>IF(L27=4,(VLOOKUP(A27,'E-REF_HNO_pop'!B:E,2,FALSE)),0)</f>
        <v>0</v>
      </c>
      <c r="U27" s="163">
        <f>IF(L27=5,(VLOOKUP(A27,'E-REF_HNO_pop'!B:E,2,FALSE)),0)</f>
        <v>0</v>
      </c>
      <c r="V27" s="161">
        <f>IF(L27=1,(VLOOKUP(A27,'E-REF_HNO_pop'!B:E,3,FALSE)),0)</f>
        <v>0</v>
      </c>
      <c r="W27" s="162">
        <f>IF(L27=2,(VLOOKUP(A27,'E-REF_HNO_pop'!B:E,3,FALSE)),0)</f>
        <v>0</v>
      </c>
      <c r="X27" s="162">
        <f>IF(L27=3,(VLOOKUP(A27,'E-REF_HNO_pop'!B:E,3,FALSE)),0)</f>
        <v>0</v>
      </c>
      <c r="Y27" s="162">
        <f>IF(L27=4,(VLOOKUP(A27,'E-REF_HNO_pop'!B:E,3,FALSE)),0)</f>
        <v>0</v>
      </c>
      <c r="Z27" s="163">
        <f>IF(L27=5,(VLOOKUP(A27,'E-REF_HNO_pop'!B:E,3,FALSE)),0)</f>
        <v>0</v>
      </c>
      <c r="AA27" s="161">
        <f>IF(L27=1,(VLOOKUP(A27,'E-REF_HNO_pop'!B:E,4,FALSE)),0)</f>
        <v>115329</v>
      </c>
      <c r="AB27" s="162">
        <f>IF(L27=2,(VLOOKUP(A27,'E-REF_HNO_pop'!B:E,4,FALSE)),0)</f>
        <v>0</v>
      </c>
      <c r="AC27" s="162">
        <f>IF(L27=3,(VLOOKUP(A27,'E-REF_HNO_pop'!B:E,4,FALSE)),0)</f>
        <v>0</v>
      </c>
      <c r="AD27" s="162">
        <f>IF(L27=4,(VLOOKUP(A27,'E-REF_HNO_pop'!B:E,4,FALSE)),0)</f>
        <v>0</v>
      </c>
      <c r="AE27" s="163">
        <f>IF(L27=5,(VLOOKUP(A27,'E-REF_HNO_pop'!B:E,4,FALSE)),0)</f>
        <v>0</v>
      </c>
    </row>
    <row r="28" spans="1:31" x14ac:dyDescent="0.35">
      <c r="A28" s="11" t="s">
        <v>101</v>
      </c>
      <c r="B28">
        <v>1</v>
      </c>
      <c r="C28">
        <v>1</v>
      </c>
      <c r="D28">
        <v>1</v>
      </c>
      <c r="E28">
        <v>1</v>
      </c>
      <c r="F28">
        <v>1</v>
      </c>
      <c r="G28">
        <v>3</v>
      </c>
      <c r="H28" s="3">
        <f t="shared" si="1"/>
        <v>3</v>
      </c>
      <c r="I28" s="3">
        <f t="shared" si="2"/>
        <v>1</v>
      </c>
      <c r="J28" s="3">
        <f t="shared" si="3"/>
        <v>1</v>
      </c>
      <c r="K28" s="3">
        <f t="shared" si="4"/>
        <v>1</v>
      </c>
      <c r="L28" s="3">
        <f t="shared" si="0"/>
        <v>1</v>
      </c>
      <c r="M28" s="160">
        <f>VLOOKUP(A28,'E-REF_HNO_pop'!B:E,2,FALSE)</f>
        <v>126545</v>
      </c>
      <c r="N28" s="161">
        <f>IF(L28&gt;=3,(VLOOKUP(A28,'E-REF_HNO_pop'!B:E,2,FALSE)),0)</f>
        <v>0</v>
      </c>
      <c r="O28" s="162">
        <f>IF(L28&gt;=3,(VLOOKUP(A28,'E-REF_HNO_pop'!B:E,3,FALSE)),0)</f>
        <v>0</v>
      </c>
      <c r="P28" s="163">
        <f>IF(L28&gt;=3,(VLOOKUP(A28,'E-REF_HNO_pop'!B:E,4,FALSE)),0)</f>
        <v>0</v>
      </c>
      <c r="Q28" s="161">
        <f>IF(L28=1,(VLOOKUP(A28,'E-REF_HNO_pop'!B:E,2,FALSE)),0)</f>
        <v>126545</v>
      </c>
      <c r="R28" s="162">
        <f>IF(L28=2,(VLOOKUP(A28,'E-REF_HNO_pop'!B:E,2,FALSE)),0)</f>
        <v>0</v>
      </c>
      <c r="S28" s="162">
        <f>IF(L28=3,(VLOOKUP(A28,'E-REF_HNO_pop'!B:E,2,FALSE)),0)</f>
        <v>0</v>
      </c>
      <c r="T28" s="162">
        <f>IF(L28=4,(VLOOKUP(A28,'E-REF_HNO_pop'!B:E,2,FALSE)),0)</f>
        <v>0</v>
      </c>
      <c r="U28" s="163">
        <f>IF(L28=5,(VLOOKUP(A28,'E-REF_HNO_pop'!B:E,2,FALSE)),0)</f>
        <v>0</v>
      </c>
      <c r="V28" s="161">
        <f>IF(L28=1,(VLOOKUP(A28,'E-REF_HNO_pop'!B:E,3,FALSE)),0)</f>
        <v>4200</v>
      </c>
      <c r="W28" s="162">
        <f>IF(L28=2,(VLOOKUP(A28,'E-REF_HNO_pop'!B:E,3,FALSE)),0)</f>
        <v>0</v>
      </c>
      <c r="X28" s="162">
        <f>IF(L28=3,(VLOOKUP(A28,'E-REF_HNO_pop'!B:E,3,FALSE)),0)</f>
        <v>0</v>
      </c>
      <c r="Y28" s="162">
        <f>IF(L28=4,(VLOOKUP(A28,'E-REF_HNO_pop'!B:E,3,FALSE)),0)</f>
        <v>0</v>
      </c>
      <c r="Z28" s="163">
        <f>IF(L28=5,(VLOOKUP(A28,'E-REF_HNO_pop'!B:E,3,FALSE)),0)</f>
        <v>0</v>
      </c>
      <c r="AA28" s="161">
        <f>IF(L28=1,(VLOOKUP(A28,'E-REF_HNO_pop'!B:E,4,FALSE)),0)</f>
        <v>122345</v>
      </c>
      <c r="AB28" s="162">
        <f>IF(L28=2,(VLOOKUP(A28,'E-REF_HNO_pop'!B:E,4,FALSE)),0)</f>
        <v>0</v>
      </c>
      <c r="AC28" s="162">
        <f>IF(L28=3,(VLOOKUP(A28,'E-REF_HNO_pop'!B:E,4,FALSE)),0)</f>
        <v>0</v>
      </c>
      <c r="AD28" s="162">
        <f>IF(L28=4,(VLOOKUP(A28,'E-REF_HNO_pop'!B:E,4,FALSE)),0)</f>
        <v>0</v>
      </c>
      <c r="AE28" s="163">
        <f>IF(L28=5,(VLOOKUP(A28,'E-REF_HNO_pop'!B:E,4,FALSE)),0)</f>
        <v>0</v>
      </c>
    </row>
    <row r="29" spans="1:31" x14ac:dyDescent="0.35">
      <c r="A29" s="11" t="s">
        <v>167</v>
      </c>
      <c r="B29">
        <v>1</v>
      </c>
      <c r="C29">
        <v>1</v>
      </c>
      <c r="D29">
        <v>1</v>
      </c>
      <c r="E29">
        <v>1</v>
      </c>
      <c r="F29">
        <v>1</v>
      </c>
      <c r="G29">
        <v>5</v>
      </c>
      <c r="H29" s="3">
        <f t="shared" si="1"/>
        <v>5</v>
      </c>
      <c r="I29" s="3">
        <f t="shared" si="2"/>
        <v>1</v>
      </c>
      <c r="J29" s="3">
        <f t="shared" si="3"/>
        <v>1</v>
      </c>
      <c r="K29" s="3">
        <f t="shared" si="4"/>
        <v>2</v>
      </c>
      <c r="L29" s="3">
        <f t="shared" si="0"/>
        <v>2</v>
      </c>
      <c r="M29" s="160">
        <f>VLOOKUP(A29,'E-REF_HNO_pop'!B:E,2,FALSE)</f>
        <v>75638</v>
      </c>
      <c r="N29" s="161">
        <f>IF(L29&gt;=3,(VLOOKUP(A29,'E-REF_HNO_pop'!B:E,2,FALSE)),0)</f>
        <v>0</v>
      </c>
      <c r="O29" s="162">
        <f>IF(L29&gt;=3,(VLOOKUP(A29,'E-REF_HNO_pop'!B:E,3,FALSE)),0)</f>
        <v>0</v>
      </c>
      <c r="P29" s="163">
        <f>IF(L29&gt;=3,(VLOOKUP(A29,'E-REF_HNO_pop'!B:E,4,FALSE)),0)</f>
        <v>0</v>
      </c>
      <c r="Q29" s="161">
        <f>IF(L29=1,(VLOOKUP(A29,'E-REF_HNO_pop'!B:E,2,FALSE)),0)</f>
        <v>0</v>
      </c>
      <c r="R29" s="162">
        <f>IF(L29=2,(VLOOKUP(A29,'E-REF_HNO_pop'!B:E,2,FALSE)),0)</f>
        <v>75638</v>
      </c>
      <c r="S29" s="162">
        <f>IF(L29=3,(VLOOKUP(A29,'E-REF_HNO_pop'!B:E,2,FALSE)),0)</f>
        <v>0</v>
      </c>
      <c r="T29" s="162">
        <f>IF(L29=4,(VLOOKUP(A29,'E-REF_HNO_pop'!B:E,2,FALSE)),0)</f>
        <v>0</v>
      </c>
      <c r="U29" s="163">
        <f>IF(L29=5,(VLOOKUP(A29,'E-REF_HNO_pop'!B:E,2,FALSE)),0)</f>
        <v>0</v>
      </c>
      <c r="V29" s="161">
        <f>IF(L29=1,(VLOOKUP(A29,'E-REF_HNO_pop'!B:E,3,FALSE)),0)</f>
        <v>0</v>
      </c>
      <c r="W29" s="162">
        <f>IF(L29=2,(VLOOKUP(A29,'E-REF_HNO_pop'!B:E,3,FALSE)),0)</f>
        <v>2000</v>
      </c>
      <c r="X29" s="162">
        <f>IF(L29=3,(VLOOKUP(A29,'E-REF_HNO_pop'!B:E,3,FALSE)),0)</f>
        <v>0</v>
      </c>
      <c r="Y29" s="162">
        <f>IF(L29=4,(VLOOKUP(A29,'E-REF_HNO_pop'!B:E,3,FALSE)),0)</f>
        <v>0</v>
      </c>
      <c r="Z29" s="163">
        <f>IF(L29=5,(VLOOKUP(A29,'E-REF_HNO_pop'!B:E,3,FALSE)),0)</f>
        <v>0</v>
      </c>
      <c r="AA29" s="161">
        <f>IF(L29=1,(VLOOKUP(A29,'E-REF_HNO_pop'!B:E,4,FALSE)),0)</f>
        <v>0</v>
      </c>
      <c r="AB29" s="162">
        <f>IF(L29=2,(VLOOKUP(A29,'E-REF_HNO_pop'!B:E,4,FALSE)),0)</f>
        <v>73638</v>
      </c>
      <c r="AC29" s="162">
        <f>IF(L29=3,(VLOOKUP(A29,'E-REF_HNO_pop'!B:E,4,FALSE)),0)</f>
        <v>0</v>
      </c>
      <c r="AD29" s="162">
        <f>IF(L29=4,(VLOOKUP(A29,'E-REF_HNO_pop'!B:E,4,FALSE)),0)</f>
        <v>0</v>
      </c>
      <c r="AE29" s="163">
        <f>IF(L29=5,(VLOOKUP(A29,'E-REF_HNO_pop'!B:E,4,FALSE)),0)</f>
        <v>0</v>
      </c>
    </row>
    <row r="30" spans="1:31" x14ac:dyDescent="0.35">
      <c r="A30" s="11" t="s">
        <v>107</v>
      </c>
      <c r="B30">
        <v>1</v>
      </c>
      <c r="C30">
        <v>1</v>
      </c>
      <c r="D30">
        <v>1</v>
      </c>
      <c r="E30">
        <v>1</v>
      </c>
      <c r="F30">
        <v>1</v>
      </c>
      <c r="G30">
        <v>2</v>
      </c>
      <c r="H30" s="3">
        <f t="shared" si="1"/>
        <v>2</v>
      </c>
      <c r="I30" s="3">
        <f t="shared" si="2"/>
        <v>1</v>
      </c>
      <c r="J30" s="3">
        <f t="shared" si="3"/>
        <v>1</v>
      </c>
      <c r="K30" s="3">
        <f t="shared" si="4"/>
        <v>1</v>
      </c>
      <c r="L30" s="3">
        <f t="shared" si="0"/>
        <v>1</v>
      </c>
      <c r="M30" s="160">
        <f>VLOOKUP(A30,'E-REF_HNO_pop'!B:E,2,FALSE)</f>
        <v>75797</v>
      </c>
      <c r="N30" s="161">
        <f>IF(L30&gt;=3,(VLOOKUP(A30,'E-REF_HNO_pop'!B:E,2,FALSE)),0)</f>
        <v>0</v>
      </c>
      <c r="O30" s="162">
        <f>IF(L30&gt;=3,(VLOOKUP(A30,'E-REF_HNO_pop'!B:E,3,FALSE)),0)</f>
        <v>0</v>
      </c>
      <c r="P30" s="163">
        <f>IF(L30&gt;=3,(VLOOKUP(A30,'E-REF_HNO_pop'!B:E,4,FALSE)),0)</f>
        <v>0</v>
      </c>
      <c r="Q30" s="161">
        <f>IF(L30=1,(VLOOKUP(A30,'E-REF_HNO_pop'!B:E,2,FALSE)),0)</f>
        <v>75797</v>
      </c>
      <c r="R30" s="162">
        <f>IF(L30=2,(VLOOKUP(A30,'E-REF_HNO_pop'!B:E,2,FALSE)),0)</f>
        <v>0</v>
      </c>
      <c r="S30" s="162">
        <f>IF(L30=3,(VLOOKUP(A30,'E-REF_HNO_pop'!B:E,2,FALSE)),0)</f>
        <v>0</v>
      </c>
      <c r="T30" s="162">
        <f>IF(L30=4,(VLOOKUP(A30,'E-REF_HNO_pop'!B:E,2,FALSE)),0)</f>
        <v>0</v>
      </c>
      <c r="U30" s="163">
        <f>IF(L30=5,(VLOOKUP(A30,'E-REF_HNO_pop'!B:E,2,FALSE)),0)</f>
        <v>0</v>
      </c>
      <c r="V30" s="161">
        <f>IF(L30=1,(VLOOKUP(A30,'E-REF_HNO_pop'!B:E,3,FALSE)),0)</f>
        <v>13900</v>
      </c>
      <c r="W30" s="162">
        <f>IF(L30=2,(VLOOKUP(A30,'E-REF_HNO_pop'!B:E,3,FALSE)),0)</f>
        <v>0</v>
      </c>
      <c r="X30" s="162">
        <f>IF(L30=3,(VLOOKUP(A30,'E-REF_HNO_pop'!B:E,3,FALSE)),0)</f>
        <v>0</v>
      </c>
      <c r="Y30" s="162">
        <f>IF(L30=4,(VLOOKUP(A30,'E-REF_HNO_pop'!B:E,3,FALSE)),0)</f>
        <v>0</v>
      </c>
      <c r="Z30" s="163">
        <f>IF(L30=5,(VLOOKUP(A30,'E-REF_HNO_pop'!B:E,3,FALSE)),0)</f>
        <v>0</v>
      </c>
      <c r="AA30" s="161">
        <f>IF(L30=1,(VLOOKUP(A30,'E-REF_HNO_pop'!B:E,4,FALSE)),0)</f>
        <v>61897</v>
      </c>
      <c r="AB30" s="162">
        <f>IF(L30=2,(VLOOKUP(A30,'E-REF_HNO_pop'!B:E,4,FALSE)),0)</f>
        <v>0</v>
      </c>
      <c r="AC30" s="162">
        <f>IF(L30=3,(VLOOKUP(A30,'E-REF_HNO_pop'!B:E,4,FALSE)),0)</f>
        <v>0</v>
      </c>
      <c r="AD30" s="162">
        <f>IF(L30=4,(VLOOKUP(A30,'E-REF_HNO_pop'!B:E,4,FALSE)),0)</f>
        <v>0</v>
      </c>
      <c r="AE30" s="163">
        <f>IF(L30=5,(VLOOKUP(A30,'E-REF_HNO_pop'!B:E,4,FALSE)),0)</f>
        <v>0</v>
      </c>
    </row>
    <row r="31" spans="1:31" x14ac:dyDescent="0.35">
      <c r="A31" s="11" t="s">
        <v>155</v>
      </c>
      <c r="B31">
        <v>1</v>
      </c>
      <c r="C31">
        <v>2</v>
      </c>
      <c r="D31">
        <v>1</v>
      </c>
      <c r="E31">
        <v>3</v>
      </c>
      <c r="F31">
        <v>1</v>
      </c>
      <c r="G31">
        <v>1</v>
      </c>
      <c r="H31" s="3">
        <f t="shared" si="1"/>
        <v>3</v>
      </c>
      <c r="I31" s="3">
        <f t="shared" si="2"/>
        <v>2</v>
      </c>
      <c r="J31" s="3">
        <f t="shared" si="3"/>
        <v>1</v>
      </c>
      <c r="K31" s="3">
        <f t="shared" si="4"/>
        <v>2</v>
      </c>
      <c r="L31" s="3">
        <f t="shared" si="0"/>
        <v>2</v>
      </c>
      <c r="M31" s="160">
        <f>VLOOKUP(A31,'E-REF_HNO_pop'!B:E,2,FALSE)</f>
        <v>319547</v>
      </c>
      <c r="N31" s="161">
        <f>IF(L31&gt;=3,(VLOOKUP(A31,'E-REF_HNO_pop'!B:E,2,FALSE)),0)</f>
        <v>0</v>
      </c>
      <c r="O31" s="162">
        <f>IF(L31&gt;=3,(VLOOKUP(A31,'E-REF_HNO_pop'!B:E,3,FALSE)),0)</f>
        <v>0</v>
      </c>
      <c r="P31" s="163">
        <f>IF(L31&gt;=3,(VLOOKUP(A31,'E-REF_HNO_pop'!B:E,4,FALSE)),0)</f>
        <v>0</v>
      </c>
      <c r="Q31" s="161">
        <f>IF(L31=1,(VLOOKUP(A31,'E-REF_HNO_pop'!B:E,2,FALSE)),0)</f>
        <v>0</v>
      </c>
      <c r="R31" s="162">
        <f>IF(L31=2,(VLOOKUP(A31,'E-REF_HNO_pop'!B:E,2,FALSE)),0)</f>
        <v>319547</v>
      </c>
      <c r="S31" s="162">
        <f>IF(L31=3,(VLOOKUP(A31,'E-REF_HNO_pop'!B:E,2,FALSE)),0)</f>
        <v>0</v>
      </c>
      <c r="T31" s="162">
        <f>IF(L31=4,(VLOOKUP(A31,'E-REF_HNO_pop'!B:E,2,FALSE)),0)</f>
        <v>0</v>
      </c>
      <c r="U31" s="163">
        <f>IF(L31=5,(VLOOKUP(A31,'E-REF_HNO_pop'!B:E,2,FALSE)),0)</f>
        <v>0</v>
      </c>
      <c r="V31" s="161">
        <f>IF(L31=1,(VLOOKUP(A31,'E-REF_HNO_pop'!B:E,3,FALSE)),0)</f>
        <v>0</v>
      </c>
      <c r="W31" s="162">
        <f>IF(L31=2,(VLOOKUP(A31,'E-REF_HNO_pop'!B:E,3,FALSE)),0)</f>
        <v>6500</v>
      </c>
      <c r="X31" s="162">
        <f>IF(L31=3,(VLOOKUP(A31,'E-REF_HNO_pop'!B:E,3,FALSE)),0)</f>
        <v>0</v>
      </c>
      <c r="Y31" s="162">
        <f>IF(L31=4,(VLOOKUP(A31,'E-REF_HNO_pop'!B:E,3,FALSE)),0)</f>
        <v>0</v>
      </c>
      <c r="Z31" s="163">
        <f>IF(L31=5,(VLOOKUP(A31,'E-REF_HNO_pop'!B:E,3,FALSE)),0)</f>
        <v>0</v>
      </c>
      <c r="AA31" s="161">
        <f>IF(L31=1,(VLOOKUP(A31,'E-REF_HNO_pop'!B:E,4,FALSE)),0)</f>
        <v>0</v>
      </c>
      <c r="AB31" s="162">
        <f>IF(L31=2,(VLOOKUP(A31,'E-REF_HNO_pop'!B:E,4,FALSE)),0)</f>
        <v>313047</v>
      </c>
      <c r="AC31" s="162">
        <f>IF(L31=3,(VLOOKUP(A31,'E-REF_HNO_pop'!B:E,4,FALSE)),0)</f>
        <v>0</v>
      </c>
      <c r="AD31" s="162">
        <f>IF(L31=4,(VLOOKUP(A31,'E-REF_HNO_pop'!B:E,4,FALSE)),0)</f>
        <v>0</v>
      </c>
      <c r="AE31" s="163">
        <f>IF(L31=5,(VLOOKUP(A31,'E-REF_HNO_pop'!B:E,4,FALSE)),0)</f>
        <v>0</v>
      </c>
    </row>
    <row r="32" spans="1:31" x14ac:dyDescent="0.35">
      <c r="A32" s="11" t="s">
        <v>109</v>
      </c>
      <c r="B32">
        <v>1</v>
      </c>
      <c r="C32">
        <v>4</v>
      </c>
      <c r="D32">
        <v>1</v>
      </c>
      <c r="E32">
        <v>4</v>
      </c>
      <c r="F32">
        <v>1</v>
      </c>
      <c r="G32">
        <v>1</v>
      </c>
      <c r="H32" s="3">
        <f t="shared" si="1"/>
        <v>4</v>
      </c>
      <c r="I32" s="3">
        <f t="shared" si="2"/>
        <v>4</v>
      </c>
      <c r="J32" s="3">
        <f t="shared" si="3"/>
        <v>1</v>
      </c>
      <c r="K32" s="3">
        <f t="shared" si="4"/>
        <v>2</v>
      </c>
      <c r="L32" s="3">
        <f t="shared" si="0"/>
        <v>2</v>
      </c>
      <c r="M32" s="160">
        <f>VLOOKUP(A32,'E-REF_HNO_pop'!B:E,2,FALSE)</f>
        <v>81097</v>
      </c>
      <c r="N32" s="161">
        <f>IF(L32&gt;=3,(VLOOKUP(A32,'E-REF_HNO_pop'!B:E,2,FALSE)),0)</f>
        <v>0</v>
      </c>
      <c r="O32" s="162">
        <f>IF(L32&gt;=3,(VLOOKUP(A32,'E-REF_HNO_pop'!B:E,3,FALSE)),0)</f>
        <v>0</v>
      </c>
      <c r="P32" s="163">
        <f>IF(L32&gt;=3,(VLOOKUP(A32,'E-REF_HNO_pop'!B:E,4,FALSE)),0)</f>
        <v>0</v>
      </c>
      <c r="Q32" s="161">
        <f>IF(L32=1,(VLOOKUP(A32,'E-REF_HNO_pop'!B:E,2,FALSE)),0)</f>
        <v>0</v>
      </c>
      <c r="R32" s="162">
        <f>IF(L32=2,(VLOOKUP(A32,'E-REF_HNO_pop'!B:E,2,FALSE)),0)</f>
        <v>81097</v>
      </c>
      <c r="S32" s="162">
        <f>IF(L32=3,(VLOOKUP(A32,'E-REF_HNO_pop'!B:E,2,FALSE)),0)</f>
        <v>0</v>
      </c>
      <c r="T32" s="162">
        <f>IF(L32=4,(VLOOKUP(A32,'E-REF_HNO_pop'!B:E,2,FALSE)),0)</f>
        <v>0</v>
      </c>
      <c r="U32" s="163">
        <f>IF(L32=5,(VLOOKUP(A32,'E-REF_HNO_pop'!B:E,2,FALSE)),0)</f>
        <v>0</v>
      </c>
      <c r="V32" s="161">
        <f>IF(L32=1,(VLOOKUP(A32,'E-REF_HNO_pop'!B:E,3,FALSE)),0)</f>
        <v>0</v>
      </c>
      <c r="W32" s="162">
        <f>IF(L32=2,(VLOOKUP(A32,'E-REF_HNO_pop'!B:E,3,FALSE)),0)</f>
        <v>8800</v>
      </c>
      <c r="X32" s="162">
        <f>IF(L32=3,(VLOOKUP(A32,'E-REF_HNO_pop'!B:E,3,FALSE)),0)</f>
        <v>0</v>
      </c>
      <c r="Y32" s="162">
        <f>IF(L32=4,(VLOOKUP(A32,'E-REF_HNO_pop'!B:E,3,FALSE)),0)</f>
        <v>0</v>
      </c>
      <c r="Z32" s="163">
        <f>IF(L32=5,(VLOOKUP(A32,'E-REF_HNO_pop'!B:E,3,FALSE)),0)</f>
        <v>0</v>
      </c>
      <c r="AA32" s="161">
        <f>IF(L32=1,(VLOOKUP(A32,'E-REF_HNO_pop'!B:E,4,FALSE)),0)</f>
        <v>0</v>
      </c>
      <c r="AB32" s="162">
        <f>IF(L32=2,(VLOOKUP(A32,'E-REF_HNO_pop'!B:E,4,FALSE)),0)</f>
        <v>72297</v>
      </c>
      <c r="AC32" s="162">
        <f>IF(L32=3,(VLOOKUP(A32,'E-REF_HNO_pop'!B:E,4,FALSE)),0)</f>
        <v>0</v>
      </c>
      <c r="AD32" s="162">
        <f>IF(L32=4,(VLOOKUP(A32,'E-REF_HNO_pop'!B:E,4,FALSE)),0)</f>
        <v>0</v>
      </c>
      <c r="AE32" s="163">
        <f>IF(L32=5,(VLOOKUP(A32,'E-REF_HNO_pop'!B:E,4,FALSE)),0)</f>
        <v>0</v>
      </c>
    </row>
    <row r="33" spans="1:31" x14ac:dyDescent="0.35">
      <c r="A33" s="11" t="s">
        <v>145</v>
      </c>
      <c r="B33">
        <v>1</v>
      </c>
      <c r="C33">
        <v>3</v>
      </c>
      <c r="D33">
        <v>1</v>
      </c>
      <c r="E33">
        <v>3</v>
      </c>
      <c r="F33">
        <v>1</v>
      </c>
      <c r="G33">
        <v>5</v>
      </c>
      <c r="H33" s="3">
        <f t="shared" si="1"/>
        <v>5</v>
      </c>
      <c r="I33" s="3">
        <f t="shared" si="2"/>
        <v>3</v>
      </c>
      <c r="J33" s="3">
        <f t="shared" si="3"/>
        <v>3</v>
      </c>
      <c r="K33" s="3">
        <f t="shared" si="4"/>
        <v>2</v>
      </c>
      <c r="L33" s="3">
        <f t="shared" si="0"/>
        <v>2</v>
      </c>
      <c r="M33" s="160">
        <f>VLOOKUP(A33,'E-REF_HNO_pop'!B:E,2,FALSE)</f>
        <v>97252</v>
      </c>
      <c r="N33" s="161">
        <f>IF(L33&gt;=3,(VLOOKUP(A33,'E-REF_HNO_pop'!B:E,2,FALSE)),0)</f>
        <v>0</v>
      </c>
      <c r="O33" s="162">
        <f>IF(L33&gt;=3,(VLOOKUP(A33,'E-REF_HNO_pop'!B:E,3,FALSE)),0)</f>
        <v>0</v>
      </c>
      <c r="P33" s="163">
        <f>IF(L33&gt;=3,(VLOOKUP(A33,'E-REF_HNO_pop'!B:E,4,FALSE)),0)</f>
        <v>0</v>
      </c>
      <c r="Q33" s="161">
        <f>IF(L33=1,(VLOOKUP(A33,'E-REF_HNO_pop'!B:E,2,FALSE)),0)</f>
        <v>0</v>
      </c>
      <c r="R33" s="162">
        <f>IF(L33=2,(VLOOKUP(A33,'E-REF_HNO_pop'!B:E,2,FALSE)),0)</f>
        <v>97252</v>
      </c>
      <c r="S33" s="162">
        <f>IF(L33=3,(VLOOKUP(A33,'E-REF_HNO_pop'!B:E,2,FALSE)),0)</f>
        <v>0</v>
      </c>
      <c r="T33" s="162">
        <f>IF(L33=4,(VLOOKUP(A33,'E-REF_HNO_pop'!B:E,2,FALSE)),0)</f>
        <v>0</v>
      </c>
      <c r="U33" s="163">
        <f>IF(L33=5,(VLOOKUP(A33,'E-REF_HNO_pop'!B:E,2,FALSE)),0)</f>
        <v>0</v>
      </c>
      <c r="V33" s="161">
        <f>IF(L33=1,(VLOOKUP(A33,'E-REF_HNO_pop'!B:E,3,FALSE)),0)</f>
        <v>0</v>
      </c>
      <c r="W33" s="162">
        <f>IF(L33=2,(VLOOKUP(A33,'E-REF_HNO_pop'!B:E,3,FALSE)),0)</f>
        <v>21300</v>
      </c>
      <c r="X33" s="162">
        <f>IF(L33=3,(VLOOKUP(A33,'E-REF_HNO_pop'!B:E,3,FALSE)),0)</f>
        <v>0</v>
      </c>
      <c r="Y33" s="162">
        <f>IF(L33=4,(VLOOKUP(A33,'E-REF_HNO_pop'!B:E,3,FALSE)),0)</f>
        <v>0</v>
      </c>
      <c r="Z33" s="163">
        <f>IF(L33=5,(VLOOKUP(A33,'E-REF_HNO_pop'!B:E,3,FALSE)),0)</f>
        <v>0</v>
      </c>
      <c r="AA33" s="161">
        <f>IF(L33=1,(VLOOKUP(A33,'E-REF_HNO_pop'!B:E,4,FALSE)),0)</f>
        <v>0</v>
      </c>
      <c r="AB33" s="162">
        <f>IF(L33=2,(VLOOKUP(A33,'E-REF_HNO_pop'!B:E,4,FALSE)),0)</f>
        <v>75952</v>
      </c>
      <c r="AC33" s="162">
        <f>IF(L33=3,(VLOOKUP(A33,'E-REF_HNO_pop'!B:E,4,FALSE)),0)</f>
        <v>0</v>
      </c>
      <c r="AD33" s="162">
        <f>IF(L33=4,(VLOOKUP(A33,'E-REF_HNO_pop'!B:E,4,FALSE)),0)</f>
        <v>0</v>
      </c>
      <c r="AE33" s="163">
        <f>IF(L33=5,(VLOOKUP(A33,'E-REF_HNO_pop'!B:E,4,FALSE)),0)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76"/>
  <sheetViews>
    <sheetView zoomScale="66" workbookViewId="0">
      <selection activeCell="AR43" sqref="AR43"/>
    </sheetView>
  </sheetViews>
  <sheetFormatPr defaultColWidth="8.81640625" defaultRowHeight="14.5" x14ac:dyDescent="0.35"/>
  <cols>
    <col min="1" max="1" width="21.36328125" customWidth="1"/>
    <col min="2" max="2" width="23.6328125" customWidth="1"/>
    <col min="3" max="3" width="10" bestFit="1" customWidth="1"/>
    <col min="4" max="4" width="11" bestFit="1" customWidth="1"/>
    <col min="9" max="19" width="9.1796875" customWidth="1"/>
    <col min="20" max="20" width="9.453125" customWidth="1"/>
    <col min="21" max="25" width="9.1796875" customWidth="1"/>
    <col min="26" max="26" width="10" customWidth="1"/>
    <col min="27" max="38" width="9.1796875" customWidth="1"/>
    <col min="39" max="39" width="12.36328125" customWidth="1"/>
    <col min="40" max="41" width="9.1796875" customWidth="1"/>
    <col min="42" max="42" width="11.81640625" customWidth="1"/>
    <col min="43" max="43" width="11" customWidth="1"/>
    <col min="44" max="44" width="11" bestFit="1" customWidth="1"/>
    <col min="45" max="45" width="9.36328125" bestFit="1" customWidth="1"/>
    <col min="46" max="46" width="9.453125" bestFit="1" customWidth="1"/>
    <col min="47" max="47" width="9.453125" customWidth="1"/>
    <col min="48" max="48" width="8.6328125" customWidth="1"/>
    <col min="49" max="49" width="9.1796875" customWidth="1"/>
    <col min="50" max="55" width="12.6328125" customWidth="1"/>
    <col min="56" max="56" width="11.453125" bestFit="1" customWidth="1"/>
    <col min="58" max="58" width="10" customWidth="1"/>
    <col min="59" max="59" width="14.36328125" customWidth="1"/>
    <col min="60" max="60" width="9.6328125" customWidth="1"/>
    <col min="61" max="61" width="12.36328125" customWidth="1"/>
    <col min="62" max="63" width="9.6328125" customWidth="1"/>
  </cols>
  <sheetData>
    <row r="1" spans="1:65" ht="39.75" customHeight="1" thickBot="1" x14ac:dyDescent="0.4">
      <c r="A1" t="s">
        <v>168</v>
      </c>
      <c r="AP1" s="113" t="s">
        <v>227</v>
      </c>
      <c r="AQ1" s="115" t="s">
        <v>14</v>
      </c>
      <c r="AR1" s="140" t="s">
        <v>228</v>
      </c>
      <c r="AS1" s="141" t="s">
        <v>229</v>
      </c>
      <c r="AT1" s="142" t="s">
        <v>230</v>
      </c>
      <c r="AU1" s="124" t="s">
        <v>231</v>
      </c>
      <c r="AV1" s="125" t="s">
        <v>232</v>
      </c>
      <c r="AW1" s="126" t="s">
        <v>233</v>
      </c>
      <c r="AX1" s="183" t="s">
        <v>246</v>
      </c>
      <c r="AY1" s="149" t="s">
        <v>247</v>
      </c>
      <c r="AZ1" s="149" t="s">
        <v>248</v>
      </c>
      <c r="BA1" s="149" t="s">
        <v>249</v>
      </c>
      <c r="BB1" s="184" t="s">
        <v>250</v>
      </c>
      <c r="BC1" s="149" t="s">
        <v>150</v>
      </c>
      <c r="BD1" s="183" t="s">
        <v>253</v>
      </c>
      <c r="BE1" s="149" t="s">
        <v>251</v>
      </c>
      <c r="BF1" s="184" t="s">
        <v>252</v>
      </c>
      <c r="BG1" s="124" t="s">
        <v>254</v>
      </c>
      <c r="BH1" s="125" t="s">
        <v>255</v>
      </c>
      <c r="BI1" s="125" t="s">
        <v>256</v>
      </c>
      <c r="BJ1" s="125" t="s">
        <v>257</v>
      </c>
      <c r="BK1" s="126" t="s">
        <v>258</v>
      </c>
    </row>
    <row r="2" spans="1:65" ht="15" customHeight="1" x14ac:dyDescent="0.35">
      <c r="A2" t="s">
        <v>14</v>
      </c>
      <c r="B2" t="s">
        <v>286</v>
      </c>
      <c r="C2" t="s">
        <v>224</v>
      </c>
      <c r="D2" t="s">
        <v>226</v>
      </c>
      <c r="E2" t="s">
        <v>170</v>
      </c>
      <c r="F2" t="s">
        <v>171</v>
      </c>
      <c r="G2" t="s">
        <v>172</v>
      </c>
      <c r="H2" t="s">
        <v>173</v>
      </c>
      <c r="I2" s="103" t="s">
        <v>174</v>
      </c>
      <c r="J2" s="103" t="s">
        <v>175</v>
      </c>
      <c r="K2" s="103" t="s">
        <v>176</v>
      </c>
      <c r="L2" s="103" t="s">
        <v>177</v>
      </c>
      <c r="M2" s="104" t="s">
        <v>178</v>
      </c>
      <c r="N2" s="104" t="s">
        <v>236</v>
      </c>
      <c r="O2" s="103" t="s">
        <v>179</v>
      </c>
      <c r="P2" s="103" t="s">
        <v>180</v>
      </c>
      <c r="Q2" s="103" t="s">
        <v>181</v>
      </c>
      <c r="R2" s="103" t="s">
        <v>182</v>
      </c>
      <c r="S2" s="104" t="s">
        <v>183</v>
      </c>
      <c r="T2" s="104" t="s">
        <v>237</v>
      </c>
      <c r="U2" s="103" t="s">
        <v>184</v>
      </c>
      <c r="V2" s="103" t="s">
        <v>185</v>
      </c>
      <c r="W2" s="103" t="s">
        <v>186</v>
      </c>
      <c r="X2" s="103" t="s">
        <v>187</v>
      </c>
      <c r="Y2" s="104" t="s">
        <v>188</v>
      </c>
      <c r="Z2" s="104" t="s">
        <v>238</v>
      </c>
      <c r="AA2" s="103" t="s">
        <v>189</v>
      </c>
      <c r="AB2" s="103" t="s">
        <v>190</v>
      </c>
      <c r="AC2" s="103" t="s">
        <v>191</v>
      </c>
      <c r="AD2" s="103" t="s">
        <v>192</v>
      </c>
      <c r="AE2" s="104" t="s">
        <v>193</v>
      </c>
      <c r="AF2" s="104" t="s">
        <v>240</v>
      </c>
      <c r="AG2" s="103" t="s">
        <v>219</v>
      </c>
      <c r="AH2" s="103" t="s">
        <v>220</v>
      </c>
      <c r="AI2" s="103" t="s">
        <v>221</v>
      </c>
      <c r="AJ2" s="103" t="s">
        <v>222</v>
      </c>
      <c r="AK2" s="104" t="s">
        <v>223</v>
      </c>
      <c r="AL2" s="104" t="s">
        <v>239</v>
      </c>
      <c r="AM2" s="127" t="s">
        <v>234</v>
      </c>
      <c r="AP2" s="235" t="s">
        <v>285</v>
      </c>
      <c r="AQ2" s="182" t="s">
        <v>25</v>
      </c>
      <c r="AR2" s="116">
        <f>VLOOKUP(AQ2,'E-REF_HNO_pop'!B:E,2,FALSE)</f>
        <v>472223</v>
      </c>
      <c r="AS2" s="117">
        <f>VLOOKUP(AQ2,'E-REF_HNO_pop'!B:E,3,FALSE)</f>
        <v>66200</v>
      </c>
      <c r="AT2" s="118">
        <f>VLOOKUP(AQ2,'E-REF_HNO_pop'!B:E,4,FALSE)</f>
        <v>406023</v>
      </c>
      <c r="AU2" s="131">
        <f>VLOOKUP(AQ2,'C-HH_AL_Aggregation'!A:L,12,FALSE)</f>
        <v>2</v>
      </c>
      <c r="AV2" s="131">
        <f>VLOOKUP(AQ2,'C-HH_AL_Aggregation'!A:L,12,FALSE)</f>
        <v>2</v>
      </c>
      <c r="AW2" s="131">
        <f>VLOOKUP(AQ2,'C-HH_AL_Aggregation'!A:L,12,FALSE)</f>
        <v>2</v>
      </c>
      <c r="AX2" s="186">
        <f>IF($AU2=1,1,0)</f>
        <v>0</v>
      </c>
      <c r="AY2" s="187">
        <f>IF($AU2=2,1,0)</f>
        <v>1</v>
      </c>
      <c r="AZ2" s="187">
        <f>IF($AU2=3,1,0)</f>
        <v>0</v>
      </c>
      <c r="BA2" s="187">
        <f>IF($AU2=4,1,0)</f>
        <v>0</v>
      </c>
      <c r="BB2" s="188">
        <f>IF($AU2=5,1,0)</f>
        <v>0</v>
      </c>
      <c r="BC2" s="180">
        <f>IF(BB2&gt;=0.25,5,IF(SUM(BA2:BB2)&gt;=0.25,4,IF(SUM(AZ2:BB2)&gt;=0.25,3,IF(SUM(AY2:BB2)&gt;=0.25,2,1))))</f>
        <v>2</v>
      </c>
      <c r="BD2" s="153">
        <f>VLOOKUP(AQ2,'C-HH_AL_Aggregation'!A:P,14,FALSE)</f>
        <v>0</v>
      </c>
      <c r="BE2" s="143">
        <f>VLOOKUP(AQ2,'C-HH_AL_Aggregation'!A:P,15,FALSE)</f>
        <v>0</v>
      </c>
      <c r="BF2" s="144">
        <f>VLOOKUP(AQ2,'C-HH_AL_Aggregation'!A:P,16,FALSE)</f>
        <v>0</v>
      </c>
      <c r="BG2" s="145">
        <f t="shared" ref="BG2:BG40" si="0">IFERROR((AX2*AR2),0)</f>
        <v>0</v>
      </c>
      <c r="BH2" s="145">
        <f t="shared" ref="BH2:BH40" si="1">IFERROR((AY2*$AR2),0)</f>
        <v>472223</v>
      </c>
      <c r="BI2" s="145">
        <f t="shared" ref="BI2:BI40" si="2">IFERROR((AZ2*$AR2),0)</f>
        <v>0</v>
      </c>
      <c r="BJ2" s="145">
        <f t="shared" ref="BJ2:BJ40" si="3">IFERROR((BA2*$AR2),0)</f>
        <v>0</v>
      </c>
      <c r="BK2" s="146">
        <f t="shared" ref="BK2:BK40" si="4">IFERROR((BB2*$AR2),0)</f>
        <v>0</v>
      </c>
      <c r="BL2" s="158"/>
      <c r="BM2" s="159"/>
    </row>
    <row r="3" spans="1:65" x14ac:dyDescent="0.35">
      <c r="A3" t="s">
        <v>165</v>
      </c>
      <c r="B3" t="s">
        <v>287</v>
      </c>
      <c r="C3" s="112">
        <f>VLOOKUP(A3,'E-REF_HNO_pop'!B:E,4,FALSE)</f>
        <v>85950</v>
      </c>
      <c r="D3" s="112">
        <f>VLOOKUP(A3,'E-REF_HNO_pop'!B:C,2,FALSE)</f>
        <v>85950</v>
      </c>
      <c r="E3" t="s">
        <v>160</v>
      </c>
      <c r="F3" t="s">
        <v>76</v>
      </c>
      <c r="G3" t="s">
        <v>89</v>
      </c>
      <c r="I3" s="109">
        <f t="shared" ref="I3:I14" si="5">IFERROR((VLOOKUP(E3,AQ:BC,8,FALSE)),"")</f>
        <v>1</v>
      </c>
      <c r="J3" s="109">
        <f t="shared" ref="J3:J14" si="6">IFERROR((VLOOKUP(F3,AQ:BC,8,FALSE)),"")</f>
        <v>1</v>
      </c>
      <c r="K3" s="109">
        <f t="shared" ref="K3:K14" si="7">IFERROR((VLOOKUP(G3,AQ:BC,8,FALSE)),"")</f>
        <v>1</v>
      </c>
      <c r="L3" s="109" t="str">
        <f t="shared" ref="L3:L14" si="8">IFERROR((VLOOKUP(H3,AQ:BC,8,FALSE)),"")</f>
        <v/>
      </c>
      <c r="M3" s="110">
        <f>AVERAGE(I3:L3)</f>
        <v>1</v>
      </c>
      <c r="N3" s="133">
        <f>M3*C3</f>
        <v>85950</v>
      </c>
      <c r="O3" s="109">
        <f t="shared" ref="O3:O14" si="9">IFERROR((VLOOKUP(E3,AQ:BC,9,FALSE)),"")</f>
        <v>0</v>
      </c>
      <c r="P3" s="109">
        <f t="shared" ref="P3:P14" si="10">IFERROR((VLOOKUP(F3,AQ:BC,9,FALSE)),"")</f>
        <v>0</v>
      </c>
      <c r="Q3" s="109">
        <f t="shared" ref="Q3:Q14" si="11">IFERROR((VLOOKUP(G3,AQ:BC,9,FALSE)),"")</f>
        <v>0</v>
      </c>
      <c r="R3" s="109" t="str">
        <f t="shared" ref="R3:R14" si="12">IFERROR((VLOOKUP(H3,AQ:BC,9,FALSE)),"")</f>
        <v/>
      </c>
      <c r="S3" s="111">
        <f>AVERAGE(O3:R3)</f>
        <v>0</v>
      </c>
      <c r="T3" s="134">
        <f>S3*C3</f>
        <v>0</v>
      </c>
      <c r="U3" s="109">
        <f t="shared" ref="U3:U14" si="13">IFERROR((VLOOKUP(E3,AQ:BC,10,FALSE)),"")</f>
        <v>0</v>
      </c>
      <c r="V3" s="109">
        <f t="shared" ref="V3:V14" si="14">IFERROR((VLOOKUP(F3,AQ:BC,10,FALSE)),"")</f>
        <v>0</v>
      </c>
      <c r="W3" s="109">
        <f t="shared" ref="W3:W14" si="15">IFERROR((VLOOKUP(G3,AQ:BC,10,FALSE)),"")</f>
        <v>0</v>
      </c>
      <c r="X3" s="109">
        <f t="shared" ref="X3:X14" si="16">IFERROR((VLOOKUP(G3,AQ:BC,10,FALSE)),"")</f>
        <v>0</v>
      </c>
      <c r="Y3" s="111">
        <f>AVERAGE(U3:X3)</f>
        <v>0</v>
      </c>
      <c r="Z3" s="133">
        <f>Y3*C3</f>
        <v>0</v>
      </c>
      <c r="AA3" s="109">
        <f t="shared" ref="AA3:AA14" si="17">IFERROR((VLOOKUP(E3,AQ:BC,11,FALSE)),"")</f>
        <v>0</v>
      </c>
      <c r="AB3" s="109">
        <f t="shared" ref="AB3:AB14" si="18">IFERROR((VLOOKUP(F3,AQ:BC,11,FALSE)),"")</f>
        <v>0</v>
      </c>
      <c r="AC3" s="109">
        <f t="shared" ref="AC3:AC14" si="19">IFERROR((VLOOKUP(G3,AQ:BC,11,FALSE)),"")</f>
        <v>0</v>
      </c>
      <c r="AD3" s="109" t="str">
        <f t="shared" ref="AD3:AD14" si="20">IFERROR((VLOOKUP(H3,AQ:BC,11,FALSE)),"")</f>
        <v/>
      </c>
      <c r="AE3" s="111">
        <f>AVERAGE(AA3:AD3)</f>
        <v>0</v>
      </c>
      <c r="AF3" s="133">
        <f>AE3*C3</f>
        <v>0</v>
      </c>
      <c r="AG3" s="109">
        <f t="shared" ref="AG3:AG14" si="21">IFERROR((VLOOKUP(E3,AQ:BC,12,FALSE)),"")</f>
        <v>0</v>
      </c>
      <c r="AH3" s="109">
        <f t="shared" ref="AH3:AH14" si="22">IFERROR((VLOOKUP(F3,AQ:BC,12,FALSE)),"")</f>
        <v>0</v>
      </c>
      <c r="AI3" s="109">
        <f t="shared" ref="AI3:AI14" si="23">IFERROR((VLOOKUP(G3,AQ:BC,12,FALSE)),"")</f>
        <v>0</v>
      </c>
      <c r="AJ3" s="109" t="str">
        <f t="shared" ref="AJ3:AJ14" si="24">IFERROR((VLOOKUP(H3,AQ:BC,12,FALSE)),"")</f>
        <v/>
      </c>
      <c r="AK3" s="111">
        <f>AVERAGE(AG3:AJ3)</f>
        <v>0</v>
      </c>
      <c r="AL3" s="133">
        <f>AK3*C3</f>
        <v>0</v>
      </c>
      <c r="AM3" s="130">
        <f>IF(AK3&gt;=0.25,5,IF(SUM(AE3,AK3)&gt;=0.25,4,IF(SUM(Y3,AE3,AK3)&gt;=0.25,3,IF(SUM(S3,Y3,AE3,AK3)&gt;=0.25,2,1))))</f>
        <v>1</v>
      </c>
      <c r="AP3" s="236"/>
      <c r="AQ3" s="181" t="s">
        <v>28</v>
      </c>
      <c r="AR3" s="119">
        <f>VLOOKUP(AQ3,'E-REF_HNO_pop'!B:E,2,FALSE)</f>
        <v>233519</v>
      </c>
      <c r="AS3" s="114">
        <f>VLOOKUP(AQ3,'E-REF_HNO_pop'!B:E,3,FALSE)</f>
        <v>2600</v>
      </c>
      <c r="AT3" s="120">
        <f>VLOOKUP(AQ3,'E-REF_HNO_pop'!B:E,4,FALSE)</f>
        <v>230919</v>
      </c>
      <c r="AU3" s="131">
        <f>VLOOKUP(AQ3,'C-HH_AL_Aggregation'!A:L,12,FALSE)</f>
        <v>2</v>
      </c>
      <c r="AV3" s="131">
        <f>VLOOKUP(AQ3,'C-HH_AL_Aggregation'!A:L,12,FALSE)</f>
        <v>2</v>
      </c>
      <c r="AW3" s="131">
        <f>VLOOKUP(AQ3,'C-HH_AL_Aggregation'!A:L,12,FALSE)</f>
        <v>2</v>
      </c>
      <c r="AX3" s="189">
        <f t="shared" ref="AX3:AX66" si="25">IF($AU3=1,1,0)</f>
        <v>0</v>
      </c>
      <c r="AY3" s="190">
        <f t="shared" ref="AY3:AY66" si="26">IF($AU3=2,1,0)</f>
        <v>1</v>
      </c>
      <c r="AZ3" s="190">
        <f t="shared" ref="AZ3:AZ66" si="27">IF($AU3=3,1,0)</f>
        <v>0</v>
      </c>
      <c r="BA3" s="190">
        <f t="shared" ref="BA3:BA66" si="28">IF($AU3=4,1,0)</f>
        <v>0</v>
      </c>
      <c r="BB3" s="191">
        <f t="shared" ref="BB3:BB66" si="29">IF($AU3=5,1,0)</f>
        <v>0</v>
      </c>
      <c r="BC3" s="179">
        <f t="shared" ref="BC3:BC67" si="30">IF(BB3&gt;=0.25,5,IF(SUM(BA3:BB3)&gt;=0.25,4,IF(SUM(AZ3:BB3)&gt;=0.25,3,IF(SUM(AY3:BB3)&gt;=0.25,2,1))))</f>
        <v>2</v>
      </c>
      <c r="BD3" s="154">
        <f>VLOOKUP(AQ3,'C-HH_AL_Aggregation'!A:P,14,FALSE)</f>
        <v>0</v>
      </c>
      <c r="BE3" s="145">
        <f>VLOOKUP(AQ3,'C-HH_AL_Aggregation'!A:P,15,FALSE)</f>
        <v>0</v>
      </c>
      <c r="BF3" s="146">
        <f>VLOOKUP(AQ3,'C-HH_AL_Aggregation'!A:P,16,FALSE)</f>
        <v>0</v>
      </c>
      <c r="BG3" s="145">
        <f t="shared" si="0"/>
        <v>0</v>
      </c>
      <c r="BH3" s="145">
        <f t="shared" si="1"/>
        <v>233519</v>
      </c>
      <c r="BI3" s="145">
        <f t="shared" si="2"/>
        <v>0</v>
      </c>
      <c r="BJ3" s="145">
        <f t="shared" si="3"/>
        <v>0</v>
      </c>
      <c r="BK3" s="146">
        <f t="shared" si="4"/>
        <v>0</v>
      </c>
      <c r="BL3" s="158"/>
      <c r="BM3" s="159"/>
    </row>
    <row r="4" spans="1:65" x14ac:dyDescent="0.35">
      <c r="A4" t="s">
        <v>77</v>
      </c>
      <c r="B4" t="s">
        <v>287</v>
      </c>
      <c r="C4" s="112">
        <f>VLOOKUP(A4,'E-REF_HNO_pop'!B:E,4,FALSE)</f>
        <v>69843</v>
      </c>
      <c r="D4" s="112">
        <f>VLOOKUP(A4,'E-REF_HNO_pop'!B:C,2,FALSE)</f>
        <v>80843</v>
      </c>
      <c r="E4" t="s">
        <v>88</v>
      </c>
      <c r="I4" s="109">
        <f t="shared" si="5"/>
        <v>1</v>
      </c>
      <c r="J4" s="109" t="str">
        <f t="shared" si="6"/>
        <v/>
      </c>
      <c r="K4" s="109" t="str">
        <f t="shared" si="7"/>
        <v/>
      </c>
      <c r="L4" s="109" t="str">
        <f t="shared" si="8"/>
        <v/>
      </c>
      <c r="M4" s="110">
        <f t="shared" ref="M4:M14" si="31">AVERAGE(I4:L4)</f>
        <v>1</v>
      </c>
      <c r="N4" s="133">
        <f t="shared" ref="N4:N14" si="32">M4*C4</f>
        <v>69843</v>
      </c>
      <c r="O4" s="109">
        <f t="shared" si="9"/>
        <v>0</v>
      </c>
      <c r="P4" s="109" t="str">
        <f t="shared" si="10"/>
        <v/>
      </c>
      <c r="Q4" s="109" t="str">
        <f t="shared" si="11"/>
        <v/>
      </c>
      <c r="R4" s="109" t="str">
        <f t="shared" si="12"/>
        <v/>
      </c>
      <c r="S4" s="111">
        <f t="shared" ref="S4:S14" si="33">AVERAGE(O4:R4)</f>
        <v>0</v>
      </c>
      <c r="T4" s="134">
        <f t="shared" ref="T4:T14" si="34">S4*C4</f>
        <v>0</v>
      </c>
      <c r="U4" s="109">
        <f t="shared" si="13"/>
        <v>0</v>
      </c>
      <c r="V4" s="109" t="str">
        <f t="shared" si="14"/>
        <v/>
      </c>
      <c r="W4" s="109" t="str">
        <f t="shared" si="15"/>
        <v/>
      </c>
      <c r="X4" s="109" t="str">
        <f t="shared" si="16"/>
        <v/>
      </c>
      <c r="Y4" s="111">
        <f t="shared" ref="Y4:Y14" si="35">AVERAGE(U4:X4)</f>
        <v>0</v>
      </c>
      <c r="Z4" s="133">
        <f t="shared" ref="Z4:Z14" si="36">Y4*C4</f>
        <v>0</v>
      </c>
      <c r="AA4" s="109">
        <f t="shared" si="17"/>
        <v>0</v>
      </c>
      <c r="AB4" s="109" t="str">
        <f t="shared" si="18"/>
        <v/>
      </c>
      <c r="AC4" s="109" t="str">
        <f t="shared" si="19"/>
        <v/>
      </c>
      <c r="AD4" s="109" t="str">
        <f t="shared" si="20"/>
        <v/>
      </c>
      <c r="AE4" s="111">
        <f t="shared" ref="AE4:AE14" si="37">AVERAGE(AA4:AD4)</f>
        <v>0</v>
      </c>
      <c r="AF4" s="133">
        <f t="shared" ref="AF4:AF14" si="38">AE4*C4</f>
        <v>0</v>
      </c>
      <c r="AG4" s="109">
        <f t="shared" si="21"/>
        <v>0</v>
      </c>
      <c r="AH4" s="109" t="str">
        <f t="shared" si="22"/>
        <v/>
      </c>
      <c r="AI4" s="109" t="str">
        <f t="shared" si="23"/>
        <v/>
      </c>
      <c r="AJ4" s="109" t="str">
        <f t="shared" si="24"/>
        <v/>
      </c>
      <c r="AK4" s="111">
        <f t="shared" ref="AK4:AK14" si="39">AVERAGE(AG4:AJ4)</f>
        <v>0</v>
      </c>
      <c r="AL4" s="133">
        <f t="shared" ref="AL4:AL14" si="40">AK4*C4</f>
        <v>0</v>
      </c>
      <c r="AM4" s="130">
        <f t="shared" ref="AM4:AM14" si="41">IF(AK4&gt;=0.25,5,IF(SUM(AE4,AK4)&gt;=0.25,4,IF(SUM(Y4,AE4,AK4)&gt;=0.25,3,IF(SUM(S4,Y4,AE4,AK4)&gt;=0.25,2,1))))</f>
        <v>1</v>
      </c>
      <c r="AP4" s="236"/>
      <c r="AQ4" s="181" t="s">
        <v>31</v>
      </c>
      <c r="AR4" s="119">
        <f>VLOOKUP(AQ4,'E-REF_HNO_pop'!B:E,2,FALSE)</f>
        <v>172267</v>
      </c>
      <c r="AS4" s="114">
        <f>VLOOKUP(AQ4,'E-REF_HNO_pop'!B:E,3,FALSE)</f>
        <v>18400</v>
      </c>
      <c r="AT4" s="120">
        <f>VLOOKUP(AQ4,'E-REF_HNO_pop'!B:E,4,FALSE)</f>
        <v>153867</v>
      </c>
      <c r="AU4" s="131">
        <f>VLOOKUP(AQ4,'C-HH_AL_Aggregation'!A:L,12,FALSE)</f>
        <v>1</v>
      </c>
      <c r="AV4" s="131">
        <f>VLOOKUP(AQ4,'C-HH_AL_Aggregation'!A:L,12,FALSE)</f>
        <v>1</v>
      </c>
      <c r="AW4" s="131">
        <f>VLOOKUP(AQ4,'C-HH_AL_Aggregation'!A:L,12,FALSE)</f>
        <v>1</v>
      </c>
      <c r="AX4" s="189">
        <f t="shared" si="25"/>
        <v>1</v>
      </c>
      <c r="AY4" s="190">
        <f t="shared" si="26"/>
        <v>0</v>
      </c>
      <c r="AZ4" s="190">
        <f t="shared" si="27"/>
        <v>0</v>
      </c>
      <c r="BA4" s="190">
        <f t="shared" si="28"/>
        <v>0</v>
      </c>
      <c r="BB4" s="191">
        <f t="shared" si="29"/>
        <v>0</v>
      </c>
      <c r="BC4" s="179">
        <f t="shared" si="30"/>
        <v>1</v>
      </c>
      <c r="BD4" s="154">
        <f>VLOOKUP(AQ4,'C-HH_AL_Aggregation'!A:P,14,FALSE)</f>
        <v>0</v>
      </c>
      <c r="BE4" s="145">
        <f>VLOOKUP(AQ4,'C-HH_AL_Aggregation'!A:P,15,FALSE)</f>
        <v>0</v>
      </c>
      <c r="BF4" s="146">
        <f>VLOOKUP(AQ4,'C-HH_AL_Aggregation'!A:P,16,FALSE)</f>
        <v>0</v>
      </c>
      <c r="BG4" s="145">
        <f t="shared" si="0"/>
        <v>172267</v>
      </c>
      <c r="BH4" s="145">
        <f t="shared" si="1"/>
        <v>0</v>
      </c>
      <c r="BI4" s="145">
        <f t="shared" si="2"/>
        <v>0</v>
      </c>
      <c r="BJ4" s="145">
        <f t="shared" si="3"/>
        <v>0</v>
      </c>
      <c r="BK4" s="146">
        <f t="shared" si="4"/>
        <v>0</v>
      </c>
      <c r="BL4" s="158"/>
      <c r="BM4" s="159"/>
    </row>
    <row r="5" spans="1:65" x14ac:dyDescent="0.35">
      <c r="A5" t="s">
        <v>159</v>
      </c>
      <c r="B5" t="s">
        <v>287</v>
      </c>
      <c r="C5" s="112">
        <f>VLOOKUP(A5,'E-REF_HNO_pop'!B:E,4,FALSE)</f>
        <v>69927</v>
      </c>
      <c r="D5" s="112">
        <f>VLOOKUP(A5,'E-REF_HNO_pop'!B:C,2,FALSE)</f>
        <v>91927</v>
      </c>
      <c r="E5" t="s">
        <v>138</v>
      </c>
      <c r="F5" t="s">
        <v>157</v>
      </c>
      <c r="G5" t="s">
        <v>160</v>
      </c>
      <c r="I5" s="109">
        <f t="shared" si="5"/>
        <v>0</v>
      </c>
      <c r="J5" s="109">
        <f t="shared" si="6"/>
        <v>0</v>
      </c>
      <c r="K5" s="109">
        <f t="shared" si="7"/>
        <v>1</v>
      </c>
      <c r="L5" s="109" t="str">
        <f t="shared" si="8"/>
        <v/>
      </c>
      <c r="M5" s="110">
        <f t="shared" si="31"/>
        <v>0.33333333333333331</v>
      </c>
      <c r="N5" s="133">
        <f t="shared" si="32"/>
        <v>23309</v>
      </c>
      <c r="O5" s="109">
        <f t="shared" si="9"/>
        <v>0</v>
      </c>
      <c r="P5" s="109">
        <f t="shared" si="10"/>
        <v>0</v>
      </c>
      <c r="Q5" s="109">
        <f t="shared" si="11"/>
        <v>0</v>
      </c>
      <c r="R5" s="109" t="str">
        <f t="shared" si="12"/>
        <v/>
      </c>
      <c r="S5" s="111">
        <f t="shared" si="33"/>
        <v>0</v>
      </c>
      <c r="T5" s="134">
        <f t="shared" si="34"/>
        <v>0</v>
      </c>
      <c r="U5" s="109">
        <f t="shared" si="13"/>
        <v>1</v>
      </c>
      <c r="V5" s="109">
        <f t="shared" si="14"/>
        <v>1</v>
      </c>
      <c r="W5" s="109">
        <f t="shared" si="15"/>
        <v>0</v>
      </c>
      <c r="X5" s="109">
        <f t="shared" si="16"/>
        <v>0</v>
      </c>
      <c r="Y5" s="111">
        <f t="shared" si="35"/>
        <v>0.5</v>
      </c>
      <c r="Z5" s="133">
        <f t="shared" si="36"/>
        <v>34963.5</v>
      </c>
      <c r="AA5" s="109">
        <f t="shared" si="17"/>
        <v>0</v>
      </c>
      <c r="AB5" s="109">
        <f t="shared" si="18"/>
        <v>0</v>
      </c>
      <c r="AC5" s="109">
        <f t="shared" si="19"/>
        <v>0</v>
      </c>
      <c r="AD5" s="109" t="str">
        <f t="shared" si="20"/>
        <v/>
      </c>
      <c r="AE5" s="111">
        <f t="shared" si="37"/>
        <v>0</v>
      </c>
      <c r="AF5" s="133">
        <f t="shared" si="38"/>
        <v>0</v>
      </c>
      <c r="AG5" s="109">
        <f t="shared" si="21"/>
        <v>0</v>
      </c>
      <c r="AH5" s="109">
        <f t="shared" si="22"/>
        <v>0</v>
      </c>
      <c r="AI5" s="109">
        <f t="shared" si="23"/>
        <v>0</v>
      </c>
      <c r="AJ5" s="109" t="str">
        <f t="shared" si="24"/>
        <v/>
      </c>
      <c r="AK5" s="111">
        <f t="shared" si="39"/>
        <v>0</v>
      </c>
      <c r="AL5" s="133">
        <f t="shared" si="40"/>
        <v>0</v>
      </c>
      <c r="AM5" s="130">
        <f t="shared" si="41"/>
        <v>3</v>
      </c>
      <c r="AP5" s="236"/>
      <c r="AQ5" s="181" t="s">
        <v>33</v>
      </c>
      <c r="AR5" s="119">
        <f>VLOOKUP(AQ5,'E-REF_HNO_pop'!B:E,2,FALSE)</f>
        <v>71363</v>
      </c>
      <c r="AS5" s="114">
        <f>VLOOKUP(AQ5,'E-REF_HNO_pop'!B:E,3,FALSE)</f>
        <v>2000</v>
      </c>
      <c r="AT5" s="120">
        <f>VLOOKUP(AQ5,'E-REF_HNO_pop'!B:E,4,FALSE)</f>
        <v>69363</v>
      </c>
      <c r="AU5" s="131">
        <f>VLOOKUP(AQ5,'C-HH_AL_Aggregation'!A:L,12,FALSE)</f>
        <v>1</v>
      </c>
      <c r="AV5" s="131">
        <f>VLOOKUP(AQ5,'C-HH_AL_Aggregation'!A:L,12,FALSE)</f>
        <v>1</v>
      </c>
      <c r="AW5" s="131">
        <f>VLOOKUP(AQ5,'C-HH_AL_Aggregation'!A:L,12,FALSE)</f>
        <v>1</v>
      </c>
      <c r="AX5" s="189">
        <f t="shared" si="25"/>
        <v>1</v>
      </c>
      <c r="AY5" s="190">
        <f t="shared" si="26"/>
        <v>0</v>
      </c>
      <c r="AZ5" s="190">
        <f t="shared" si="27"/>
        <v>0</v>
      </c>
      <c r="BA5" s="190">
        <f t="shared" si="28"/>
        <v>0</v>
      </c>
      <c r="BB5" s="191">
        <f t="shared" si="29"/>
        <v>0</v>
      </c>
      <c r="BC5" s="179">
        <f t="shared" si="30"/>
        <v>1</v>
      </c>
      <c r="BD5" s="154">
        <f>VLOOKUP(AQ5,'C-HH_AL_Aggregation'!A:P,14,FALSE)</f>
        <v>0</v>
      </c>
      <c r="BE5" s="145">
        <f>VLOOKUP(AQ5,'C-HH_AL_Aggregation'!A:P,15,FALSE)</f>
        <v>0</v>
      </c>
      <c r="BF5" s="146">
        <f>VLOOKUP(AQ5,'C-HH_AL_Aggregation'!A:P,16,FALSE)</f>
        <v>0</v>
      </c>
      <c r="BG5" s="145">
        <f t="shared" si="0"/>
        <v>71363</v>
      </c>
      <c r="BH5" s="145">
        <f t="shared" si="1"/>
        <v>0</v>
      </c>
      <c r="BI5" s="145">
        <f t="shared" si="2"/>
        <v>0</v>
      </c>
      <c r="BJ5" s="145">
        <f t="shared" si="3"/>
        <v>0</v>
      </c>
      <c r="BK5" s="146">
        <f t="shared" si="4"/>
        <v>0</v>
      </c>
      <c r="BL5" s="158"/>
      <c r="BM5" s="159"/>
    </row>
    <row r="6" spans="1:65" x14ac:dyDescent="0.35">
      <c r="A6" t="s">
        <v>163</v>
      </c>
      <c r="B6" t="s">
        <v>287</v>
      </c>
      <c r="C6" s="112">
        <f>VLOOKUP(A6,'E-REF_HNO_pop'!B:E,4,FALSE)</f>
        <v>73040</v>
      </c>
      <c r="D6" s="112">
        <f>VLOOKUP(A6,'E-REF_HNO_pop'!B:C,2,FALSE)</f>
        <v>89040</v>
      </c>
      <c r="E6" t="s">
        <v>160</v>
      </c>
      <c r="I6" s="109">
        <f t="shared" si="5"/>
        <v>1</v>
      </c>
      <c r="J6" s="109" t="str">
        <f t="shared" si="6"/>
        <v/>
      </c>
      <c r="K6" s="109" t="str">
        <f t="shared" si="7"/>
        <v/>
      </c>
      <c r="L6" s="109" t="str">
        <f t="shared" si="8"/>
        <v/>
      </c>
      <c r="M6" s="110">
        <f t="shared" si="31"/>
        <v>1</v>
      </c>
      <c r="N6" s="133">
        <f t="shared" si="32"/>
        <v>73040</v>
      </c>
      <c r="O6" s="109">
        <f t="shared" si="9"/>
        <v>0</v>
      </c>
      <c r="P6" s="109" t="str">
        <f t="shared" si="10"/>
        <v/>
      </c>
      <c r="Q6" s="109" t="str">
        <f t="shared" si="11"/>
        <v/>
      </c>
      <c r="R6" s="109" t="str">
        <f t="shared" si="12"/>
        <v/>
      </c>
      <c r="S6" s="111">
        <f t="shared" si="33"/>
        <v>0</v>
      </c>
      <c r="T6" s="134">
        <f t="shared" si="34"/>
        <v>0</v>
      </c>
      <c r="U6" s="109">
        <f t="shared" si="13"/>
        <v>0</v>
      </c>
      <c r="V6" s="109" t="str">
        <f t="shared" si="14"/>
        <v/>
      </c>
      <c r="W6" s="109" t="str">
        <f t="shared" si="15"/>
        <v/>
      </c>
      <c r="X6" s="109" t="str">
        <f t="shared" si="16"/>
        <v/>
      </c>
      <c r="Y6" s="111">
        <f t="shared" si="35"/>
        <v>0</v>
      </c>
      <c r="Z6" s="133">
        <f t="shared" si="36"/>
        <v>0</v>
      </c>
      <c r="AA6" s="109">
        <f t="shared" si="17"/>
        <v>0</v>
      </c>
      <c r="AB6" s="109" t="str">
        <f t="shared" si="18"/>
        <v/>
      </c>
      <c r="AC6" s="109" t="str">
        <f t="shared" si="19"/>
        <v/>
      </c>
      <c r="AD6" s="109" t="str">
        <f t="shared" si="20"/>
        <v/>
      </c>
      <c r="AE6" s="111">
        <f t="shared" si="37"/>
        <v>0</v>
      </c>
      <c r="AF6" s="133">
        <f t="shared" si="38"/>
        <v>0</v>
      </c>
      <c r="AG6" s="109">
        <f t="shared" si="21"/>
        <v>0</v>
      </c>
      <c r="AH6" s="109" t="str">
        <f t="shared" si="22"/>
        <v/>
      </c>
      <c r="AI6" s="109" t="str">
        <f t="shared" si="23"/>
        <v/>
      </c>
      <c r="AJ6" s="109" t="str">
        <f t="shared" si="24"/>
        <v/>
      </c>
      <c r="AK6" s="111">
        <f t="shared" si="39"/>
        <v>0</v>
      </c>
      <c r="AL6" s="133">
        <f t="shared" si="40"/>
        <v>0</v>
      </c>
      <c r="AM6" s="130">
        <f t="shared" si="41"/>
        <v>1</v>
      </c>
      <c r="AP6" s="236"/>
      <c r="AQ6" s="181" t="s">
        <v>35</v>
      </c>
      <c r="AR6" s="119">
        <f>VLOOKUP(AQ6,'E-REF_HNO_pop'!B:E,2,FALSE)</f>
        <v>620749</v>
      </c>
      <c r="AS6" s="114">
        <f>VLOOKUP(AQ6,'E-REF_HNO_pop'!B:E,3,FALSE)</f>
        <v>454200</v>
      </c>
      <c r="AT6" s="120">
        <f>VLOOKUP(AQ6,'E-REF_HNO_pop'!B:E,4,FALSE)</f>
        <v>166549</v>
      </c>
      <c r="AU6" s="131">
        <f>VLOOKUP(AQ6,'C-HH_AL_Aggregation'!A:L,12,FALSE)</f>
        <v>3</v>
      </c>
      <c r="AV6" s="131">
        <f>VLOOKUP(AQ6,'C-HH_AL_Aggregation'!A:L,12,FALSE)</f>
        <v>3</v>
      </c>
      <c r="AW6" s="131">
        <f>VLOOKUP(AQ6,'C-HH_AL_Aggregation'!A:L,12,FALSE)</f>
        <v>3</v>
      </c>
      <c r="AX6" s="189">
        <f t="shared" si="25"/>
        <v>0</v>
      </c>
      <c r="AY6" s="190">
        <f t="shared" si="26"/>
        <v>0</v>
      </c>
      <c r="AZ6" s="190">
        <f t="shared" si="27"/>
        <v>1</v>
      </c>
      <c r="BA6" s="190">
        <f t="shared" si="28"/>
        <v>0</v>
      </c>
      <c r="BB6" s="191">
        <f t="shared" si="29"/>
        <v>0</v>
      </c>
      <c r="BC6" s="179">
        <f t="shared" si="30"/>
        <v>3</v>
      </c>
      <c r="BD6" s="154">
        <f>VLOOKUP(AQ6,'C-HH_AL_Aggregation'!A:P,14,FALSE)</f>
        <v>620749</v>
      </c>
      <c r="BE6" s="145">
        <f>VLOOKUP(AQ6,'C-HH_AL_Aggregation'!A:P,15,FALSE)</f>
        <v>454200</v>
      </c>
      <c r="BF6" s="146">
        <f>VLOOKUP(AQ6,'C-HH_AL_Aggregation'!A:P,16,FALSE)</f>
        <v>166549</v>
      </c>
      <c r="BG6" s="145">
        <f t="shared" si="0"/>
        <v>0</v>
      </c>
      <c r="BH6" s="145">
        <f t="shared" si="1"/>
        <v>0</v>
      </c>
      <c r="BI6" s="145">
        <f t="shared" si="2"/>
        <v>620749</v>
      </c>
      <c r="BJ6" s="145">
        <f t="shared" si="3"/>
        <v>0</v>
      </c>
      <c r="BK6" s="146">
        <f t="shared" si="4"/>
        <v>0</v>
      </c>
      <c r="BL6" s="158"/>
      <c r="BM6" s="159"/>
    </row>
    <row r="7" spans="1:65" x14ac:dyDescent="0.35">
      <c r="A7" t="s">
        <v>90</v>
      </c>
      <c r="B7" t="s">
        <v>287</v>
      </c>
      <c r="C7" s="112">
        <f>VLOOKUP(A7,'E-REF_HNO_pop'!B:E,4,FALSE)</f>
        <v>363416</v>
      </c>
      <c r="D7" s="112">
        <f>VLOOKUP(A7,'E-REF_HNO_pop'!B:C,2,FALSE)</f>
        <v>371416</v>
      </c>
      <c r="E7" t="s">
        <v>28</v>
      </c>
      <c r="F7" t="s">
        <v>92</v>
      </c>
      <c r="I7" s="109">
        <f t="shared" si="5"/>
        <v>0</v>
      </c>
      <c r="J7" s="109">
        <f t="shared" si="6"/>
        <v>0</v>
      </c>
      <c r="K7" s="109" t="str">
        <f t="shared" si="7"/>
        <v/>
      </c>
      <c r="L7" s="109" t="str">
        <f t="shared" si="8"/>
        <v/>
      </c>
      <c r="M7" s="110">
        <f t="shared" ref="M7" si="42">AVERAGE(I7:L7)</f>
        <v>0</v>
      </c>
      <c r="N7" s="133">
        <f t="shared" ref="N7" si="43">M7*C7</f>
        <v>0</v>
      </c>
      <c r="O7" s="109">
        <f t="shared" si="9"/>
        <v>1</v>
      </c>
      <c r="P7" s="109">
        <f t="shared" si="10"/>
        <v>1</v>
      </c>
      <c r="Q7" s="109" t="str">
        <f t="shared" si="11"/>
        <v/>
      </c>
      <c r="R7" s="109" t="str">
        <f t="shared" si="12"/>
        <v/>
      </c>
      <c r="S7" s="111">
        <f t="shared" ref="S7" si="44">AVERAGE(O7:R7)</f>
        <v>1</v>
      </c>
      <c r="T7" s="134">
        <f t="shared" ref="T7" si="45">S7*C7</f>
        <v>363416</v>
      </c>
      <c r="U7" s="109">
        <f t="shared" si="13"/>
        <v>0</v>
      </c>
      <c r="V7" s="109">
        <f t="shared" si="14"/>
        <v>0</v>
      </c>
      <c r="W7" s="109" t="str">
        <f t="shared" si="15"/>
        <v/>
      </c>
      <c r="X7" s="109" t="str">
        <f t="shared" si="16"/>
        <v/>
      </c>
      <c r="Y7" s="111">
        <f t="shared" ref="Y7" si="46">AVERAGE(U7:X7)</f>
        <v>0</v>
      </c>
      <c r="Z7" s="133">
        <f t="shared" ref="Z7" si="47">Y7*C7</f>
        <v>0</v>
      </c>
      <c r="AA7" s="109">
        <f t="shared" si="17"/>
        <v>0</v>
      </c>
      <c r="AB7" s="109">
        <f t="shared" si="18"/>
        <v>0</v>
      </c>
      <c r="AC7" s="109" t="str">
        <f t="shared" si="19"/>
        <v/>
      </c>
      <c r="AD7" s="109" t="str">
        <f t="shared" si="20"/>
        <v/>
      </c>
      <c r="AE7" s="111">
        <f t="shared" ref="AE7" si="48">AVERAGE(AA7:AD7)</f>
        <v>0</v>
      </c>
      <c r="AF7" s="133">
        <f t="shared" ref="AF7" si="49">AE7*C7</f>
        <v>0</v>
      </c>
      <c r="AG7" s="109">
        <f t="shared" si="21"/>
        <v>0</v>
      </c>
      <c r="AH7" s="109">
        <f t="shared" si="22"/>
        <v>0</v>
      </c>
      <c r="AI7" s="109" t="str">
        <f t="shared" si="23"/>
        <v/>
      </c>
      <c r="AJ7" s="109" t="str">
        <f t="shared" si="24"/>
        <v/>
      </c>
      <c r="AK7" s="111">
        <f t="shared" ref="AK7" si="50">AVERAGE(AG7:AJ7)</f>
        <v>0</v>
      </c>
      <c r="AL7" s="133">
        <f t="shared" ref="AL7" si="51">AK7*C7</f>
        <v>0</v>
      </c>
      <c r="AM7" s="130">
        <f t="shared" ref="AM7" si="52">IF(AK7&gt;=0.25,5,IF(SUM(AE7,AK7)&gt;=0.25,4,IF(SUM(Y7,AE7,AK7)&gt;=0.25,3,IF(SUM(S7,Y7,AE7,AK7)&gt;=0.25,2,1))))</f>
        <v>2</v>
      </c>
      <c r="AP7" s="236"/>
      <c r="AQ7" s="181" t="s">
        <v>40</v>
      </c>
      <c r="AR7" s="119">
        <f>VLOOKUP(AQ7,'E-REF_HNO_pop'!B:E,2,FALSE)</f>
        <v>334620</v>
      </c>
      <c r="AS7" s="114">
        <f>VLOOKUP(AQ7,'E-REF_HNO_pop'!B:E,3,FALSE)</f>
        <v>61500</v>
      </c>
      <c r="AT7" s="120">
        <f>VLOOKUP(AQ7,'E-REF_HNO_pop'!B:E,4,FALSE)</f>
        <v>273120</v>
      </c>
      <c r="AU7" s="131">
        <f>VLOOKUP(AQ7,'C-HH_AL_Aggregation'!A:L,12,FALSE)</f>
        <v>2</v>
      </c>
      <c r="AV7" s="131">
        <f>VLOOKUP(AQ7,'C-HH_AL_Aggregation'!A:L,12,FALSE)</f>
        <v>2</v>
      </c>
      <c r="AW7" s="131">
        <f>VLOOKUP(AQ7,'C-HH_AL_Aggregation'!A:L,12,FALSE)</f>
        <v>2</v>
      </c>
      <c r="AX7" s="189">
        <f t="shared" si="25"/>
        <v>0</v>
      </c>
      <c r="AY7" s="190">
        <f t="shared" si="26"/>
        <v>1</v>
      </c>
      <c r="AZ7" s="190">
        <f t="shared" si="27"/>
        <v>0</v>
      </c>
      <c r="BA7" s="190">
        <f t="shared" si="28"/>
        <v>0</v>
      </c>
      <c r="BB7" s="191">
        <f t="shared" si="29"/>
        <v>0</v>
      </c>
      <c r="BC7" s="179">
        <f t="shared" ref="BC7:BC45" si="53">IF(BB7&gt;=0.25,5,IF(SUM(BA7:BB7)&gt;=0.25,4,IF(SUM(AZ7:BB7)&gt;=0.25,3,IF(SUM(AY7:BB7)&gt;=0.25,2,1))))</f>
        <v>2</v>
      </c>
      <c r="BD7" s="154">
        <f>VLOOKUP(AQ7,'C-HH_AL_Aggregation'!A:P,14,FALSE)</f>
        <v>0</v>
      </c>
      <c r="BE7" s="145">
        <f>VLOOKUP(AQ7,'C-HH_AL_Aggregation'!A:P,15,FALSE)</f>
        <v>0</v>
      </c>
      <c r="BF7" s="146">
        <f>VLOOKUP(AQ7,'C-HH_AL_Aggregation'!A:P,16,FALSE)</f>
        <v>0</v>
      </c>
      <c r="BG7" s="145">
        <f t="shared" si="0"/>
        <v>0</v>
      </c>
      <c r="BH7" s="145">
        <f t="shared" si="1"/>
        <v>334620</v>
      </c>
      <c r="BI7" s="145">
        <f t="shared" si="2"/>
        <v>0</v>
      </c>
      <c r="BJ7" s="145">
        <f t="shared" si="3"/>
        <v>0</v>
      </c>
      <c r="BK7" s="146">
        <f t="shared" si="4"/>
        <v>0</v>
      </c>
      <c r="BL7" s="158"/>
      <c r="BM7" s="159"/>
    </row>
    <row r="8" spans="1:65" x14ac:dyDescent="0.35">
      <c r="A8" t="s">
        <v>91</v>
      </c>
      <c r="B8" t="s">
        <v>287</v>
      </c>
      <c r="C8" s="112">
        <f>VLOOKUP(A8,'E-REF_HNO_pop'!B:E,4,FALSE)</f>
        <v>125930</v>
      </c>
      <c r="D8" s="112">
        <f>VLOOKUP(A8,'E-REF_HNO_pop'!B:C,2,FALSE)</f>
        <v>142930</v>
      </c>
      <c r="E8" t="s">
        <v>28</v>
      </c>
      <c r="F8" t="s">
        <v>164</v>
      </c>
      <c r="G8" t="s">
        <v>47</v>
      </c>
      <c r="I8" s="109">
        <f t="shared" si="5"/>
        <v>0</v>
      </c>
      <c r="J8" s="109">
        <f t="shared" si="6"/>
        <v>1</v>
      </c>
      <c r="K8" s="109">
        <f t="shared" si="7"/>
        <v>1</v>
      </c>
      <c r="L8" s="109" t="str">
        <f t="shared" si="8"/>
        <v/>
      </c>
      <c r="M8" s="110">
        <f t="shared" si="31"/>
        <v>0.66666666666666663</v>
      </c>
      <c r="N8" s="133">
        <f t="shared" si="32"/>
        <v>83953.333333333328</v>
      </c>
      <c r="O8" s="109">
        <f t="shared" si="9"/>
        <v>1</v>
      </c>
      <c r="P8" s="109">
        <f t="shared" si="10"/>
        <v>0</v>
      </c>
      <c r="Q8" s="109">
        <f t="shared" si="11"/>
        <v>0</v>
      </c>
      <c r="R8" s="109" t="str">
        <f t="shared" si="12"/>
        <v/>
      </c>
      <c r="S8" s="111">
        <f t="shared" si="33"/>
        <v>0.33333333333333331</v>
      </c>
      <c r="T8" s="134">
        <f t="shared" si="34"/>
        <v>41976.666666666664</v>
      </c>
      <c r="U8" s="109">
        <f t="shared" si="13"/>
        <v>0</v>
      </c>
      <c r="V8" s="109">
        <f t="shared" si="14"/>
        <v>0</v>
      </c>
      <c r="W8" s="109">
        <f t="shared" si="15"/>
        <v>0</v>
      </c>
      <c r="X8" s="109">
        <f t="shared" si="16"/>
        <v>0</v>
      </c>
      <c r="Y8" s="111">
        <f t="shared" si="35"/>
        <v>0</v>
      </c>
      <c r="Z8" s="133">
        <f t="shared" si="36"/>
        <v>0</v>
      </c>
      <c r="AA8" s="109">
        <f t="shared" si="17"/>
        <v>0</v>
      </c>
      <c r="AB8" s="109">
        <f t="shared" si="18"/>
        <v>0</v>
      </c>
      <c r="AC8" s="109">
        <f t="shared" si="19"/>
        <v>0</v>
      </c>
      <c r="AD8" s="109" t="str">
        <f t="shared" si="20"/>
        <v/>
      </c>
      <c r="AE8" s="111">
        <f t="shared" si="37"/>
        <v>0</v>
      </c>
      <c r="AF8" s="133">
        <f t="shared" si="38"/>
        <v>0</v>
      </c>
      <c r="AG8" s="109">
        <f t="shared" si="21"/>
        <v>0</v>
      </c>
      <c r="AH8" s="109">
        <f t="shared" si="22"/>
        <v>0</v>
      </c>
      <c r="AI8" s="109">
        <f t="shared" si="23"/>
        <v>0</v>
      </c>
      <c r="AJ8" s="109" t="str">
        <f t="shared" si="24"/>
        <v/>
      </c>
      <c r="AK8" s="111">
        <f t="shared" si="39"/>
        <v>0</v>
      </c>
      <c r="AL8" s="133">
        <f t="shared" si="40"/>
        <v>0</v>
      </c>
      <c r="AM8" s="130">
        <f t="shared" si="41"/>
        <v>2</v>
      </c>
      <c r="AP8" s="236"/>
      <c r="AQ8" s="181" t="s">
        <v>43</v>
      </c>
      <c r="AR8" s="119">
        <f>VLOOKUP(AQ8,'E-REF_HNO_pop'!B:E,2,FALSE)</f>
        <v>2683312</v>
      </c>
      <c r="AS8" s="114">
        <f>VLOOKUP(AQ8,'E-REF_HNO_pop'!B:E,3,FALSE)</f>
        <v>904000</v>
      </c>
      <c r="AT8" s="120">
        <f>VLOOKUP(AQ8,'E-REF_HNO_pop'!B:E,4,FALSE)</f>
        <v>1779312</v>
      </c>
      <c r="AU8" s="131">
        <f>VLOOKUP(AQ8,'C-HH_AL_Aggregation'!A:L,12,FALSE)</f>
        <v>3</v>
      </c>
      <c r="AV8" s="131">
        <f>VLOOKUP(AQ8,'C-HH_AL_Aggregation'!A:L,12,FALSE)</f>
        <v>3</v>
      </c>
      <c r="AW8" s="131">
        <f>VLOOKUP(AQ8,'C-HH_AL_Aggregation'!A:L,12,FALSE)</f>
        <v>3</v>
      </c>
      <c r="AX8" s="189">
        <f t="shared" si="25"/>
        <v>0</v>
      </c>
      <c r="AY8" s="190">
        <f t="shared" si="26"/>
        <v>0</v>
      </c>
      <c r="AZ8" s="190">
        <f t="shared" si="27"/>
        <v>1</v>
      </c>
      <c r="BA8" s="190">
        <f t="shared" si="28"/>
        <v>0</v>
      </c>
      <c r="BB8" s="191">
        <f t="shared" si="29"/>
        <v>0</v>
      </c>
      <c r="BC8" s="179">
        <f t="shared" si="53"/>
        <v>3</v>
      </c>
      <c r="BD8" s="154">
        <f>VLOOKUP(AQ8,'C-HH_AL_Aggregation'!A:P,14,FALSE)</f>
        <v>2683312</v>
      </c>
      <c r="BE8" s="145">
        <f>VLOOKUP(AQ8,'C-HH_AL_Aggregation'!A:P,15,FALSE)</f>
        <v>904000</v>
      </c>
      <c r="BF8" s="146">
        <f>VLOOKUP(AQ8,'C-HH_AL_Aggregation'!A:P,16,FALSE)</f>
        <v>1779312</v>
      </c>
      <c r="BG8" s="145">
        <f t="shared" si="0"/>
        <v>0</v>
      </c>
      <c r="BH8" s="145">
        <f t="shared" si="1"/>
        <v>0</v>
      </c>
      <c r="BI8" s="145">
        <f t="shared" si="2"/>
        <v>2683312</v>
      </c>
      <c r="BJ8" s="145">
        <f t="shared" si="3"/>
        <v>0</v>
      </c>
      <c r="BK8" s="146">
        <f t="shared" si="4"/>
        <v>0</v>
      </c>
      <c r="BL8" s="158"/>
      <c r="BM8" s="159"/>
    </row>
    <row r="9" spans="1:65" x14ac:dyDescent="0.35">
      <c r="A9" t="s">
        <v>99</v>
      </c>
      <c r="B9" t="s">
        <v>287</v>
      </c>
      <c r="C9" s="112">
        <f>VLOOKUP(A9,'E-REF_HNO_pop'!B:E,4,FALSE)</f>
        <v>45490</v>
      </c>
      <c r="D9" s="112">
        <f>VLOOKUP(A9,'E-REF_HNO_pop'!B:C,2,FALSE)</f>
        <v>54490</v>
      </c>
      <c r="E9" t="s">
        <v>88</v>
      </c>
      <c r="F9" t="s">
        <v>56</v>
      </c>
      <c r="I9" s="109">
        <f t="shared" si="5"/>
        <v>1</v>
      </c>
      <c r="J9" s="109">
        <f t="shared" si="6"/>
        <v>1</v>
      </c>
      <c r="K9" s="109" t="str">
        <f t="shared" si="7"/>
        <v/>
      </c>
      <c r="L9" s="109" t="str">
        <f t="shared" si="8"/>
        <v/>
      </c>
      <c r="M9" s="110">
        <f t="shared" si="31"/>
        <v>1</v>
      </c>
      <c r="N9" s="133">
        <f t="shared" si="32"/>
        <v>45490</v>
      </c>
      <c r="O9" s="109">
        <f t="shared" si="9"/>
        <v>0</v>
      </c>
      <c r="P9" s="109">
        <f t="shared" si="10"/>
        <v>0</v>
      </c>
      <c r="Q9" s="109" t="str">
        <f t="shared" si="11"/>
        <v/>
      </c>
      <c r="R9" s="109" t="str">
        <f t="shared" si="12"/>
        <v/>
      </c>
      <c r="S9" s="111">
        <f t="shared" si="33"/>
        <v>0</v>
      </c>
      <c r="T9" s="134">
        <f t="shared" si="34"/>
        <v>0</v>
      </c>
      <c r="U9" s="109">
        <f t="shared" si="13"/>
        <v>0</v>
      </c>
      <c r="V9" s="109">
        <f t="shared" si="14"/>
        <v>0</v>
      </c>
      <c r="W9" s="109" t="str">
        <f t="shared" si="15"/>
        <v/>
      </c>
      <c r="X9" s="109" t="str">
        <f t="shared" si="16"/>
        <v/>
      </c>
      <c r="Y9" s="111">
        <f t="shared" si="35"/>
        <v>0</v>
      </c>
      <c r="Z9" s="133">
        <f t="shared" si="36"/>
        <v>0</v>
      </c>
      <c r="AA9" s="109">
        <f t="shared" si="17"/>
        <v>0</v>
      </c>
      <c r="AB9" s="109">
        <f t="shared" si="18"/>
        <v>0</v>
      </c>
      <c r="AC9" s="109" t="str">
        <f t="shared" si="19"/>
        <v/>
      </c>
      <c r="AD9" s="109" t="str">
        <f t="shared" si="20"/>
        <v/>
      </c>
      <c r="AE9" s="111">
        <f t="shared" si="37"/>
        <v>0</v>
      </c>
      <c r="AF9" s="133">
        <f t="shared" si="38"/>
        <v>0</v>
      </c>
      <c r="AG9" s="109">
        <f t="shared" si="21"/>
        <v>0</v>
      </c>
      <c r="AH9" s="109">
        <f t="shared" si="22"/>
        <v>0</v>
      </c>
      <c r="AI9" s="109" t="str">
        <f t="shared" si="23"/>
        <v/>
      </c>
      <c r="AJ9" s="109" t="str">
        <f t="shared" si="24"/>
        <v/>
      </c>
      <c r="AK9" s="111">
        <f t="shared" si="39"/>
        <v>0</v>
      </c>
      <c r="AL9" s="133">
        <f t="shared" si="40"/>
        <v>0</v>
      </c>
      <c r="AM9" s="130">
        <f t="shared" si="41"/>
        <v>1</v>
      </c>
      <c r="AP9" s="236"/>
      <c r="AQ9" s="181" t="s">
        <v>47</v>
      </c>
      <c r="AR9" s="119">
        <f>VLOOKUP(AQ9,'E-REF_HNO_pop'!B:E,2,FALSE)</f>
        <v>54775</v>
      </c>
      <c r="AS9" s="114">
        <f>VLOOKUP(AQ9,'E-REF_HNO_pop'!B:E,3,FALSE)</f>
        <v>4400</v>
      </c>
      <c r="AT9" s="120">
        <f>VLOOKUP(AQ9,'E-REF_HNO_pop'!B:E,4,FALSE)</f>
        <v>50375</v>
      </c>
      <c r="AU9" s="131">
        <f>VLOOKUP(AQ9,'C-HH_AL_Aggregation'!A:L,12,FALSE)</f>
        <v>1</v>
      </c>
      <c r="AV9" s="131">
        <f>VLOOKUP(AQ9,'C-HH_AL_Aggregation'!A:L,12,FALSE)</f>
        <v>1</v>
      </c>
      <c r="AW9" s="131">
        <f>VLOOKUP(AQ9,'C-HH_AL_Aggregation'!A:L,12,FALSE)</f>
        <v>1</v>
      </c>
      <c r="AX9" s="189">
        <f t="shared" si="25"/>
        <v>1</v>
      </c>
      <c r="AY9" s="190">
        <f t="shared" si="26"/>
        <v>0</v>
      </c>
      <c r="AZ9" s="190">
        <f t="shared" si="27"/>
        <v>0</v>
      </c>
      <c r="BA9" s="190">
        <f t="shared" si="28"/>
        <v>0</v>
      </c>
      <c r="BB9" s="191">
        <f t="shared" si="29"/>
        <v>0</v>
      </c>
      <c r="BC9" s="179">
        <f t="shared" si="53"/>
        <v>1</v>
      </c>
      <c r="BD9" s="154">
        <f>VLOOKUP(AQ9,'C-HH_AL_Aggregation'!A:P,14,FALSE)</f>
        <v>0</v>
      </c>
      <c r="BE9" s="145">
        <f>VLOOKUP(AQ9,'C-HH_AL_Aggregation'!A:P,15,FALSE)</f>
        <v>0</v>
      </c>
      <c r="BF9" s="146">
        <f>VLOOKUP(AQ9,'C-HH_AL_Aggregation'!A:P,16,FALSE)</f>
        <v>0</v>
      </c>
      <c r="BG9" s="145">
        <f t="shared" si="0"/>
        <v>54775</v>
      </c>
      <c r="BH9" s="145">
        <f t="shared" si="1"/>
        <v>0</v>
      </c>
      <c r="BI9" s="145">
        <f t="shared" si="2"/>
        <v>0</v>
      </c>
      <c r="BJ9" s="145">
        <f t="shared" si="3"/>
        <v>0</v>
      </c>
      <c r="BK9" s="146">
        <f t="shared" si="4"/>
        <v>0</v>
      </c>
      <c r="BL9" s="158"/>
      <c r="BM9" s="159"/>
    </row>
    <row r="10" spans="1:65" x14ac:dyDescent="0.35">
      <c r="A10" t="s">
        <v>166</v>
      </c>
      <c r="B10" t="s">
        <v>287</v>
      </c>
      <c r="C10" s="112">
        <f>VLOOKUP(A10,'E-REF_HNO_pop'!B:E,4,FALSE)</f>
        <v>115329</v>
      </c>
      <c r="D10" s="112">
        <f>VLOOKUP(A10,'E-REF_HNO_pop'!B:C,2,FALSE)</f>
        <v>115329</v>
      </c>
      <c r="E10" t="s">
        <v>35</v>
      </c>
      <c r="F10" t="s">
        <v>31</v>
      </c>
      <c r="G10" t="s">
        <v>147</v>
      </c>
      <c r="H10" t="s">
        <v>80</v>
      </c>
      <c r="I10" s="109">
        <f t="shared" si="5"/>
        <v>0</v>
      </c>
      <c r="J10" s="109">
        <f t="shared" si="6"/>
        <v>1</v>
      </c>
      <c r="K10" s="109">
        <f t="shared" si="7"/>
        <v>1</v>
      </c>
      <c r="L10" s="109">
        <f t="shared" si="8"/>
        <v>1</v>
      </c>
      <c r="M10" s="110">
        <f t="shared" si="31"/>
        <v>0.75</v>
      </c>
      <c r="N10" s="133">
        <f t="shared" si="32"/>
        <v>86496.75</v>
      </c>
      <c r="O10" s="109">
        <f t="shared" si="9"/>
        <v>0</v>
      </c>
      <c r="P10" s="109">
        <f t="shared" si="10"/>
        <v>0</v>
      </c>
      <c r="Q10" s="109">
        <f t="shared" si="11"/>
        <v>0</v>
      </c>
      <c r="R10" s="109">
        <f t="shared" si="12"/>
        <v>0</v>
      </c>
      <c r="S10" s="111">
        <f t="shared" si="33"/>
        <v>0</v>
      </c>
      <c r="T10" s="134">
        <f t="shared" si="34"/>
        <v>0</v>
      </c>
      <c r="U10" s="109">
        <f t="shared" si="13"/>
        <v>1</v>
      </c>
      <c r="V10" s="109">
        <f t="shared" si="14"/>
        <v>0</v>
      </c>
      <c r="W10" s="109">
        <f t="shared" si="15"/>
        <v>0</v>
      </c>
      <c r="X10" s="109">
        <f t="shared" si="16"/>
        <v>0</v>
      </c>
      <c r="Y10" s="111">
        <f t="shared" si="35"/>
        <v>0.25</v>
      </c>
      <c r="Z10" s="133">
        <f t="shared" si="36"/>
        <v>28832.25</v>
      </c>
      <c r="AA10" s="109">
        <f t="shared" si="17"/>
        <v>0</v>
      </c>
      <c r="AB10" s="109">
        <f t="shared" si="18"/>
        <v>0</v>
      </c>
      <c r="AC10" s="109">
        <f t="shared" si="19"/>
        <v>0</v>
      </c>
      <c r="AD10" s="109">
        <f t="shared" si="20"/>
        <v>0</v>
      </c>
      <c r="AE10" s="111">
        <f t="shared" si="37"/>
        <v>0</v>
      </c>
      <c r="AF10" s="133">
        <f t="shared" si="38"/>
        <v>0</v>
      </c>
      <c r="AG10" s="109">
        <f t="shared" si="21"/>
        <v>0</v>
      </c>
      <c r="AH10" s="109">
        <f t="shared" si="22"/>
        <v>0</v>
      </c>
      <c r="AI10" s="109">
        <f t="shared" si="23"/>
        <v>0</v>
      </c>
      <c r="AJ10" s="109">
        <f t="shared" si="24"/>
        <v>0</v>
      </c>
      <c r="AK10" s="111">
        <f t="shared" si="39"/>
        <v>0</v>
      </c>
      <c r="AL10" s="133">
        <f t="shared" si="40"/>
        <v>0</v>
      </c>
      <c r="AM10" s="130">
        <f t="shared" si="41"/>
        <v>3</v>
      </c>
      <c r="AP10" s="236"/>
      <c r="AQ10" s="181" t="s">
        <v>157</v>
      </c>
      <c r="AR10" s="119">
        <f>VLOOKUP(AQ10,'E-REF_HNO_pop'!B:E,2,FALSE)</f>
        <v>287761</v>
      </c>
      <c r="AS10" s="114">
        <f>VLOOKUP(AQ10,'E-REF_HNO_pop'!B:E,3,FALSE)</f>
        <v>80100</v>
      </c>
      <c r="AT10" s="120">
        <f>VLOOKUP(AQ10,'E-REF_HNO_pop'!B:E,4,FALSE)</f>
        <v>207661</v>
      </c>
      <c r="AU10" s="131">
        <f>VLOOKUP(AQ10,'C-HH_AL_Aggregation'!A:L,12,FALSE)</f>
        <v>3</v>
      </c>
      <c r="AV10" s="131">
        <f>VLOOKUP(AQ10,'C-HH_AL_Aggregation'!A:L,12,FALSE)</f>
        <v>3</v>
      </c>
      <c r="AW10" s="131">
        <f>VLOOKUP(AQ10,'C-HH_AL_Aggregation'!A:L,12,FALSE)</f>
        <v>3</v>
      </c>
      <c r="AX10" s="189">
        <f t="shared" si="25"/>
        <v>0</v>
      </c>
      <c r="AY10" s="190">
        <f t="shared" si="26"/>
        <v>0</v>
      </c>
      <c r="AZ10" s="190">
        <f t="shared" si="27"/>
        <v>1</v>
      </c>
      <c r="BA10" s="190">
        <f t="shared" si="28"/>
        <v>0</v>
      </c>
      <c r="BB10" s="191">
        <f t="shared" si="29"/>
        <v>0</v>
      </c>
      <c r="BC10" s="179">
        <f t="shared" si="53"/>
        <v>3</v>
      </c>
      <c r="BD10" s="154">
        <f>VLOOKUP(AQ10,'C-HH_AL_Aggregation'!A:P,14,FALSE)</f>
        <v>287761</v>
      </c>
      <c r="BE10" s="145">
        <f>VLOOKUP(AQ10,'C-HH_AL_Aggregation'!A:P,15,FALSE)</f>
        <v>80100</v>
      </c>
      <c r="BF10" s="146">
        <f>VLOOKUP(AQ10,'C-HH_AL_Aggregation'!A:P,16,FALSE)</f>
        <v>207661</v>
      </c>
      <c r="BG10" s="145">
        <f t="shared" si="0"/>
        <v>0</v>
      </c>
      <c r="BH10" s="145">
        <f t="shared" si="1"/>
        <v>0</v>
      </c>
      <c r="BI10" s="145">
        <f t="shared" si="2"/>
        <v>287761</v>
      </c>
      <c r="BJ10" s="145">
        <f t="shared" si="3"/>
        <v>0</v>
      </c>
      <c r="BK10" s="146">
        <f t="shared" si="4"/>
        <v>0</v>
      </c>
      <c r="BL10" s="158"/>
      <c r="BM10" s="159"/>
    </row>
    <row r="11" spans="1:65" x14ac:dyDescent="0.35">
      <c r="A11" t="s">
        <v>102</v>
      </c>
      <c r="B11" t="s">
        <v>287</v>
      </c>
      <c r="C11" s="112">
        <f>VLOOKUP(A11,'E-REF_HNO_pop'!B:E,4,FALSE)</f>
        <v>80645</v>
      </c>
      <c r="D11" s="112">
        <f>VLOOKUP(A11,'E-REF_HNO_pop'!B:C,2,FALSE)</f>
        <v>94645</v>
      </c>
      <c r="E11" t="s">
        <v>80</v>
      </c>
      <c r="F11" t="s">
        <v>31</v>
      </c>
      <c r="G11" t="s">
        <v>164</v>
      </c>
      <c r="H11" t="s">
        <v>28</v>
      </c>
      <c r="I11" s="109">
        <f t="shared" si="5"/>
        <v>1</v>
      </c>
      <c r="J11" s="109">
        <f t="shared" si="6"/>
        <v>1</v>
      </c>
      <c r="K11" s="109">
        <f t="shared" si="7"/>
        <v>1</v>
      </c>
      <c r="L11" s="109">
        <f t="shared" si="8"/>
        <v>0</v>
      </c>
      <c r="M11" s="110">
        <f t="shared" si="31"/>
        <v>0.75</v>
      </c>
      <c r="N11" s="133">
        <f t="shared" si="32"/>
        <v>60483.75</v>
      </c>
      <c r="O11" s="109">
        <f t="shared" si="9"/>
        <v>0</v>
      </c>
      <c r="P11" s="109">
        <f t="shared" si="10"/>
        <v>0</v>
      </c>
      <c r="Q11" s="109">
        <f t="shared" si="11"/>
        <v>0</v>
      </c>
      <c r="R11" s="109">
        <f t="shared" si="12"/>
        <v>1</v>
      </c>
      <c r="S11" s="111">
        <f t="shared" si="33"/>
        <v>0.25</v>
      </c>
      <c r="T11" s="134">
        <f t="shared" si="34"/>
        <v>20161.25</v>
      </c>
      <c r="U11" s="109">
        <f t="shared" si="13"/>
        <v>0</v>
      </c>
      <c r="V11" s="109">
        <f t="shared" si="14"/>
        <v>0</v>
      </c>
      <c r="W11" s="109">
        <f t="shared" si="15"/>
        <v>0</v>
      </c>
      <c r="X11" s="109">
        <f t="shared" si="16"/>
        <v>0</v>
      </c>
      <c r="Y11" s="111">
        <f t="shared" si="35"/>
        <v>0</v>
      </c>
      <c r="Z11" s="133">
        <f t="shared" si="36"/>
        <v>0</v>
      </c>
      <c r="AA11" s="109">
        <f t="shared" si="17"/>
        <v>0</v>
      </c>
      <c r="AB11" s="109">
        <f t="shared" si="18"/>
        <v>0</v>
      </c>
      <c r="AC11" s="109">
        <f t="shared" si="19"/>
        <v>0</v>
      </c>
      <c r="AD11" s="109">
        <f t="shared" si="20"/>
        <v>0</v>
      </c>
      <c r="AE11" s="111">
        <f t="shared" si="37"/>
        <v>0</v>
      </c>
      <c r="AF11" s="133">
        <f t="shared" si="38"/>
        <v>0</v>
      </c>
      <c r="AG11" s="109">
        <f t="shared" si="21"/>
        <v>0</v>
      </c>
      <c r="AH11" s="109">
        <f t="shared" si="22"/>
        <v>0</v>
      </c>
      <c r="AI11" s="109">
        <f t="shared" si="23"/>
        <v>0</v>
      </c>
      <c r="AJ11" s="109">
        <f t="shared" si="24"/>
        <v>0</v>
      </c>
      <c r="AK11" s="111">
        <f t="shared" si="39"/>
        <v>0</v>
      </c>
      <c r="AL11" s="133">
        <f t="shared" si="40"/>
        <v>0</v>
      </c>
      <c r="AM11" s="130">
        <f t="shared" si="41"/>
        <v>2</v>
      </c>
      <c r="AP11" s="236"/>
      <c r="AQ11" s="181" t="s">
        <v>160</v>
      </c>
      <c r="AR11" s="119">
        <f>VLOOKUP(AQ11,'E-REF_HNO_pop'!B:E,2,FALSE)</f>
        <v>85206</v>
      </c>
      <c r="AS11" s="114">
        <f>VLOOKUP(AQ11,'E-REF_HNO_pop'!B:E,3,FALSE)</f>
        <v>3600</v>
      </c>
      <c r="AT11" s="120">
        <f>VLOOKUP(AQ11,'E-REF_HNO_pop'!B:E,4,FALSE)</f>
        <v>81606</v>
      </c>
      <c r="AU11" s="131">
        <f>VLOOKUP(AQ11,'C-HH_AL_Aggregation'!A:L,12,FALSE)</f>
        <v>1</v>
      </c>
      <c r="AV11" s="131">
        <f>VLOOKUP(AQ11,'C-HH_AL_Aggregation'!A:L,12,FALSE)</f>
        <v>1</v>
      </c>
      <c r="AW11" s="131">
        <f>VLOOKUP(AQ11,'C-HH_AL_Aggregation'!A:L,12,FALSE)</f>
        <v>1</v>
      </c>
      <c r="AX11" s="189">
        <f t="shared" si="25"/>
        <v>1</v>
      </c>
      <c r="AY11" s="190">
        <f t="shared" si="26"/>
        <v>0</v>
      </c>
      <c r="AZ11" s="190">
        <f t="shared" si="27"/>
        <v>0</v>
      </c>
      <c r="BA11" s="190">
        <f t="shared" si="28"/>
        <v>0</v>
      </c>
      <c r="BB11" s="191">
        <f t="shared" si="29"/>
        <v>0</v>
      </c>
      <c r="BC11" s="179">
        <f t="shared" si="53"/>
        <v>1</v>
      </c>
      <c r="BD11" s="154">
        <f>VLOOKUP(AQ11,'C-HH_AL_Aggregation'!A:P,14,FALSE)</f>
        <v>0</v>
      </c>
      <c r="BE11" s="145">
        <f>VLOOKUP(AQ11,'C-HH_AL_Aggregation'!A:P,15,FALSE)</f>
        <v>0</v>
      </c>
      <c r="BF11" s="146">
        <f>VLOOKUP(AQ11,'C-HH_AL_Aggregation'!A:P,16,FALSE)</f>
        <v>0</v>
      </c>
      <c r="BG11" s="145">
        <f t="shared" si="0"/>
        <v>85206</v>
      </c>
      <c r="BH11" s="145">
        <f t="shared" si="1"/>
        <v>0</v>
      </c>
      <c r="BI11" s="145">
        <f t="shared" si="2"/>
        <v>0</v>
      </c>
      <c r="BJ11" s="145">
        <f t="shared" si="3"/>
        <v>0</v>
      </c>
      <c r="BK11" s="146">
        <f t="shared" si="4"/>
        <v>0</v>
      </c>
      <c r="BL11" s="158"/>
      <c r="BM11" s="159"/>
    </row>
    <row r="12" spans="1:65" x14ac:dyDescent="0.35">
      <c r="A12" t="s">
        <v>103</v>
      </c>
      <c r="B12" t="s">
        <v>287</v>
      </c>
      <c r="C12" s="112">
        <f>VLOOKUP(A12,'E-REF_HNO_pop'!B:E,4,FALSE)</f>
        <v>60295</v>
      </c>
      <c r="D12" s="112">
        <f>VLOOKUP(A12,'E-REF_HNO_pop'!B:C,2,FALSE)</f>
        <v>63295</v>
      </c>
      <c r="E12" t="s">
        <v>47</v>
      </c>
      <c r="F12" t="s">
        <v>93</v>
      </c>
      <c r="G12" t="s">
        <v>164</v>
      </c>
      <c r="H12" t="s">
        <v>80</v>
      </c>
      <c r="I12" s="109">
        <f t="shared" si="5"/>
        <v>1</v>
      </c>
      <c r="J12" s="109">
        <f t="shared" si="6"/>
        <v>1</v>
      </c>
      <c r="K12" s="109">
        <f t="shared" si="7"/>
        <v>1</v>
      </c>
      <c r="L12" s="109">
        <f t="shared" si="8"/>
        <v>1</v>
      </c>
      <c r="M12" s="110">
        <f t="shared" si="31"/>
        <v>1</v>
      </c>
      <c r="N12" s="133">
        <f t="shared" si="32"/>
        <v>60295</v>
      </c>
      <c r="O12" s="109">
        <f t="shared" si="9"/>
        <v>0</v>
      </c>
      <c r="P12" s="109">
        <f t="shared" si="10"/>
        <v>0</v>
      </c>
      <c r="Q12" s="109">
        <f t="shared" si="11"/>
        <v>0</v>
      </c>
      <c r="R12" s="109">
        <f t="shared" si="12"/>
        <v>0</v>
      </c>
      <c r="S12" s="111">
        <f t="shared" si="33"/>
        <v>0</v>
      </c>
      <c r="T12" s="134">
        <f t="shared" si="34"/>
        <v>0</v>
      </c>
      <c r="U12" s="109">
        <f t="shared" si="13"/>
        <v>0</v>
      </c>
      <c r="V12" s="109">
        <f t="shared" si="14"/>
        <v>0</v>
      </c>
      <c r="W12" s="109">
        <f t="shared" si="15"/>
        <v>0</v>
      </c>
      <c r="X12" s="109">
        <f t="shared" si="16"/>
        <v>0</v>
      </c>
      <c r="Y12" s="111">
        <f t="shared" si="35"/>
        <v>0</v>
      </c>
      <c r="Z12" s="133">
        <f t="shared" si="36"/>
        <v>0</v>
      </c>
      <c r="AA12" s="109">
        <f t="shared" si="17"/>
        <v>0</v>
      </c>
      <c r="AB12" s="109">
        <f t="shared" si="18"/>
        <v>0</v>
      </c>
      <c r="AC12" s="109">
        <f t="shared" si="19"/>
        <v>0</v>
      </c>
      <c r="AD12" s="109">
        <f t="shared" si="20"/>
        <v>0</v>
      </c>
      <c r="AE12" s="111">
        <f t="shared" si="37"/>
        <v>0</v>
      </c>
      <c r="AF12" s="133">
        <f t="shared" si="38"/>
        <v>0</v>
      </c>
      <c r="AG12" s="109">
        <f t="shared" si="21"/>
        <v>0</v>
      </c>
      <c r="AH12" s="109">
        <f t="shared" si="22"/>
        <v>0</v>
      </c>
      <c r="AI12" s="109">
        <f t="shared" si="23"/>
        <v>0</v>
      </c>
      <c r="AJ12" s="109">
        <f t="shared" si="24"/>
        <v>0</v>
      </c>
      <c r="AK12" s="111">
        <f t="shared" si="39"/>
        <v>0</v>
      </c>
      <c r="AL12" s="133">
        <f t="shared" si="40"/>
        <v>0</v>
      </c>
      <c r="AM12" s="130">
        <f t="shared" si="41"/>
        <v>1</v>
      </c>
      <c r="AP12" s="236"/>
      <c r="AQ12" s="181" t="s">
        <v>161</v>
      </c>
      <c r="AR12" s="119">
        <f>VLOOKUP(AQ12,'E-REF_HNO_pop'!B:E,2,FALSE)</f>
        <v>172803</v>
      </c>
      <c r="AS12" s="114">
        <f>VLOOKUP(AQ12,'E-REF_HNO_pop'!B:E,3,FALSE)</f>
        <v>0</v>
      </c>
      <c r="AT12" s="120">
        <f>VLOOKUP(AQ12,'E-REF_HNO_pop'!B:E,4,FALSE)</f>
        <v>172803</v>
      </c>
      <c r="AU12" s="131">
        <f>VLOOKUP(AQ12,'C-HH_AL_Aggregation'!A:L,12,FALSE)</f>
        <v>1</v>
      </c>
      <c r="AV12" s="131">
        <f>VLOOKUP(AQ12,'C-HH_AL_Aggregation'!A:L,12,FALSE)</f>
        <v>1</v>
      </c>
      <c r="AW12" s="131">
        <f>VLOOKUP(AQ12,'C-HH_AL_Aggregation'!A:L,12,FALSE)</f>
        <v>1</v>
      </c>
      <c r="AX12" s="189">
        <f t="shared" si="25"/>
        <v>1</v>
      </c>
      <c r="AY12" s="190">
        <f t="shared" si="26"/>
        <v>0</v>
      </c>
      <c r="AZ12" s="190">
        <f t="shared" si="27"/>
        <v>0</v>
      </c>
      <c r="BA12" s="190">
        <f t="shared" si="28"/>
        <v>0</v>
      </c>
      <c r="BB12" s="191">
        <f t="shared" si="29"/>
        <v>0</v>
      </c>
      <c r="BC12" s="179">
        <f t="shared" si="53"/>
        <v>1</v>
      </c>
      <c r="BD12" s="154">
        <f>VLOOKUP(AQ12,'C-HH_AL_Aggregation'!A:P,14,FALSE)</f>
        <v>0</v>
      </c>
      <c r="BE12" s="145">
        <f>VLOOKUP(AQ12,'C-HH_AL_Aggregation'!A:P,15,FALSE)</f>
        <v>0</v>
      </c>
      <c r="BF12" s="146">
        <f>VLOOKUP(AQ12,'C-HH_AL_Aggregation'!A:P,16,FALSE)</f>
        <v>0</v>
      </c>
      <c r="BG12" s="145">
        <f t="shared" si="0"/>
        <v>172803</v>
      </c>
      <c r="BH12" s="145">
        <f t="shared" si="1"/>
        <v>0</v>
      </c>
      <c r="BI12" s="145">
        <f t="shared" si="2"/>
        <v>0</v>
      </c>
      <c r="BJ12" s="145">
        <f t="shared" si="3"/>
        <v>0</v>
      </c>
      <c r="BK12" s="146">
        <f t="shared" si="4"/>
        <v>0</v>
      </c>
      <c r="BL12" s="158"/>
      <c r="BM12" s="159"/>
    </row>
    <row r="13" spans="1:65" x14ac:dyDescent="0.35">
      <c r="A13" t="s">
        <v>106</v>
      </c>
      <c r="B13" t="s">
        <v>287</v>
      </c>
      <c r="C13" s="112">
        <f>VLOOKUP(A13,'E-REF_HNO_pop'!B:E,4,FALSE)</f>
        <v>138718</v>
      </c>
      <c r="D13" s="112">
        <f>VLOOKUP(A13,'E-REF_HNO_pop'!B:C,2,FALSE)</f>
        <v>139718</v>
      </c>
      <c r="E13" t="s">
        <v>160</v>
      </c>
      <c r="F13" t="s">
        <v>157</v>
      </c>
      <c r="G13" t="s">
        <v>145</v>
      </c>
      <c r="H13" t="s">
        <v>161</v>
      </c>
      <c r="I13" s="109">
        <f t="shared" si="5"/>
        <v>1</v>
      </c>
      <c r="J13" s="109">
        <f t="shared" si="6"/>
        <v>0</v>
      </c>
      <c r="K13" s="109">
        <f t="shared" si="7"/>
        <v>0</v>
      </c>
      <c r="L13" s="109">
        <f t="shared" si="8"/>
        <v>1</v>
      </c>
      <c r="M13" s="110">
        <f t="shared" si="31"/>
        <v>0.5</v>
      </c>
      <c r="N13" s="133">
        <f t="shared" si="32"/>
        <v>69359</v>
      </c>
      <c r="O13" s="109">
        <f t="shared" si="9"/>
        <v>0</v>
      </c>
      <c r="P13" s="109">
        <f t="shared" si="10"/>
        <v>0</v>
      </c>
      <c r="Q13" s="109">
        <f t="shared" si="11"/>
        <v>1</v>
      </c>
      <c r="R13" s="109">
        <f t="shared" si="12"/>
        <v>0</v>
      </c>
      <c r="S13" s="111">
        <f t="shared" si="33"/>
        <v>0.25</v>
      </c>
      <c r="T13" s="134">
        <f t="shared" si="34"/>
        <v>34679.5</v>
      </c>
      <c r="U13" s="109">
        <f t="shared" si="13"/>
        <v>0</v>
      </c>
      <c r="V13" s="109">
        <f t="shared" si="14"/>
        <v>1</v>
      </c>
      <c r="W13" s="109">
        <f t="shared" si="15"/>
        <v>0</v>
      </c>
      <c r="X13" s="109">
        <f t="shared" si="16"/>
        <v>0</v>
      </c>
      <c r="Y13" s="111">
        <f t="shared" si="35"/>
        <v>0.25</v>
      </c>
      <c r="Z13" s="133">
        <f t="shared" si="36"/>
        <v>34679.5</v>
      </c>
      <c r="AA13" s="109">
        <f t="shared" si="17"/>
        <v>0</v>
      </c>
      <c r="AB13" s="109">
        <f t="shared" si="18"/>
        <v>0</v>
      </c>
      <c r="AC13" s="109">
        <f t="shared" si="19"/>
        <v>0</v>
      </c>
      <c r="AD13" s="109">
        <f t="shared" si="20"/>
        <v>0</v>
      </c>
      <c r="AE13" s="111">
        <f t="shared" si="37"/>
        <v>0</v>
      </c>
      <c r="AF13" s="133">
        <f t="shared" si="38"/>
        <v>0</v>
      </c>
      <c r="AG13" s="109">
        <f t="shared" si="21"/>
        <v>0</v>
      </c>
      <c r="AH13" s="109">
        <f t="shared" si="22"/>
        <v>0</v>
      </c>
      <c r="AI13" s="109">
        <f t="shared" si="23"/>
        <v>0</v>
      </c>
      <c r="AJ13" s="109">
        <f t="shared" si="24"/>
        <v>0</v>
      </c>
      <c r="AK13" s="111">
        <f t="shared" si="39"/>
        <v>0</v>
      </c>
      <c r="AL13" s="133">
        <f t="shared" si="40"/>
        <v>0</v>
      </c>
      <c r="AM13" s="130">
        <f t="shared" si="41"/>
        <v>3</v>
      </c>
      <c r="AP13" s="236"/>
      <c r="AQ13" s="181" t="s">
        <v>74</v>
      </c>
      <c r="AR13" s="119">
        <f>VLOOKUP(AQ13,'E-REF_HNO_pop'!B:E,2,FALSE)</f>
        <v>115132</v>
      </c>
      <c r="AS13" s="114">
        <f>VLOOKUP(AQ13,'E-REF_HNO_pop'!B:E,3,FALSE)</f>
        <v>15600</v>
      </c>
      <c r="AT13" s="120">
        <f>VLOOKUP(AQ13,'E-REF_HNO_pop'!B:E,4,FALSE)</f>
        <v>99532</v>
      </c>
      <c r="AU13" s="131">
        <f>VLOOKUP(AQ13,'C-HH_AL_Aggregation'!A:L,12,FALSE)</f>
        <v>1</v>
      </c>
      <c r="AV13" s="131">
        <f>VLOOKUP(AQ13,'C-HH_AL_Aggregation'!A:L,12,FALSE)</f>
        <v>1</v>
      </c>
      <c r="AW13" s="131">
        <f>VLOOKUP(AQ13,'C-HH_AL_Aggregation'!A:L,12,FALSE)</f>
        <v>1</v>
      </c>
      <c r="AX13" s="189">
        <f t="shared" si="25"/>
        <v>1</v>
      </c>
      <c r="AY13" s="190">
        <f t="shared" si="26"/>
        <v>0</v>
      </c>
      <c r="AZ13" s="190">
        <f t="shared" si="27"/>
        <v>0</v>
      </c>
      <c r="BA13" s="190">
        <f t="shared" si="28"/>
        <v>0</v>
      </c>
      <c r="BB13" s="191">
        <f t="shared" si="29"/>
        <v>0</v>
      </c>
      <c r="BC13" s="179">
        <f t="shared" si="53"/>
        <v>1</v>
      </c>
      <c r="BD13" s="154">
        <f>VLOOKUP(AQ13,'C-HH_AL_Aggregation'!A:P,14,FALSE)</f>
        <v>0</v>
      </c>
      <c r="BE13" s="145">
        <f>VLOOKUP(AQ13,'C-HH_AL_Aggregation'!A:P,15,FALSE)</f>
        <v>0</v>
      </c>
      <c r="BF13" s="146">
        <f>VLOOKUP(AQ13,'C-HH_AL_Aggregation'!A:P,16,FALSE)</f>
        <v>0</v>
      </c>
      <c r="BG13" s="145">
        <f t="shared" si="0"/>
        <v>115132</v>
      </c>
      <c r="BH13" s="145">
        <f t="shared" si="1"/>
        <v>0</v>
      </c>
      <c r="BI13" s="145">
        <f t="shared" si="2"/>
        <v>0</v>
      </c>
      <c r="BJ13" s="145">
        <f t="shared" si="3"/>
        <v>0</v>
      </c>
      <c r="BK13" s="146">
        <f t="shared" si="4"/>
        <v>0</v>
      </c>
      <c r="BL13" s="158"/>
      <c r="BM13" s="159"/>
    </row>
    <row r="14" spans="1:65" x14ac:dyDescent="0.35">
      <c r="A14" t="s">
        <v>108</v>
      </c>
      <c r="B14" t="s">
        <v>287</v>
      </c>
      <c r="C14" s="112">
        <f>VLOOKUP(A14,'E-REF_HNO_pop'!B:E,4,FALSE)</f>
        <v>69298</v>
      </c>
      <c r="D14" s="112">
        <f>VLOOKUP(A14,'E-REF_HNO_pop'!B:C,2,FALSE)</f>
        <v>69298</v>
      </c>
      <c r="E14" t="s">
        <v>87</v>
      </c>
      <c r="I14" s="109">
        <f t="shared" si="5"/>
        <v>0</v>
      </c>
      <c r="J14" s="109" t="str">
        <f t="shared" si="6"/>
        <v/>
      </c>
      <c r="K14" s="109" t="str">
        <f t="shared" si="7"/>
        <v/>
      </c>
      <c r="L14" s="109" t="str">
        <f t="shared" si="8"/>
        <v/>
      </c>
      <c r="M14" s="110">
        <f t="shared" si="31"/>
        <v>0</v>
      </c>
      <c r="N14" s="133">
        <f t="shared" si="32"/>
        <v>0</v>
      </c>
      <c r="O14" s="109">
        <f t="shared" si="9"/>
        <v>1</v>
      </c>
      <c r="P14" s="109" t="str">
        <f t="shared" si="10"/>
        <v/>
      </c>
      <c r="Q14" s="109" t="str">
        <f t="shared" si="11"/>
        <v/>
      </c>
      <c r="R14" s="109" t="str">
        <f t="shared" si="12"/>
        <v/>
      </c>
      <c r="S14" s="111">
        <f t="shared" si="33"/>
        <v>1</v>
      </c>
      <c r="T14" s="134">
        <f t="shared" si="34"/>
        <v>69298</v>
      </c>
      <c r="U14" s="109">
        <f t="shared" si="13"/>
        <v>0</v>
      </c>
      <c r="V14" s="109" t="str">
        <f t="shared" si="14"/>
        <v/>
      </c>
      <c r="W14" s="109" t="str">
        <f t="shared" si="15"/>
        <v/>
      </c>
      <c r="X14" s="109" t="str">
        <f t="shared" si="16"/>
        <v/>
      </c>
      <c r="Y14" s="111">
        <f t="shared" si="35"/>
        <v>0</v>
      </c>
      <c r="Z14" s="133">
        <f t="shared" si="36"/>
        <v>0</v>
      </c>
      <c r="AA14" s="109">
        <f t="shared" si="17"/>
        <v>0</v>
      </c>
      <c r="AB14" s="109" t="str">
        <f t="shared" si="18"/>
        <v/>
      </c>
      <c r="AC14" s="109" t="str">
        <f t="shared" si="19"/>
        <v/>
      </c>
      <c r="AD14" s="109" t="str">
        <f t="shared" si="20"/>
        <v/>
      </c>
      <c r="AE14" s="111">
        <f t="shared" si="37"/>
        <v>0</v>
      </c>
      <c r="AF14" s="133">
        <f t="shared" si="38"/>
        <v>0</v>
      </c>
      <c r="AG14" s="109">
        <f t="shared" si="21"/>
        <v>0</v>
      </c>
      <c r="AH14" s="109" t="str">
        <f t="shared" si="22"/>
        <v/>
      </c>
      <c r="AI14" s="109" t="str">
        <f t="shared" si="23"/>
        <v/>
      </c>
      <c r="AJ14" s="109" t="str">
        <f t="shared" si="24"/>
        <v/>
      </c>
      <c r="AK14" s="111">
        <f t="shared" si="39"/>
        <v>0</v>
      </c>
      <c r="AL14" s="133">
        <f t="shared" si="40"/>
        <v>0</v>
      </c>
      <c r="AM14" s="130">
        <f t="shared" si="41"/>
        <v>2</v>
      </c>
      <c r="AP14" s="236"/>
      <c r="AQ14" s="181" t="s">
        <v>76</v>
      </c>
      <c r="AR14" s="119">
        <f>VLOOKUP(AQ14,'E-REF_HNO_pop'!B:E,2,FALSE)</f>
        <v>70925</v>
      </c>
      <c r="AS14" s="114">
        <f>VLOOKUP(AQ14,'E-REF_HNO_pop'!B:E,3,FALSE)</f>
        <v>1500</v>
      </c>
      <c r="AT14" s="120">
        <f>VLOOKUP(AQ14,'E-REF_HNO_pop'!B:E,4,FALSE)</f>
        <v>69425</v>
      </c>
      <c r="AU14" s="131">
        <f>VLOOKUP(AQ14,'C-HH_AL_Aggregation'!A:L,12,FALSE)</f>
        <v>1</v>
      </c>
      <c r="AV14" s="131">
        <f>VLOOKUP(AQ14,'C-HH_AL_Aggregation'!A:L,12,FALSE)</f>
        <v>1</v>
      </c>
      <c r="AW14" s="131">
        <f>VLOOKUP(AQ14,'C-HH_AL_Aggregation'!A:L,12,FALSE)</f>
        <v>1</v>
      </c>
      <c r="AX14" s="189">
        <f t="shared" si="25"/>
        <v>1</v>
      </c>
      <c r="AY14" s="190">
        <f t="shared" si="26"/>
        <v>0</v>
      </c>
      <c r="AZ14" s="190">
        <f t="shared" si="27"/>
        <v>0</v>
      </c>
      <c r="BA14" s="190">
        <f t="shared" si="28"/>
        <v>0</v>
      </c>
      <c r="BB14" s="191">
        <f t="shared" si="29"/>
        <v>0</v>
      </c>
      <c r="BC14" s="179">
        <f t="shared" si="53"/>
        <v>1</v>
      </c>
      <c r="BD14" s="154">
        <f>VLOOKUP(AQ14,'C-HH_AL_Aggregation'!A:P,14,FALSE)</f>
        <v>0</v>
      </c>
      <c r="BE14" s="145">
        <f>VLOOKUP(AQ14,'C-HH_AL_Aggregation'!A:P,15,FALSE)</f>
        <v>0</v>
      </c>
      <c r="BF14" s="146">
        <f>VLOOKUP(AQ14,'C-HH_AL_Aggregation'!A:P,16,FALSE)</f>
        <v>0</v>
      </c>
      <c r="BG14" s="145">
        <f t="shared" si="0"/>
        <v>70925</v>
      </c>
      <c r="BH14" s="145">
        <f t="shared" si="1"/>
        <v>0</v>
      </c>
      <c r="BI14" s="145">
        <f t="shared" si="2"/>
        <v>0</v>
      </c>
      <c r="BJ14" s="145">
        <f t="shared" si="3"/>
        <v>0</v>
      </c>
      <c r="BK14" s="146">
        <f t="shared" si="4"/>
        <v>0</v>
      </c>
      <c r="BL14" s="158"/>
      <c r="BM14" s="159"/>
    </row>
    <row r="15" spans="1:65" x14ac:dyDescent="0.35">
      <c r="C15" s="112"/>
      <c r="D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P15" s="236"/>
      <c r="AQ15" s="181" t="s">
        <v>162</v>
      </c>
      <c r="AR15" s="119">
        <f>VLOOKUP(AQ15,'E-REF_HNO_pop'!B:E,2,FALSE)</f>
        <v>71342</v>
      </c>
      <c r="AS15" s="114">
        <f>VLOOKUP(AQ15,'E-REF_HNO_pop'!B:E,3,FALSE)</f>
        <v>3100</v>
      </c>
      <c r="AT15" s="120">
        <f>VLOOKUP(AQ15,'E-REF_HNO_pop'!B:E,4,FALSE)</f>
        <v>68242</v>
      </c>
      <c r="AU15" s="131">
        <f>VLOOKUP(AQ15,'C-HH_AL_Aggregation'!A:L,12,FALSE)</f>
        <v>2</v>
      </c>
      <c r="AV15" s="131">
        <f>VLOOKUP(AQ15,'C-HH_AL_Aggregation'!A:L,12,FALSE)</f>
        <v>2</v>
      </c>
      <c r="AW15" s="131">
        <f>VLOOKUP(AQ15,'C-HH_AL_Aggregation'!A:L,12,FALSE)</f>
        <v>2</v>
      </c>
      <c r="AX15" s="189">
        <f t="shared" si="25"/>
        <v>0</v>
      </c>
      <c r="AY15" s="190">
        <f t="shared" si="26"/>
        <v>1</v>
      </c>
      <c r="AZ15" s="190">
        <f t="shared" si="27"/>
        <v>0</v>
      </c>
      <c r="BA15" s="190">
        <f t="shared" si="28"/>
        <v>0</v>
      </c>
      <c r="BB15" s="191">
        <f t="shared" si="29"/>
        <v>0</v>
      </c>
      <c r="BC15" s="179">
        <f t="shared" si="53"/>
        <v>2</v>
      </c>
      <c r="BD15" s="154">
        <f>VLOOKUP(AQ15,'C-HH_AL_Aggregation'!A:P,14,FALSE)</f>
        <v>0</v>
      </c>
      <c r="BE15" s="145">
        <f>VLOOKUP(AQ15,'C-HH_AL_Aggregation'!A:P,15,FALSE)</f>
        <v>0</v>
      </c>
      <c r="BF15" s="146">
        <f>VLOOKUP(AQ15,'C-HH_AL_Aggregation'!A:P,16,FALSE)</f>
        <v>0</v>
      </c>
      <c r="BG15" s="145">
        <f t="shared" si="0"/>
        <v>0</v>
      </c>
      <c r="BH15" s="145">
        <f t="shared" si="1"/>
        <v>71342</v>
      </c>
      <c r="BI15" s="145">
        <f t="shared" si="2"/>
        <v>0</v>
      </c>
      <c r="BJ15" s="145">
        <f t="shared" si="3"/>
        <v>0</v>
      </c>
      <c r="BK15" s="146">
        <f t="shared" si="4"/>
        <v>0</v>
      </c>
      <c r="BL15" s="158"/>
      <c r="BM15" s="159"/>
    </row>
    <row r="16" spans="1:65" x14ac:dyDescent="0.35">
      <c r="C16" s="112"/>
      <c r="D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P16" s="236"/>
      <c r="AQ16" s="181" t="s">
        <v>138</v>
      </c>
      <c r="AR16" s="119">
        <f>VLOOKUP(AQ16,'E-REF_HNO_pop'!B:E,2,FALSE)</f>
        <v>212050</v>
      </c>
      <c r="AS16" s="114">
        <f>VLOOKUP(AQ16,'E-REF_HNO_pop'!B:E,3,FALSE)</f>
        <v>32600</v>
      </c>
      <c r="AT16" s="120">
        <f>VLOOKUP(AQ16,'E-REF_HNO_pop'!B:E,4,FALSE)</f>
        <v>179450</v>
      </c>
      <c r="AU16" s="131">
        <f>VLOOKUP(AQ16,'C-HH_AL_Aggregation'!A:L,12,FALSE)</f>
        <v>3</v>
      </c>
      <c r="AV16" s="131">
        <f>VLOOKUP(AQ16,'C-HH_AL_Aggregation'!A:L,12,FALSE)</f>
        <v>3</v>
      </c>
      <c r="AW16" s="131">
        <f>VLOOKUP(AQ16,'C-HH_AL_Aggregation'!A:L,12,FALSE)</f>
        <v>3</v>
      </c>
      <c r="AX16" s="189">
        <f t="shared" si="25"/>
        <v>0</v>
      </c>
      <c r="AY16" s="190">
        <f t="shared" si="26"/>
        <v>0</v>
      </c>
      <c r="AZ16" s="190">
        <f t="shared" si="27"/>
        <v>1</v>
      </c>
      <c r="BA16" s="190">
        <f t="shared" si="28"/>
        <v>0</v>
      </c>
      <c r="BB16" s="191">
        <f t="shared" si="29"/>
        <v>0</v>
      </c>
      <c r="BC16" s="179">
        <f t="shared" si="53"/>
        <v>3</v>
      </c>
      <c r="BD16" s="154">
        <f>VLOOKUP(AQ16,'C-HH_AL_Aggregation'!A:P,14,FALSE)</f>
        <v>212050</v>
      </c>
      <c r="BE16" s="145">
        <f>VLOOKUP(AQ16,'C-HH_AL_Aggregation'!A:P,15,FALSE)</f>
        <v>32600</v>
      </c>
      <c r="BF16" s="146">
        <f>VLOOKUP(AQ16,'C-HH_AL_Aggregation'!A:P,16,FALSE)</f>
        <v>179450</v>
      </c>
      <c r="BG16" s="145">
        <f t="shared" si="0"/>
        <v>0</v>
      </c>
      <c r="BH16" s="145">
        <f t="shared" si="1"/>
        <v>0</v>
      </c>
      <c r="BI16" s="145">
        <f t="shared" si="2"/>
        <v>212050</v>
      </c>
      <c r="BJ16" s="145">
        <f t="shared" si="3"/>
        <v>0</v>
      </c>
      <c r="BK16" s="146">
        <f t="shared" si="4"/>
        <v>0</v>
      </c>
      <c r="BL16" s="158"/>
      <c r="BM16" s="159"/>
    </row>
    <row r="17" spans="1:65" x14ac:dyDescent="0.35">
      <c r="C17" s="112"/>
      <c r="D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P17" s="236"/>
      <c r="AQ17" s="181" t="s">
        <v>83</v>
      </c>
      <c r="AR17" s="119">
        <f>VLOOKUP(AQ17,'E-REF_HNO_pop'!B:E,2,FALSE)</f>
        <v>696454</v>
      </c>
      <c r="AS17" s="114">
        <f>VLOOKUP(AQ17,'E-REF_HNO_pop'!B:E,3,FALSE)</f>
        <v>119800</v>
      </c>
      <c r="AT17" s="120">
        <f>VLOOKUP(AQ17,'E-REF_HNO_pop'!B:E,4,FALSE)</f>
        <v>576654</v>
      </c>
      <c r="AU17" s="131">
        <f>VLOOKUP(AQ17,'C-HH_AL_Aggregation'!A:L,12,FALSE)</f>
        <v>2</v>
      </c>
      <c r="AV17" s="131">
        <f>VLOOKUP(AQ17,'C-HH_AL_Aggregation'!A:L,12,FALSE)</f>
        <v>2</v>
      </c>
      <c r="AW17" s="131">
        <f>VLOOKUP(AQ17,'C-HH_AL_Aggregation'!A:L,12,FALSE)</f>
        <v>2</v>
      </c>
      <c r="AX17" s="189">
        <f t="shared" si="25"/>
        <v>0</v>
      </c>
      <c r="AY17" s="190">
        <f t="shared" si="26"/>
        <v>1</v>
      </c>
      <c r="AZ17" s="190">
        <f t="shared" si="27"/>
        <v>0</v>
      </c>
      <c r="BA17" s="190">
        <f t="shared" si="28"/>
        <v>0</v>
      </c>
      <c r="BB17" s="191">
        <f t="shared" si="29"/>
        <v>0</v>
      </c>
      <c r="BC17" s="179">
        <f t="shared" si="53"/>
        <v>2</v>
      </c>
      <c r="BD17" s="154">
        <f>VLOOKUP(AQ17,'C-HH_AL_Aggregation'!A:P,14,FALSE)</f>
        <v>0</v>
      </c>
      <c r="BE17" s="145">
        <f>VLOOKUP(AQ17,'C-HH_AL_Aggregation'!A:P,15,FALSE)</f>
        <v>0</v>
      </c>
      <c r="BF17" s="146">
        <f>VLOOKUP(AQ17,'C-HH_AL_Aggregation'!A:P,16,FALSE)</f>
        <v>0</v>
      </c>
      <c r="BG17" s="145">
        <f t="shared" si="0"/>
        <v>0</v>
      </c>
      <c r="BH17" s="145">
        <f t="shared" si="1"/>
        <v>696454</v>
      </c>
      <c r="BI17" s="145">
        <f t="shared" si="2"/>
        <v>0</v>
      </c>
      <c r="BJ17" s="145">
        <f t="shared" si="3"/>
        <v>0</v>
      </c>
      <c r="BK17" s="146">
        <f t="shared" si="4"/>
        <v>0</v>
      </c>
      <c r="BL17" s="158"/>
      <c r="BM17" s="159"/>
    </row>
    <row r="18" spans="1:65" x14ac:dyDescent="0.35">
      <c r="C18" s="112"/>
      <c r="D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P18" s="236"/>
      <c r="AQ18" s="181" t="s">
        <v>84</v>
      </c>
      <c r="AR18" s="119">
        <f>VLOOKUP(AQ18,'E-REF_HNO_pop'!B:E,2,FALSE)</f>
        <v>155900</v>
      </c>
      <c r="AS18" s="114">
        <f>VLOOKUP(AQ18,'E-REF_HNO_pop'!B:E,3,FALSE)</f>
        <v>4900</v>
      </c>
      <c r="AT18" s="120">
        <f>VLOOKUP(AQ18,'E-REF_HNO_pop'!B:E,4,FALSE)</f>
        <v>151000</v>
      </c>
      <c r="AU18" s="131">
        <f>VLOOKUP(AQ18,'C-HH_AL_Aggregation'!A:L,12,FALSE)</f>
        <v>1</v>
      </c>
      <c r="AV18" s="131">
        <f>VLOOKUP(AQ18,'C-HH_AL_Aggregation'!A:L,12,FALSE)</f>
        <v>1</v>
      </c>
      <c r="AW18" s="131">
        <f>VLOOKUP(AQ18,'C-HH_AL_Aggregation'!A:L,12,FALSE)</f>
        <v>1</v>
      </c>
      <c r="AX18" s="189">
        <f t="shared" si="25"/>
        <v>1</v>
      </c>
      <c r="AY18" s="190">
        <f t="shared" si="26"/>
        <v>0</v>
      </c>
      <c r="AZ18" s="190">
        <f t="shared" si="27"/>
        <v>0</v>
      </c>
      <c r="BA18" s="190">
        <f t="shared" si="28"/>
        <v>0</v>
      </c>
      <c r="BB18" s="191">
        <f t="shared" si="29"/>
        <v>0</v>
      </c>
      <c r="BC18" s="179">
        <f t="shared" si="53"/>
        <v>1</v>
      </c>
      <c r="BD18" s="154">
        <f>VLOOKUP(AQ18,'C-HH_AL_Aggregation'!A:P,14,FALSE)</f>
        <v>0</v>
      </c>
      <c r="BE18" s="145">
        <f>VLOOKUP(AQ18,'C-HH_AL_Aggregation'!A:P,15,FALSE)</f>
        <v>0</v>
      </c>
      <c r="BF18" s="146">
        <f>VLOOKUP(AQ18,'C-HH_AL_Aggregation'!A:P,16,FALSE)</f>
        <v>0</v>
      </c>
      <c r="BG18" s="145">
        <f t="shared" si="0"/>
        <v>155900</v>
      </c>
      <c r="BH18" s="145">
        <f t="shared" si="1"/>
        <v>0</v>
      </c>
      <c r="BI18" s="145">
        <f t="shared" si="2"/>
        <v>0</v>
      </c>
      <c r="BJ18" s="145">
        <f t="shared" si="3"/>
        <v>0</v>
      </c>
      <c r="BK18" s="146">
        <f t="shared" si="4"/>
        <v>0</v>
      </c>
      <c r="BL18" s="158"/>
      <c r="BM18" s="159"/>
    </row>
    <row r="19" spans="1:65" x14ac:dyDescent="0.35">
      <c r="A19" t="s">
        <v>169</v>
      </c>
      <c r="AP19" s="236"/>
      <c r="AQ19" s="181" t="s">
        <v>147</v>
      </c>
      <c r="AR19" s="119">
        <f>VLOOKUP(AQ19,'E-REF_HNO_pop'!B:E,2,FALSE)</f>
        <v>125417</v>
      </c>
      <c r="AS19" s="114">
        <f>VLOOKUP(AQ19,'E-REF_HNO_pop'!B:E,3,FALSE)</f>
        <v>1500</v>
      </c>
      <c r="AT19" s="120">
        <f>VLOOKUP(AQ19,'E-REF_HNO_pop'!B:E,4,FALSE)</f>
        <v>123917</v>
      </c>
      <c r="AU19" s="131">
        <f>VLOOKUP(AQ19,'C-HH_AL_Aggregation'!A:L,12,FALSE)</f>
        <v>1</v>
      </c>
      <c r="AV19" s="131">
        <f>VLOOKUP(AQ19,'C-HH_AL_Aggregation'!A:L,12,FALSE)</f>
        <v>1</v>
      </c>
      <c r="AW19" s="131">
        <f>VLOOKUP(AQ19,'C-HH_AL_Aggregation'!A:L,12,FALSE)</f>
        <v>1</v>
      </c>
      <c r="AX19" s="189">
        <f t="shared" si="25"/>
        <v>1</v>
      </c>
      <c r="AY19" s="190">
        <f t="shared" si="26"/>
        <v>0</v>
      </c>
      <c r="AZ19" s="190">
        <f t="shared" si="27"/>
        <v>0</v>
      </c>
      <c r="BA19" s="190">
        <f t="shared" si="28"/>
        <v>0</v>
      </c>
      <c r="BB19" s="191">
        <f t="shared" si="29"/>
        <v>0</v>
      </c>
      <c r="BC19" s="179">
        <f t="shared" si="53"/>
        <v>1</v>
      </c>
      <c r="BD19" s="154">
        <f>VLOOKUP(AQ19,'C-HH_AL_Aggregation'!A:P,14,FALSE)</f>
        <v>0</v>
      </c>
      <c r="BE19" s="145">
        <f>VLOOKUP(AQ19,'C-HH_AL_Aggregation'!A:P,15,FALSE)</f>
        <v>0</v>
      </c>
      <c r="BF19" s="146">
        <f>VLOOKUP(AQ19,'C-HH_AL_Aggregation'!A:P,16,FALSE)</f>
        <v>0</v>
      </c>
      <c r="BG19" s="145">
        <f t="shared" si="0"/>
        <v>125417</v>
      </c>
      <c r="BH19" s="145">
        <f t="shared" si="1"/>
        <v>0</v>
      </c>
      <c r="BI19" s="145">
        <f t="shared" si="2"/>
        <v>0</v>
      </c>
      <c r="BJ19" s="145">
        <f t="shared" si="3"/>
        <v>0</v>
      </c>
      <c r="BK19" s="146">
        <f t="shared" si="4"/>
        <v>0</v>
      </c>
      <c r="BL19" s="158"/>
      <c r="BM19" s="159"/>
    </row>
    <row r="20" spans="1:65" x14ac:dyDescent="0.35">
      <c r="A20" t="s">
        <v>14</v>
      </c>
      <c r="B20" t="s">
        <v>286</v>
      </c>
      <c r="C20" t="s">
        <v>225</v>
      </c>
      <c r="D20" t="s">
        <v>226</v>
      </c>
      <c r="E20" t="s">
        <v>170</v>
      </c>
      <c r="F20" t="s">
        <v>171</v>
      </c>
      <c r="G20" t="s">
        <v>172</v>
      </c>
      <c r="H20" t="s">
        <v>173</v>
      </c>
      <c r="I20" s="105" t="s">
        <v>194</v>
      </c>
      <c r="J20" s="105" t="s">
        <v>195</v>
      </c>
      <c r="K20" s="105" t="s">
        <v>196</v>
      </c>
      <c r="L20" s="105" t="s">
        <v>197</v>
      </c>
      <c r="M20" s="106" t="s">
        <v>198</v>
      </c>
      <c r="N20" s="106" t="s">
        <v>245</v>
      </c>
      <c r="O20" s="105" t="s">
        <v>199</v>
      </c>
      <c r="P20" s="105" t="s">
        <v>200</v>
      </c>
      <c r="Q20" s="105" t="s">
        <v>201</v>
      </c>
      <c r="R20" s="105" t="s">
        <v>202</v>
      </c>
      <c r="S20" s="106" t="s">
        <v>203</v>
      </c>
      <c r="T20" s="106" t="s">
        <v>244</v>
      </c>
      <c r="U20" s="105" t="s">
        <v>204</v>
      </c>
      <c r="V20" s="105" t="s">
        <v>205</v>
      </c>
      <c r="W20" s="105" t="s">
        <v>206</v>
      </c>
      <c r="X20" s="105" t="s">
        <v>207</v>
      </c>
      <c r="Y20" s="106" t="s">
        <v>208</v>
      </c>
      <c r="Z20" s="106" t="s">
        <v>243</v>
      </c>
      <c r="AA20" s="105" t="s">
        <v>209</v>
      </c>
      <c r="AB20" s="105" t="s">
        <v>210</v>
      </c>
      <c r="AC20" s="105" t="s">
        <v>211</v>
      </c>
      <c r="AD20" s="105" t="s">
        <v>212</v>
      </c>
      <c r="AE20" s="106" t="s">
        <v>213</v>
      </c>
      <c r="AF20" s="106" t="s">
        <v>242</v>
      </c>
      <c r="AG20" s="105" t="s">
        <v>214</v>
      </c>
      <c r="AH20" s="105" t="s">
        <v>215</v>
      </c>
      <c r="AI20" s="105" t="s">
        <v>216</v>
      </c>
      <c r="AJ20" s="105" t="s">
        <v>217</v>
      </c>
      <c r="AK20" s="106" t="s">
        <v>218</v>
      </c>
      <c r="AL20" s="106" t="s">
        <v>241</v>
      </c>
      <c r="AM20" s="128" t="s">
        <v>235</v>
      </c>
      <c r="AP20" s="236"/>
      <c r="AQ20" s="181" t="s">
        <v>87</v>
      </c>
      <c r="AR20" s="119">
        <f>VLOOKUP(AQ20,'E-REF_HNO_pop'!B:E,2,FALSE)</f>
        <v>159016</v>
      </c>
      <c r="AS20" s="114">
        <f>VLOOKUP(AQ20,'E-REF_HNO_pop'!B:E,3,FALSE)</f>
        <v>500</v>
      </c>
      <c r="AT20" s="120">
        <f>VLOOKUP(AQ20,'E-REF_HNO_pop'!B:E,4,FALSE)</f>
        <v>158516</v>
      </c>
      <c r="AU20" s="131">
        <f>VLOOKUP(AQ20,'C-HH_AL_Aggregation'!A:L,12,FALSE)</f>
        <v>2</v>
      </c>
      <c r="AV20" s="131">
        <f>VLOOKUP(AQ20,'C-HH_AL_Aggregation'!A:L,12,FALSE)</f>
        <v>2</v>
      </c>
      <c r="AW20" s="131">
        <f>VLOOKUP(AQ20,'C-HH_AL_Aggregation'!A:L,12,FALSE)</f>
        <v>2</v>
      </c>
      <c r="AX20" s="189">
        <f t="shared" si="25"/>
        <v>0</v>
      </c>
      <c r="AY20" s="190">
        <f t="shared" si="26"/>
        <v>1</v>
      </c>
      <c r="AZ20" s="190">
        <f t="shared" si="27"/>
        <v>0</v>
      </c>
      <c r="BA20" s="190">
        <f t="shared" si="28"/>
        <v>0</v>
      </c>
      <c r="BB20" s="191">
        <f t="shared" si="29"/>
        <v>0</v>
      </c>
      <c r="BC20" s="179">
        <f t="shared" si="53"/>
        <v>2</v>
      </c>
      <c r="BD20" s="154">
        <f>VLOOKUP(AQ20,'C-HH_AL_Aggregation'!A:P,14,FALSE)</f>
        <v>0</v>
      </c>
      <c r="BE20" s="145">
        <f>VLOOKUP(AQ20,'C-HH_AL_Aggregation'!A:P,15,FALSE)</f>
        <v>0</v>
      </c>
      <c r="BF20" s="146">
        <f>VLOOKUP(AQ20,'C-HH_AL_Aggregation'!A:P,16,FALSE)</f>
        <v>0</v>
      </c>
      <c r="BG20" s="145">
        <f t="shared" si="0"/>
        <v>0</v>
      </c>
      <c r="BH20" s="145">
        <f t="shared" si="1"/>
        <v>159016</v>
      </c>
      <c r="BI20" s="145">
        <f t="shared" si="2"/>
        <v>0</v>
      </c>
      <c r="BJ20" s="145">
        <f t="shared" si="3"/>
        <v>0</v>
      </c>
      <c r="BK20" s="146">
        <f t="shared" si="4"/>
        <v>0</v>
      </c>
      <c r="BL20" s="158"/>
      <c r="BM20" s="159"/>
    </row>
    <row r="21" spans="1:65" x14ac:dyDescent="0.35">
      <c r="A21" t="s">
        <v>165</v>
      </c>
      <c r="B21" t="s">
        <v>287</v>
      </c>
      <c r="C21" s="112">
        <f>VLOOKUP(A21,'E-REF_HNO_pop'!B:D,3,FALSE)</f>
        <v>0</v>
      </c>
      <c r="D21" s="112">
        <f>VLOOKUP(A21,'E-REF_HNO_pop'!B:C,2,FALSE)</f>
        <v>85950</v>
      </c>
      <c r="E21" t="s">
        <v>160</v>
      </c>
      <c r="F21" t="s">
        <v>76</v>
      </c>
      <c r="G21" t="s">
        <v>89</v>
      </c>
      <c r="I21" s="107">
        <f t="shared" ref="I21:I32" si="54">IFERROR((VLOOKUP(E21,AQ:BC,8,FALSE)),"")</f>
        <v>1</v>
      </c>
      <c r="J21" s="107">
        <f t="shared" ref="J21:J32" si="55">IFERROR((VLOOKUP(F21,AQ:BC,8,FALSE)),"")</f>
        <v>1</v>
      </c>
      <c r="K21" s="107">
        <f t="shared" ref="K21:K32" si="56">IFERROR((VLOOKUP(G21,AQ:BC,8,FALSE)),"")</f>
        <v>1</v>
      </c>
      <c r="L21" s="107" t="str">
        <f t="shared" ref="L21:L32" si="57">IFERROR((VLOOKUP(H21,AQ:BC,8,FALSE)),"")</f>
        <v/>
      </c>
      <c r="M21" s="108">
        <f>AVERAGE(I21:L21)</f>
        <v>1</v>
      </c>
      <c r="N21" s="135">
        <f>M21*C21</f>
        <v>0</v>
      </c>
      <c r="O21" s="107">
        <f t="shared" ref="O21:O32" si="58">IFERROR((VLOOKUP(E21,AQ:BC,9,FALSE)),"")</f>
        <v>0</v>
      </c>
      <c r="P21" s="107">
        <f t="shared" ref="P21:P32" si="59">IFERROR((VLOOKUP(F21,AQ:BC,9,FALSE)),"")</f>
        <v>0</v>
      </c>
      <c r="Q21" s="107">
        <f t="shared" ref="Q21:Q32" si="60">IFERROR((VLOOKUP(G21,AQ:BC,9,FALSE)),"")</f>
        <v>0</v>
      </c>
      <c r="R21" s="107" t="str">
        <f t="shared" ref="R21:R32" si="61">IFERROR((VLOOKUP(H21,AQ:BC,9,FALSE)),"")</f>
        <v/>
      </c>
      <c r="S21" s="108">
        <f>AVERAGE(O21:R21)</f>
        <v>0</v>
      </c>
      <c r="T21" s="135">
        <f>S21*C21</f>
        <v>0</v>
      </c>
      <c r="U21" s="107">
        <f t="shared" ref="U21:U32" si="62">IFERROR((VLOOKUP(E21,AQ:BC,10,FALSE)),"")</f>
        <v>0</v>
      </c>
      <c r="V21" s="107">
        <f t="shared" ref="V21:V32" si="63">IFERROR((VLOOKUP(F21,AQ:BC,10,FALSE)),"")</f>
        <v>0</v>
      </c>
      <c r="W21" s="107">
        <f t="shared" ref="W21:W32" si="64">IFERROR((VLOOKUP(G21,AQ:BC,10,FALSE)),"")</f>
        <v>0</v>
      </c>
      <c r="X21" s="107">
        <f t="shared" ref="X21:X32" si="65">IFERROR((VLOOKUP(G21,AQ:BC,10,FALSE)),"")</f>
        <v>0</v>
      </c>
      <c r="Y21" s="108">
        <f>AVERAGE(U21:X21)</f>
        <v>0</v>
      </c>
      <c r="Z21" s="135">
        <f>Y21*C21</f>
        <v>0</v>
      </c>
      <c r="AA21" s="107">
        <f t="shared" ref="AA21:AA32" si="66">IFERROR((VLOOKUP(E21,AQ:BC,11,FALSE)),"")</f>
        <v>0</v>
      </c>
      <c r="AB21" s="107">
        <f t="shared" ref="AB21:AB32" si="67">IFERROR((VLOOKUP(F21,AQ:BC,11,FALSE)),"")</f>
        <v>0</v>
      </c>
      <c r="AC21" s="107">
        <f t="shared" ref="AC21:AC32" si="68">IFERROR((VLOOKUP(G21,AQ:BC,11,FALSE)),"")</f>
        <v>0</v>
      </c>
      <c r="AD21" s="107" t="str">
        <f t="shared" ref="AD21:AD32" si="69">IFERROR((VLOOKUP(H21,AQ:BC,11,FALSE)),"")</f>
        <v/>
      </c>
      <c r="AE21" s="108">
        <f>AVERAGE(AA21:AD21)</f>
        <v>0</v>
      </c>
      <c r="AF21" s="135">
        <f>AE21*C21</f>
        <v>0</v>
      </c>
      <c r="AG21" s="107">
        <f t="shared" ref="AG21:AG32" si="70">IFERROR((VLOOKUP(E21,AQ:BC,12,FALSE)),"")</f>
        <v>0</v>
      </c>
      <c r="AH21" s="107">
        <f t="shared" ref="AH21:AH32" si="71">IFERROR((VLOOKUP(F21,AQ:BC,12,FALSE)),"")</f>
        <v>0</v>
      </c>
      <c r="AI21" s="107">
        <f t="shared" ref="AI21:AI32" si="72">IFERROR((VLOOKUP(G21,AQ:BC,12,FALSE)),"")</f>
        <v>0</v>
      </c>
      <c r="AJ21" s="107" t="str">
        <f t="shared" ref="AJ21:AJ32" si="73">IFERROR((VLOOKUP(H21,AQ:BC,12,FALSE)),"")</f>
        <v/>
      </c>
      <c r="AK21" s="108">
        <f>AVERAGE(AG21:AJ21)</f>
        <v>0</v>
      </c>
      <c r="AL21" s="135">
        <f>AK21*C21</f>
        <v>0</v>
      </c>
      <c r="AM21" s="129">
        <f>IF(AK21&gt;=0.25,5,IF(SUM(AE21,AK21)&gt;=0.25,4,IF(SUM(Y21,AE21,AK21)&gt;=0.25,3,IF(SUM(S21,Y21,AE21,AK21)&gt;=0.25,2,1))))</f>
        <v>1</v>
      </c>
      <c r="AP21" s="236"/>
      <c r="AQ21" s="181" t="s">
        <v>89</v>
      </c>
      <c r="AR21" s="119">
        <f>VLOOKUP(AQ21,'E-REF_HNO_pop'!B:E,2,FALSE)</f>
        <v>54157</v>
      </c>
      <c r="AS21" s="114">
        <f>VLOOKUP(AQ21,'E-REF_HNO_pop'!B:E,3,FALSE)</f>
        <v>5000</v>
      </c>
      <c r="AT21" s="120">
        <f>VLOOKUP(AQ21,'E-REF_HNO_pop'!B:E,4,FALSE)</f>
        <v>49157</v>
      </c>
      <c r="AU21" s="131">
        <f>VLOOKUP(AQ21,'C-HH_AL_Aggregation'!A:L,12,FALSE)</f>
        <v>1</v>
      </c>
      <c r="AV21" s="131">
        <f>VLOOKUP(AQ21,'C-HH_AL_Aggregation'!A:L,12,FALSE)</f>
        <v>1</v>
      </c>
      <c r="AW21" s="131">
        <f>VLOOKUP(AQ21,'C-HH_AL_Aggregation'!A:L,12,FALSE)</f>
        <v>1</v>
      </c>
      <c r="AX21" s="189">
        <f t="shared" si="25"/>
        <v>1</v>
      </c>
      <c r="AY21" s="190">
        <f t="shared" si="26"/>
        <v>0</v>
      </c>
      <c r="AZ21" s="190">
        <f t="shared" si="27"/>
        <v>0</v>
      </c>
      <c r="BA21" s="190">
        <f t="shared" si="28"/>
        <v>0</v>
      </c>
      <c r="BB21" s="191">
        <f t="shared" si="29"/>
        <v>0</v>
      </c>
      <c r="BC21" s="179">
        <f t="shared" si="53"/>
        <v>1</v>
      </c>
      <c r="BD21" s="154">
        <f>VLOOKUP(AQ21,'C-HH_AL_Aggregation'!A:P,14,FALSE)</f>
        <v>0</v>
      </c>
      <c r="BE21" s="145">
        <f>VLOOKUP(AQ21,'C-HH_AL_Aggregation'!A:P,15,FALSE)</f>
        <v>0</v>
      </c>
      <c r="BF21" s="146">
        <f>VLOOKUP(AQ21,'C-HH_AL_Aggregation'!A:P,16,FALSE)</f>
        <v>0</v>
      </c>
      <c r="BG21" s="145">
        <f t="shared" si="0"/>
        <v>54157</v>
      </c>
      <c r="BH21" s="145">
        <f t="shared" si="1"/>
        <v>0</v>
      </c>
      <c r="BI21" s="145">
        <f t="shared" si="2"/>
        <v>0</v>
      </c>
      <c r="BJ21" s="145">
        <f t="shared" si="3"/>
        <v>0</v>
      </c>
      <c r="BK21" s="146">
        <f t="shared" si="4"/>
        <v>0</v>
      </c>
      <c r="BL21" s="158"/>
      <c r="BM21" s="159"/>
    </row>
    <row r="22" spans="1:65" x14ac:dyDescent="0.35">
      <c r="A22" t="s">
        <v>77</v>
      </c>
      <c r="B22" t="s">
        <v>287</v>
      </c>
      <c r="C22" s="112">
        <f>VLOOKUP(A22,'E-REF_HNO_pop'!B:D,3,FALSE)</f>
        <v>11000</v>
      </c>
      <c r="D22" s="112">
        <f>VLOOKUP(A22,'E-REF_HNO_pop'!B:C,2,FALSE)</f>
        <v>80843</v>
      </c>
      <c r="E22" t="s">
        <v>88</v>
      </c>
      <c r="I22" s="107">
        <f t="shared" si="54"/>
        <v>1</v>
      </c>
      <c r="J22" s="107" t="str">
        <f t="shared" si="55"/>
        <v/>
      </c>
      <c r="K22" s="107" t="str">
        <f t="shared" si="56"/>
        <v/>
      </c>
      <c r="L22" s="107" t="str">
        <f t="shared" si="57"/>
        <v/>
      </c>
      <c r="M22" s="108">
        <f t="shared" ref="M22:M32" si="74">AVERAGE(I22:L22)</f>
        <v>1</v>
      </c>
      <c r="N22" s="135">
        <f t="shared" ref="N22:N32" si="75">M22*C22</f>
        <v>11000</v>
      </c>
      <c r="O22" s="107">
        <f t="shared" si="58"/>
        <v>0</v>
      </c>
      <c r="P22" s="107" t="str">
        <f t="shared" si="59"/>
        <v/>
      </c>
      <c r="Q22" s="107" t="str">
        <f t="shared" si="60"/>
        <v/>
      </c>
      <c r="R22" s="107" t="str">
        <f t="shared" si="61"/>
        <v/>
      </c>
      <c r="S22" s="108">
        <f t="shared" ref="S22:S32" si="76">AVERAGE(O22:R22)</f>
        <v>0</v>
      </c>
      <c r="T22" s="135">
        <f t="shared" ref="T22:T32" si="77">S22*C22</f>
        <v>0</v>
      </c>
      <c r="U22" s="107">
        <f t="shared" si="62"/>
        <v>0</v>
      </c>
      <c r="V22" s="107" t="str">
        <f t="shared" si="63"/>
        <v/>
      </c>
      <c r="W22" s="107" t="str">
        <f t="shared" si="64"/>
        <v/>
      </c>
      <c r="X22" s="107" t="str">
        <f t="shared" si="65"/>
        <v/>
      </c>
      <c r="Y22" s="108">
        <f t="shared" ref="Y22:Y32" si="78">AVERAGE(U22:X22)</f>
        <v>0</v>
      </c>
      <c r="Z22" s="135">
        <f t="shared" ref="Z22:Z32" si="79">Y22*C22</f>
        <v>0</v>
      </c>
      <c r="AA22" s="107">
        <f t="shared" si="66"/>
        <v>0</v>
      </c>
      <c r="AB22" s="107" t="str">
        <f t="shared" si="67"/>
        <v/>
      </c>
      <c r="AC22" s="107" t="str">
        <f t="shared" si="68"/>
        <v/>
      </c>
      <c r="AD22" s="107" t="str">
        <f t="shared" si="69"/>
        <v/>
      </c>
      <c r="AE22" s="108">
        <f t="shared" ref="AE22:AE32" si="80">AVERAGE(AA22:AD22)</f>
        <v>0</v>
      </c>
      <c r="AF22" s="135">
        <f t="shared" ref="AF22:AF32" si="81">AE22*C22</f>
        <v>0</v>
      </c>
      <c r="AG22" s="107">
        <f t="shared" si="70"/>
        <v>0</v>
      </c>
      <c r="AH22" s="107" t="str">
        <f t="shared" si="71"/>
        <v/>
      </c>
      <c r="AI22" s="107" t="str">
        <f t="shared" si="72"/>
        <v/>
      </c>
      <c r="AJ22" s="107" t="str">
        <f t="shared" si="73"/>
        <v/>
      </c>
      <c r="AK22" s="108">
        <f t="shared" ref="AK22:AK32" si="82">AVERAGE(AG22:AJ22)</f>
        <v>0</v>
      </c>
      <c r="AL22" s="135">
        <f t="shared" ref="AL22:AL32" si="83">AK22*C22</f>
        <v>0</v>
      </c>
      <c r="AM22" s="129">
        <f t="shared" ref="AM22:AM32" si="84">IF(AK22&gt;=0.25,5,IF(SUM(AE22,AK22)&gt;=0.25,4,IF(SUM(Y22,AE22,AK22)&gt;=0.25,3,IF(SUM(S22,Y22,AE22,AK22)&gt;=0.25,2,1))))</f>
        <v>1</v>
      </c>
      <c r="AP22" s="236"/>
      <c r="AQ22" s="181" t="s">
        <v>136</v>
      </c>
      <c r="AR22" s="119">
        <f>VLOOKUP(AQ22,'E-REF_HNO_pop'!B:E,2,FALSE)</f>
        <v>163358</v>
      </c>
      <c r="AS22" s="114">
        <f>VLOOKUP(AQ22,'E-REF_HNO_pop'!B:E,3,FALSE)</f>
        <v>6000</v>
      </c>
      <c r="AT22" s="120">
        <f>VLOOKUP(AQ22,'E-REF_HNO_pop'!B:E,4,FALSE)</f>
        <v>157358</v>
      </c>
      <c r="AU22" s="131">
        <f>VLOOKUP(AQ22,'C-HH_AL_Aggregation'!A:L,12,FALSE)</f>
        <v>2</v>
      </c>
      <c r="AV22" s="131">
        <f>VLOOKUP(AQ22,'C-HH_AL_Aggregation'!A:L,12,FALSE)</f>
        <v>2</v>
      </c>
      <c r="AW22" s="131">
        <f>VLOOKUP(AQ22,'C-HH_AL_Aggregation'!A:L,12,FALSE)</f>
        <v>2</v>
      </c>
      <c r="AX22" s="189">
        <f t="shared" si="25"/>
        <v>0</v>
      </c>
      <c r="AY22" s="190">
        <f t="shared" si="26"/>
        <v>1</v>
      </c>
      <c r="AZ22" s="190">
        <f t="shared" si="27"/>
        <v>0</v>
      </c>
      <c r="BA22" s="190">
        <f t="shared" si="28"/>
        <v>0</v>
      </c>
      <c r="BB22" s="191">
        <f t="shared" si="29"/>
        <v>0</v>
      </c>
      <c r="BC22" s="179">
        <f t="shared" si="53"/>
        <v>2</v>
      </c>
      <c r="BD22" s="154">
        <f>VLOOKUP(AQ22,'C-HH_AL_Aggregation'!A:P,14,FALSE)</f>
        <v>0</v>
      </c>
      <c r="BE22" s="145">
        <f>VLOOKUP(AQ22,'C-HH_AL_Aggregation'!A:P,15,FALSE)</f>
        <v>0</v>
      </c>
      <c r="BF22" s="146">
        <f>VLOOKUP(AQ22,'C-HH_AL_Aggregation'!A:P,16,FALSE)</f>
        <v>0</v>
      </c>
      <c r="BG22" s="145">
        <f t="shared" si="0"/>
        <v>0</v>
      </c>
      <c r="BH22" s="145">
        <f t="shared" si="1"/>
        <v>163358</v>
      </c>
      <c r="BI22" s="145">
        <f t="shared" si="2"/>
        <v>0</v>
      </c>
      <c r="BJ22" s="145">
        <f t="shared" si="3"/>
        <v>0</v>
      </c>
      <c r="BK22" s="146">
        <f t="shared" si="4"/>
        <v>0</v>
      </c>
      <c r="BL22" s="158"/>
      <c r="BM22" s="159"/>
    </row>
    <row r="23" spans="1:65" x14ac:dyDescent="0.35">
      <c r="A23" t="s">
        <v>159</v>
      </c>
      <c r="B23" t="s">
        <v>287</v>
      </c>
      <c r="C23" s="112">
        <f>VLOOKUP(A23,'E-REF_HNO_pop'!B:D,3,FALSE)</f>
        <v>22000</v>
      </c>
      <c r="D23" s="112">
        <f>VLOOKUP(A23,'E-REF_HNO_pop'!B:C,2,FALSE)</f>
        <v>91927</v>
      </c>
      <c r="E23" t="s">
        <v>138</v>
      </c>
      <c r="F23" t="s">
        <v>157</v>
      </c>
      <c r="G23" t="s">
        <v>160</v>
      </c>
      <c r="I23" s="107">
        <f t="shared" si="54"/>
        <v>0</v>
      </c>
      <c r="J23" s="107">
        <f t="shared" si="55"/>
        <v>0</v>
      </c>
      <c r="K23" s="107">
        <f t="shared" si="56"/>
        <v>1</v>
      </c>
      <c r="L23" s="107" t="str">
        <f t="shared" si="57"/>
        <v/>
      </c>
      <c r="M23" s="108">
        <f t="shared" si="74"/>
        <v>0.33333333333333331</v>
      </c>
      <c r="N23" s="135">
        <f t="shared" si="75"/>
        <v>7333.333333333333</v>
      </c>
      <c r="O23" s="107">
        <f t="shared" si="58"/>
        <v>0</v>
      </c>
      <c r="P23" s="107">
        <f t="shared" si="59"/>
        <v>0</v>
      </c>
      <c r="Q23" s="107">
        <f t="shared" si="60"/>
        <v>0</v>
      </c>
      <c r="R23" s="107" t="str">
        <f t="shared" si="61"/>
        <v/>
      </c>
      <c r="S23" s="108">
        <f t="shared" si="76"/>
        <v>0</v>
      </c>
      <c r="T23" s="135">
        <f t="shared" si="77"/>
        <v>0</v>
      </c>
      <c r="U23" s="107">
        <f t="shared" si="62"/>
        <v>1</v>
      </c>
      <c r="V23" s="107">
        <f t="shared" si="63"/>
        <v>1</v>
      </c>
      <c r="W23" s="107">
        <f t="shared" si="64"/>
        <v>0</v>
      </c>
      <c r="X23" s="107">
        <f t="shared" si="65"/>
        <v>0</v>
      </c>
      <c r="Y23" s="108">
        <f t="shared" si="78"/>
        <v>0.5</v>
      </c>
      <c r="Z23" s="135">
        <f t="shared" si="79"/>
        <v>11000</v>
      </c>
      <c r="AA23" s="107">
        <f t="shared" si="66"/>
        <v>0</v>
      </c>
      <c r="AB23" s="107">
        <f t="shared" si="67"/>
        <v>0</v>
      </c>
      <c r="AC23" s="107">
        <f t="shared" si="68"/>
        <v>0</v>
      </c>
      <c r="AD23" s="107" t="str">
        <f t="shared" si="69"/>
        <v/>
      </c>
      <c r="AE23" s="108">
        <f t="shared" si="80"/>
        <v>0</v>
      </c>
      <c r="AF23" s="135">
        <f t="shared" si="81"/>
        <v>0</v>
      </c>
      <c r="AG23" s="107">
        <f t="shared" si="70"/>
        <v>0</v>
      </c>
      <c r="AH23" s="107">
        <f t="shared" si="71"/>
        <v>0</v>
      </c>
      <c r="AI23" s="107">
        <f t="shared" si="72"/>
        <v>0</v>
      </c>
      <c r="AJ23" s="107" t="str">
        <f t="shared" si="73"/>
        <v/>
      </c>
      <c r="AK23" s="108">
        <f t="shared" si="82"/>
        <v>0</v>
      </c>
      <c r="AL23" s="135">
        <f t="shared" si="83"/>
        <v>0</v>
      </c>
      <c r="AM23" s="129">
        <f t="shared" si="84"/>
        <v>3</v>
      </c>
      <c r="AP23" s="236"/>
      <c r="AQ23" s="181" t="s">
        <v>141</v>
      </c>
      <c r="AR23" s="119">
        <f>VLOOKUP(AQ23,'E-REF_HNO_pop'!B:E,2,FALSE)</f>
        <v>365900</v>
      </c>
      <c r="AS23" s="114">
        <f>VLOOKUP(AQ23,'E-REF_HNO_pop'!B:E,3,FALSE)</f>
        <v>23600</v>
      </c>
      <c r="AT23" s="120">
        <f>VLOOKUP(AQ23,'E-REF_HNO_pop'!B:E,4,FALSE)</f>
        <v>342300</v>
      </c>
      <c r="AU23" s="131">
        <f>VLOOKUP(AQ23,'C-HH_AL_Aggregation'!A:L,12,FALSE)</f>
        <v>2</v>
      </c>
      <c r="AV23" s="131">
        <f>VLOOKUP(AQ23,'C-HH_AL_Aggregation'!A:L,12,FALSE)</f>
        <v>2</v>
      </c>
      <c r="AW23" s="131">
        <f>VLOOKUP(AQ23,'C-HH_AL_Aggregation'!A:L,12,FALSE)</f>
        <v>2</v>
      </c>
      <c r="AX23" s="189">
        <f t="shared" si="25"/>
        <v>0</v>
      </c>
      <c r="AY23" s="190">
        <f t="shared" si="26"/>
        <v>1</v>
      </c>
      <c r="AZ23" s="190">
        <f t="shared" si="27"/>
        <v>0</v>
      </c>
      <c r="BA23" s="190">
        <f t="shared" si="28"/>
        <v>0</v>
      </c>
      <c r="BB23" s="191">
        <f t="shared" si="29"/>
        <v>0</v>
      </c>
      <c r="BC23" s="179">
        <f t="shared" si="53"/>
        <v>2</v>
      </c>
      <c r="BD23" s="154">
        <f>VLOOKUP(AQ23,'C-HH_AL_Aggregation'!A:P,14,FALSE)</f>
        <v>0</v>
      </c>
      <c r="BE23" s="145">
        <f>VLOOKUP(AQ23,'C-HH_AL_Aggregation'!A:P,15,FALSE)</f>
        <v>0</v>
      </c>
      <c r="BF23" s="146">
        <f>VLOOKUP(AQ23,'C-HH_AL_Aggregation'!A:P,16,FALSE)</f>
        <v>0</v>
      </c>
      <c r="BG23" s="145">
        <f t="shared" si="0"/>
        <v>0</v>
      </c>
      <c r="BH23" s="145">
        <f t="shared" si="1"/>
        <v>365900</v>
      </c>
      <c r="BI23" s="145">
        <f t="shared" si="2"/>
        <v>0</v>
      </c>
      <c r="BJ23" s="145">
        <f t="shared" si="3"/>
        <v>0</v>
      </c>
      <c r="BK23" s="146">
        <f t="shared" si="4"/>
        <v>0</v>
      </c>
      <c r="BL23" s="158"/>
      <c r="BM23" s="159"/>
    </row>
    <row r="24" spans="1:65" x14ac:dyDescent="0.35">
      <c r="A24" t="s">
        <v>163</v>
      </c>
      <c r="B24" t="s">
        <v>287</v>
      </c>
      <c r="C24" s="112">
        <f>VLOOKUP(A24,'E-REF_HNO_pop'!B:D,3,FALSE)</f>
        <v>16000</v>
      </c>
      <c r="D24" s="112">
        <f>VLOOKUP(A24,'E-REF_HNO_pop'!B:C,2,FALSE)</f>
        <v>89040</v>
      </c>
      <c r="E24" t="s">
        <v>160</v>
      </c>
      <c r="I24" s="107">
        <f t="shared" si="54"/>
        <v>1</v>
      </c>
      <c r="J24" s="107" t="str">
        <f t="shared" si="55"/>
        <v/>
      </c>
      <c r="K24" s="107" t="str">
        <f t="shared" si="56"/>
        <v/>
      </c>
      <c r="L24" s="107" t="str">
        <f t="shared" si="57"/>
        <v/>
      </c>
      <c r="M24" s="108">
        <f t="shared" si="74"/>
        <v>1</v>
      </c>
      <c r="N24" s="135">
        <f t="shared" si="75"/>
        <v>16000</v>
      </c>
      <c r="O24" s="107">
        <f t="shared" si="58"/>
        <v>0</v>
      </c>
      <c r="P24" s="107" t="str">
        <f t="shared" si="59"/>
        <v/>
      </c>
      <c r="Q24" s="107" t="str">
        <f t="shared" si="60"/>
        <v/>
      </c>
      <c r="R24" s="107" t="str">
        <f t="shared" si="61"/>
        <v/>
      </c>
      <c r="S24" s="108">
        <f t="shared" si="76"/>
        <v>0</v>
      </c>
      <c r="T24" s="135">
        <f t="shared" si="77"/>
        <v>0</v>
      </c>
      <c r="U24" s="107">
        <f t="shared" si="62"/>
        <v>0</v>
      </c>
      <c r="V24" s="107" t="str">
        <f t="shared" si="63"/>
        <v/>
      </c>
      <c r="W24" s="107" t="str">
        <f t="shared" si="64"/>
        <v/>
      </c>
      <c r="X24" s="107" t="str">
        <f t="shared" si="65"/>
        <v/>
      </c>
      <c r="Y24" s="108">
        <f t="shared" si="78"/>
        <v>0</v>
      </c>
      <c r="Z24" s="135">
        <f t="shared" si="79"/>
        <v>0</v>
      </c>
      <c r="AA24" s="107">
        <f t="shared" si="66"/>
        <v>0</v>
      </c>
      <c r="AB24" s="107" t="str">
        <f t="shared" si="67"/>
        <v/>
      </c>
      <c r="AC24" s="107" t="str">
        <f t="shared" si="68"/>
        <v/>
      </c>
      <c r="AD24" s="107" t="str">
        <f t="shared" si="69"/>
        <v/>
      </c>
      <c r="AE24" s="108">
        <f t="shared" si="80"/>
        <v>0</v>
      </c>
      <c r="AF24" s="135">
        <f t="shared" si="81"/>
        <v>0</v>
      </c>
      <c r="AG24" s="107">
        <f t="shared" si="70"/>
        <v>0</v>
      </c>
      <c r="AH24" s="107" t="str">
        <f t="shared" si="71"/>
        <v/>
      </c>
      <c r="AI24" s="107" t="str">
        <f t="shared" si="72"/>
        <v/>
      </c>
      <c r="AJ24" s="107" t="str">
        <f t="shared" si="73"/>
        <v/>
      </c>
      <c r="AK24" s="108">
        <f t="shared" si="82"/>
        <v>0</v>
      </c>
      <c r="AL24" s="135">
        <f t="shared" si="83"/>
        <v>0</v>
      </c>
      <c r="AM24" s="129">
        <f t="shared" si="84"/>
        <v>1</v>
      </c>
      <c r="AP24" s="236"/>
      <c r="AQ24" s="181" t="s">
        <v>92</v>
      </c>
      <c r="AR24" s="119">
        <f>VLOOKUP(AQ24,'E-REF_HNO_pop'!B:E,2,FALSE)</f>
        <v>303700</v>
      </c>
      <c r="AS24" s="114">
        <f>VLOOKUP(AQ24,'E-REF_HNO_pop'!B:E,3,FALSE)</f>
        <v>64100</v>
      </c>
      <c r="AT24" s="120">
        <f>VLOOKUP(AQ24,'E-REF_HNO_pop'!B:E,4,FALSE)</f>
        <v>239600</v>
      </c>
      <c r="AU24" s="131">
        <f>VLOOKUP(AQ24,'C-HH_AL_Aggregation'!A:L,12,FALSE)</f>
        <v>2</v>
      </c>
      <c r="AV24" s="131">
        <f>VLOOKUP(AQ24,'C-HH_AL_Aggregation'!A:L,12,FALSE)</f>
        <v>2</v>
      </c>
      <c r="AW24" s="131">
        <f>VLOOKUP(AQ24,'C-HH_AL_Aggregation'!A:L,12,FALSE)</f>
        <v>2</v>
      </c>
      <c r="AX24" s="189">
        <f t="shared" si="25"/>
        <v>0</v>
      </c>
      <c r="AY24" s="190">
        <f t="shared" si="26"/>
        <v>1</v>
      </c>
      <c r="AZ24" s="190">
        <f t="shared" si="27"/>
        <v>0</v>
      </c>
      <c r="BA24" s="190">
        <f t="shared" si="28"/>
        <v>0</v>
      </c>
      <c r="BB24" s="191">
        <f t="shared" si="29"/>
        <v>0</v>
      </c>
      <c r="BC24" s="179">
        <f t="shared" si="53"/>
        <v>2</v>
      </c>
      <c r="BD24" s="154">
        <f>VLOOKUP(AQ24,'C-HH_AL_Aggregation'!A:P,14,FALSE)</f>
        <v>0</v>
      </c>
      <c r="BE24" s="145">
        <f>VLOOKUP(AQ24,'C-HH_AL_Aggregation'!A:P,15,FALSE)</f>
        <v>0</v>
      </c>
      <c r="BF24" s="146">
        <f>VLOOKUP(AQ24,'C-HH_AL_Aggregation'!A:P,16,FALSE)</f>
        <v>0</v>
      </c>
      <c r="BG24" s="145">
        <f t="shared" si="0"/>
        <v>0</v>
      </c>
      <c r="BH24" s="145">
        <f t="shared" si="1"/>
        <v>303700</v>
      </c>
      <c r="BI24" s="145">
        <f t="shared" si="2"/>
        <v>0</v>
      </c>
      <c r="BJ24" s="145">
        <f t="shared" si="3"/>
        <v>0</v>
      </c>
      <c r="BK24" s="146">
        <f t="shared" si="4"/>
        <v>0</v>
      </c>
      <c r="BL24" s="158"/>
      <c r="BM24" s="159"/>
    </row>
    <row r="25" spans="1:65" x14ac:dyDescent="0.35">
      <c r="A25" t="s">
        <v>90</v>
      </c>
      <c r="B25" t="s">
        <v>287</v>
      </c>
      <c r="C25" s="112">
        <f>VLOOKUP(A25,'E-REF_HNO_pop'!B:D,3,FALSE)</f>
        <v>8000</v>
      </c>
      <c r="D25" s="112">
        <f>VLOOKUP(A25,'E-REF_HNO_pop'!B:C,2,FALSE)</f>
        <v>371416</v>
      </c>
      <c r="E25" t="s">
        <v>28</v>
      </c>
      <c r="F25" t="s">
        <v>92</v>
      </c>
      <c r="I25" s="107">
        <f t="shared" si="54"/>
        <v>0</v>
      </c>
      <c r="J25" s="107">
        <f t="shared" si="55"/>
        <v>0</v>
      </c>
      <c r="K25" s="107" t="str">
        <f t="shared" si="56"/>
        <v/>
      </c>
      <c r="L25" s="107" t="str">
        <f t="shared" si="57"/>
        <v/>
      </c>
      <c r="M25" s="108">
        <f t="shared" si="74"/>
        <v>0</v>
      </c>
      <c r="N25" s="135">
        <f t="shared" si="75"/>
        <v>0</v>
      </c>
      <c r="O25" s="107">
        <f t="shared" si="58"/>
        <v>1</v>
      </c>
      <c r="P25" s="107">
        <f t="shared" si="59"/>
        <v>1</v>
      </c>
      <c r="Q25" s="107" t="str">
        <f t="shared" si="60"/>
        <v/>
      </c>
      <c r="R25" s="107" t="str">
        <f t="shared" si="61"/>
        <v/>
      </c>
      <c r="S25" s="108">
        <f t="shared" si="76"/>
        <v>1</v>
      </c>
      <c r="T25" s="135">
        <f t="shared" si="77"/>
        <v>8000</v>
      </c>
      <c r="U25" s="107">
        <f t="shared" si="62"/>
        <v>0</v>
      </c>
      <c r="V25" s="107">
        <f t="shared" si="63"/>
        <v>0</v>
      </c>
      <c r="W25" s="107" t="str">
        <f t="shared" si="64"/>
        <v/>
      </c>
      <c r="X25" s="107" t="str">
        <f t="shared" si="65"/>
        <v/>
      </c>
      <c r="Y25" s="108">
        <f t="shared" si="78"/>
        <v>0</v>
      </c>
      <c r="Z25" s="135">
        <f t="shared" si="79"/>
        <v>0</v>
      </c>
      <c r="AA25" s="107">
        <f t="shared" si="66"/>
        <v>0</v>
      </c>
      <c r="AB25" s="107">
        <f t="shared" si="67"/>
        <v>0</v>
      </c>
      <c r="AC25" s="107" t="str">
        <f t="shared" si="68"/>
        <v/>
      </c>
      <c r="AD25" s="107" t="str">
        <f t="shared" si="69"/>
        <v/>
      </c>
      <c r="AE25" s="108">
        <f t="shared" si="80"/>
        <v>0</v>
      </c>
      <c r="AF25" s="135">
        <f t="shared" si="81"/>
        <v>0</v>
      </c>
      <c r="AG25" s="107">
        <f t="shared" si="70"/>
        <v>0</v>
      </c>
      <c r="AH25" s="107">
        <f t="shared" si="71"/>
        <v>0</v>
      </c>
      <c r="AI25" s="107" t="str">
        <f t="shared" si="72"/>
        <v/>
      </c>
      <c r="AJ25" s="107" t="str">
        <f t="shared" si="73"/>
        <v/>
      </c>
      <c r="AK25" s="108">
        <f t="shared" si="82"/>
        <v>0</v>
      </c>
      <c r="AL25" s="135">
        <f t="shared" si="83"/>
        <v>0</v>
      </c>
      <c r="AM25" s="129">
        <f t="shared" si="84"/>
        <v>2</v>
      </c>
      <c r="AP25" s="236"/>
      <c r="AQ25" s="181" t="s">
        <v>96</v>
      </c>
      <c r="AR25" s="119">
        <f>VLOOKUP(AQ25,'E-REF_HNO_pop'!B:E,2,FALSE)</f>
        <v>119516</v>
      </c>
      <c r="AS25" s="114">
        <f>VLOOKUP(AQ25,'E-REF_HNO_pop'!B:E,3,FALSE)</f>
        <v>25700</v>
      </c>
      <c r="AT25" s="120">
        <f>VLOOKUP(AQ25,'E-REF_HNO_pop'!B:E,4,FALSE)</f>
        <v>93816</v>
      </c>
      <c r="AU25" s="131">
        <f>VLOOKUP(AQ25,'C-HH_AL_Aggregation'!A:L,12,FALSE)</f>
        <v>2</v>
      </c>
      <c r="AV25" s="131">
        <f>VLOOKUP(AQ25,'C-HH_AL_Aggregation'!A:L,12,FALSE)</f>
        <v>2</v>
      </c>
      <c r="AW25" s="131">
        <f>VLOOKUP(AQ25,'C-HH_AL_Aggregation'!A:L,12,FALSE)</f>
        <v>2</v>
      </c>
      <c r="AX25" s="189">
        <f t="shared" si="25"/>
        <v>0</v>
      </c>
      <c r="AY25" s="190">
        <f t="shared" si="26"/>
        <v>1</v>
      </c>
      <c r="AZ25" s="190">
        <f t="shared" si="27"/>
        <v>0</v>
      </c>
      <c r="BA25" s="190">
        <f t="shared" si="28"/>
        <v>0</v>
      </c>
      <c r="BB25" s="191">
        <f t="shared" si="29"/>
        <v>0</v>
      </c>
      <c r="BC25" s="179">
        <f t="shared" si="53"/>
        <v>2</v>
      </c>
      <c r="BD25" s="154">
        <f>VLOOKUP(AQ25,'C-HH_AL_Aggregation'!A:P,14,FALSE)</f>
        <v>0</v>
      </c>
      <c r="BE25" s="145">
        <f>VLOOKUP(AQ25,'C-HH_AL_Aggregation'!A:P,15,FALSE)</f>
        <v>0</v>
      </c>
      <c r="BF25" s="146">
        <f>VLOOKUP(AQ25,'C-HH_AL_Aggregation'!A:P,16,FALSE)</f>
        <v>0</v>
      </c>
      <c r="BG25" s="145">
        <f t="shared" si="0"/>
        <v>0</v>
      </c>
      <c r="BH25" s="145">
        <f t="shared" si="1"/>
        <v>119516</v>
      </c>
      <c r="BI25" s="145">
        <f t="shared" si="2"/>
        <v>0</v>
      </c>
      <c r="BJ25" s="145">
        <f t="shared" si="3"/>
        <v>0</v>
      </c>
      <c r="BK25" s="146">
        <f t="shared" si="4"/>
        <v>0</v>
      </c>
      <c r="BL25" s="158"/>
      <c r="BM25" s="159"/>
    </row>
    <row r="26" spans="1:65" x14ac:dyDescent="0.35">
      <c r="A26" t="s">
        <v>91</v>
      </c>
      <c r="B26" t="s">
        <v>287</v>
      </c>
      <c r="C26" s="112">
        <f>VLOOKUP(A26,'E-REF_HNO_pop'!B:D,3,FALSE)</f>
        <v>17000</v>
      </c>
      <c r="D26" s="112">
        <f>VLOOKUP(A26,'E-REF_HNO_pop'!B:C,2,FALSE)</f>
        <v>142930</v>
      </c>
      <c r="E26" t="s">
        <v>28</v>
      </c>
      <c r="F26" t="s">
        <v>164</v>
      </c>
      <c r="G26" t="s">
        <v>47</v>
      </c>
      <c r="I26" s="107">
        <f t="shared" si="54"/>
        <v>0</v>
      </c>
      <c r="J26" s="107">
        <f t="shared" si="55"/>
        <v>1</v>
      </c>
      <c r="K26" s="107">
        <f t="shared" si="56"/>
        <v>1</v>
      </c>
      <c r="L26" s="107" t="str">
        <f t="shared" si="57"/>
        <v/>
      </c>
      <c r="M26" s="108">
        <f t="shared" si="74"/>
        <v>0.66666666666666663</v>
      </c>
      <c r="N26" s="135">
        <f t="shared" si="75"/>
        <v>11333.333333333332</v>
      </c>
      <c r="O26" s="107">
        <f t="shared" si="58"/>
        <v>1</v>
      </c>
      <c r="P26" s="107">
        <f t="shared" si="59"/>
        <v>0</v>
      </c>
      <c r="Q26" s="107">
        <f t="shared" si="60"/>
        <v>0</v>
      </c>
      <c r="R26" s="107" t="str">
        <f t="shared" si="61"/>
        <v/>
      </c>
      <c r="S26" s="108">
        <f t="shared" si="76"/>
        <v>0.33333333333333331</v>
      </c>
      <c r="T26" s="135">
        <f t="shared" si="77"/>
        <v>5666.6666666666661</v>
      </c>
      <c r="U26" s="107">
        <f t="shared" si="62"/>
        <v>0</v>
      </c>
      <c r="V26" s="107">
        <f t="shared" si="63"/>
        <v>0</v>
      </c>
      <c r="W26" s="107">
        <f t="shared" si="64"/>
        <v>0</v>
      </c>
      <c r="X26" s="107">
        <f t="shared" si="65"/>
        <v>0</v>
      </c>
      <c r="Y26" s="108">
        <f t="shared" si="78"/>
        <v>0</v>
      </c>
      <c r="Z26" s="135">
        <f t="shared" si="79"/>
        <v>0</v>
      </c>
      <c r="AA26" s="107">
        <f t="shared" si="66"/>
        <v>0</v>
      </c>
      <c r="AB26" s="107">
        <f t="shared" si="67"/>
        <v>0</v>
      </c>
      <c r="AC26" s="107">
        <f t="shared" si="68"/>
        <v>0</v>
      </c>
      <c r="AD26" s="107" t="str">
        <f t="shared" si="69"/>
        <v/>
      </c>
      <c r="AE26" s="108">
        <f t="shared" si="80"/>
        <v>0</v>
      </c>
      <c r="AF26" s="135">
        <f t="shared" si="81"/>
        <v>0</v>
      </c>
      <c r="AG26" s="107">
        <f t="shared" si="70"/>
        <v>0</v>
      </c>
      <c r="AH26" s="107">
        <f t="shared" si="71"/>
        <v>0</v>
      </c>
      <c r="AI26" s="107">
        <f t="shared" si="72"/>
        <v>0</v>
      </c>
      <c r="AJ26" s="107" t="str">
        <f t="shared" si="73"/>
        <v/>
      </c>
      <c r="AK26" s="108">
        <f t="shared" si="82"/>
        <v>0</v>
      </c>
      <c r="AL26" s="135">
        <f t="shared" si="83"/>
        <v>0</v>
      </c>
      <c r="AM26" s="129">
        <f t="shared" si="84"/>
        <v>2</v>
      </c>
      <c r="AP26" s="236"/>
      <c r="AQ26" s="181" t="s">
        <v>97</v>
      </c>
      <c r="AR26" s="119">
        <f>VLOOKUP(AQ26,'E-REF_HNO_pop'!B:E,2,FALSE)</f>
        <v>247081</v>
      </c>
      <c r="AS26" s="114">
        <f>VLOOKUP(AQ26,'E-REF_HNO_pop'!B:E,3,FALSE)</f>
        <v>7100</v>
      </c>
      <c r="AT26" s="120">
        <f>VLOOKUP(AQ26,'E-REF_HNO_pop'!B:E,4,FALSE)</f>
        <v>239981</v>
      </c>
      <c r="AU26" s="131">
        <f>VLOOKUP(AQ26,'C-HH_AL_Aggregation'!A:L,12,FALSE)</f>
        <v>2</v>
      </c>
      <c r="AV26" s="131">
        <f>VLOOKUP(AQ26,'C-HH_AL_Aggregation'!A:L,12,FALSE)</f>
        <v>2</v>
      </c>
      <c r="AW26" s="131">
        <f>VLOOKUP(AQ26,'C-HH_AL_Aggregation'!A:L,12,FALSE)</f>
        <v>2</v>
      </c>
      <c r="AX26" s="189">
        <f t="shared" si="25"/>
        <v>0</v>
      </c>
      <c r="AY26" s="190">
        <f t="shared" si="26"/>
        <v>1</v>
      </c>
      <c r="AZ26" s="190">
        <f t="shared" si="27"/>
        <v>0</v>
      </c>
      <c r="BA26" s="190">
        <f t="shared" si="28"/>
        <v>0</v>
      </c>
      <c r="BB26" s="191">
        <f t="shared" si="29"/>
        <v>0</v>
      </c>
      <c r="BC26" s="179">
        <f t="shared" si="53"/>
        <v>2</v>
      </c>
      <c r="BD26" s="154">
        <f>VLOOKUP(AQ26,'C-HH_AL_Aggregation'!A:P,14,FALSE)</f>
        <v>0</v>
      </c>
      <c r="BE26" s="145">
        <f>VLOOKUP(AQ26,'C-HH_AL_Aggregation'!A:P,15,FALSE)</f>
        <v>0</v>
      </c>
      <c r="BF26" s="146">
        <f>VLOOKUP(AQ26,'C-HH_AL_Aggregation'!A:P,16,FALSE)</f>
        <v>0</v>
      </c>
      <c r="BG26" s="145">
        <f t="shared" si="0"/>
        <v>0</v>
      </c>
      <c r="BH26" s="145">
        <f t="shared" si="1"/>
        <v>247081</v>
      </c>
      <c r="BI26" s="145">
        <f t="shared" si="2"/>
        <v>0</v>
      </c>
      <c r="BJ26" s="145">
        <f t="shared" si="3"/>
        <v>0</v>
      </c>
      <c r="BK26" s="146">
        <f t="shared" si="4"/>
        <v>0</v>
      </c>
      <c r="BL26" s="158"/>
      <c r="BM26" s="159"/>
    </row>
    <row r="27" spans="1:65" x14ac:dyDescent="0.35">
      <c r="A27" t="s">
        <v>99</v>
      </c>
      <c r="B27" t="s">
        <v>287</v>
      </c>
      <c r="C27" s="112">
        <f>VLOOKUP(A27,'E-REF_HNO_pop'!B:D,3,FALSE)</f>
        <v>9000</v>
      </c>
      <c r="D27" s="112">
        <f>VLOOKUP(A27,'E-REF_HNO_pop'!B:C,2,FALSE)</f>
        <v>54490</v>
      </c>
      <c r="E27" t="s">
        <v>88</v>
      </c>
      <c r="F27" t="s">
        <v>56</v>
      </c>
      <c r="I27" s="107">
        <f t="shared" si="54"/>
        <v>1</v>
      </c>
      <c r="J27" s="107">
        <f t="shared" si="55"/>
        <v>1</v>
      </c>
      <c r="K27" s="107" t="str">
        <f t="shared" si="56"/>
        <v/>
      </c>
      <c r="L27" s="107" t="str">
        <f t="shared" si="57"/>
        <v/>
      </c>
      <c r="M27" s="108">
        <f t="shared" si="74"/>
        <v>1</v>
      </c>
      <c r="N27" s="135">
        <f t="shared" si="75"/>
        <v>9000</v>
      </c>
      <c r="O27" s="107">
        <f t="shared" si="58"/>
        <v>0</v>
      </c>
      <c r="P27" s="107">
        <f t="shared" si="59"/>
        <v>0</v>
      </c>
      <c r="Q27" s="107" t="str">
        <f t="shared" si="60"/>
        <v/>
      </c>
      <c r="R27" s="107" t="str">
        <f t="shared" si="61"/>
        <v/>
      </c>
      <c r="S27" s="108">
        <f t="shared" si="76"/>
        <v>0</v>
      </c>
      <c r="T27" s="135">
        <f t="shared" si="77"/>
        <v>0</v>
      </c>
      <c r="U27" s="107">
        <f t="shared" si="62"/>
        <v>0</v>
      </c>
      <c r="V27" s="107">
        <f t="shared" si="63"/>
        <v>0</v>
      </c>
      <c r="W27" s="107" t="str">
        <f t="shared" si="64"/>
        <v/>
      </c>
      <c r="X27" s="107" t="str">
        <f t="shared" si="65"/>
        <v/>
      </c>
      <c r="Y27" s="108">
        <f t="shared" si="78"/>
        <v>0</v>
      </c>
      <c r="Z27" s="135">
        <f t="shared" si="79"/>
        <v>0</v>
      </c>
      <c r="AA27" s="107">
        <f t="shared" si="66"/>
        <v>0</v>
      </c>
      <c r="AB27" s="107">
        <f t="shared" si="67"/>
        <v>0</v>
      </c>
      <c r="AC27" s="107" t="str">
        <f t="shared" si="68"/>
        <v/>
      </c>
      <c r="AD27" s="107" t="str">
        <f t="shared" si="69"/>
        <v/>
      </c>
      <c r="AE27" s="108">
        <f t="shared" si="80"/>
        <v>0</v>
      </c>
      <c r="AF27" s="135">
        <f t="shared" si="81"/>
        <v>0</v>
      </c>
      <c r="AG27" s="107">
        <f t="shared" si="70"/>
        <v>0</v>
      </c>
      <c r="AH27" s="107">
        <f t="shared" si="71"/>
        <v>0</v>
      </c>
      <c r="AI27" s="107" t="str">
        <f t="shared" si="72"/>
        <v/>
      </c>
      <c r="AJ27" s="107" t="str">
        <f t="shared" si="73"/>
        <v/>
      </c>
      <c r="AK27" s="108">
        <f t="shared" si="82"/>
        <v>0</v>
      </c>
      <c r="AL27" s="135">
        <f t="shared" si="83"/>
        <v>0</v>
      </c>
      <c r="AM27" s="129">
        <f t="shared" si="84"/>
        <v>1</v>
      </c>
      <c r="AP27" s="236"/>
      <c r="AQ27" s="181" t="s">
        <v>166</v>
      </c>
      <c r="AR27" s="119">
        <f>VLOOKUP(AQ27,'E-REF_HNO_pop'!B:E,2,FALSE)</f>
        <v>115329</v>
      </c>
      <c r="AS27" s="114">
        <f>VLOOKUP(AQ27,'E-REF_HNO_pop'!B:E,3,FALSE)</f>
        <v>0</v>
      </c>
      <c r="AT27" s="120">
        <f>VLOOKUP(AQ27,'E-REF_HNO_pop'!B:E,4,FALSE)</f>
        <v>115329</v>
      </c>
      <c r="AU27" s="131">
        <f>VLOOKUP(AQ27,'C-HH_AL_Aggregation'!A:L,12,FALSE)</f>
        <v>1</v>
      </c>
      <c r="AV27" s="131">
        <f>VLOOKUP(AQ27,'C-HH_AL_Aggregation'!A:L,12,FALSE)</f>
        <v>1</v>
      </c>
      <c r="AW27" s="131">
        <f>VLOOKUP(AQ27,'C-HH_AL_Aggregation'!A:L,12,FALSE)</f>
        <v>1</v>
      </c>
      <c r="AX27" s="189">
        <f t="shared" si="25"/>
        <v>1</v>
      </c>
      <c r="AY27" s="190">
        <f t="shared" si="26"/>
        <v>0</v>
      </c>
      <c r="AZ27" s="190">
        <f t="shared" si="27"/>
        <v>0</v>
      </c>
      <c r="BA27" s="190">
        <f t="shared" si="28"/>
        <v>0</v>
      </c>
      <c r="BB27" s="191">
        <f t="shared" si="29"/>
        <v>0</v>
      </c>
      <c r="BC27" s="179">
        <f t="shared" si="53"/>
        <v>1</v>
      </c>
      <c r="BD27" s="154">
        <f>VLOOKUP(AQ27,'C-HH_AL_Aggregation'!A:P,14,FALSE)</f>
        <v>0</v>
      </c>
      <c r="BE27" s="145">
        <f>VLOOKUP(AQ27,'C-HH_AL_Aggregation'!A:P,15,FALSE)</f>
        <v>0</v>
      </c>
      <c r="BF27" s="146">
        <f>VLOOKUP(AQ27,'C-HH_AL_Aggregation'!A:P,16,FALSE)</f>
        <v>0</v>
      </c>
      <c r="BG27" s="145">
        <f t="shared" si="0"/>
        <v>115329</v>
      </c>
      <c r="BH27" s="145">
        <f t="shared" si="1"/>
        <v>0</v>
      </c>
      <c r="BI27" s="145">
        <f t="shared" si="2"/>
        <v>0</v>
      </c>
      <c r="BJ27" s="145">
        <f t="shared" si="3"/>
        <v>0</v>
      </c>
      <c r="BK27" s="146">
        <f t="shared" si="4"/>
        <v>0</v>
      </c>
      <c r="BL27" s="158"/>
      <c r="BM27" s="159"/>
    </row>
    <row r="28" spans="1:65" x14ac:dyDescent="0.35">
      <c r="A28" t="s">
        <v>166</v>
      </c>
      <c r="B28" t="s">
        <v>287</v>
      </c>
      <c r="C28" s="112">
        <f>VLOOKUP(A28,'E-REF_HNO_pop'!B:D,3,FALSE)</f>
        <v>0</v>
      </c>
      <c r="D28" s="112">
        <f>VLOOKUP(A28,'E-REF_HNO_pop'!B:C,2,FALSE)</f>
        <v>115329</v>
      </c>
      <c r="E28" t="s">
        <v>35</v>
      </c>
      <c r="F28" t="s">
        <v>31</v>
      </c>
      <c r="G28" t="s">
        <v>147</v>
      </c>
      <c r="H28" t="s">
        <v>80</v>
      </c>
      <c r="I28" s="107">
        <f t="shared" si="54"/>
        <v>0</v>
      </c>
      <c r="J28" s="107">
        <f t="shared" si="55"/>
        <v>1</v>
      </c>
      <c r="K28" s="107">
        <f t="shared" si="56"/>
        <v>1</v>
      </c>
      <c r="L28" s="107">
        <f t="shared" si="57"/>
        <v>1</v>
      </c>
      <c r="M28" s="108">
        <f t="shared" si="74"/>
        <v>0.75</v>
      </c>
      <c r="N28" s="135">
        <f t="shared" si="75"/>
        <v>0</v>
      </c>
      <c r="O28" s="107">
        <f t="shared" si="58"/>
        <v>0</v>
      </c>
      <c r="P28" s="107">
        <f t="shared" si="59"/>
        <v>0</v>
      </c>
      <c r="Q28" s="107">
        <f t="shared" si="60"/>
        <v>0</v>
      </c>
      <c r="R28" s="107">
        <f t="shared" si="61"/>
        <v>0</v>
      </c>
      <c r="S28" s="108">
        <f t="shared" si="76"/>
        <v>0</v>
      </c>
      <c r="T28" s="135">
        <f t="shared" si="77"/>
        <v>0</v>
      </c>
      <c r="U28" s="107">
        <f t="shared" si="62"/>
        <v>1</v>
      </c>
      <c r="V28" s="107">
        <f t="shared" si="63"/>
        <v>0</v>
      </c>
      <c r="W28" s="107">
        <f t="shared" si="64"/>
        <v>0</v>
      </c>
      <c r="X28" s="107">
        <f t="shared" si="65"/>
        <v>0</v>
      </c>
      <c r="Y28" s="108">
        <f t="shared" si="78"/>
        <v>0.25</v>
      </c>
      <c r="Z28" s="135">
        <f t="shared" si="79"/>
        <v>0</v>
      </c>
      <c r="AA28" s="107">
        <f t="shared" si="66"/>
        <v>0</v>
      </c>
      <c r="AB28" s="107">
        <f t="shared" si="67"/>
        <v>0</v>
      </c>
      <c r="AC28" s="107">
        <f t="shared" si="68"/>
        <v>0</v>
      </c>
      <c r="AD28" s="107">
        <f t="shared" si="69"/>
        <v>0</v>
      </c>
      <c r="AE28" s="108">
        <f t="shared" si="80"/>
        <v>0</v>
      </c>
      <c r="AF28" s="135">
        <f t="shared" si="81"/>
        <v>0</v>
      </c>
      <c r="AG28" s="107">
        <f t="shared" si="70"/>
        <v>0</v>
      </c>
      <c r="AH28" s="107">
        <f t="shared" si="71"/>
        <v>0</v>
      </c>
      <c r="AI28" s="107">
        <f t="shared" si="72"/>
        <v>0</v>
      </c>
      <c r="AJ28" s="107">
        <f t="shared" si="73"/>
        <v>0</v>
      </c>
      <c r="AK28" s="108">
        <f t="shared" si="82"/>
        <v>0</v>
      </c>
      <c r="AL28" s="135">
        <f t="shared" si="83"/>
        <v>0</v>
      </c>
      <c r="AM28" s="129">
        <f t="shared" si="84"/>
        <v>3</v>
      </c>
      <c r="AP28" s="236"/>
      <c r="AQ28" s="181" t="s">
        <v>101</v>
      </c>
      <c r="AR28" s="119">
        <f>VLOOKUP(AQ28,'E-REF_HNO_pop'!B:E,2,FALSE)</f>
        <v>126545</v>
      </c>
      <c r="AS28" s="114">
        <f>VLOOKUP(AQ28,'E-REF_HNO_pop'!B:E,3,FALSE)</f>
        <v>4200</v>
      </c>
      <c r="AT28" s="120">
        <f>VLOOKUP(AQ28,'E-REF_HNO_pop'!B:E,4,FALSE)</f>
        <v>122345</v>
      </c>
      <c r="AU28" s="131">
        <f>VLOOKUP(AQ28,'C-HH_AL_Aggregation'!A:L,12,FALSE)</f>
        <v>1</v>
      </c>
      <c r="AV28" s="131">
        <f>VLOOKUP(AQ28,'C-HH_AL_Aggregation'!A:L,12,FALSE)</f>
        <v>1</v>
      </c>
      <c r="AW28" s="131">
        <f>VLOOKUP(AQ28,'C-HH_AL_Aggregation'!A:L,12,FALSE)</f>
        <v>1</v>
      </c>
      <c r="AX28" s="189">
        <f t="shared" si="25"/>
        <v>1</v>
      </c>
      <c r="AY28" s="190">
        <f t="shared" si="26"/>
        <v>0</v>
      </c>
      <c r="AZ28" s="190">
        <f t="shared" si="27"/>
        <v>0</v>
      </c>
      <c r="BA28" s="190">
        <f t="shared" si="28"/>
        <v>0</v>
      </c>
      <c r="BB28" s="191">
        <f t="shared" si="29"/>
        <v>0</v>
      </c>
      <c r="BC28" s="179">
        <f t="shared" si="53"/>
        <v>1</v>
      </c>
      <c r="BD28" s="154">
        <f>VLOOKUP(AQ28,'C-HH_AL_Aggregation'!A:P,14,FALSE)</f>
        <v>0</v>
      </c>
      <c r="BE28" s="145">
        <f>VLOOKUP(AQ28,'C-HH_AL_Aggregation'!A:P,15,FALSE)</f>
        <v>0</v>
      </c>
      <c r="BF28" s="146">
        <f>VLOOKUP(AQ28,'C-HH_AL_Aggregation'!A:P,16,FALSE)</f>
        <v>0</v>
      </c>
      <c r="BG28" s="145">
        <f t="shared" si="0"/>
        <v>126545</v>
      </c>
      <c r="BH28" s="145">
        <f t="shared" si="1"/>
        <v>0</v>
      </c>
      <c r="BI28" s="145">
        <f t="shared" si="2"/>
        <v>0</v>
      </c>
      <c r="BJ28" s="145">
        <f t="shared" si="3"/>
        <v>0</v>
      </c>
      <c r="BK28" s="146">
        <f t="shared" si="4"/>
        <v>0</v>
      </c>
      <c r="BL28" s="158"/>
      <c r="BM28" s="159"/>
    </row>
    <row r="29" spans="1:65" x14ac:dyDescent="0.35">
      <c r="A29" t="s">
        <v>102</v>
      </c>
      <c r="B29" t="s">
        <v>287</v>
      </c>
      <c r="C29" s="112">
        <f>VLOOKUP(A29,'E-REF_HNO_pop'!B:D,3,FALSE)</f>
        <v>14000</v>
      </c>
      <c r="D29" s="112">
        <f>VLOOKUP(A29,'E-REF_HNO_pop'!B:C,2,FALSE)</f>
        <v>94645</v>
      </c>
      <c r="E29" t="s">
        <v>80</v>
      </c>
      <c r="F29" t="s">
        <v>31</v>
      </c>
      <c r="G29" t="s">
        <v>164</v>
      </c>
      <c r="H29" t="s">
        <v>28</v>
      </c>
      <c r="I29" s="107">
        <f t="shared" si="54"/>
        <v>1</v>
      </c>
      <c r="J29" s="107">
        <f t="shared" si="55"/>
        <v>1</v>
      </c>
      <c r="K29" s="107">
        <f t="shared" si="56"/>
        <v>1</v>
      </c>
      <c r="L29" s="107">
        <f t="shared" si="57"/>
        <v>0</v>
      </c>
      <c r="M29" s="108">
        <f t="shared" si="74"/>
        <v>0.75</v>
      </c>
      <c r="N29" s="135">
        <f t="shared" si="75"/>
        <v>10500</v>
      </c>
      <c r="O29" s="107">
        <f t="shared" si="58"/>
        <v>0</v>
      </c>
      <c r="P29" s="107">
        <f t="shared" si="59"/>
        <v>0</v>
      </c>
      <c r="Q29" s="107">
        <f t="shared" si="60"/>
        <v>0</v>
      </c>
      <c r="R29" s="107">
        <f t="shared" si="61"/>
        <v>1</v>
      </c>
      <c r="S29" s="108">
        <f t="shared" si="76"/>
        <v>0.25</v>
      </c>
      <c r="T29" s="135">
        <f t="shared" si="77"/>
        <v>3500</v>
      </c>
      <c r="U29" s="107">
        <f t="shared" si="62"/>
        <v>0</v>
      </c>
      <c r="V29" s="107">
        <f t="shared" si="63"/>
        <v>0</v>
      </c>
      <c r="W29" s="107">
        <f t="shared" si="64"/>
        <v>0</v>
      </c>
      <c r="X29" s="107">
        <f t="shared" si="65"/>
        <v>0</v>
      </c>
      <c r="Y29" s="108">
        <f t="shared" si="78"/>
        <v>0</v>
      </c>
      <c r="Z29" s="135">
        <f t="shared" si="79"/>
        <v>0</v>
      </c>
      <c r="AA29" s="107">
        <f t="shared" si="66"/>
        <v>0</v>
      </c>
      <c r="AB29" s="107">
        <f t="shared" si="67"/>
        <v>0</v>
      </c>
      <c r="AC29" s="107">
        <f t="shared" si="68"/>
        <v>0</v>
      </c>
      <c r="AD29" s="107">
        <f t="shared" si="69"/>
        <v>0</v>
      </c>
      <c r="AE29" s="108">
        <f t="shared" si="80"/>
        <v>0</v>
      </c>
      <c r="AF29" s="135">
        <f t="shared" si="81"/>
        <v>0</v>
      </c>
      <c r="AG29" s="107">
        <f t="shared" si="70"/>
        <v>0</v>
      </c>
      <c r="AH29" s="107">
        <f t="shared" si="71"/>
        <v>0</v>
      </c>
      <c r="AI29" s="107">
        <f t="shared" si="72"/>
        <v>0</v>
      </c>
      <c r="AJ29" s="107">
        <f t="shared" si="73"/>
        <v>0</v>
      </c>
      <c r="AK29" s="108">
        <f t="shared" si="82"/>
        <v>0</v>
      </c>
      <c r="AL29" s="135">
        <f t="shared" si="83"/>
        <v>0</v>
      </c>
      <c r="AM29" s="129">
        <f t="shared" si="84"/>
        <v>2</v>
      </c>
      <c r="AP29" s="236"/>
      <c r="AQ29" s="181" t="s">
        <v>167</v>
      </c>
      <c r="AR29" s="119">
        <f>VLOOKUP(AQ29,'E-REF_HNO_pop'!B:E,2,FALSE)</f>
        <v>75638</v>
      </c>
      <c r="AS29" s="114">
        <f>VLOOKUP(AQ29,'E-REF_HNO_pop'!B:E,3,FALSE)</f>
        <v>2000</v>
      </c>
      <c r="AT29" s="120">
        <f>VLOOKUP(AQ29,'E-REF_HNO_pop'!B:E,4,FALSE)</f>
        <v>73638</v>
      </c>
      <c r="AU29" s="131">
        <f>VLOOKUP(AQ29,'C-HH_AL_Aggregation'!A:L,12,FALSE)</f>
        <v>2</v>
      </c>
      <c r="AV29" s="131">
        <f>VLOOKUP(AQ29,'C-HH_AL_Aggregation'!A:L,12,FALSE)</f>
        <v>2</v>
      </c>
      <c r="AW29" s="131">
        <f>VLOOKUP(AQ29,'C-HH_AL_Aggregation'!A:L,12,FALSE)</f>
        <v>2</v>
      </c>
      <c r="AX29" s="189">
        <f t="shared" si="25"/>
        <v>0</v>
      </c>
      <c r="AY29" s="190">
        <f t="shared" si="26"/>
        <v>1</v>
      </c>
      <c r="AZ29" s="190">
        <f t="shared" si="27"/>
        <v>0</v>
      </c>
      <c r="BA29" s="190">
        <f t="shared" si="28"/>
        <v>0</v>
      </c>
      <c r="BB29" s="191">
        <f t="shared" si="29"/>
        <v>0</v>
      </c>
      <c r="BC29" s="179">
        <f t="shared" si="53"/>
        <v>2</v>
      </c>
      <c r="BD29" s="154">
        <f>VLOOKUP(AQ29,'C-HH_AL_Aggregation'!A:P,14,FALSE)</f>
        <v>0</v>
      </c>
      <c r="BE29" s="145">
        <f>VLOOKUP(AQ29,'C-HH_AL_Aggregation'!A:P,15,FALSE)</f>
        <v>0</v>
      </c>
      <c r="BF29" s="146">
        <f>VLOOKUP(AQ29,'C-HH_AL_Aggregation'!A:P,16,FALSE)</f>
        <v>0</v>
      </c>
      <c r="BG29" s="145">
        <f t="shared" si="0"/>
        <v>0</v>
      </c>
      <c r="BH29" s="145">
        <f t="shared" si="1"/>
        <v>75638</v>
      </c>
      <c r="BI29" s="145">
        <f t="shared" si="2"/>
        <v>0</v>
      </c>
      <c r="BJ29" s="145">
        <f t="shared" si="3"/>
        <v>0</v>
      </c>
      <c r="BK29" s="146">
        <f t="shared" si="4"/>
        <v>0</v>
      </c>
      <c r="BL29" s="158"/>
      <c r="BM29" s="159"/>
    </row>
    <row r="30" spans="1:65" x14ac:dyDescent="0.35">
      <c r="A30" t="s">
        <v>103</v>
      </c>
      <c r="B30" t="s">
        <v>287</v>
      </c>
      <c r="C30" s="112">
        <f>VLOOKUP(A30,'E-REF_HNO_pop'!B:D,3,FALSE)</f>
        <v>3000</v>
      </c>
      <c r="D30" s="112">
        <f>VLOOKUP(A30,'E-REF_HNO_pop'!B:C,2,FALSE)</f>
        <v>63295</v>
      </c>
      <c r="E30" t="s">
        <v>47</v>
      </c>
      <c r="F30" t="s">
        <v>93</v>
      </c>
      <c r="G30" t="s">
        <v>164</v>
      </c>
      <c r="H30" t="s">
        <v>80</v>
      </c>
      <c r="I30" s="107">
        <f t="shared" si="54"/>
        <v>1</v>
      </c>
      <c r="J30" s="107">
        <f t="shared" si="55"/>
        <v>1</v>
      </c>
      <c r="K30" s="107">
        <f t="shared" si="56"/>
        <v>1</v>
      </c>
      <c r="L30" s="107">
        <f t="shared" si="57"/>
        <v>1</v>
      </c>
      <c r="M30" s="108">
        <f t="shared" si="74"/>
        <v>1</v>
      </c>
      <c r="N30" s="135">
        <f t="shared" si="75"/>
        <v>3000</v>
      </c>
      <c r="O30" s="107">
        <f t="shared" si="58"/>
        <v>0</v>
      </c>
      <c r="P30" s="107">
        <f t="shared" si="59"/>
        <v>0</v>
      </c>
      <c r="Q30" s="107">
        <f t="shared" si="60"/>
        <v>0</v>
      </c>
      <c r="R30" s="107">
        <f t="shared" si="61"/>
        <v>0</v>
      </c>
      <c r="S30" s="108">
        <f t="shared" si="76"/>
        <v>0</v>
      </c>
      <c r="T30" s="135">
        <f t="shared" si="77"/>
        <v>0</v>
      </c>
      <c r="U30" s="107">
        <f t="shared" si="62"/>
        <v>0</v>
      </c>
      <c r="V30" s="107">
        <f t="shared" si="63"/>
        <v>0</v>
      </c>
      <c r="W30" s="107">
        <f t="shared" si="64"/>
        <v>0</v>
      </c>
      <c r="X30" s="107">
        <f t="shared" si="65"/>
        <v>0</v>
      </c>
      <c r="Y30" s="108">
        <f t="shared" si="78"/>
        <v>0</v>
      </c>
      <c r="Z30" s="135">
        <f t="shared" si="79"/>
        <v>0</v>
      </c>
      <c r="AA30" s="107">
        <f t="shared" si="66"/>
        <v>0</v>
      </c>
      <c r="AB30" s="107">
        <f t="shared" si="67"/>
        <v>0</v>
      </c>
      <c r="AC30" s="107">
        <f t="shared" si="68"/>
        <v>0</v>
      </c>
      <c r="AD30" s="107">
        <f t="shared" si="69"/>
        <v>0</v>
      </c>
      <c r="AE30" s="108">
        <f t="shared" si="80"/>
        <v>0</v>
      </c>
      <c r="AF30" s="135">
        <f t="shared" si="81"/>
        <v>0</v>
      </c>
      <c r="AG30" s="107">
        <f t="shared" si="70"/>
        <v>0</v>
      </c>
      <c r="AH30" s="107">
        <f t="shared" si="71"/>
        <v>0</v>
      </c>
      <c r="AI30" s="107">
        <f t="shared" si="72"/>
        <v>0</v>
      </c>
      <c r="AJ30" s="107">
        <f t="shared" si="73"/>
        <v>0</v>
      </c>
      <c r="AK30" s="108">
        <f t="shared" si="82"/>
        <v>0</v>
      </c>
      <c r="AL30" s="135">
        <f t="shared" si="83"/>
        <v>0</v>
      </c>
      <c r="AM30" s="129">
        <f t="shared" si="84"/>
        <v>1</v>
      </c>
      <c r="AP30" s="236"/>
      <c r="AQ30" s="181" t="s">
        <v>107</v>
      </c>
      <c r="AR30" s="119">
        <f>VLOOKUP(AQ30,'E-REF_HNO_pop'!B:E,2,FALSE)</f>
        <v>75797</v>
      </c>
      <c r="AS30" s="114">
        <f>VLOOKUP(AQ30,'E-REF_HNO_pop'!B:E,3,FALSE)</f>
        <v>13900</v>
      </c>
      <c r="AT30" s="120">
        <f>VLOOKUP(AQ30,'E-REF_HNO_pop'!B:E,4,FALSE)</f>
        <v>61897</v>
      </c>
      <c r="AU30" s="131">
        <f>VLOOKUP(AQ30,'C-HH_AL_Aggregation'!A:L,12,FALSE)</f>
        <v>1</v>
      </c>
      <c r="AV30" s="131">
        <f>VLOOKUP(AQ30,'C-HH_AL_Aggregation'!A:L,12,FALSE)</f>
        <v>1</v>
      </c>
      <c r="AW30" s="131">
        <f>VLOOKUP(AQ30,'C-HH_AL_Aggregation'!A:L,12,FALSE)</f>
        <v>1</v>
      </c>
      <c r="AX30" s="189">
        <f t="shared" si="25"/>
        <v>1</v>
      </c>
      <c r="AY30" s="190">
        <f t="shared" si="26"/>
        <v>0</v>
      </c>
      <c r="AZ30" s="190">
        <f t="shared" si="27"/>
        <v>0</v>
      </c>
      <c r="BA30" s="190">
        <f t="shared" si="28"/>
        <v>0</v>
      </c>
      <c r="BB30" s="191">
        <f t="shared" si="29"/>
        <v>0</v>
      </c>
      <c r="BC30" s="179">
        <f t="shared" si="53"/>
        <v>1</v>
      </c>
      <c r="BD30" s="154">
        <f>VLOOKUP(AQ30,'C-HH_AL_Aggregation'!A:P,14,FALSE)</f>
        <v>0</v>
      </c>
      <c r="BE30" s="145">
        <f>VLOOKUP(AQ30,'C-HH_AL_Aggregation'!A:P,15,FALSE)</f>
        <v>0</v>
      </c>
      <c r="BF30" s="146">
        <f>VLOOKUP(AQ30,'C-HH_AL_Aggregation'!A:P,16,FALSE)</f>
        <v>0</v>
      </c>
      <c r="BG30" s="145">
        <f t="shared" si="0"/>
        <v>75797</v>
      </c>
      <c r="BH30" s="145">
        <f t="shared" si="1"/>
        <v>0</v>
      </c>
      <c r="BI30" s="145">
        <f t="shared" si="2"/>
        <v>0</v>
      </c>
      <c r="BJ30" s="145">
        <f t="shared" si="3"/>
        <v>0</v>
      </c>
      <c r="BK30" s="146">
        <f t="shared" si="4"/>
        <v>0</v>
      </c>
      <c r="BL30" s="158"/>
      <c r="BM30" s="159"/>
    </row>
    <row r="31" spans="1:65" x14ac:dyDescent="0.35">
      <c r="A31" t="s">
        <v>106</v>
      </c>
      <c r="B31" t="s">
        <v>287</v>
      </c>
      <c r="C31" s="112">
        <f>VLOOKUP(A31,'E-REF_HNO_pop'!B:D,3,FALSE)</f>
        <v>1000</v>
      </c>
      <c r="D31" s="112">
        <f>VLOOKUP(A31,'E-REF_HNO_pop'!B:C,2,FALSE)</f>
        <v>139718</v>
      </c>
      <c r="E31" t="s">
        <v>160</v>
      </c>
      <c r="F31" t="s">
        <v>157</v>
      </c>
      <c r="G31" t="s">
        <v>145</v>
      </c>
      <c r="H31" t="s">
        <v>161</v>
      </c>
      <c r="I31" s="107">
        <f t="shared" si="54"/>
        <v>1</v>
      </c>
      <c r="J31" s="107">
        <f t="shared" si="55"/>
        <v>0</v>
      </c>
      <c r="K31" s="107">
        <f t="shared" si="56"/>
        <v>0</v>
      </c>
      <c r="L31" s="107">
        <f t="shared" si="57"/>
        <v>1</v>
      </c>
      <c r="M31" s="108">
        <f t="shared" si="74"/>
        <v>0.5</v>
      </c>
      <c r="N31" s="135">
        <f t="shared" si="75"/>
        <v>500</v>
      </c>
      <c r="O31" s="107">
        <f t="shared" si="58"/>
        <v>0</v>
      </c>
      <c r="P31" s="107">
        <f t="shared" si="59"/>
        <v>0</v>
      </c>
      <c r="Q31" s="107">
        <f t="shared" si="60"/>
        <v>1</v>
      </c>
      <c r="R31" s="107">
        <f t="shared" si="61"/>
        <v>0</v>
      </c>
      <c r="S31" s="108">
        <f t="shared" si="76"/>
        <v>0.25</v>
      </c>
      <c r="T31" s="135">
        <f t="shared" si="77"/>
        <v>250</v>
      </c>
      <c r="U31" s="107">
        <f t="shared" si="62"/>
        <v>0</v>
      </c>
      <c r="V31" s="107">
        <f t="shared" si="63"/>
        <v>1</v>
      </c>
      <c r="W31" s="107">
        <f t="shared" si="64"/>
        <v>0</v>
      </c>
      <c r="X31" s="107">
        <f t="shared" si="65"/>
        <v>0</v>
      </c>
      <c r="Y31" s="108">
        <f t="shared" si="78"/>
        <v>0.25</v>
      </c>
      <c r="Z31" s="135">
        <f t="shared" si="79"/>
        <v>250</v>
      </c>
      <c r="AA31" s="107">
        <f t="shared" si="66"/>
        <v>0</v>
      </c>
      <c r="AB31" s="107">
        <f t="shared" si="67"/>
        <v>0</v>
      </c>
      <c r="AC31" s="107">
        <f t="shared" si="68"/>
        <v>0</v>
      </c>
      <c r="AD31" s="107">
        <f t="shared" si="69"/>
        <v>0</v>
      </c>
      <c r="AE31" s="108">
        <f t="shared" si="80"/>
        <v>0</v>
      </c>
      <c r="AF31" s="135">
        <f t="shared" si="81"/>
        <v>0</v>
      </c>
      <c r="AG31" s="107">
        <f t="shared" si="70"/>
        <v>0</v>
      </c>
      <c r="AH31" s="107">
        <f t="shared" si="71"/>
        <v>0</v>
      </c>
      <c r="AI31" s="107">
        <f t="shared" si="72"/>
        <v>0</v>
      </c>
      <c r="AJ31" s="107">
        <f t="shared" si="73"/>
        <v>0</v>
      </c>
      <c r="AK31" s="108">
        <f t="shared" si="82"/>
        <v>0</v>
      </c>
      <c r="AL31" s="135">
        <f t="shared" si="83"/>
        <v>0</v>
      </c>
      <c r="AM31" s="129">
        <f t="shared" si="84"/>
        <v>3</v>
      </c>
      <c r="AP31" s="236"/>
      <c r="AQ31" s="181" t="s">
        <v>155</v>
      </c>
      <c r="AR31" s="119">
        <f>VLOOKUP(AQ31,'E-REF_HNO_pop'!B:E,2,FALSE)</f>
        <v>319547</v>
      </c>
      <c r="AS31" s="114">
        <f>VLOOKUP(AQ31,'E-REF_HNO_pop'!B:E,3,FALSE)</f>
        <v>6500</v>
      </c>
      <c r="AT31" s="120">
        <f>VLOOKUP(AQ31,'E-REF_HNO_pop'!B:E,4,FALSE)</f>
        <v>313047</v>
      </c>
      <c r="AU31" s="131">
        <f>VLOOKUP(AQ31,'C-HH_AL_Aggregation'!A:L,12,FALSE)</f>
        <v>2</v>
      </c>
      <c r="AV31" s="131">
        <f>VLOOKUP(AQ31,'C-HH_AL_Aggregation'!A:L,12,FALSE)</f>
        <v>2</v>
      </c>
      <c r="AW31" s="131">
        <f>VLOOKUP(AQ31,'C-HH_AL_Aggregation'!A:L,12,FALSE)</f>
        <v>2</v>
      </c>
      <c r="AX31" s="189">
        <f t="shared" si="25"/>
        <v>0</v>
      </c>
      <c r="AY31" s="190">
        <f t="shared" si="26"/>
        <v>1</v>
      </c>
      <c r="AZ31" s="190">
        <f t="shared" si="27"/>
        <v>0</v>
      </c>
      <c r="BA31" s="190">
        <f t="shared" si="28"/>
        <v>0</v>
      </c>
      <c r="BB31" s="191">
        <f t="shared" si="29"/>
        <v>0</v>
      </c>
      <c r="BC31" s="179">
        <f t="shared" si="53"/>
        <v>2</v>
      </c>
      <c r="BD31" s="154">
        <f>VLOOKUP(AQ31,'C-HH_AL_Aggregation'!A:P,14,FALSE)</f>
        <v>0</v>
      </c>
      <c r="BE31" s="145">
        <f>VLOOKUP(AQ31,'C-HH_AL_Aggregation'!A:P,15,FALSE)</f>
        <v>0</v>
      </c>
      <c r="BF31" s="146">
        <f>VLOOKUP(AQ31,'C-HH_AL_Aggregation'!A:P,16,FALSE)</f>
        <v>0</v>
      </c>
      <c r="BG31" s="145">
        <f t="shared" si="0"/>
        <v>0</v>
      </c>
      <c r="BH31" s="145">
        <f t="shared" si="1"/>
        <v>319547</v>
      </c>
      <c r="BI31" s="145">
        <f t="shared" si="2"/>
        <v>0</v>
      </c>
      <c r="BJ31" s="145">
        <f t="shared" si="3"/>
        <v>0</v>
      </c>
      <c r="BK31" s="146">
        <f t="shared" si="4"/>
        <v>0</v>
      </c>
      <c r="BL31" s="158"/>
      <c r="BM31" s="159"/>
    </row>
    <row r="32" spans="1:65" x14ac:dyDescent="0.35">
      <c r="A32" t="s">
        <v>108</v>
      </c>
      <c r="B32" t="s">
        <v>287</v>
      </c>
      <c r="C32" s="112">
        <f>VLOOKUP(A32,'E-REF_HNO_pop'!B:D,3,FALSE)</f>
        <v>0</v>
      </c>
      <c r="D32" s="112">
        <f>VLOOKUP(A32,'E-REF_HNO_pop'!B:C,2,FALSE)</f>
        <v>69298</v>
      </c>
      <c r="E32" t="s">
        <v>87</v>
      </c>
      <c r="I32" s="107">
        <f t="shared" si="54"/>
        <v>0</v>
      </c>
      <c r="J32" s="107" t="str">
        <f t="shared" si="55"/>
        <v/>
      </c>
      <c r="K32" s="107" t="str">
        <f t="shared" si="56"/>
        <v/>
      </c>
      <c r="L32" s="107" t="str">
        <f t="shared" si="57"/>
        <v/>
      </c>
      <c r="M32" s="108">
        <f t="shared" si="74"/>
        <v>0</v>
      </c>
      <c r="N32" s="135">
        <f t="shared" si="75"/>
        <v>0</v>
      </c>
      <c r="O32" s="107">
        <f t="shared" si="58"/>
        <v>1</v>
      </c>
      <c r="P32" s="107" t="str">
        <f t="shared" si="59"/>
        <v/>
      </c>
      <c r="Q32" s="107" t="str">
        <f t="shared" si="60"/>
        <v/>
      </c>
      <c r="R32" s="107" t="str">
        <f t="shared" si="61"/>
        <v/>
      </c>
      <c r="S32" s="108">
        <f t="shared" si="76"/>
        <v>1</v>
      </c>
      <c r="T32" s="135">
        <f t="shared" si="77"/>
        <v>0</v>
      </c>
      <c r="U32" s="107">
        <f t="shared" si="62"/>
        <v>0</v>
      </c>
      <c r="V32" s="107" t="str">
        <f t="shared" si="63"/>
        <v/>
      </c>
      <c r="W32" s="107" t="str">
        <f t="shared" si="64"/>
        <v/>
      </c>
      <c r="X32" s="107" t="str">
        <f t="shared" si="65"/>
        <v/>
      </c>
      <c r="Y32" s="108">
        <f t="shared" si="78"/>
        <v>0</v>
      </c>
      <c r="Z32" s="135">
        <f t="shared" si="79"/>
        <v>0</v>
      </c>
      <c r="AA32" s="107">
        <f t="shared" si="66"/>
        <v>0</v>
      </c>
      <c r="AB32" s="107" t="str">
        <f t="shared" si="67"/>
        <v/>
      </c>
      <c r="AC32" s="107" t="str">
        <f t="shared" si="68"/>
        <v/>
      </c>
      <c r="AD32" s="107" t="str">
        <f t="shared" si="69"/>
        <v/>
      </c>
      <c r="AE32" s="108">
        <f t="shared" si="80"/>
        <v>0</v>
      </c>
      <c r="AF32" s="135">
        <f t="shared" si="81"/>
        <v>0</v>
      </c>
      <c r="AG32" s="107">
        <f t="shared" si="70"/>
        <v>0</v>
      </c>
      <c r="AH32" s="107" t="str">
        <f t="shared" si="71"/>
        <v/>
      </c>
      <c r="AI32" s="107" t="str">
        <f t="shared" si="72"/>
        <v/>
      </c>
      <c r="AJ32" s="107" t="str">
        <f t="shared" si="73"/>
        <v/>
      </c>
      <c r="AK32" s="108">
        <f t="shared" si="82"/>
        <v>0</v>
      </c>
      <c r="AL32" s="135">
        <f t="shared" si="83"/>
        <v>0</v>
      </c>
      <c r="AM32" s="129">
        <f t="shared" si="84"/>
        <v>2</v>
      </c>
      <c r="AP32" s="236"/>
      <c r="AQ32" s="181" t="s">
        <v>109</v>
      </c>
      <c r="AR32" s="119">
        <f>VLOOKUP(AQ32,'E-REF_HNO_pop'!B:E,2,FALSE)</f>
        <v>81097</v>
      </c>
      <c r="AS32" s="114">
        <f>VLOOKUP(AQ32,'E-REF_HNO_pop'!B:E,3,FALSE)</f>
        <v>8800</v>
      </c>
      <c r="AT32" s="120">
        <f>VLOOKUP(AQ32,'E-REF_HNO_pop'!B:E,4,FALSE)</f>
        <v>72297</v>
      </c>
      <c r="AU32" s="131">
        <f>VLOOKUP(AQ32,'C-HH_AL_Aggregation'!A:L,12,FALSE)</f>
        <v>2</v>
      </c>
      <c r="AV32" s="131">
        <f>VLOOKUP(AQ32,'C-HH_AL_Aggregation'!A:L,12,FALSE)</f>
        <v>2</v>
      </c>
      <c r="AW32" s="131">
        <f>VLOOKUP(AQ32,'C-HH_AL_Aggregation'!A:L,12,FALSE)</f>
        <v>2</v>
      </c>
      <c r="AX32" s="189">
        <f t="shared" si="25"/>
        <v>0</v>
      </c>
      <c r="AY32" s="190">
        <f t="shared" si="26"/>
        <v>1</v>
      </c>
      <c r="AZ32" s="190">
        <f t="shared" si="27"/>
        <v>0</v>
      </c>
      <c r="BA32" s="190">
        <f t="shared" si="28"/>
        <v>0</v>
      </c>
      <c r="BB32" s="191">
        <f t="shared" si="29"/>
        <v>0</v>
      </c>
      <c r="BC32" s="179">
        <f t="shared" si="53"/>
        <v>2</v>
      </c>
      <c r="BD32" s="154">
        <f>VLOOKUP(AQ32,'C-HH_AL_Aggregation'!A:P,14,FALSE)</f>
        <v>0</v>
      </c>
      <c r="BE32" s="145">
        <f>VLOOKUP(AQ32,'C-HH_AL_Aggregation'!A:P,15,FALSE)</f>
        <v>0</v>
      </c>
      <c r="BF32" s="146">
        <f>VLOOKUP(AQ32,'C-HH_AL_Aggregation'!A:P,16,FALSE)</f>
        <v>0</v>
      </c>
      <c r="BG32" s="145">
        <f t="shared" si="0"/>
        <v>0</v>
      </c>
      <c r="BH32" s="145">
        <f t="shared" si="1"/>
        <v>81097</v>
      </c>
      <c r="BI32" s="145">
        <f t="shared" si="2"/>
        <v>0</v>
      </c>
      <c r="BJ32" s="145">
        <f t="shared" si="3"/>
        <v>0</v>
      </c>
      <c r="BK32" s="146">
        <f t="shared" si="4"/>
        <v>0</v>
      </c>
      <c r="BL32" s="158"/>
      <c r="BM32" s="159"/>
    </row>
    <row r="33" spans="3:65" ht="15" thickBot="1" x14ac:dyDescent="0.4">
      <c r="AP33" s="237"/>
      <c r="AQ33" s="169" t="s">
        <v>145</v>
      </c>
      <c r="AR33" s="119">
        <f>VLOOKUP(AQ33,'E-REF_HNO_pop'!B:E,2,FALSE)</f>
        <v>97252</v>
      </c>
      <c r="AS33" s="114">
        <f>VLOOKUP(AQ33,'E-REF_HNO_pop'!B:E,3,FALSE)</f>
        <v>21300</v>
      </c>
      <c r="AT33" s="120">
        <f>VLOOKUP(AQ33,'E-REF_HNO_pop'!B:E,4,FALSE)</f>
        <v>75952</v>
      </c>
      <c r="AU33" s="136">
        <f>VLOOKUP(AQ33,'C-HH_AL_Aggregation'!A:L,12,FALSE)</f>
        <v>2</v>
      </c>
      <c r="AV33" s="131">
        <f>VLOOKUP(AQ33,'C-HH_AL_Aggregation'!A:L,12,FALSE)</f>
        <v>2</v>
      </c>
      <c r="AW33" s="131">
        <f>VLOOKUP(AQ33,'C-HH_AL_Aggregation'!A:L,12,FALSE)</f>
        <v>2</v>
      </c>
      <c r="AX33" s="189">
        <f t="shared" si="25"/>
        <v>0</v>
      </c>
      <c r="AY33" s="190">
        <f t="shared" si="26"/>
        <v>1</v>
      </c>
      <c r="AZ33" s="190">
        <f t="shared" si="27"/>
        <v>0</v>
      </c>
      <c r="BA33" s="190">
        <f t="shared" si="28"/>
        <v>0</v>
      </c>
      <c r="BB33" s="191">
        <f t="shared" si="29"/>
        <v>0</v>
      </c>
      <c r="BC33" s="179">
        <f t="shared" si="53"/>
        <v>2</v>
      </c>
      <c r="BD33" s="154">
        <f>VLOOKUP(AQ33,'C-HH_AL_Aggregation'!A:P,14,FALSE)</f>
        <v>0</v>
      </c>
      <c r="BE33" s="145">
        <f>VLOOKUP(AQ33,'C-HH_AL_Aggregation'!A:P,15,FALSE)</f>
        <v>0</v>
      </c>
      <c r="BF33" s="146">
        <f>VLOOKUP(AQ33,'C-HH_AL_Aggregation'!A:P,16,FALSE)</f>
        <v>0</v>
      </c>
      <c r="BG33" s="145">
        <f t="shared" si="0"/>
        <v>0</v>
      </c>
      <c r="BH33" s="145">
        <f t="shared" si="1"/>
        <v>97252</v>
      </c>
      <c r="BI33" s="145">
        <f t="shared" si="2"/>
        <v>0</v>
      </c>
      <c r="BJ33" s="145">
        <f t="shared" si="3"/>
        <v>0</v>
      </c>
      <c r="BK33" s="146">
        <f t="shared" si="4"/>
        <v>0</v>
      </c>
      <c r="BL33" s="158"/>
      <c r="BM33" s="159"/>
    </row>
    <row r="34" spans="3:65" x14ac:dyDescent="0.35">
      <c r="AP34" s="238" t="s">
        <v>288</v>
      </c>
      <c r="AQ34" s="168" t="s">
        <v>165</v>
      </c>
      <c r="AR34" s="116">
        <f>VLOOKUP(AQ34,'E-REF_HNO_pop'!B:E,2,FALSE)</f>
        <v>85950</v>
      </c>
      <c r="AS34" s="117">
        <f>VLOOKUP(AQ34,'E-REF_HNO_pop'!B:E,3,FALSE)</f>
        <v>0</v>
      </c>
      <c r="AT34" s="118">
        <f>VLOOKUP(AQ34,'E-REF_HNO_pop'!B:E,4,FALSE)</f>
        <v>85950</v>
      </c>
      <c r="AU34" s="140">
        <v>1</v>
      </c>
      <c r="AV34" s="141">
        <v>1</v>
      </c>
      <c r="AW34" s="142">
        <v>1</v>
      </c>
      <c r="AX34" s="186">
        <f t="shared" si="25"/>
        <v>1</v>
      </c>
      <c r="AY34" s="187">
        <f t="shared" si="26"/>
        <v>0</v>
      </c>
      <c r="AZ34" s="187">
        <f t="shared" si="27"/>
        <v>0</v>
      </c>
      <c r="BA34" s="187">
        <f t="shared" si="28"/>
        <v>0</v>
      </c>
      <c r="BB34" s="188">
        <f t="shared" si="29"/>
        <v>0</v>
      </c>
      <c r="BC34" s="150">
        <f t="shared" si="53"/>
        <v>1</v>
      </c>
      <c r="BD34" s="153">
        <v>0</v>
      </c>
      <c r="BE34" s="143">
        <v>0</v>
      </c>
      <c r="BF34" s="144">
        <v>0</v>
      </c>
      <c r="BG34" s="153">
        <f t="shared" si="0"/>
        <v>85950</v>
      </c>
      <c r="BH34" s="143">
        <f t="shared" si="1"/>
        <v>0</v>
      </c>
      <c r="BI34" s="143">
        <f t="shared" si="2"/>
        <v>0</v>
      </c>
      <c r="BJ34" s="143">
        <f t="shared" si="3"/>
        <v>0</v>
      </c>
      <c r="BK34" s="144">
        <f t="shared" si="4"/>
        <v>0</v>
      </c>
      <c r="BL34" s="158"/>
      <c r="BM34" s="159"/>
    </row>
    <row r="35" spans="3:65" x14ac:dyDescent="0.35">
      <c r="C35" s="112"/>
      <c r="D35" s="112"/>
      <c r="AP35" s="239"/>
      <c r="AQ35" s="169" t="s">
        <v>38</v>
      </c>
      <c r="AR35" s="119">
        <f>VLOOKUP(AQ35,'E-REF_HNO_pop'!B:E,2,FALSE)</f>
        <v>55939</v>
      </c>
      <c r="AS35" s="114">
        <f>VLOOKUP(AQ35,'E-REF_HNO_pop'!B:E,3,FALSE)</f>
        <v>2700</v>
      </c>
      <c r="AT35" s="120">
        <f>VLOOKUP(AQ35,'E-REF_HNO_pop'!B:E,4,FALSE)</f>
        <v>53239</v>
      </c>
      <c r="AU35" s="136">
        <v>1</v>
      </c>
      <c r="AV35" s="131">
        <v>1</v>
      </c>
      <c r="AW35" s="137">
        <v>1</v>
      </c>
      <c r="AX35" s="189">
        <f t="shared" si="25"/>
        <v>1</v>
      </c>
      <c r="AY35" s="190">
        <f t="shared" si="26"/>
        <v>0</v>
      </c>
      <c r="AZ35" s="190">
        <f t="shared" si="27"/>
        <v>0</v>
      </c>
      <c r="BA35" s="190">
        <f t="shared" si="28"/>
        <v>0</v>
      </c>
      <c r="BB35" s="191">
        <f t="shared" si="29"/>
        <v>0</v>
      </c>
      <c r="BC35" s="151">
        <f t="shared" si="53"/>
        <v>1</v>
      </c>
      <c r="BD35" s="154">
        <v>0</v>
      </c>
      <c r="BE35" s="145">
        <v>0</v>
      </c>
      <c r="BF35" s="146">
        <v>0</v>
      </c>
      <c r="BG35" s="154">
        <f t="shared" si="0"/>
        <v>55939</v>
      </c>
      <c r="BH35" s="145">
        <f t="shared" si="1"/>
        <v>0</v>
      </c>
      <c r="BI35" s="145">
        <f t="shared" si="2"/>
        <v>0</v>
      </c>
      <c r="BJ35" s="145">
        <f t="shared" si="3"/>
        <v>0</v>
      </c>
      <c r="BK35" s="146">
        <f t="shared" si="4"/>
        <v>0</v>
      </c>
      <c r="BL35" s="158"/>
      <c r="BM35" s="159"/>
    </row>
    <row r="36" spans="3:65" x14ac:dyDescent="0.35">
      <c r="C36" s="112"/>
      <c r="F36" s="112"/>
      <c r="I36" s="112"/>
      <c r="L36" s="112"/>
      <c r="O36" s="112"/>
      <c r="R36" s="112"/>
      <c r="U36" s="112"/>
      <c r="X36" s="112"/>
      <c r="AA36" s="112"/>
      <c r="AD36" s="112"/>
      <c r="AG36" s="112"/>
      <c r="AJ36" s="112"/>
      <c r="AM36" s="112"/>
      <c r="AP36" s="239"/>
      <c r="AQ36" s="169" t="s">
        <v>132</v>
      </c>
      <c r="AR36" s="119">
        <f>VLOOKUP(AQ36,'E-REF_HNO_pop'!B:E,2,FALSE)</f>
        <v>42436</v>
      </c>
      <c r="AS36" s="114">
        <f>VLOOKUP(AQ36,'E-REF_HNO_pop'!B:E,3,FALSE)</f>
        <v>2000</v>
      </c>
      <c r="AT36" s="120">
        <f>VLOOKUP(AQ36,'E-REF_HNO_pop'!B:E,4,FALSE)</f>
        <v>40436</v>
      </c>
      <c r="AU36" s="136">
        <v>1</v>
      </c>
      <c r="AV36" s="131">
        <v>1</v>
      </c>
      <c r="AW36" s="137">
        <v>1</v>
      </c>
      <c r="AX36" s="189">
        <f t="shared" si="25"/>
        <v>1</v>
      </c>
      <c r="AY36" s="190">
        <f t="shared" si="26"/>
        <v>0</v>
      </c>
      <c r="AZ36" s="190">
        <f t="shared" si="27"/>
        <v>0</v>
      </c>
      <c r="BA36" s="190">
        <f t="shared" si="28"/>
        <v>0</v>
      </c>
      <c r="BB36" s="191">
        <f t="shared" si="29"/>
        <v>0</v>
      </c>
      <c r="BC36" s="151">
        <f t="shared" si="53"/>
        <v>1</v>
      </c>
      <c r="BD36" s="154">
        <v>0</v>
      </c>
      <c r="BE36" s="145">
        <v>0</v>
      </c>
      <c r="BF36" s="146">
        <v>0</v>
      </c>
      <c r="BG36" s="154">
        <f t="shared" si="0"/>
        <v>42436</v>
      </c>
      <c r="BH36" s="145">
        <f t="shared" si="1"/>
        <v>0</v>
      </c>
      <c r="BI36" s="145">
        <f t="shared" si="2"/>
        <v>0</v>
      </c>
      <c r="BJ36" s="145">
        <f t="shared" si="3"/>
        <v>0</v>
      </c>
      <c r="BK36" s="146">
        <f t="shared" si="4"/>
        <v>0</v>
      </c>
      <c r="BL36" s="158"/>
      <c r="BM36" s="159"/>
    </row>
    <row r="37" spans="3:65" x14ac:dyDescent="0.35">
      <c r="C37" s="112"/>
      <c r="D37" s="112"/>
      <c r="AP37" s="239"/>
      <c r="AQ37" s="169" t="s">
        <v>154</v>
      </c>
      <c r="AR37" s="119">
        <f>VLOOKUP(AQ37,'E-REF_HNO_pop'!B:E,2,FALSE)</f>
        <v>146573</v>
      </c>
      <c r="AS37" s="114">
        <f>VLOOKUP(AQ37,'E-REF_HNO_pop'!B:E,3,FALSE)</f>
        <v>12400</v>
      </c>
      <c r="AT37" s="120">
        <f>VLOOKUP(AQ37,'E-REF_HNO_pop'!B:E,4,FALSE)</f>
        <v>134173</v>
      </c>
      <c r="AU37" s="136">
        <v>1</v>
      </c>
      <c r="AV37" s="131">
        <v>1</v>
      </c>
      <c r="AW37" s="137">
        <v>1</v>
      </c>
      <c r="AX37" s="189">
        <f t="shared" si="25"/>
        <v>1</v>
      </c>
      <c r="AY37" s="190">
        <f t="shared" si="26"/>
        <v>0</v>
      </c>
      <c r="AZ37" s="190">
        <f t="shared" si="27"/>
        <v>0</v>
      </c>
      <c r="BA37" s="190">
        <f t="shared" si="28"/>
        <v>0</v>
      </c>
      <c r="BB37" s="191">
        <f t="shared" si="29"/>
        <v>0</v>
      </c>
      <c r="BC37" s="151">
        <f t="shared" si="53"/>
        <v>1</v>
      </c>
      <c r="BD37" s="154">
        <v>0</v>
      </c>
      <c r="BE37" s="145">
        <v>0</v>
      </c>
      <c r="BF37" s="146">
        <v>0</v>
      </c>
      <c r="BG37" s="154">
        <f t="shared" si="0"/>
        <v>146573</v>
      </c>
      <c r="BH37" s="145">
        <f t="shared" si="1"/>
        <v>0</v>
      </c>
      <c r="BI37" s="145">
        <f t="shared" si="2"/>
        <v>0</v>
      </c>
      <c r="BJ37" s="145">
        <f t="shared" si="3"/>
        <v>0</v>
      </c>
      <c r="BK37" s="146">
        <f t="shared" si="4"/>
        <v>0</v>
      </c>
      <c r="BL37" s="158"/>
      <c r="BM37" s="159"/>
    </row>
    <row r="38" spans="3:65" x14ac:dyDescent="0.35">
      <c r="C38" s="112"/>
      <c r="D38" s="112"/>
      <c r="AP38" s="239"/>
      <c r="AQ38" s="169" t="s">
        <v>52</v>
      </c>
      <c r="AR38" s="119">
        <f>VLOOKUP(AQ38,'E-REF_HNO_pop'!B:E,2,FALSE)</f>
        <v>160710</v>
      </c>
      <c r="AS38" s="114">
        <f>VLOOKUP(AQ38,'E-REF_HNO_pop'!B:E,3,FALSE)</f>
        <v>25800</v>
      </c>
      <c r="AT38" s="120">
        <f>VLOOKUP(AQ38,'E-REF_HNO_pop'!B:E,4,FALSE)</f>
        <v>134910</v>
      </c>
      <c r="AU38" s="136">
        <v>1</v>
      </c>
      <c r="AV38" s="131">
        <v>1</v>
      </c>
      <c r="AW38" s="137">
        <v>1</v>
      </c>
      <c r="AX38" s="189">
        <f t="shared" si="25"/>
        <v>1</v>
      </c>
      <c r="AY38" s="190">
        <f t="shared" si="26"/>
        <v>0</v>
      </c>
      <c r="AZ38" s="190">
        <f t="shared" si="27"/>
        <v>0</v>
      </c>
      <c r="BA38" s="190">
        <f t="shared" si="28"/>
        <v>0</v>
      </c>
      <c r="BB38" s="191">
        <f t="shared" si="29"/>
        <v>0</v>
      </c>
      <c r="BC38" s="151">
        <f t="shared" si="53"/>
        <v>1</v>
      </c>
      <c r="BD38" s="154">
        <v>0</v>
      </c>
      <c r="BE38" s="145">
        <v>0</v>
      </c>
      <c r="BF38" s="146">
        <v>0</v>
      </c>
      <c r="BG38" s="154">
        <f t="shared" si="0"/>
        <v>160710</v>
      </c>
      <c r="BH38" s="145">
        <f t="shared" si="1"/>
        <v>0</v>
      </c>
      <c r="BI38" s="145">
        <f t="shared" si="2"/>
        <v>0</v>
      </c>
      <c r="BJ38" s="145">
        <f t="shared" si="3"/>
        <v>0</v>
      </c>
      <c r="BK38" s="146">
        <f t="shared" si="4"/>
        <v>0</v>
      </c>
      <c r="BL38" s="158"/>
      <c r="BM38" s="159"/>
    </row>
    <row r="39" spans="3:65" x14ac:dyDescent="0.35">
      <c r="C39" s="112"/>
      <c r="D39" s="112"/>
      <c r="AP39" s="239"/>
      <c r="AQ39" s="169" t="s">
        <v>54</v>
      </c>
      <c r="AR39" s="119">
        <f>VLOOKUP(AQ39,'E-REF_HNO_pop'!B:E,2,FALSE)</f>
        <v>365171</v>
      </c>
      <c r="AS39" s="114">
        <f>VLOOKUP(AQ39,'E-REF_HNO_pop'!B:E,3,FALSE)</f>
        <v>12600</v>
      </c>
      <c r="AT39" s="120">
        <f>VLOOKUP(AQ39,'E-REF_HNO_pop'!B:E,4,FALSE)</f>
        <v>352571</v>
      </c>
      <c r="AU39" s="136">
        <v>1</v>
      </c>
      <c r="AV39" s="131">
        <v>1</v>
      </c>
      <c r="AW39" s="137">
        <v>1</v>
      </c>
      <c r="AX39" s="189">
        <f t="shared" si="25"/>
        <v>1</v>
      </c>
      <c r="AY39" s="190">
        <f t="shared" si="26"/>
        <v>0</v>
      </c>
      <c r="AZ39" s="190">
        <f t="shared" si="27"/>
        <v>0</v>
      </c>
      <c r="BA39" s="190">
        <f t="shared" si="28"/>
        <v>0</v>
      </c>
      <c r="BB39" s="191">
        <f t="shared" si="29"/>
        <v>0</v>
      </c>
      <c r="BC39" s="151">
        <f t="shared" si="53"/>
        <v>1</v>
      </c>
      <c r="BD39" s="154">
        <v>0</v>
      </c>
      <c r="BE39" s="145">
        <v>0</v>
      </c>
      <c r="BF39" s="146">
        <v>0</v>
      </c>
      <c r="BG39" s="154">
        <f t="shared" si="0"/>
        <v>365171</v>
      </c>
      <c r="BH39" s="145">
        <f t="shared" si="1"/>
        <v>0</v>
      </c>
      <c r="BI39" s="145">
        <f t="shared" si="2"/>
        <v>0</v>
      </c>
      <c r="BJ39" s="145">
        <f t="shared" si="3"/>
        <v>0</v>
      </c>
      <c r="BK39" s="146">
        <f t="shared" si="4"/>
        <v>0</v>
      </c>
      <c r="BL39" s="158"/>
      <c r="BM39" s="159"/>
    </row>
    <row r="40" spans="3:65" x14ac:dyDescent="0.35">
      <c r="C40" s="112"/>
      <c r="D40" s="112"/>
      <c r="AP40" s="239"/>
      <c r="AQ40" s="169" t="s">
        <v>56</v>
      </c>
      <c r="AR40" s="119">
        <f>VLOOKUP(AQ40,'E-REF_HNO_pop'!B:E,2,FALSE)</f>
        <v>671363</v>
      </c>
      <c r="AS40" s="114">
        <f>VLOOKUP(AQ40,'E-REF_HNO_pop'!B:E,3,FALSE)</f>
        <v>132200</v>
      </c>
      <c r="AT40" s="120">
        <f>VLOOKUP(AQ40,'E-REF_HNO_pop'!B:E,4,FALSE)</f>
        <v>539163</v>
      </c>
      <c r="AU40" s="136">
        <v>1</v>
      </c>
      <c r="AV40" s="131">
        <v>1</v>
      </c>
      <c r="AW40" s="137">
        <v>1</v>
      </c>
      <c r="AX40" s="189">
        <f t="shared" si="25"/>
        <v>1</v>
      </c>
      <c r="AY40" s="190">
        <f t="shared" si="26"/>
        <v>0</v>
      </c>
      <c r="AZ40" s="190">
        <f t="shared" si="27"/>
        <v>0</v>
      </c>
      <c r="BA40" s="190">
        <f t="shared" si="28"/>
        <v>0</v>
      </c>
      <c r="BB40" s="191">
        <f t="shared" si="29"/>
        <v>0</v>
      </c>
      <c r="BC40" s="151">
        <f t="shared" si="53"/>
        <v>1</v>
      </c>
      <c r="BD40" s="154">
        <v>0</v>
      </c>
      <c r="BE40" s="145">
        <v>0</v>
      </c>
      <c r="BF40" s="146">
        <v>0</v>
      </c>
      <c r="BG40" s="154">
        <f t="shared" si="0"/>
        <v>671363</v>
      </c>
      <c r="BH40" s="145">
        <f t="shared" si="1"/>
        <v>0</v>
      </c>
      <c r="BI40" s="145">
        <f t="shared" si="2"/>
        <v>0</v>
      </c>
      <c r="BJ40" s="145">
        <f t="shared" si="3"/>
        <v>0</v>
      </c>
      <c r="BK40" s="146">
        <f t="shared" si="4"/>
        <v>0</v>
      </c>
      <c r="BL40" s="158"/>
      <c r="BM40" s="159"/>
    </row>
    <row r="41" spans="3:65" ht="15.75" customHeight="1" x14ac:dyDescent="0.35">
      <c r="C41" s="112"/>
      <c r="D41" s="112"/>
      <c r="AP41" s="239"/>
      <c r="AQ41" s="169" t="s">
        <v>164</v>
      </c>
      <c r="AR41" s="119">
        <f>VLOOKUP(AQ41,'E-REF_HNO_pop'!B:E,2,FALSE)</f>
        <v>126355</v>
      </c>
      <c r="AS41" s="114">
        <f>VLOOKUP(AQ41,'E-REF_HNO_pop'!B:E,3,FALSE)</f>
        <v>9000</v>
      </c>
      <c r="AT41" s="120">
        <f>VLOOKUP(AQ41,'E-REF_HNO_pop'!B:E,4,FALSE)</f>
        <v>117355</v>
      </c>
      <c r="AU41" s="136">
        <v>1</v>
      </c>
      <c r="AV41" s="131">
        <v>1</v>
      </c>
      <c r="AW41" s="137">
        <v>1</v>
      </c>
      <c r="AX41" s="189">
        <f t="shared" si="25"/>
        <v>1</v>
      </c>
      <c r="AY41" s="190">
        <f t="shared" si="26"/>
        <v>0</v>
      </c>
      <c r="AZ41" s="190">
        <f t="shared" si="27"/>
        <v>0</v>
      </c>
      <c r="BA41" s="190">
        <f t="shared" si="28"/>
        <v>0</v>
      </c>
      <c r="BB41" s="191">
        <f t="shared" si="29"/>
        <v>0</v>
      </c>
      <c r="BC41" s="151">
        <f t="shared" si="53"/>
        <v>1</v>
      </c>
      <c r="BD41" s="154">
        <v>0</v>
      </c>
      <c r="BE41" s="145">
        <v>0</v>
      </c>
      <c r="BF41" s="146">
        <v>0</v>
      </c>
      <c r="BG41" s="154">
        <f t="shared" ref="BG41:BG45" si="85">IFERROR((AX41*AR41),0)</f>
        <v>126355</v>
      </c>
      <c r="BH41" s="145">
        <f t="shared" ref="BH41:BH45" si="86">IFERROR((AY41*$AR41),0)</f>
        <v>0</v>
      </c>
      <c r="BI41" s="145">
        <f t="shared" ref="BI41:BI67" si="87">IFERROR((AZ41*$AR41),0)</f>
        <v>0</v>
      </c>
      <c r="BJ41" s="145">
        <f t="shared" ref="BJ41:BJ67" si="88">IFERROR((BA41*$AR41),0)</f>
        <v>0</v>
      </c>
      <c r="BK41" s="146">
        <f t="shared" ref="BK41:BK67" si="89">IFERROR((BB41*$AR41),0)</f>
        <v>0</v>
      </c>
      <c r="BL41" s="158"/>
    </row>
    <row r="42" spans="3:65" ht="15" customHeight="1" x14ac:dyDescent="0.35">
      <c r="C42" s="112"/>
      <c r="D42" s="112"/>
      <c r="AP42" s="239"/>
      <c r="AQ42" s="169" t="s">
        <v>62</v>
      </c>
      <c r="AR42" s="119">
        <f>VLOOKUP(AQ42,'E-REF_HNO_pop'!B:E,2,FALSE)</f>
        <v>440319</v>
      </c>
      <c r="AS42" s="114">
        <f>VLOOKUP(AQ42,'E-REF_HNO_pop'!B:E,3,FALSE)</f>
        <v>65300</v>
      </c>
      <c r="AT42" s="120">
        <f>VLOOKUP(AQ42,'E-REF_HNO_pop'!B:E,4,FALSE)</f>
        <v>375019</v>
      </c>
      <c r="AU42" s="136">
        <v>1</v>
      </c>
      <c r="AV42" s="131">
        <v>1</v>
      </c>
      <c r="AW42" s="137">
        <v>1</v>
      </c>
      <c r="AX42" s="189">
        <f t="shared" si="25"/>
        <v>1</v>
      </c>
      <c r="AY42" s="190">
        <f t="shared" si="26"/>
        <v>0</v>
      </c>
      <c r="AZ42" s="190">
        <f t="shared" si="27"/>
        <v>0</v>
      </c>
      <c r="BA42" s="190">
        <f t="shared" si="28"/>
        <v>0</v>
      </c>
      <c r="BB42" s="191">
        <f t="shared" si="29"/>
        <v>0</v>
      </c>
      <c r="BC42" s="151">
        <f t="shared" si="53"/>
        <v>1</v>
      </c>
      <c r="BD42" s="154">
        <v>0</v>
      </c>
      <c r="BE42" s="145">
        <v>0</v>
      </c>
      <c r="BF42" s="146">
        <v>0</v>
      </c>
      <c r="BG42" s="154">
        <f t="shared" si="85"/>
        <v>440319</v>
      </c>
      <c r="BH42" s="145">
        <f t="shared" si="86"/>
        <v>0</v>
      </c>
      <c r="BI42" s="145">
        <f t="shared" si="87"/>
        <v>0</v>
      </c>
      <c r="BJ42" s="145">
        <f t="shared" si="88"/>
        <v>0</v>
      </c>
      <c r="BK42" s="146">
        <f t="shared" si="89"/>
        <v>0</v>
      </c>
      <c r="BL42" s="158"/>
    </row>
    <row r="43" spans="3:65" x14ac:dyDescent="0.35">
      <c r="C43" s="112"/>
      <c r="D43" s="112"/>
      <c r="AP43" s="239"/>
      <c r="AQ43" s="169" t="s">
        <v>64</v>
      </c>
      <c r="AR43" s="119">
        <f>VLOOKUP(AQ43,'E-REF_HNO_pop'!B:E,2,FALSE)</f>
        <v>110183</v>
      </c>
      <c r="AS43" s="114">
        <f>VLOOKUP(AQ43,'E-REF_HNO_pop'!B:E,3,FALSE)</f>
        <v>2400</v>
      </c>
      <c r="AT43" s="120">
        <f>VLOOKUP(AQ43,'E-REF_HNO_pop'!B:E,4,FALSE)</f>
        <v>107783</v>
      </c>
      <c r="AU43" s="136">
        <v>1</v>
      </c>
      <c r="AV43" s="131">
        <v>1</v>
      </c>
      <c r="AW43" s="137">
        <v>1</v>
      </c>
      <c r="AX43" s="189">
        <f t="shared" si="25"/>
        <v>1</v>
      </c>
      <c r="AY43" s="190">
        <f t="shared" si="26"/>
        <v>0</v>
      </c>
      <c r="AZ43" s="190">
        <f t="shared" si="27"/>
        <v>0</v>
      </c>
      <c r="BA43" s="190">
        <f t="shared" si="28"/>
        <v>0</v>
      </c>
      <c r="BB43" s="191">
        <f t="shared" si="29"/>
        <v>0</v>
      </c>
      <c r="BC43" s="151">
        <f t="shared" si="53"/>
        <v>1</v>
      </c>
      <c r="BD43" s="154">
        <v>0</v>
      </c>
      <c r="BE43" s="145">
        <v>0</v>
      </c>
      <c r="BF43" s="146">
        <v>0</v>
      </c>
      <c r="BG43" s="154">
        <f t="shared" si="85"/>
        <v>110183</v>
      </c>
      <c r="BH43" s="145">
        <f t="shared" si="86"/>
        <v>0</v>
      </c>
      <c r="BI43" s="145">
        <f t="shared" si="87"/>
        <v>0</v>
      </c>
      <c r="BJ43" s="145">
        <f t="shared" si="88"/>
        <v>0</v>
      </c>
      <c r="BK43" s="146">
        <f t="shared" si="89"/>
        <v>0</v>
      </c>
      <c r="BL43" s="158"/>
    </row>
    <row r="44" spans="3:65" x14ac:dyDescent="0.35">
      <c r="C44" s="112"/>
      <c r="D44" s="112"/>
      <c r="AP44" s="239"/>
      <c r="AQ44" s="169" t="s">
        <v>67</v>
      </c>
      <c r="AR44" s="119">
        <f>VLOOKUP(AQ44,'E-REF_HNO_pop'!B:E,2,FALSE)</f>
        <v>82400</v>
      </c>
      <c r="AS44" s="114">
        <f>VLOOKUP(AQ44,'E-REF_HNO_pop'!B:E,3,FALSE)</f>
        <v>50700</v>
      </c>
      <c r="AT44" s="120">
        <f>VLOOKUP(AQ44,'E-REF_HNO_pop'!B:E,4,FALSE)</f>
        <v>31700</v>
      </c>
      <c r="AU44" s="136">
        <v>1</v>
      </c>
      <c r="AV44" s="131">
        <v>1</v>
      </c>
      <c r="AW44" s="137">
        <v>1</v>
      </c>
      <c r="AX44" s="189">
        <f t="shared" si="25"/>
        <v>1</v>
      </c>
      <c r="AY44" s="190">
        <f t="shared" si="26"/>
        <v>0</v>
      </c>
      <c r="AZ44" s="190">
        <f t="shared" si="27"/>
        <v>0</v>
      </c>
      <c r="BA44" s="190">
        <f t="shared" si="28"/>
        <v>0</v>
      </c>
      <c r="BB44" s="191">
        <f t="shared" si="29"/>
        <v>0</v>
      </c>
      <c r="BC44" s="151">
        <f t="shared" si="53"/>
        <v>1</v>
      </c>
      <c r="BD44" s="154">
        <v>0</v>
      </c>
      <c r="BE44" s="145">
        <v>0</v>
      </c>
      <c r="BF44" s="146">
        <v>0</v>
      </c>
      <c r="BG44" s="154">
        <f t="shared" si="85"/>
        <v>82400</v>
      </c>
      <c r="BH44" s="145">
        <f t="shared" si="86"/>
        <v>0</v>
      </c>
      <c r="BI44" s="145">
        <f t="shared" si="87"/>
        <v>0</v>
      </c>
      <c r="BJ44" s="145">
        <f t="shared" si="88"/>
        <v>0</v>
      </c>
      <c r="BK44" s="146">
        <f t="shared" si="89"/>
        <v>0</v>
      </c>
      <c r="BL44" s="158"/>
    </row>
    <row r="45" spans="3:65" x14ac:dyDescent="0.35">
      <c r="C45" s="112"/>
      <c r="D45" s="112"/>
      <c r="AP45" s="239"/>
      <c r="AQ45" s="169" t="s">
        <v>72</v>
      </c>
      <c r="AR45" s="119">
        <f>VLOOKUP(AQ45,'E-REF_HNO_pop'!B:E,2,FALSE)</f>
        <v>179424</v>
      </c>
      <c r="AS45" s="114">
        <f>VLOOKUP(AQ45,'E-REF_HNO_pop'!B:E,3,FALSE)</f>
        <v>6200</v>
      </c>
      <c r="AT45" s="120">
        <f>VLOOKUP(AQ45,'E-REF_HNO_pop'!B:E,4,FALSE)</f>
        <v>173224</v>
      </c>
      <c r="AU45" s="136">
        <v>1</v>
      </c>
      <c r="AV45" s="131">
        <v>1</v>
      </c>
      <c r="AW45" s="137">
        <v>1</v>
      </c>
      <c r="AX45" s="189">
        <f t="shared" si="25"/>
        <v>1</v>
      </c>
      <c r="AY45" s="190">
        <f t="shared" si="26"/>
        <v>0</v>
      </c>
      <c r="AZ45" s="190">
        <f t="shared" si="27"/>
        <v>0</v>
      </c>
      <c r="BA45" s="190">
        <f t="shared" si="28"/>
        <v>0</v>
      </c>
      <c r="BB45" s="191">
        <f t="shared" si="29"/>
        <v>0</v>
      </c>
      <c r="BC45" s="185">
        <f t="shared" si="53"/>
        <v>1</v>
      </c>
      <c r="BD45" s="154">
        <v>0</v>
      </c>
      <c r="BE45" s="145">
        <v>0</v>
      </c>
      <c r="BF45" s="146">
        <v>0</v>
      </c>
      <c r="BG45" s="154">
        <f t="shared" si="85"/>
        <v>179424</v>
      </c>
      <c r="BH45" s="145">
        <f t="shared" si="86"/>
        <v>0</v>
      </c>
      <c r="BI45" s="145">
        <f t="shared" si="87"/>
        <v>0</v>
      </c>
      <c r="BJ45" s="145">
        <f t="shared" si="88"/>
        <v>0</v>
      </c>
      <c r="BK45" s="146">
        <f t="shared" si="89"/>
        <v>0</v>
      </c>
      <c r="BL45" s="158"/>
    </row>
    <row r="46" spans="3:65" x14ac:dyDescent="0.35">
      <c r="C46" s="112"/>
      <c r="D46" s="112"/>
      <c r="AP46" s="239"/>
      <c r="AQ46" s="169" t="s">
        <v>77</v>
      </c>
      <c r="AR46" s="119">
        <f>VLOOKUP(AQ46,'E-REF_HNO_pop'!B:E,2,FALSE)</f>
        <v>80843</v>
      </c>
      <c r="AS46" s="114">
        <f>VLOOKUP(AQ46,'E-REF_HNO_pop'!B:E,3,FALSE)</f>
        <v>11000</v>
      </c>
      <c r="AT46" s="120">
        <f>VLOOKUP(AQ46,'E-REF_HNO_pop'!B:E,4,FALSE)</f>
        <v>69843</v>
      </c>
      <c r="AU46" s="136">
        <v>1</v>
      </c>
      <c r="AV46" s="131">
        <v>1</v>
      </c>
      <c r="AW46" s="137">
        <v>1</v>
      </c>
      <c r="AX46" s="189">
        <f t="shared" si="25"/>
        <v>1</v>
      </c>
      <c r="AY46" s="190">
        <f t="shared" si="26"/>
        <v>0</v>
      </c>
      <c r="AZ46" s="190">
        <f t="shared" si="27"/>
        <v>0</v>
      </c>
      <c r="BA46" s="190">
        <f t="shared" si="28"/>
        <v>0</v>
      </c>
      <c r="BB46" s="191">
        <f t="shared" si="29"/>
        <v>0</v>
      </c>
      <c r="BC46" s="151">
        <f t="shared" si="30"/>
        <v>1</v>
      </c>
      <c r="BD46" s="154">
        <v>0</v>
      </c>
      <c r="BE46" s="145">
        <v>0</v>
      </c>
      <c r="BF46" s="146">
        <v>0</v>
      </c>
      <c r="BG46" s="154">
        <f t="shared" ref="BG46:BG67" si="90">IFERROR((AX46*AR46),0)</f>
        <v>80843</v>
      </c>
      <c r="BH46" s="145">
        <f t="shared" ref="BH46:BH67" si="91">IFERROR((AY46*$AR46),0)</f>
        <v>0</v>
      </c>
      <c r="BI46" s="145">
        <f t="shared" si="87"/>
        <v>0</v>
      </c>
      <c r="BJ46" s="145">
        <f t="shared" si="88"/>
        <v>0</v>
      </c>
      <c r="BK46" s="146">
        <f t="shared" si="89"/>
        <v>0</v>
      </c>
      <c r="BL46" s="158"/>
    </row>
    <row r="47" spans="3:65" x14ac:dyDescent="0.35">
      <c r="C47" s="112"/>
      <c r="D47" s="112"/>
      <c r="AP47" s="239"/>
      <c r="AQ47" s="169" t="s">
        <v>78</v>
      </c>
      <c r="AR47" s="119">
        <f>VLOOKUP(AQ47,'E-REF_HNO_pop'!B:E,2,FALSE)</f>
        <v>81380</v>
      </c>
      <c r="AS47" s="114">
        <f>VLOOKUP(AQ47,'E-REF_HNO_pop'!B:E,3,FALSE)</f>
        <v>19900</v>
      </c>
      <c r="AT47" s="120">
        <f>VLOOKUP(AQ47,'E-REF_HNO_pop'!B:E,4,FALSE)</f>
        <v>61480</v>
      </c>
      <c r="AU47" s="136">
        <v>1</v>
      </c>
      <c r="AV47" s="131">
        <v>1</v>
      </c>
      <c r="AW47" s="137">
        <v>1</v>
      </c>
      <c r="AX47" s="189">
        <f t="shared" si="25"/>
        <v>1</v>
      </c>
      <c r="AY47" s="190">
        <f t="shared" si="26"/>
        <v>0</v>
      </c>
      <c r="AZ47" s="190">
        <f t="shared" si="27"/>
        <v>0</v>
      </c>
      <c r="BA47" s="190">
        <f t="shared" si="28"/>
        <v>0</v>
      </c>
      <c r="BB47" s="191">
        <f t="shared" si="29"/>
        <v>0</v>
      </c>
      <c r="BC47" s="151">
        <f t="shared" si="30"/>
        <v>1</v>
      </c>
      <c r="BD47" s="154">
        <v>0</v>
      </c>
      <c r="BE47" s="145">
        <v>0</v>
      </c>
      <c r="BF47" s="146">
        <v>0</v>
      </c>
      <c r="BG47" s="154">
        <f t="shared" si="90"/>
        <v>81380</v>
      </c>
      <c r="BH47" s="145">
        <f t="shared" si="91"/>
        <v>0</v>
      </c>
      <c r="BI47" s="145">
        <f t="shared" si="87"/>
        <v>0</v>
      </c>
      <c r="BJ47" s="145">
        <f t="shared" si="88"/>
        <v>0</v>
      </c>
      <c r="BK47" s="146">
        <f t="shared" si="89"/>
        <v>0</v>
      </c>
      <c r="BL47" s="158"/>
    </row>
    <row r="48" spans="3:65" x14ac:dyDescent="0.35">
      <c r="C48" s="112"/>
      <c r="D48" s="112"/>
      <c r="AP48" s="239"/>
      <c r="AQ48" s="169" t="s">
        <v>158</v>
      </c>
      <c r="AR48" s="119">
        <f>VLOOKUP(AQ48,'E-REF_HNO_pop'!B:E,2,FALSE)</f>
        <v>78655</v>
      </c>
      <c r="AS48" s="114">
        <f>VLOOKUP(AQ48,'E-REF_HNO_pop'!B:E,3,FALSE)</f>
        <v>14000</v>
      </c>
      <c r="AT48" s="120">
        <f>VLOOKUP(AQ48,'E-REF_HNO_pop'!B:E,4,FALSE)</f>
        <v>64655</v>
      </c>
      <c r="AU48" s="136">
        <v>1</v>
      </c>
      <c r="AV48" s="131">
        <v>1</v>
      </c>
      <c r="AW48" s="137">
        <v>1</v>
      </c>
      <c r="AX48" s="189">
        <f t="shared" si="25"/>
        <v>1</v>
      </c>
      <c r="AY48" s="190">
        <f t="shared" si="26"/>
        <v>0</v>
      </c>
      <c r="AZ48" s="190">
        <f t="shared" si="27"/>
        <v>0</v>
      </c>
      <c r="BA48" s="190">
        <f t="shared" si="28"/>
        <v>0</v>
      </c>
      <c r="BB48" s="191">
        <f t="shared" si="29"/>
        <v>0</v>
      </c>
      <c r="BC48" s="151">
        <f t="shared" si="30"/>
        <v>1</v>
      </c>
      <c r="BD48" s="154">
        <v>0</v>
      </c>
      <c r="BE48" s="145">
        <v>0</v>
      </c>
      <c r="BF48" s="146">
        <v>0</v>
      </c>
      <c r="BG48" s="154">
        <f t="shared" si="90"/>
        <v>78655</v>
      </c>
      <c r="BH48" s="145">
        <f t="shared" si="91"/>
        <v>0</v>
      </c>
      <c r="BI48" s="145">
        <f t="shared" si="87"/>
        <v>0</v>
      </c>
      <c r="BJ48" s="145">
        <f t="shared" si="88"/>
        <v>0</v>
      </c>
      <c r="BK48" s="146">
        <f t="shared" si="89"/>
        <v>0</v>
      </c>
      <c r="BL48" s="158"/>
    </row>
    <row r="49" spans="3:64" x14ac:dyDescent="0.35">
      <c r="C49" s="112"/>
      <c r="D49" s="112"/>
      <c r="AP49" s="239"/>
      <c r="AQ49" s="169" t="s">
        <v>159</v>
      </c>
      <c r="AR49" s="119">
        <f>VLOOKUP(AQ49,'E-REF_HNO_pop'!B:E,2,FALSE)</f>
        <v>91927</v>
      </c>
      <c r="AS49" s="114">
        <f>VLOOKUP(AQ49,'E-REF_HNO_pop'!B:E,3,FALSE)</f>
        <v>22000</v>
      </c>
      <c r="AT49" s="120">
        <f>VLOOKUP(AQ49,'E-REF_HNO_pop'!B:E,4,FALSE)</f>
        <v>69927</v>
      </c>
      <c r="AU49" s="136">
        <v>1</v>
      </c>
      <c r="AV49" s="131">
        <v>1</v>
      </c>
      <c r="AW49" s="137">
        <v>1</v>
      </c>
      <c r="AX49" s="189">
        <f t="shared" si="25"/>
        <v>1</v>
      </c>
      <c r="AY49" s="190">
        <f t="shared" si="26"/>
        <v>0</v>
      </c>
      <c r="AZ49" s="190">
        <f t="shared" si="27"/>
        <v>0</v>
      </c>
      <c r="BA49" s="190">
        <f t="shared" si="28"/>
        <v>0</v>
      </c>
      <c r="BB49" s="191">
        <f t="shared" si="29"/>
        <v>0</v>
      </c>
      <c r="BC49" s="151">
        <f t="shared" si="30"/>
        <v>1</v>
      </c>
      <c r="BD49" s="154">
        <v>0</v>
      </c>
      <c r="BE49" s="145">
        <v>0</v>
      </c>
      <c r="BF49" s="146">
        <v>0</v>
      </c>
      <c r="BG49" s="154">
        <f t="shared" si="90"/>
        <v>91927</v>
      </c>
      <c r="BH49" s="145">
        <f t="shared" si="91"/>
        <v>0</v>
      </c>
      <c r="BI49" s="145">
        <f t="shared" si="87"/>
        <v>0</v>
      </c>
      <c r="BJ49" s="145">
        <f t="shared" si="88"/>
        <v>0</v>
      </c>
      <c r="BK49" s="146">
        <f t="shared" si="89"/>
        <v>0</v>
      </c>
      <c r="BL49" s="158"/>
    </row>
    <row r="50" spans="3:64" x14ac:dyDescent="0.35">
      <c r="C50" s="112"/>
      <c r="D50" s="112"/>
      <c r="AP50" s="239"/>
      <c r="AQ50" s="169" t="s">
        <v>163</v>
      </c>
      <c r="AR50" s="119">
        <f>VLOOKUP(AQ50,'E-REF_HNO_pop'!B:E,2,FALSE)</f>
        <v>89040</v>
      </c>
      <c r="AS50" s="114">
        <f>VLOOKUP(AQ50,'E-REF_HNO_pop'!B:E,3,FALSE)</f>
        <v>16000</v>
      </c>
      <c r="AT50" s="120">
        <f>VLOOKUP(AQ50,'E-REF_HNO_pop'!B:E,4,FALSE)</f>
        <v>73040</v>
      </c>
      <c r="AU50" s="136">
        <v>1</v>
      </c>
      <c r="AV50" s="131">
        <v>1</v>
      </c>
      <c r="AW50" s="137">
        <v>1</v>
      </c>
      <c r="AX50" s="189">
        <f t="shared" si="25"/>
        <v>1</v>
      </c>
      <c r="AY50" s="190">
        <f t="shared" si="26"/>
        <v>0</v>
      </c>
      <c r="AZ50" s="190">
        <f t="shared" si="27"/>
        <v>0</v>
      </c>
      <c r="BA50" s="190">
        <f t="shared" si="28"/>
        <v>0</v>
      </c>
      <c r="BB50" s="191">
        <f t="shared" si="29"/>
        <v>0</v>
      </c>
      <c r="BC50" s="151">
        <f t="shared" si="30"/>
        <v>1</v>
      </c>
      <c r="BD50" s="154">
        <v>0</v>
      </c>
      <c r="BE50" s="145">
        <v>0</v>
      </c>
      <c r="BF50" s="146">
        <v>0</v>
      </c>
      <c r="BG50" s="154">
        <f t="shared" si="90"/>
        <v>89040</v>
      </c>
      <c r="BH50" s="145">
        <f t="shared" si="91"/>
        <v>0</v>
      </c>
      <c r="BI50" s="145">
        <f t="shared" si="87"/>
        <v>0</v>
      </c>
      <c r="BJ50" s="145">
        <f t="shared" si="88"/>
        <v>0</v>
      </c>
      <c r="BK50" s="146">
        <f t="shared" si="89"/>
        <v>0</v>
      </c>
      <c r="BL50" s="158"/>
    </row>
    <row r="51" spans="3:64" x14ac:dyDescent="0.35">
      <c r="AP51" s="239"/>
      <c r="AQ51" s="169" t="s">
        <v>156</v>
      </c>
      <c r="AR51" s="119">
        <f>VLOOKUP(AQ51,'E-REF_HNO_pop'!B:E,2,FALSE)</f>
        <v>87596</v>
      </c>
      <c r="AS51" s="114">
        <f>VLOOKUP(AQ51,'E-REF_HNO_pop'!B:E,3,FALSE)</f>
        <v>1400</v>
      </c>
      <c r="AT51" s="120">
        <f>VLOOKUP(AQ51,'E-REF_HNO_pop'!B:E,4,FALSE)</f>
        <v>86196</v>
      </c>
      <c r="AU51" s="136">
        <v>1</v>
      </c>
      <c r="AV51" s="131">
        <v>1</v>
      </c>
      <c r="AW51" s="137">
        <v>1</v>
      </c>
      <c r="AX51" s="189">
        <f t="shared" si="25"/>
        <v>1</v>
      </c>
      <c r="AY51" s="190">
        <f t="shared" si="26"/>
        <v>0</v>
      </c>
      <c r="AZ51" s="190">
        <f t="shared" si="27"/>
        <v>0</v>
      </c>
      <c r="BA51" s="190">
        <f t="shared" si="28"/>
        <v>0</v>
      </c>
      <c r="BB51" s="191">
        <f t="shared" si="29"/>
        <v>0</v>
      </c>
      <c r="BC51" s="151">
        <f t="shared" si="30"/>
        <v>1</v>
      </c>
      <c r="BD51" s="154">
        <v>0</v>
      </c>
      <c r="BE51" s="145">
        <v>0</v>
      </c>
      <c r="BF51" s="146">
        <v>0</v>
      </c>
      <c r="BG51" s="154">
        <f t="shared" si="90"/>
        <v>87596</v>
      </c>
      <c r="BH51" s="145">
        <f t="shared" si="91"/>
        <v>0</v>
      </c>
      <c r="BI51" s="145">
        <f t="shared" si="87"/>
        <v>0</v>
      </c>
      <c r="BJ51" s="145">
        <f t="shared" si="88"/>
        <v>0</v>
      </c>
      <c r="BK51" s="146">
        <f t="shared" si="89"/>
        <v>0</v>
      </c>
      <c r="BL51" s="158"/>
    </row>
    <row r="52" spans="3:64" x14ac:dyDescent="0.35">
      <c r="AP52" s="239"/>
      <c r="AQ52" s="169" t="s">
        <v>79</v>
      </c>
      <c r="AR52" s="119">
        <f>VLOOKUP(AQ52,'E-REF_HNO_pop'!B:E,2,FALSE)</f>
        <v>150060</v>
      </c>
      <c r="AS52" s="114">
        <f>VLOOKUP(AQ52,'E-REF_HNO_pop'!B:E,3,FALSE)</f>
        <v>27100</v>
      </c>
      <c r="AT52" s="120">
        <f>VLOOKUP(AQ52,'E-REF_HNO_pop'!B:E,4,FALSE)</f>
        <v>122960</v>
      </c>
      <c r="AU52" s="136">
        <v>1</v>
      </c>
      <c r="AV52" s="131">
        <v>1</v>
      </c>
      <c r="AW52" s="137">
        <v>1</v>
      </c>
      <c r="AX52" s="189">
        <f t="shared" si="25"/>
        <v>1</v>
      </c>
      <c r="AY52" s="190">
        <f t="shared" si="26"/>
        <v>0</v>
      </c>
      <c r="AZ52" s="190">
        <f t="shared" si="27"/>
        <v>0</v>
      </c>
      <c r="BA52" s="190">
        <f t="shared" si="28"/>
        <v>0</v>
      </c>
      <c r="BB52" s="191">
        <f t="shared" si="29"/>
        <v>0</v>
      </c>
      <c r="BC52" s="151">
        <f t="shared" si="30"/>
        <v>1</v>
      </c>
      <c r="BD52" s="154">
        <v>0</v>
      </c>
      <c r="BE52" s="145">
        <v>0</v>
      </c>
      <c r="BF52" s="146">
        <v>0</v>
      </c>
      <c r="BG52" s="154">
        <f t="shared" si="90"/>
        <v>150060</v>
      </c>
      <c r="BH52" s="145">
        <f t="shared" si="91"/>
        <v>0</v>
      </c>
      <c r="BI52" s="145">
        <f t="shared" si="87"/>
        <v>0</v>
      </c>
      <c r="BJ52" s="145">
        <f t="shared" si="88"/>
        <v>0</v>
      </c>
      <c r="BK52" s="146">
        <f t="shared" si="89"/>
        <v>0</v>
      </c>
      <c r="BL52" s="158"/>
    </row>
    <row r="53" spans="3:64" x14ac:dyDescent="0.35">
      <c r="AP53" s="239"/>
      <c r="AQ53" s="169" t="s">
        <v>80</v>
      </c>
      <c r="AR53" s="119">
        <f>VLOOKUP(AQ53,'E-REF_HNO_pop'!B:E,2,FALSE)</f>
        <v>147032</v>
      </c>
      <c r="AS53" s="114">
        <f>VLOOKUP(AQ53,'E-REF_HNO_pop'!B:E,3,FALSE)</f>
        <v>7400</v>
      </c>
      <c r="AT53" s="120">
        <f>VLOOKUP(AQ53,'E-REF_HNO_pop'!B:E,4,FALSE)</f>
        <v>139632</v>
      </c>
      <c r="AU53" s="136">
        <v>1</v>
      </c>
      <c r="AV53" s="131">
        <v>1</v>
      </c>
      <c r="AW53" s="137">
        <v>1</v>
      </c>
      <c r="AX53" s="189">
        <f t="shared" si="25"/>
        <v>1</v>
      </c>
      <c r="AY53" s="190">
        <f t="shared" si="26"/>
        <v>0</v>
      </c>
      <c r="AZ53" s="190">
        <f t="shared" si="27"/>
        <v>0</v>
      </c>
      <c r="BA53" s="190">
        <f t="shared" si="28"/>
        <v>0</v>
      </c>
      <c r="BB53" s="191">
        <f t="shared" si="29"/>
        <v>0</v>
      </c>
      <c r="BC53" s="151">
        <f t="shared" si="30"/>
        <v>1</v>
      </c>
      <c r="BD53" s="154">
        <v>0</v>
      </c>
      <c r="BE53" s="145">
        <v>0</v>
      </c>
      <c r="BF53" s="146">
        <v>0</v>
      </c>
      <c r="BG53" s="154">
        <f t="shared" si="90"/>
        <v>147032</v>
      </c>
      <c r="BH53" s="145">
        <f t="shared" si="91"/>
        <v>0</v>
      </c>
      <c r="BI53" s="145">
        <f t="shared" si="87"/>
        <v>0</v>
      </c>
      <c r="BJ53" s="145">
        <f t="shared" si="88"/>
        <v>0</v>
      </c>
      <c r="BK53" s="146">
        <f t="shared" si="89"/>
        <v>0</v>
      </c>
      <c r="BL53" s="158"/>
    </row>
    <row r="54" spans="3:64" x14ac:dyDescent="0.35">
      <c r="AP54" s="239"/>
      <c r="AQ54" s="169" t="s">
        <v>81</v>
      </c>
      <c r="AR54" s="119">
        <f>VLOOKUP(AQ54,'E-REF_HNO_pop'!B:E,2,FALSE)</f>
        <v>85335</v>
      </c>
      <c r="AS54" s="114">
        <f>VLOOKUP(AQ54,'E-REF_HNO_pop'!B:E,3,FALSE)</f>
        <v>60500</v>
      </c>
      <c r="AT54" s="120">
        <f>VLOOKUP(AQ54,'E-REF_HNO_pop'!B:E,4,FALSE)</f>
        <v>24835</v>
      </c>
      <c r="AU54" s="136">
        <v>1</v>
      </c>
      <c r="AV54" s="131">
        <v>1</v>
      </c>
      <c r="AW54" s="137">
        <v>1</v>
      </c>
      <c r="AX54" s="189">
        <f t="shared" si="25"/>
        <v>1</v>
      </c>
      <c r="AY54" s="190">
        <f t="shared" si="26"/>
        <v>0</v>
      </c>
      <c r="AZ54" s="190">
        <f t="shared" si="27"/>
        <v>0</v>
      </c>
      <c r="BA54" s="190">
        <f t="shared" si="28"/>
        <v>0</v>
      </c>
      <c r="BB54" s="191">
        <f t="shared" si="29"/>
        <v>0</v>
      </c>
      <c r="BC54" s="151">
        <f t="shared" si="30"/>
        <v>1</v>
      </c>
      <c r="BD54" s="154">
        <v>0</v>
      </c>
      <c r="BE54" s="145">
        <v>0</v>
      </c>
      <c r="BF54" s="146">
        <v>0</v>
      </c>
      <c r="BG54" s="154">
        <f t="shared" si="90"/>
        <v>85335</v>
      </c>
      <c r="BH54" s="145">
        <f t="shared" si="91"/>
        <v>0</v>
      </c>
      <c r="BI54" s="145">
        <f t="shared" si="87"/>
        <v>0</v>
      </c>
      <c r="BJ54" s="145">
        <f t="shared" si="88"/>
        <v>0</v>
      </c>
      <c r="BK54" s="146">
        <f t="shared" si="89"/>
        <v>0</v>
      </c>
      <c r="BL54" s="158"/>
    </row>
    <row r="55" spans="3:64" x14ac:dyDescent="0.35">
      <c r="AP55" s="239"/>
      <c r="AQ55" s="169" t="s">
        <v>82</v>
      </c>
      <c r="AR55" s="119">
        <f>VLOOKUP(AQ55,'E-REF_HNO_pop'!B:E,2,FALSE)</f>
        <v>143834</v>
      </c>
      <c r="AS55" s="114">
        <f>VLOOKUP(AQ55,'E-REF_HNO_pop'!B:E,3,FALSE)</f>
        <v>22000</v>
      </c>
      <c r="AT55" s="120">
        <f>VLOOKUP(AQ55,'E-REF_HNO_pop'!B:E,4,FALSE)</f>
        <v>121834</v>
      </c>
      <c r="AU55" s="136">
        <v>1</v>
      </c>
      <c r="AV55" s="131">
        <v>1</v>
      </c>
      <c r="AW55" s="137">
        <v>1</v>
      </c>
      <c r="AX55" s="189">
        <f t="shared" si="25"/>
        <v>1</v>
      </c>
      <c r="AY55" s="190">
        <f t="shared" si="26"/>
        <v>0</v>
      </c>
      <c r="AZ55" s="190">
        <f t="shared" si="27"/>
        <v>0</v>
      </c>
      <c r="BA55" s="190">
        <f t="shared" si="28"/>
        <v>0</v>
      </c>
      <c r="BB55" s="191">
        <f t="shared" si="29"/>
        <v>0</v>
      </c>
      <c r="BC55" s="151">
        <f t="shared" si="30"/>
        <v>1</v>
      </c>
      <c r="BD55" s="154">
        <v>0</v>
      </c>
      <c r="BE55" s="145">
        <v>0</v>
      </c>
      <c r="BF55" s="146">
        <v>0</v>
      </c>
      <c r="BG55" s="154">
        <f t="shared" si="90"/>
        <v>143834</v>
      </c>
      <c r="BH55" s="145">
        <f t="shared" si="91"/>
        <v>0</v>
      </c>
      <c r="BI55" s="145">
        <f t="shared" si="87"/>
        <v>0</v>
      </c>
      <c r="BJ55" s="145">
        <f t="shared" si="88"/>
        <v>0</v>
      </c>
      <c r="BK55" s="146">
        <f t="shared" si="89"/>
        <v>0</v>
      </c>
      <c r="BL55" s="158"/>
    </row>
    <row r="56" spans="3:64" x14ac:dyDescent="0.35">
      <c r="AP56" s="239"/>
      <c r="AQ56" s="169" t="s">
        <v>134</v>
      </c>
      <c r="AR56" s="119">
        <f>VLOOKUP(AQ56,'E-REF_HNO_pop'!B:E,2,FALSE)</f>
        <v>280557</v>
      </c>
      <c r="AS56" s="114">
        <f>VLOOKUP(AQ56,'E-REF_HNO_pop'!B:E,3,FALSE)</f>
        <v>24600</v>
      </c>
      <c r="AT56" s="120">
        <f>VLOOKUP(AQ56,'E-REF_HNO_pop'!B:E,4,FALSE)</f>
        <v>255957</v>
      </c>
      <c r="AU56" s="136">
        <v>1</v>
      </c>
      <c r="AV56" s="131">
        <v>1</v>
      </c>
      <c r="AW56" s="137">
        <v>1</v>
      </c>
      <c r="AX56" s="189">
        <f t="shared" si="25"/>
        <v>1</v>
      </c>
      <c r="AY56" s="190">
        <f t="shared" si="26"/>
        <v>0</v>
      </c>
      <c r="AZ56" s="190">
        <f t="shared" si="27"/>
        <v>0</v>
      </c>
      <c r="BA56" s="190">
        <f t="shared" si="28"/>
        <v>0</v>
      </c>
      <c r="BB56" s="191">
        <f t="shared" si="29"/>
        <v>0</v>
      </c>
      <c r="BC56" s="151">
        <f t="shared" si="30"/>
        <v>1</v>
      </c>
      <c r="BD56" s="154">
        <v>0</v>
      </c>
      <c r="BE56" s="145">
        <v>0</v>
      </c>
      <c r="BF56" s="146">
        <v>0</v>
      </c>
      <c r="BG56" s="154">
        <f t="shared" si="90"/>
        <v>280557</v>
      </c>
      <c r="BH56" s="145">
        <f t="shared" si="91"/>
        <v>0</v>
      </c>
      <c r="BI56" s="145">
        <f t="shared" si="87"/>
        <v>0</v>
      </c>
      <c r="BJ56" s="145">
        <f t="shared" si="88"/>
        <v>0</v>
      </c>
      <c r="BK56" s="146">
        <f t="shared" si="89"/>
        <v>0</v>
      </c>
      <c r="BL56" s="158"/>
    </row>
    <row r="57" spans="3:64" x14ac:dyDescent="0.35">
      <c r="AP57" s="239"/>
      <c r="AQ57" s="169" t="s">
        <v>85</v>
      </c>
      <c r="AR57" s="119">
        <f>VLOOKUP(AQ57,'E-REF_HNO_pop'!B:E,2,FALSE)</f>
        <v>179405</v>
      </c>
      <c r="AS57" s="114">
        <f>VLOOKUP(AQ57,'E-REF_HNO_pop'!B:E,3,FALSE)</f>
        <v>4300</v>
      </c>
      <c r="AT57" s="120">
        <f>VLOOKUP(AQ57,'E-REF_HNO_pop'!B:E,4,FALSE)</f>
        <v>175105</v>
      </c>
      <c r="AU57" s="136">
        <v>1</v>
      </c>
      <c r="AV57" s="131">
        <v>1</v>
      </c>
      <c r="AW57" s="137">
        <v>1</v>
      </c>
      <c r="AX57" s="189">
        <f t="shared" si="25"/>
        <v>1</v>
      </c>
      <c r="AY57" s="190">
        <f t="shared" si="26"/>
        <v>0</v>
      </c>
      <c r="AZ57" s="190">
        <f t="shared" si="27"/>
        <v>0</v>
      </c>
      <c r="BA57" s="190">
        <f t="shared" si="28"/>
        <v>0</v>
      </c>
      <c r="BB57" s="191">
        <f t="shared" si="29"/>
        <v>0</v>
      </c>
      <c r="BC57" s="151">
        <f t="shared" si="30"/>
        <v>1</v>
      </c>
      <c r="BD57" s="154">
        <v>0</v>
      </c>
      <c r="BE57" s="145">
        <v>0</v>
      </c>
      <c r="BF57" s="146">
        <v>0</v>
      </c>
      <c r="BG57" s="154">
        <f t="shared" si="90"/>
        <v>179405</v>
      </c>
      <c r="BH57" s="145">
        <f t="shared" si="91"/>
        <v>0</v>
      </c>
      <c r="BI57" s="145">
        <f t="shared" si="87"/>
        <v>0</v>
      </c>
      <c r="BJ57" s="145">
        <f t="shared" si="88"/>
        <v>0</v>
      </c>
      <c r="BK57" s="146">
        <f t="shared" si="89"/>
        <v>0</v>
      </c>
      <c r="BL57" s="158"/>
    </row>
    <row r="58" spans="3:64" x14ac:dyDescent="0.35">
      <c r="C58" s="112"/>
      <c r="D58" s="112"/>
      <c r="AP58" s="239"/>
      <c r="AQ58" s="169" t="s">
        <v>86</v>
      </c>
      <c r="AR58" s="119">
        <f>VLOOKUP(AQ58,'E-REF_HNO_pop'!B:E,2,FALSE)</f>
        <v>884600</v>
      </c>
      <c r="AS58" s="114">
        <f>VLOOKUP(AQ58,'E-REF_HNO_pop'!B:E,3,FALSE)</f>
        <v>166100</v>
      </c>
      <c r="AT58" s="120">
        <f>VLOOKUP(AQ58,'E-REF_HNO_pop'!B:E,4,FALSE)</f>
        <v>718500</v>
      </c>
      <c r="AU58" s="136">
        <v>1</v>
      </c>
      <c r="AV58" s="131">
        <v>1</v>
      </c>
      <c r="AW58" s="137">
        <v>1</v>
      </c>
      <c r="AX58" s="189">
        <f t="shared" si="25"/>
        <v>1</v>
      </c>
      <c r="AY58" s="190">
        <f t="shared" si="26"/>
        <v>0</v>
      </c>
      <c r="AZ58" s="190">
        <f t="shared" si="27"/>
        <v>0</v>
      </c>
      <c r="BA58" s="190">
        <f t="shared" si="28"/>
        <v>0</v>
      </c>
      <c r="BB58" s="191">
        <f t="shared" si="29"/>
        <v>0</v>
      </c>
      <c r="BC58" s="151">
        <f t="shared" ref="BC58:BC61" si="92">IF(BB58&gt;=0.25,5,IF(SUM(BA58:BB58)&gt;=0.25,4,IF(SUM(AZ58:BB58)&gt;=0.25,3,IF(SUM(AY58:BB58)&gt;=0.25,2,1))))</f>
        <v>1</v>
      </c>
      <c r="BD58" s="154">
        <v>0</v>
      </c>
      <c r="BE58" s="145">
        <v>0</v>
      </c>
      <c r="BF58" s="146">
        <v>0</v>
      </c>
      <c r="BG58" s="154">
        <f t="shared" ref="BG58:BG61" si="93">IFERROR((AX58*AR58),0)</f>
        <v>884600</v>
      </c>
      <c r="BH58" s="145">
        <f t="shared" ref="BH58:BH61" si="94">IFERROR((AY58*$AR58),0)</f>
        <v>0</v>
      </c>
      <c r="BI58" s="145">
        <f t="shared" ref="BI58:BI61" si="95">IFERROR((AZ58*$AR58),0)</f>
        <v>0</v>
      </c>
      <c r="BJ58" s="145">
        <f t="shared" ref="BJ58:BJ61" si="96">IFERROR((BA58*$AR58),0)</f>
        <v>0</v>
      </c>
      <c r="BK58" s="146">
        <f t="shared" ref="BK58:BK61" si="97">IFERROR((BB58*$AR58),0)</f>
        <v>0</v>
      </c>
      <c r="BL58" s="158"/>
    </row>
    <row r="59" spans="3:64" x14ac:dyDescent="0.35">
      <c r="C59" s="112"/>
      <c r="D59" s="112"/>
      <c r="AP59" s="239"/>
      <c r="AQ59" s="169" t="s">
        <v>88</v>
      </c>
      <c r="AR59" s="119">
        <f>VLOOKUP(AQ59,'E-REF_HNO_pop'!B:E,2,FALSE)</f>
        <v>50902</v>
      </c>
      <c r="AS59" s="114">
        <f>VLOOKUP(AQ59,'E-REF_HNO_pop'!B:E,3,FALSE)</f>
        <v>100</v>
      </c>
      <c r="AT59" s="120">
        <f>VLOOKUP(AQ59,'E-REF_HNO_pop'!B:E,4,FALSE)</f>
        <v>50802</v>
      </c>
      <c r="AU59" s="136">
        <v>1</v>
      </c>
      <c r="AV59" s="131">
        <v>1</v>
      </c>
      <c r="AW59" s="137">
        <v>1</v>
      </c>
      <c r="AX59" s="189">
        <f t="shared" si="25"/>
        <v>1</v>
      </c>
      <c r="AY59" s="190">
        <f t="shared" si="26"/>
        <v>0</v>
      </c>
      <c r="AZ59" s="190">
        <f t="shared" si="27"/>
        <v>0</v>
      </c>
      <c r="BA59" s="190">
        <f t="shared" si="28"/>
        <v>0</v>
      </c>
      <c r="BB59" s="191">
        <f t="shared" si="29"/>
        <v>0</v>
      </c>
      <c r="BC59" s="151">
        <f t="shared" si="92"/>
        <v>1</v>
      </c>
      <c r="BD59" s="154">
        <v>0</v>
      </c>
      <c r="BE59" s="145">
        <v>0</v>
      </c>
      <c r="BF59" s="146">
        <v>0</v>
      </c>
      <c r="BG59" s="154">
        <f t="shared" si="93"/>
        <v>50902</v>
      </c>
      <c r="BH59" s="145">
        <f t="shared" si="94"/>
        <v>0</v>
      </c>
      <c r="BI59" s="145">
        <f t="shared" si="95"/>
        <v>0</v>
      </c>
      <c r="BJ59" s="145">
        <f t="shared" si="96"/>
        <v>0</v>
      </c>
      <c r="BK59" s="146">
        <f t="shared" si="97"/>
        <v>0</v>
      </c>
      <c r="BL59" s="158"/>
    </row>
    <row r="60" spans="3:64" x14ac:dyDescent="0.35">
      <c r="C60" s="112"/>
      <c r="D60" s="112"/>
      <c r="AP60" s="239"/>
      <c r="AQ60" s="169" t="s">
        <v>90</v>
      </c>
      <c r="AR60" s="119">
        <f>VLOOKUP(AQ60,'E-REF_HNO_pop'!B:E,2,FALSE)</f>
        <v>371416</v>
      </c>
      <c r="AS60" s="114">
        <f>VLOOKUP(AQ60,'E-REF_HNO_pop'!B:E,3,FALSE)</f>
        <v>8000</v>
      </c>
      <c r="AT60" s="120">
        <f>VLOOKUP(AQ60,'E-REF_HNO_pop'!B:E,4,FALSE)</f>
        <v>363416</v>
      </c>
      <c r="AU60" s="136">
        <v>1</v>
      </c>
      <c r="AV60" s="131">
        <v>1</v>
      </c>
      <c r="AW60" s="137">
        <v>1</v>
      </c>
      <c r="AX60" s="189">
        <f t="shared" si="25"/>
        <v>1</v>
      </c>
      <c r="AY60" s="190">
        <f t="shared" si="26"/>
        <v>0</v>
      </c>
      <c r="AZ60" s="190">
        <f t="shared" si="27"/>
        <v>0</v>
      </c>
      <c r="BA60" s="190">
        <f t="shared" si="28"/>
        <v>0</v>
      </c>
      <c r="BB60" s="191">
        <f t="shared" si="29"/>
        <v>0</v>
      </c>
      <c r="BC60" s="151">
        <f t="shared" si="92"/>
        <v>1</v>
      </c>
      <c r="BD60" s="154">
        <v>0</v>
      </c>
      <c r="BE60" s="145">
        <v>0</v>
      </c>
      <c r="BF60" s="146">
        <v>0</v>
      </c>
      <c r="BG60" s="154">
        <f t="shared" si="93"/>
        <v>371416</v>
      </c>
      <c r="BH60" s="145">
        <f t="shared" si="94"/>
        <v>0</v>
      </c>
      <c r="BI60" s="145">
        <f t="shared" si="95"/>
        <v>0</v>
      </c>
      <c r="BJ60" s="145">
        <f t="shared" si="96"/>
        <v>0</v>
      </c>
      <c r="BK60" s="146">
        <f t="shared" si="97"/>
        <v>0</v>
      </c>
      <c r="BL60" s="158"/>
    </row>
    <row r="61" spans="3:64" x14ac:dyDescent="0.35">
      <c r="AP61" s="239"/>
      <c r="AQ61" s="169" t="s">
        <v>91</v>
      </c>
      <c r="AR61" s="119">
        <f>VLOOKUP(AQ61,'E-REF_HNO_pop'!B:E,2,FALSE)</f>
        <v>142930</v>
      </c>
      <c r="AS61" s="114">
        <f>VLOOKUP(AQ61,'E-REF_HNO_pop'!B:E,3,FALSE)</f>
        <v>17000</v>
      </c>
      <c r="AT61" s="120">
        <f>VLOOKUP(AQ61,'E-REF_HNO_pop'!B:E,4,FALSE)</f>
        <v>125930</v>
      </c>
      <c r="AU61" s="136">
        <v>1</v>
      </c>
      <c r="AV61" s="131">
        <v>1</v>
      </c>
      <c r="AW61" s="137">
        <v>1</v>
      </c>
      <c r="AX61" s="189">
        <f t="shared" si="25"/>
        <v>1</v>
      </c>
      <c r="AY61" s="190">
        <f t="shared" si="26"/>
        <v>0</v>
      </c>
      <c r="AZ61" s="190">
        <f t="shared" si="27"/>
        <v>0</v>
      </c>
      <c r="BA61" s="190">
        <f t="shared" si="28"/>
        <v>0</v>
      </c>
      <c r="BB61" s="191">
        <f t="shared" si="29"/>
        <v>0</v>
      </c>
      <c r="BC61" s="151">
        <f t="shared" si="92"/>
        <v>1</v>
      </c>
      <c r="BD61" s="154">
        <v>0</v>
      </c>
      <c r="BE61" s="145">
        <v>0</v>
      </c>
      <c r="BF61" s="146">
        <v>0</v>
      </c>
      <c r="BG61" s="154">
        <f t="shared" si="93"/>
        <v>142930</v>
      </c>
      <c r="BH61" s="145">
        <f t="shared" si="94"/>
        <v>0</v>
      </c>
      <c r="BI61" s="145">
        <f t="shared" si="95"/>
        <v>0</v>
      </c>
      <c r="BJ61" s="145">
        <f t="shared" si="96"/>
        <v>0</v>
      </c>
      <c r="BK61" s="146">
        <f t="shared" si="97"/>
        <v>0</v>
      </c>
      <c r="BL61" s="158"/>
    </row>
    <row r="62" spans="3:64" x14ac:dyDescent="0.35">
      <c r="AP62" s="239"/>
      <c r="AQ62" s="169" t="s">
        <v>93</v>
      </c>
      <c r="AR62" s="119">
        <f>VLOOKUP(AQ62,'E-REF_HNO_pop'!B:E,2,FALSE)</f>
        <v>64467</v>
      </c>
      <c r="AS62" s="114">
        <f>VLOOKUP(AQ62,'E-REF_HNO_pop'!B:E,3,FALSE)</f>
        <v>5000</v>
      </c>
      <c r="AT62" s="120">
        <f>VLOOKUP(AQ62,'E-REF_HNO_pop'!B:E,4,FALSE)</f>
        <v>59467</v>
      </c>
      <c r="AU62" s="136">
        <v>1</v>
      </c>
      <c r="AV62" s="131">
        <v>1</v>
      </c>
      <c r="AW62" s="137">
        <v>1</v>
      </c>
      <c r="AX62" s="189">
        <f t="shared" si="25"/>
        <v>1</v>
      </c>
      <c r="AY62" s="190">
        <f t="shared" si="26"/>
        <v>0</v>
      </c>
      <c r="AZ62" s="190">
        <f t="shared" si="27"/>
        <v>0</v>
      </c>
      <c r="BA62" s="190">
        <f t="shared" si="28"/>
        <v>0</v>
      </c>
      <c r="BB62" s="191">
        <f t="shared" si="29"/>
        <v>0</v>
      </c>
      <c r="BC62" s="151">
        <f t="shared" si="30"/>
        <v>1</v>
      </c>
      <c r="BD62" s="154">
        <v>0</v>
      </c>
      <c r="BE62" s="145">
        <v>0</v>
      </c>
      <c r="BF62" s="146">
        <v>0</v>
      </c>
      <c r="BG62" s="154">
        <f t="shared" si="90"/>
        <v>64467</v>
      </c>
      <c r="BH62" s="145">
        <f t="shared" si="91"/>
        <v>0</v>
      </c>
      <c r="BI62" s="145">
        <f t="shared" si="87"/>
        <v>0</v>
      </c>
      <c r="BJ62" s="145">
        <f t="shared" si="88"/>
        <v>0</v>
      </c>
      <c r="BK62" s="146">
        <f t="shared" si="89"/>
        <v>0</v>
      </c>
      <c r="BL62" s="158"/>
    </row>
    <row r="63" spans="3:64" x14ac:dyDescent="0.35">
      <c r="AP63" s="239"/>
      <c r="AQ63" s="169" t="s">
        <v>153</v>
      </c>
      <c r="AR63" s="119">
        <f>VLOOKUP(AQ63,'E-REF_HNO_pop'!B:E,2,FALSE)</f>
        <v>223473</v>
      </c>
      <c r="AS63" s="114">
        <f>VLOOKUP(AQ63,'E-REF_HNO_pop'!B:E,3,FALSE)</f>
        <v>129700</v>
      </c>
      <c r="AT63" s="120">
        <f>VLOOKUP(AQ63,'E-REF_HNO_pop'!B:E,4,FALSE)</f>
        <v>93773</v>
      </c>
      <c r="AU63" s="136">
        <v>1</v>
      </c>
      <c r="AV63" s="131">
        <v>1</v>
      </c>
      <c r="AW63" s="137">
        <v>1</v>
      </c>
      <c r="AX63" s="189">
        <f t="shared" si="25"/>
        <v>1</v>
      </c>
      <c r="AY63" s="190">
        <f t="shared" si="26"/>
        <v>0</v>
      </c>
      <c r="AZ63" s="190">
        <f t="shared" si="27"/>
        <v>0</v>
      </c>
      <c r="BA63" s="190">
        <f t="shared" si="28"/>
        <v>0</v>
      </c>
      <c r="BB63" s="191">
        <f t="shared" si="29"/>
        <v>0</v>
      </c>
      <c r="BC63" s="151">
        <f t="shared" si="30"/>
        <v>1</v>
      </c>
      <c r="BD63" s="154">
        <v>0</v>
      </c>
      <c r="BE63" s="145">
        <v>0</v>
      </c>
      <c r="BF63" s="146">
        <v>0</v>
      </c>
      <c r="BG63" s="154">
        <f t="shared" si="90"/>
        <v>223473</v>
      </c>
      <c r="BH63" s="145">
        <f t="shared" si="91"/>
        <v>0</v>
      </c>
      <c r="BI63" s="145">
        <f t="shared" si="87"/>
        <v>0</v>
      </c>
      <c r="BJ63" s="145">
        <f t="shared" si="88"/>
        <v>0</v>
      </c>
      <c r="BK63" s="146">
        <f t="shared" si="89"/>
        <v>0</v>
      </c>
      <c r="BL63" s="158"/>
    </row>
    <row r="64" spans="3:64" x14ac:dyDescent="0.35">
      <c r="AP64" s="239"/>
      <c r="AQ64" s="169" t="s">
        <v>94</v>
      </c>
      <c r="AR64" s="119">
        <f>VLOOKUP(AQ64,'E-REF_HNO_pop'!B:E,2,FALSE)</f>
        <v>134008</v>
      </c>
      <c r="AS64" s="114">
        <f>VLOOKUP(AQ64,'E-REF_HNO_pop'!B:E,3,FALSE)</f>
        <v>4900</v>
      </c>
      <c r="AT64" s="120">
        <f>VLOOKUP(AQ64,'E-REF_HNO_pop'!B:E,4,FALSE)</f>
        <v>129108</v>
      </c>
      <c r="AU64" s="136">
        <v>1</v>
      </c>
      <c r="AV64" s="131">
        <v>1</v>
      </c>
      <c r="AW64" s="137">
        <v>1</v>
      </c>
      <c r="AX64" s="189">
        <f t="shared" si="25"/>
        <v>1</v>
      </c>
      <c r="AY64" s="190">
        <f t="shared" si="26"/>
        <v>0</v>
      </c>
      <c r="AZ64" s="190">
        <f t="shared" si="27"/>
        <v>0</v>
      </c>
      <c r="BA64" s="190">
        <f t="shared" si="28"/>
        <v>0</v>
      </c>
      <c r="BB64" s="191">
        <f t="shared" si="29"/>
        <v>0</v>
      </c>
      <c r="BC64" s="151">
        <f t="shared" si="30"/>
        <v>1</v>
      </c>
      <c r="BD64" s="154">
        <v>0</v>
      </c>
      <c r="BE64" s="145">
        <v>0</v>
      </c>
      <c r="BF64" s="146">
        <v>0</v>
      </c>
      <c r="BG64" s="154">
        <f t="shared" si="90"/>
        <v>134008</v>
      </c>
      <c r="BH64" s="145">
        <f t="shared" si="91"/>
        <v>0</v>
      </c>
      <c r="BI64" s="145">
        <f t="shared" si="87"/>
        <v>0</v>
      </c>
      <c r="BJ64" s="145">
        <f t="shared" si="88"/>
        <v>0</v>
      </c>
      <c r="BK64" s="146">
        <f t="shared" si="89"/>
        <v>0</v>
      </c>
      <c r="BL64" s="158"/>
    </row>
    <row r="65" spans="42:64" ht="15" customHeight="1" x14ac:dyDescent="0.35">
      <c r="AP65" s="239"/>
      <c r="AQ65" s="169" t="s">
        <v>95</v>
      </c>
      <c r="AR65" s="119">
        <f>VLOOKUP(AQ65,'E-REF_HNO_pop'!B:E,2,FALSE)</f>
        <v>60867</v>
      </c>
      <c r="AS65" s="114">
        <f>VLOOKUP(AQ65,'E-REF_HNO_pop'!B:E,3,FALSE)</f>
        <v>12900</v>
      </c>
      <c r="AT65" s="120">
        <f>VLOOKUP(AQ65,'E-REF_HNO_pop'!B:E,4,FALSE)</f>
        <v>47967</v>
      </c>
      <c r="AU65" s="136">
        <v>1</v>
      </c>
      <c r="AV65" s="131">
        <v>1</v>
      </c>
      <c r="AW65" s="137">
        <v>1</v>
      </c>
      <c r="AX65" s="189">
        <f t="shared" si="25"/>
        <v>1</v>
      </c>
      <c r="AY65" s="190">
        <f t="shared" si="26"/>
        <v>0</v>
      </c>
      <c r="AZ65" s="190">
        <f t="shared" si="27"/>
        <v>0</v>
      </c>
      <c r="BA65" s="190">
        <f t="shared" si="28"/>
        <v>0</v>
      </c>
      <c r="BB65" s="191">
        <f t="shared" si="29"/>
        <v>0</v>
      </c>
      <c r="BC65" s="151">
        <f t="shared" si="30"/>
        <v>1</v>
      </c>
      <c r="BD65" s="154">
        <v>0</v>
      </c>
      <c r="BE65" s="145">
        <v>0</v>
      </c>
      <c r="BF65" s="146">
        <v>0</v>
      </c>
      <c r="BG65" s="154">
        <f t="shared" si="90"/>
        <v>60867</v>
      </c>
      <c r="BH65" s="145">
        <f t="shared" si="91"/>
        <v>0</v>
      </c>
      <c r="BI65" s="145">
        <f t="shared" si="87"/>
        <v>0</v>
      </c>
      <c r="BJ65" s="145">
        <f t="shared" si="88"/>
        <v>0</v>
      </c>
      <c r="BK65" s="146">
        <f t="shared" si="89"/>
        <v>0</v>
      </c>
      <c r="BL65" s="158"/>
    </row>
    <row r="66" spans="42:64" x14ac:dyDescent="0.35">
      <c r="AP66" s="239"/>
      <c r="AQ66" s="169" t="s">
        <v>98</v>
      </c>
      <c r="AR66" s="119">
        <f>VLOOKUP(AQ66,'E-REF_HNO_pop'!B:E,2,FALSE)</f>
        <v>82889</v>
      </c>
      <c r="AS66" s="114">
        <f>VLOOKUP(AQ66,'E-REF_HNO_pop'!B:E,3,FALSE)</f>
        <v>42900</v>
      </c>
      <c r="AT66" s="120">
        <f>VLOOKUP(AQ66,'E-REF_HNO_pop'!B:E,4,FALSE)</f>
        <v>39989</v>
      </c>
      <c r="AU66" s="136">
        <v>1</v>
      </c>
      <c r="AV66" s="131">
        <v>1</v>
      </c>
      <c r="AW66" s="137">
        <v>1</v>
      </c>
      <c r="AX66" s="189">
        <f t="shared" si="25"/>
        <v>1</v>
      </c>
      <c r="AY66" s="190">
        <f t="shared" si="26"/>
        <v>0</v>
      </c>
      <c r="AZ66" s="190">
        <f t="shared" si="27"/>
        <v>0</v>
      </c>
      <c r="BA66" s="190">
        <f t="shared" si="28"/>
        <v>0</v>
      </c>
      <c r="BB66" s="191">
        <f t="shared" si="29"/>
        <v>0</v>
      </c>
      <c r="BC66" s="151">
        <f t="shared" si="30"/>
        <v>1</v>
      </c>
      <c r="BD66" s="154">
        <v>0</v>
      </c>
      <c r="BE66" s="145">
        <v>0</v>
      </c>
      <c r="BF66" s="146">
        <v>0</v>
      </c>
      <c r="BG66" s="154">
        <f t="shared" si="90"/>
        <v>82889</v>
      </c>
      <c r="BH66" s="145">
        <f t="shared" si="91"/>
        <v>0</v>
      </c>
      <c r="BI66" s="145">
        <f t="shared" si="87"/>
        <v>0</v>
      </c>
      <c r="BJ66" s="145">
        <f t="shared" si="88"/>
        <v>0</v>
      </c>
      <c r="BK66" s="146">
        <f t="shared" si="89"/>
        <v>0</v>
      </c>
      <c r="BL66" s="158"/>
    </row>
    <row r="67" spans="42:64" x14ac:dyDescent="0.35">
      <c r="AP67" s="239"/>
      <c r="AQ67" s="169" t="s">
        <v>99</v>
      </c>
      <c r="AR67" s="119">
        <f>VLOOKUP(AQ67,'E-REF_HNO_pop'!B:E,2,FALSE)</f>
        <v>54490</v>
      </c>
      <c r="AS67" s="114">
        <f>VLOOKUP(AQ67,'E-REF_HNO_pop'!B:E,3,FALSE)</f>
        <v>9000</v>
      </c>
      <c r="AT67" s="120">
        <f>VLOOKUP(AQ67,'E-REF_HNO_pop'!B:E,4,FALSE)</f>
        <v>45490</v>
      </c>
      <c r="AU67" s="136">
        <v>1</v>
      </c>
      <c r="AV67" s="131">
        <v>1</v>
      </c>
      <c r="AW67" s="137">
        <v>1</v>
      </c>
      <c r="AX67" s="189">
        <f t="shared" ref="AX67:AX75" si="98">IF($AU67=1,1,0)</f>
        <v>1</v>
      </c>
      <c r="AY67" s="190">
        <f t="shared" ref="AY67:AY75" si="99">IF($AU67=2,1,0)</f>
        <v>0</v>
      </c>
      <c r="AZ67" s="190">
        <f t="shared" ref="AZ67:AZ75" si="100">IF($AU67=3,1,0)</f>
        <v>0</v>
      </c>
      <c r="BA67" s="190">
        <f t="shared" ref="BA67:BA75" si="101">IF($AU67=4,1,0)</f>
        <v>0</v>
      </c>
      <c r="BB67" s="191">
        <f t="shared" ref="BB67:BB75" si="102">IF($AU67=5,1,0)</f>
        <v>0</v>
      </c>
      <c r="BC67" s="151">
        <f t="shared" si="30"/>
        <v>1</v>
      </c>
      <c r="BD67" s="154">
        <v>0</v>
      </c>
      <c r="BE67" s="145">
        <v>0</v>
      </c>
      <c r="BF67" s="146">
        <v>0</v>
      </c>
      <c r="BG67" s="154">
        <f t="shared" si="90"/>
        <v>54490</v>
      </c>
      <c r="BH67" s="145">
        <f t="shared" si="91"/>
        <v>0</v>
      </c>
      <c r="BI67" s="145">
        <f t="shared" si="87"/>
        <v>0</v>
      </c>
      <c r="BJ67" s="145">
        <f t="shared" si="88"/>
        <v>0</v>
      </c>
      <c r="BK67" s="146">
        <f t="shared" si="89"/>
        <v>0</v>
      </c>
      <c r="BL67" s="158"/>
    </row>
    <row r="68" spans="42:64" x14ac:dyDescent="0.35">
      <c r="AP68" s="239"/>
      <c r="AQ68" s="169" t="s">
        <v>100</v>
      </c>
      <c r="AR68" s="119">
        <f>VLOOKUP(AQ68,'E-REF_HNO_pop'!B:E,2,FALSE)</f>
        <v>142557</v>
      </c>
      <c r="AS68" s="114">
        <f>VLOOKUP(AQ68,'E-REF_HNO_pop'!B:E,3,FALSE)</f>
        <v>8000</v>
      </c>
      <c r="AT68" s="120">
        <f>VLOOKUP(AQ68,'E-REF_HNO_pop'!B:E,4,FALSE)</f>
        <v>134557</v>
      </c>
      <c r="AU68" s="136">
        <v>1</v>
      </c>
      <c r="AV68" s="131">
        <v>1</v>
      </c>
      <c r="AW68" s="137">
        <v>1</v>
      </c>
      <c r="AX68" s="189">
        <f t="shared" si="98"/>
        <v>1</v>
      </c>
      <c r="AY68" s="190">
        <f t="shared" si="99"/>
        <v>0</v>
      </c>
      <c r="AZ68" s="190">
        <f t="shared" si="100"/>
        <v>0</v>
      </c>
      <c r="BA68" s="190">
        <f t="shared" si="101"/>
        <v>0</v>
      </c>
      <c r="BB68" s="191">
        <f t="shared" si="102"/>
        <v>0</v>
      </c>
      <c r="BC68" s="151">
        <f t="shared" ref="BC68:BC75" si="103">IF(BB68&gt;=0.25,5,IF(SUM(BA68:BB68)&gt;=0.25,4,IF(SUM(AZ68:BB68)&gt;=0.25,3,IF(SUM(AY68:BB68)&gt;=0.25,2,1))))</f>
        <v>1</v>
      </c>
      <c r="BD68" s="154">
        <v>0</v>
      </c>
      <c r="BE68" s="145">
        <v>0</v>
      </c>
      <c r="BF68" s="146">
        <v>0</v>
      </c>
      <c r="BG68" s="154">
        <f t="shared" ref="BG68:BG75" si="104">IFERROR((AX68*AR68),0)</f>
        <v>142557</v>
      </c>
      <c r="BH68" s="145">
        <f t="shared" ref="BH68:BH75" si="105">IFERROR((AY68*$AR68),0)</f>
        <v>0</v>
      </c>
      <c r="BI68" s="145">
        <f t="shared" ref="BI68:BI75" si="106">IFERROR((AZ68*$AR68),0)</f>
        <v>0</v>
      </c>
      <c r="BJ68" s="145">
        <f t="shared" ref="BJ68:BJ75" si="107">IFERROR((BA68*$AR68),0)</f>
        <v>0</v>
      </c>
      <c r="BK68" s="146">
        <f t="shared" ref="BK68:BK75" si="108">IFERROR((BB68*$AR68),0)</f>
        <v>0</v>
      </c>
      <c r="BL68" s="158"/>
    </row>
    <row r="69" spans="42:64" x14ac:dyDescent="0.35">
      <c r="AP69" s="239"/>
      <c r="AQ69" s="169" t="s">
        <v>102</v>
      </c>
      <c r="AR69" s="119">
        <f>VLOOKUP(AQ69,'E-REF_HNO_pop'!B:E,2,FALSE)</f>
        <v>94645</v>
      </c>
      <c r="AS69" s="114">
        <f>VLOOKUP(AQ69,'E-REF_HNO_pop'!B:E,3,FALSE)</f>
        <v>14000</v>
      </c>
      <c r="AT69" s="120">
        <f>VLOOKUP(AQ69,'E-REF_HNO_pop'!B:E,4,FALSE)</f>
        <v>80645</v>
      </c>
      <c r="AU69" s="136">
        <v>1</v>
      </c>
      <c r="AV69" s="131">
        <v>1</v>
      </c>
      <c r="AW69" s="137">
        <v>1</v>
      </c>
      <c r="AX69" s="189">
        <f t="shared" si="98"/>
        <v>1</v>
      </c>
      <c r="AY69" s="190">
        <f t="shared" si="99"/>
        <v>0</v>
      </c>
      <c r="AZ69" s="190">
        <f t="shared" si="100"/>
        <v>0</v>
      </c>
      <c r="BA69" s="190">
        <f t="shared" si="101"/>
        <v>0</v>
      </c>
      <c r="BB69" s="191">
        <f t="shared" si="102"/>
        <v>0</v>
      </c>
      <c r="BC69" s="151">
        <f t="shared" si="103"/>
        <v>1</v>
      </c>
      <c r="BD69" s="154">
        <v>0</v>
      </c>
      <c r="BE69" s="145">
        <v>0</v>
      </c>
      <c r="BF69" s="146">
        <v>0</v>
      </c>
      <c r="BG69" s="154">
        <f t="shared" si="104"/>
        <v>94645</v>
      </c>
      <c r="BH69" s="145">
        <f t="shared" si="105"/>
        <v>0</v>
      </c>
      <c r="BI69" s="145">
        <f t="shared" si="106"/>
        <v>0</v>
      </c>
      <c r="BJ69" s="145">
        <f t="shared" si="107"/>
        <v>0</v>
      </c>
      <c r="BK69" s="146">
        <f t="shared" si="108"/>
        <v>0</v>
      </c>
      <c r="BL69" s="158"/>
    </row>
    <row r="70" spans="42:64" x14ac:dyDescent="0.35">
      <c r="AP70" s="239"/>
      <c r="AQ70" s="169" t="s">
        <v>103</v>
      </c>
      <c r="AR70" s="119">
        <f>VLOOKUP(AQ70,'E-REF_HNO_pop'!B:E,2,FALSE)</f>
        <v>63295</v>
      </c>
      <c r="AS70" s="114">
        <f>VLOOKUP(AQ70,'E-REF_HNO_pop'!B:E,3,FALSE)</f>
        <v>3000</v>
      </c>
      <c r="AT70" s="120">
        <f>VLOOKUP(AQ70,'E-REF_HNO_pop'!B:E,4,FALSE)</f>
        <v>60295</v>
      </c>
      <c r="AU70" s="136">
        <v>1</v>
      </c>
      <c r="AV70" s="131">
        <v>1</v>
      </c>
      <c r="AW70" s="137">
        <v>1</v>
      </c>
      <c r="AX70" s="189">
        <f t="shared" si="98"/>
        <v>1</v>
      </c>
      <c r="AY70" s="190">
        <f t="shared" si="99"/>
        <v>0</v>
      </c>
      <c r="AZ70" s="190">
        <f t="shared" si="100"/>
        <v>0</v>
      </c>
      <c r="BA70" s="190">
        <f t="shared" si="101"/>
        <v>0</v>
      </c>
      <c r="BB70" s="191">
        <f t="shared" si="102"/>
        <v>0</v>
      </c>
      <c r="BC70" s="151">
        <f t="shared" si="103"/>
        <v>1</v>
      </c>
      <c r="BD70" s="154">
        <v>0</v>
      </c>
      <c r="BE70" s="145">
        <v>0</v>
      </c>
      <c r="BF70" s="146">
        <v>0</v>
      </c>
      <c r="BG70" s="154">
        <f t="shared" si="104"/>
        <v>63295</v>
      </c>
      <c r="BH70" s="145">
        <f t="shared" si="105"/>
        <v>0</v>
      </c>
      <c r="BI70" s="145">
        <f t="shared" si="106"/>
        <v>0</v>
      </c>
      <c r="BJ70" s="145">
        <f t="shared" si="107"/>
        <v>0</v>
      </c>
      <c r="BK70" s="146">
        <f t="shared" si="108"/>
        <v>0</v>
      </c>
      <c r="BL70" s="158"/>
    </row>
    <row r="71" spans="42:64" x14ac:dyDescent="0.35">
      <c r="AP71" s="239"/>
      <c r="AQ71" s="169" t="s">
        <v>104</v>
      </c>
      <c r="AR71" s="119">
        <f>VLOOKUP(AQ71,'E-REF_HNO_pop'!B:E,2,FALSE)</f>
        <v>122616</v>
      </c>
      <c r="AS71" s="114">
        <f>VLOOKUP(AQ71,'E-REF_HNO_pop'!B:E,3,FALSE)</f>
        <v>8500</v>
      </c>
      <c r="AT71" s="120">
        <f>VLOOKUP(AQ71,'E-REF_HNO_pop'!B:E,4,FALSE)</f>
        <v>114116</v>
      </c>
      <c r="AU71" s="136">
        <v>1</v>
      </c>
      <c r="AV71" s="131">
        <v>1</v>
      </c>
      <c r="AW71" s="137">
        <v>1</v>
      </c>
      <c r="AX71" s="189">
        <f t="shared" si="98"/>
        <v>1</v>
      </c>
      <c r="AY71" s="190">
        <f t="shared" si="99"/>
        <v>0</v>
      </c>
      <c r="AZ71" s="190">
        <f t="shared" si="100"/>
        <v>0</v>
      </c>
      <c r="BA71" s="190">
        <f t="shared" si="101"/>
        <v>0</v>
      </c>
      <c r="BB71" s="191">
        <f t="shared" si="102"/>
        <v>0</v>
      </c>
      <c r="BC71" s="151">
        <f t="shared" si="103"/>
        <v>1</v>
      </c>
      <c r="BD71" s="154">
        <v>0</v>
      </c>
      <c r="BE71" s="145">
        <v>0</v>
      </c>
      <c r="BF71" s="146">
        <v>0</v>
      </c>
      <c r="BG71" s="154">
        <f t="shared" si="104"/>
        <v>122616</v>
      </c>
      <c r="BH71" s="145">
        <f t="shared" si="105"/>
        <v>0</v>
      </c>
      <c r="BI71" s="145">
        <f t="shared" si="106"/>
        <v>0</v>
      </c>
      <c r="BJ71" s="145">
        <f t="shared" si="107"/>
        <v>0</v>
      </c>
      <c r="BK71" s="146">
        <f t="shared" si="108"/>
        <v>0</v>
      </c>
      <c r="BL71" s="158"/>
    </row>
    <row r="72" spans="42:64" x14ac:dyDescent="0.35">
      <c r="AP72" s="239"/>
      <c r="AQ72" s="169" t="s">
        <v>105</v>
      </c>
      <c r="AR72" s="119">
        <f>VLOOKUP(AQ72,'E-REF_HNO_pop'!B:E,2,FALSE)</f>
        <v>78537</v>
      </c>
      <c r="AS72" s="114">
        <f>VLOOKUP(AQ72,'E-REF_HNO_pop'!B:E,3,FALSE)</f>
        <v>17000</v>
      </c>
      <c r="AT72" s="120">
        <f>VLOOKUP(AQ72,'E-REF_HNO_pop'!B:E,4,FALSE)</f>
        <v>61537</v>
      </c>
      <c r="AU72" s="136">
        <v>1</v>
      </c>
      <c r="AV72" s="131">
        <v>1</v>
      </c>
      <c r="AW72" s="137">
        <v>1</v>
      </c>
      <c r="AX72" s="189">
        <f t="shared" si="98"/>
        <v>1</v>
      </c>
      <c r="AY72" s="190">
        <f t="shared" si="99"/>
        <v>0</v>
      </c>
      <c r="AZ72" s="190">
        <f t="shared" si="100"/>
        <v>0</v>
      </c>
      <c r="BA72" s="190">
        <f t="shared" si="101"/>
        <v>0</v>
      </c>
      <c r="BB72" s="191">
        <f t="shared" si="102"/>
        <v>0</v>
      </c>
      <c r="BC72" s="151">
        <f t="shared" si="103"/>
        <v>1</v>
      </c>
      <c r="BD72" s="154">
        <v>0</v>
      </c>
      <c r="BE72" s="145">
        <v>0</v>
      </c>
      <c r="BF72" s="146">
        <v>0</v>
      </c>
      <c r="BG72" s="154">
        <f t="shared" si="104"/>
        <v>78537</v>
      </c>
      <c r="BH72" s="145">
        <f t="shared" si="105"/>
        <v>0</v>
      </c>
      <c r="BI72" s="145">
        <f t="shared" si="106"/>
        <v>0</v>
      </c>
      <c r="BJ72" s="145">
        <f t="shared" si="107"/>
        <v>0</v>
      </c>
      <c r="BK72" s="146">
        <f t="shared" si="108"/>
        <v>0</v>
      </c>
      <c r="BL72" s="158"/>
    </row>
    <row r="73" spans="42:64" x14ac:dyDescent="0.35">
      <c r="AP73" s="239"/>
      <c r="AQ73" s="169" t="s">
        <v>106</v>
      </c>
      <c r="AR73" s="119">
        <f>VLOOKUP(AQ73,'E-REF_HNO_pop'!B:E,2,FALSE)</f>
        <v>139718</v>
      </c>
      <c r="AS73" s="114">
        <f>VLOOKUP(AQ73,'E-REF_HNO_pop'!B:E,3,FALSE)</f>
        <v>1000</v>
      </c>
      <c r="AT73" s="120">
        <f>VLOOKUP(AQ73,'E-REF_HNO_pop'!B:E,4,FALSE)</f>
        <v>138718</v>
      </c>
      <c r="AU73" s="136">
        <v>1</v>
      </c>
      <c r="AV73" s="131">
        <v>1</v>
      </c>
      <c r="AW73" s="137">
        <v>1</v>
      </c>
      <c r="AX73" s="189">
        <f t="shared" si="98"/>
        <v>1</v>
      </c>
      <c r="AY73" s="190">
        <f t="shared" si="99"/>
        <v>0</v>
      </c>
      <c r="AZ73" s="190">
        <f t="shared" si="100"/>
        <v>0</v>
      </c>
      <c r="BA73" s="190">
        <f t="shared" si="101"/>
        <v>0</v>
      </c>
      <c r="BB73" s="191">
        <f t="shared" si="102"/>
        <v>0</v>
      </c>
      <c r="BC73" s="151">
        <f t="shared" si="103"/>
        <v>1</v>
      </c>
      <c r="BD73" s="154">
        <v>0</v>
      </c>
      <c r="BE73" s="145">
        <v>0</v>
      </c>
      <c r="BF73" s="146">
        <v>0</v>
      </c>
      <c r="BG73" s="154">
        <f t="shared" si="104"/>
        <v>139718</v>
      </c>
      <c r="BH73" s="145">
        <f t="shared" si="105"/>
        <v>0</v>
      </c>
      <c r="BI73" s="145">
        <f t="shared" si="106"/>
        <v>0</v>
      </c>
      <c r="BJ73" s="145">
        <f t="shared" si="107"/>
        <v>0</v>
      </c>
      <c r="BK73" s="146">
        <f t="shared" si="108"/>
        <v>0</v>
      </c>
      <c r="BL73" s="158"/>
    </row>
    <row r="74" spans="42:64" x14ac:dyDescent="0.35">
      <c r="AP74" s="239"/>
      <c r="AQ74" s="169" t="s">
        <v>108</v>
      </c>
      <c r="AR74" s="119">
        <f>VLOOKUP(AQ74,'E-REF_HNO_pop'!B:E,2,FALSE)</f>
        <v>69298</v>
      </c>
      <c r="AS74" s="114">
        <f>VLOOKUP(AQ74,'E-REF_HNO_pop'!B:E,3,FALSE)</f>
        <v>0</v>
      </c>
      <c r="AT74" s="120">
        <f>VLOOKUP(AQ74,'E-REF_HNO_pop'!B:E,4,FALSE)</f>
        <v>69298</v>
      </c>
      <c r="AU74" s="136">
        <v>1</v>
      </c>
      <c r="AV74" s="131">
        <v>1</v>
      </c>
      <c r="AW74" s="137">
        <v>1</v>
      </c>
      <c r="AX74" s="189">
        <f t="shared" si="98"/>
        <v>1</v>
      </c>
      <c r="AY74" s="190">
        <f t="shared" si="99"/>
        <v>0</v>
      </c>
      <c r="AZ74" s="190">
        <f t="shared" si="100"/>
        <v>0</v>
      </c>
      <c r="BA74" s="190">
        <f t="shared" si="101"/>
        <v>0</v>
      </c>
      <c r="BB74" s="191">
        <f t="shared" si="102"/>
        <v>0</v>
      </c>
      <c r="BC74" s="151">
        <f t="shared" si="103"/>
        <v>1</v>
      </c>
      <c r="BD74" s="154">
        <v>0</v>
      </c>
      <c r="BE74" s="145">
        <v>0</v>
      </c>
      <c r="BF74" s="146">
        <v>0</v>
      </c>
      <c r="BG74" s="154">
        <f t="shared" si="104"/>
        <v>69298</v>
      </c>
      <c r="BH74" s="145">
        <f t="shared" si="105"/>
        <v>0</v>
      </c>
      <c r="BI74" s="145">
        <f t="shared" si="106"/>
        <v>0</v>
      </c>
      <c r="BJ74" s="145">
        <f t="shared" si="107"/>
        <v>0</v>
      </c>
      <c r="BK74" s="146">
        <f t="shared" si="108"/>
        <v>0</v>
      </c>
      <c r="BL74" s="158"/>
    </row>
    <row r="75" spans="42:64" ht="15" thickBot="1" x14ac:dyDescent="0.4">
      <c r="AP75" s="240"/>
      <c r="AQ75" s="170" t="s">
        <v>110</v>
      </c>
      <c r="AR75" s="121">
        <f>VLOOKUP(AQ75,'E-REF_HNO_pop'!B:E,2,FALSE)</f>
        <v>56232</v>
      </c>
      <c r="AS75" s="122">
        <f>VLOOKUP(AQ75,'E-REF_HNO_pop'!B:E,3,FALSE)</f>
        <v>4200</v>
      </c>
      <c r="AT75" s="123">
        <f>VLOOKUP(AQ75,'E-REF_HNO_pop'!B:E,4,FALSE)</f>
        <v>52032</v>
      </c>
      <c r="AU75" s="138">
        <v>1</v>
      </c>
      <c r="AV75" s="132">
        <v>1</v>
      </c>
      <c r="AW75" s="139">
        <v>1</v>
      </c>
      <c r="AX75" s="192">
        <f t="shared" si="98"/>
        <v>1</v>
      </c>
      <c r="AY75" s="193">
        <f t="shared" si="99"/>
        <v>0</v>
      </c>
      <c r="AZ75" s="193">
        <f t="shared" si="100"/>
        <v>0</v>
      </c>
      <c r="BA75" s="193">
        <f t="shared" si="101"/>
        <v>0</v>
      </c>
      <c r="BB75" s="194">
        <f t="shared" si="102"/>
        <v>0</v>
      </c>
      <c r="BC75" s="152">
        <f t="shared" si="103"/>
        <v>1</v>
      </c>
      <c r="BD75" s="155">
        <v>0</v>
      </c>
      <c r="BE75" s="147">
        <v>0</v>
      </c>
      <c r="BF75" s="148">
        <v>0</v>
      </c>
      <c r="BG75" s="155">
        <f t="shared" si="104"/>
        <v>56232</v>
      </c>
      <c r="BH75" s="147">
        <f t="shared" si="105"/>
        <v>0</v>
      </c>
      <c r="BI75" s="147">
        <f t="shared" si="106"/>
        <v>0</v>
      </c>
      <c r="BJ75" s="147">
        <f t="shared" si="107"/>
        <v>0</v>
      </c>
      <c r="BK75" s="148">
        <f t="shared" si="108"/>
        <v>0</v>
      </c>
      <c r="BL75" s="158"/>
    </row>
    <row r="76" spans="42:64" ht="15" thickBot="1" x14ac:dyDescent="0.4">
      <c r="AP76" s="138" t="s">
        <v>15</v>
      </c>
      <c r="AQ76" s="171" t="s">
        <v>15</v>
      </c>
      <c r="AR76" s="172">
        <f>SUM(AR2:AR75)</f>
        <v>15739178</v>
      </c>
      <c r="AS76" s="173">
        <f>SUM(AS2:AS75)</f>
        <v>2967500</v>
      </c>
      <c r="AT76" s="174">
        <f>SUM(AT2:AT75)</f>
        <v>12771678</v>
      </c>
      <c r="AU76" s="172"/>
      <c r="AV76" s="173"/>
      <c r="AW76" s="174"/>
      <c r="AX76" s="172"/>
      <c r="AY76" s="173"/>
      <c r="AZ76" s="173"/>
      <c r="BA76" s="173"/>
      <c r="BB76" s="173"/>
      <c r="BC76" s="175"/>
      <c r="BD76" s="173">
        <f>SUM(BD2:BD75)</f>
        <v>3803872</v>
      </c>
      <c r="BE76" s="173">
        <f>SUM(BE2:BE75)</f>
        <v>1470900</v>
      </c>
      <c r="BF76" s="173">
        <f>SUM(BF2:BF75)</f>
        <v>2332972</v>
      </c>
      <c r="BG76" s="176">
        <f>SUM(BG2:BG75)</f>
        <v>8195043</v>
      </c>
      <c r="BH76" s="177">
        <f t="shared" ref="BH76:BK76" si="109">SUM(BH2:BH75)</f>
        <v>3740263</v>
      </c>
      <c r="BI76" s="177">
        <f t="shared" si="109"/>
        <v>3803872</v>
      </c>
      <c r="BJ76" s="177">
        <f t="shared" si="109"/>
        <v>0</v>
      </c>
      <c r="BK76" s="178">
        <f t="shared" si="109"/>
        <v>0</v>
      </c>
    </row>
  </sheetData>
  <mergeCells count="2">
    <mergeCell ref="AP2:AP33"/>
    <mergeCell ref="AP34:AP7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zoomScale="68" zoomScaleNormal="100" workbookViewId="0">
      <selection sqref="A1:XFD1048576"/>
    </sheetView>
  </sheetViews>
  <sheetFormatPr defaultColWidth="9.1796875" defaultRowHeight="15.5" x14ac:dyDescent="0.35"/>
  <cols>
    <col min="1" max="1" width="18.453125" style="196" bestFit="1" customWidth="1"/>
    <col min="2" max="2" width="16.453125" style="196" bestFit="1" customWidth="1"/>
    <col min="3" max="3" width="28.453125" style="196" customWidth="1"/>
    <col min="4" max="4" width="16.453125" style="196" customWidth="1"/>
    <col min="5" max="5" width="26.1796875" style="196" customWidth="1"/>
    <col min="6" max="6" width="11.36328125" style="196" customWidth="1"/>
    <col min="7" max="9" width="10.81640625" style="196" customWidth="1"/>
    <col min="10" max="10" width="22.453125" style="196" customWidth="1"/>
    <col min="11" max="11" width="12.453125" style="196" customWidth="1"/>
    <col min="12" max="12" width="12.36328125" style="196" customWidth="1"/>
    <col min="13" max="13" width="12" style="196" customWidth="1"/>
    <col min="14" max="14" width="11" style="196" customWidth="1"/>
    <col min="15" max="15" width="23.6328125" style="196" customWidth="1"/>
    <col min="16" max="16" width="12.453125" style="196" customWidth="1"/>
    <col min="17" max="17" width="10.6328125" style="196" customWidth="1"/>
    <col min="18" max="18" width="12" style="196" customWidth="1"/>
    <col min="19" max="19" width="12.1796875" style="196" customWidth="1"/>
    <col min="20" max="20" width="24.81640625" style="196" customWidth="1"/>
    <col min="21" max="21" width="11.453125" style="196" customWidth="1"/>
    <col min="22" max="16384" width="9.1796875" style="196"/>
  </cols>
  <sheetData>
    <row r="1" spans="1:22" ht="21" x14ac:dyDescent="0.5">
      <c r="A1" s="195" t="s">
        <v>289</v>
      </c>
    </row>
    <row r="2" spans="1:22" ht="16" thickBot="1" x14ac:dyDescent="0.4"/>
    <row r="3" spans="1:22" s="197" customFormat="1" x14ac:dyDescent="0.35">
      <c r="F3" s="198" t="s">
        <v>114</v>
      </c>
      <c r="G3" s="199"/>
      <c r="H3" s="199"/>
      <c r="I3" s="199"/>
      <c r="J3" s="200"/>
      <c r="K3" s="198" t="s">
        <v>115</v>
      </c>
      <c r="L3" s="199"/>
      <c r="M3" s="199"/>
      <c r="N3" s="199"/>
      <c r="O3" s="200"/>
      <c r="P3" s="198" t="s">
        <v>116</v>
      </c>
      <c r="Q3" s="199"/>
      <c r="R3" s="199"/>
      <c r="S3" s="199"/>
      <c r="T3" s="200"/>
    </row>
    <row r="4" spans="1:22" s="197" customFormat="1" x14ac:dyDescent="0.35">
      <c r="F4" s="8">
        <v>0.65789749070551218</v>
      </c>
      <c r="G4" s="9">
        <v>0.14783609665133987</v>
      </c>
      <c r="H4" s="9">
        <v>0.15196454550983962</v>
      </c>
      <c r="I4" s="9">
        <v>4.2301867133308323E-2</v>
      </c>
      <c r="J4" s="10">
        <v>1</v>
      </c>
      <c r="K4" s="8">
        <v>0.63288424276901456</v>
      </c>
      <c r="L4" s="9">
        <v>0.16434435852510923</v>
      </c>
      <c r="M4" s="9">
        <v>0.16400780659978531</v>
      </c>
      <c r="N4" s="9">
        <v>3.876359210609092E-2</v>
      </c>
      <c r="O4" s="10">
        <v>1</v>
      </c>
      <c r="P4" s="8">
        <v>0.63825515354824647</v>
      </c>
      <c r="Q4" s="9">
        <v>0.16079966085652547</v>
      </c>
      <c r="R4" s="9">
        <v>0.16142184571340593</v>
      </c>
      <c r="S4" s="9">
        <v>3.9523339881822189E-2</v>
      </c>
      <c r="T4" s="10">
        <v>1</v>
      </c>
    </row>
    <row r="5" spans="1:22" s="197" customFormat="1" ht="16" thickBot="1" x14ac:dyDescent="0.4">
      <c r="F5" s="201">
        <v>1741454</v>
      </c>
      <c r="G5" s="202">
        <v>391322</v>
      </c>
      <c r="H5" s="202">
        <v>402250</v>
      </c>
      <c r="I5" s="202">
        <v>111973</v>
      </c>
      <c r="J5" s="203">
        <v>2646999</v>
      </c>
      <c r="K5" s="201">
        <v>6126653</v>
      </c>
      <c r="L5" s="202">
        <v>1590940</v>
      </c>
      <c r="M5" s="202">
        <v>1587682</v>
      </c>
      <c r="N5" s="202">
        <v>375252</v>
      </c>
      <c r="O5" s="203">
        <v>9680527</v>
      </c>
      <c r="P5" s="201">
        <v>7868107</v>
      </c>
      <c r="Q5" s="202">
        <v>1982262</v>
      </c>
      <c r="R5" s="202">
        <v>1989932</v>
      </c>
      <c r="S5" s="202">
        <v>487225</v>
      </c>
      <c r="T5" s="203">
        <v>12327526</v>
      </c>
    </row>
    <row r="6" spans="1:22" s="210" customFormat="1" ht="16.5" thickTop="1" thickBot="1" x14ac:dyDescent="0.4">
      <c r="A6" s="204" t="s">
        <v>117</v>
      </c>
      <c r="B6" s="204" t="s">
        <v>14</v>
      </c>
      <c r="C6" s="205" t="s">
        <v>118</v>
      </c>
      <c r="D6" s="205" t="s">
        <v>119</v>
      </c>
      <c r="E6" s="205" t="s">
        <v>120</v>
      </c>
      <c r="F6" s="206" t="s">
        <v>121</v>
      </c>
      <c r="G6" s="205" t="s">
        <v>122</v>
      </c>
      <c r="H6" s="205" t="s">
        <v>123</v>
      </c>
      <c r="I6" s="205" t="s">
        <v>124</v>
      </c>
      <c r="J6" s="207" t="s">
        <v>125</v>
      </c>
      <c r="K6" s="206" t="s">
        <v>290</v>
      </c>
      <c r="L6" s="205" t="s">
        <v>291</v>
      </c>
      <c r="M6" s="205" t="s">
        <v>292</v>
      </c>
      <c r="N6" s="205" t="s">
        <v>293</v>
      </c>
      <c r="O6" s="207" t="s">
        <v>294</v>
      </c>
      <c r="P6" s="206" t="s">
        <v>295</v>
      </c>
      <c r="Q6" s="205" t="s">
        <v>296</v>
      </c>
      <c r="R6" s="205" t="s">
        <v>297</v>
      </c>
      <c r="S6" s="205" t="s">
        <v>298</v>
      </c>
      <c r="T6" s="205" t="s">
        <v>299</v>
      </c>
      <c r="U6" s="208"/>
      <c r="V6" s="209"/>
    </row>
    <row r="7" spans="1:22" x14ac:dyDescent="0.35">
      <c r="A7" s="196" t="s">
        <v>140</v>
      </c>
      <c r="B7" s="196" t="s">
        <v>165</v>
      </c>
      <c r="C7" s="211">
        <v>85950</v>
      </c>
      <c r="D7" s="211">
        <v>0</v>
      </c>
      <c r="E7" s="211">
        <v>85950</v>
      </c>
      <c r="F7" s="212">
        <v>0</v>
      </c>
      <c r="G7" s="211">
        <v>0</v>
      </c>
      <c r="H7" s="211">
        <v>0</v>
      </c>
      <c r="I7" s="211">
        <v>0</v>
      </c>
      <c r="J7" s="213">
        <v>0</v>
      </c>
      <c r="K7" s="212">
        <v>53232</v>
      </c>
      <c r="L7" s="211">
        <v>15076</v>
      </c>
      <c r="M7" s="211">
        <v>14796</v>
      </c>
      <c r="N7" s="211">
        <v>2847</v>
      </c>
      <c r="O7" s="213">
        <v>85951</v>
      </c>
      <c r="P7" s="212">
        <v>53232</v>
      </c>
      <c r="Q7" s="211">
        <v>15076</v>
      </c>
      <c r="R7" s="211">
        <v>14796</v>
      </c>
      <c r="S7" s="211">
        <v>2847</v>
      </c>
      <c r="T7" s="213">
        <v>85951</v>
      </c>
      <c r="U7" s="211"/>
      <c r="V7" s="213"/>
    </row>
    <row r="8" spans="1:22" x14ac:dyDescent="0.35">
      <c r="A8" s="196" t="s">
        <v>142</v>
      </c>
      <c r="B8" s="196" t="s">
        <v>25</v>
      </c>
      <c r="C8" s="211">
        <v>472223</v>
      </c>
      <c r="D8" s="211">
        <v>66200</v>
      </c>
      <c r="E8" s="211">
        <v>406023</v>
      </c>
      <c r="F8" s="212">
        <v>38358</v>
      </c>
      <c r="G8" s="211">
        <v>12219</v>
      </c>
      <c r="H8" s="211">
        <v>11307</v>
      </c>
      <c r="I8" s="211">
        <v>4316</v>
      </c>
      <c r="J8" s="213">
        <v>66200</v>
      </c>
      <c r="K8" s="212">
        <v>251463</v>
      </c>
      <c r="L8" s="211">
        <v>71217</v>
      </c>
      <c r="M8" s="211">
        <v>69894</v>
      </c>
      <c r="N8" s="211">
        <v>13450</v>
      </c>
      <c r="O8" s="213">
        <v>406024</v>
      </c>
      <c r="P8" s="212">
        <v>289821</v>
      </c>
      <c r="Q8" s="211">
        <v>83436</v>
      </c>
      <c r="R8" s="211">
        <v>81201</v>
      </c>
      <c r="S8" s="211">
        <v>17766</v>
      </c>
      <c r="T8" s="213">
        <v>472224</v>
      </c>
      <c r="U8" s="211"/>
      <c r="V8" s="213"/>
    </row>
    <row r="9" spans="1:22" x14ac:dyDescent="0.35">
      <c r="A9" s="196" t="s">
        <v>149</v>
      </c>
      <c r="B9" s="196" t="s">
        <v>28</v>
      </c>
      <c r="C9" s="211">
        <v>233519</v>
      </c>
      <c r="D9" s="211">
        <v>2600</v>
      </c>
      <c r="E9" s="211">
        <v>230919</v>
      </c>
      <c r="F9" s="212">
        <v>1507</v>
      </c>
      <c r="G9" s="211">
        <v>480</v>
      </c>
      <c r="H9" s="211">
        <v>444</v>
      </c>
      <c r="I9" s="211">
        <v>170</v>
      </c>
      <c r="J9" s="213">
        <v>2601</v>
      </c>
      <c r="K9" s="212">
        <v>143016</v>
      </c>
      <c r="L9" s="211">
        <v>40503</v>
      </c>
      <c r="M9" s="211">
        <v>39751</v>
      </c>
      <c r="N9" s="211">
        <v>7649</v>
      </c>
      <c r="O9" s="213">
        <v>230919</v>
      </c>
      <c r="P9" s="212">
        <v>144523</v>
      </c>
      <c r="Q9" s="211">
        <v>40983</v>
      </c>
      <c r="R9" s="211">
        <v>40195</v>
      </c>
      <c r="S9" s="211">
        <v>7819</v>
      </c>
      <c r="T9" s="213">
        <v>233520</v>
      </c>
      <c r="U9" s="211"/>
      <c r="V9" s="213"/>
    </row>
    <row r="10" spans="1:22" x14ac:dyDescent="0.35">
      <c r="A10" s="196" t="s">
        <v>146</v>
      </c>
      <c r="B10" s="196" t="s">
        <v>31</v>
      </c>
      <c r="C10" s="211">
        <v>172267</v>
      </c>
      <c r="D10" s="211">
        <v>18400</v>
      </c>
      <c r="E10" s="211">
        <v>153867</v>
      </c>
      <c r="F10" s="212">
        <v>10662</v>
      </c>
      <c r="G10" s="211">
        <v>3396</v>
      </c>
      <c r="H10" s="211">
        <v>3143</v>
      </c>
      <c r="I10" s="211">
        <v>1200</v>
      </c>
      <c r="J10" s="213">
        <v>18401</v>
      </c>
      <c r="K10" s="212">
        <v>95295</v>
      </c>
      <c r="L10" s="211">
        <v>26988</v>
      </c>
      <c r="M10" s="211">
        <v>26487</v>
      </c>
      <c r="N10" s="211">
        <v>5097</v>
      </c>
      <c r="O10" s="213">
        <v>153867</v>
      </c>
      <c r="P10" s="212">
        <v>105957</v>
      </c>
      <c r="Q10" s="211">
        <v>30384</v>
      </c>
      <c r="R10" s="211">
        <v>29630</v>
      </c>
      <c r="S10" s="211">
        <v>6297</v>
      </c>
      <c r="T10" s="213">
        <v>172268</v>
      </c>
      <c r="U10" s="211"/>
      <c r="V10" s="213"/>
    </row>
    <row r="11" spans="1:22" x14ac:dyDescent="0.35">
      <c r="A11" s="196" t="s">
        <v>149</v>
      </c>
      <c r="B11" s="196" t="s">
        <v>33</v>
      </c>
      <c r="C11" s="211">
        <v>71363</v>
      </c>
      <c r="D11" s="211">
        <v>2000</v>
      </c>
      <c r="E11" s="211">
        <v>69363</v>
      </c>
      <c r="F11" s="212">
        <v>1113</v>
      </c>
      <c r="G11" s="211">
        <v>399</v>
      </c>
      <c r="H11" s="211">
        <v>373</v>
      </c>
      <c r="I11" s="211">
        <v>115</v>
      </c>
      <c r="J11" s="213">
        <v>2000</v>
      </c>
      <c r="K11" s="212">
        <v>40590</v>
      </c>
      <c r="L11" s="211">
        <v>13752</v>
      </c>
      <c r="M11" s="211">
        <v>13359</v>
      </c>
      <c r="N11" s="211">
        <v>1662</v>
      </c>
      <c r="O11" s="213">
        <v>69363</v>
      </c>
      <c r="P11" s="212">
        <v>41703</v>
      </c>
      <c r="Q11" s="211">
        <v>14151</v>
      </c>
      <c r="R11" s="211">
        <v>13732</v>
      </c>
      <c r="S11" s="211">
        <v>1777</v>
      </c>
      <c r="T11" s="213">
        <v>71363</v>
      </c>
      <c r="U11" s="211"/>
      <c r="V11" s="213"/>
    </row>
    <row r="12" spans="1:22" x14ac:dyDescent="0.35">
      <c r="A12" s="196" t="s">
        <v>143</v>
      </c>
      <c r="B12" s="196" t="s">
        <v>35</v>
      </c>
      <c r="C12" s="211">
        <v>620749</v>
      </c>
      <c r="D12" s="211">
        <v>454200</v>
      </c>
      <c r="E12" s="211">
        <v>166549</v>
      </c>
      <c r="F12" s="212">
        <v>252758</v>
      </c>
      <c r="G12" s="211">
        <v>90622</v>
      </c>
      <c r="H12" s="211">
        <v>84617</v>
      </c>
      <c r="I12" s="211">
        <v>26204</v>
      </c>
      <c r="J12" s="213">
        <v>454201</v>
      </c>
      <c r="K12" s="212">
        <v>97462</v>
      </c>
      <c r="L12" s="211">
        <v>33020</v>
      </c>
      <c r="M12" s="211">
        <v>32076</v>
      </c>
      <c r="N12" s="211">
        <v>3991</v>
      </c>
      <c r="O12" s="213">
        <v>166549</v>
      </c>
      <c r="P12" s="212">
        <v>350220</v>
      </c>
      <c r="Q12" s="211">
        <v>123642</v>
      </c>
      <c r="R12" s="211">
        <v>116693</v>
      </c>
      <c r="S12" s="211">
        <v>30195</v>
      </c>
      <c r="T12" s="213">
        <v>620750</v>
      </c>
      <c r="U12" s="211"/>
      <c r="V12" s="213"/>
    </row>
    <row r="13" spans="1:22" x14ac:dyDescent="0.35">
      <c r="A13" s="196" t="s">
        <v>126</v>
      </c>
      <c r="B13" s="196" t="s">
        <v>38</v>
      </c>
      <c r="C13" s="211">
        <v>55939</v>
      </c>
      <c r="D13" s="211">
        <v>2700</v>
      </c>
      <c r="E13" s="211">
        <v>53239</v>
      </c>
      <c r="F13" s="212">
        <v>1503</v>
      </c>
      <c r="G13" s="211">
        <v>539</v>
      </c>
      <c r="H13" s="211">
        <v>503</v>
      </c>
      <c r="I13" s="211">
        <v>156</v>
      </c>
      <c r="J13" s="213">
        <v>2701</v>
      </c>
      <c r="K13" s="212">
        <v>31155</v>
      </c>
      <c r="L13" s="211">
        <v>10555</v>
      </c>
      <c r="M13" s="211">
        <v>10253</v>
      </c>
      <c r="N13" s="211">
        <v>1276</v>
      </c>
      <c r="O13" s="213">
        <v>53239</v>
      </c>
      <c r="P13" s="212">
        <v>32658</v>
      </c>
      <c r="Q13" s="211">
        <v>11094</v>
      </c>
      <c r="R13" s="211">
        <v>10756</v>
      </c>
      <c r="S13" s="211">
        <v>1432</v>
      </c>
      <c r="T13" s="213">
        <v>55940</v>
      </c>
      <c r="U13" s="211"/>
      <c r="V13" s="213"/>
    </row>
    <row r="14" spans="1:22" x14ac:dyDescent="0.35">
      <c r="A14" s="196" t="s">
        <v>140</v>
      </c>
      <c r="B14" s="196" t="s">
        <v>40</v>
      </c>
      <c r="C14" s="211">
        <v>334620</v>
      </c>
      <c r="D14" s="211">
        <v>61500</v>
      </c>
      <c r="E14" s="211">
        <v>273120</v>
      </c>
      <c r="F14" s="212">
        <v>37728</v>
      </c>
      <c r="G14" s="211">
        <v>10809</v>
      </c>
      <c r="H14" s="211">
        <v>10911</v>
      </c>
      <c r="I14" s="211">
        <v>2052</v>
      </c>
      <c r="J14" s="213">
        <v>61500</v>
      </c>
      <c r="K14" s="212">
        <v>173266</v>
      </c>
      <c r="L14" s="211">
        <v>45703</v>
      </c>
      <c r="M14" s="211">
        <v>48153</v>
      </c>
      <c r="N14" s="211">
        <v>5998</v>
      </c>
      <c r="O14" s="213">
        <v>273120</v>
      </c>
      <c r="P14" s="212">
        <v>210994</v>
      </c>
      <c r="Q14" s="211">
        <v>56512</v>
      </c>
      <c r="R14" s="211">
        <v>59064</v>
      </c>
      <c r="S14" s="211">
        <v>8050</v>
      </c>
      <c r="T14" s="213">
        <v>334620</v>
      </c>
      <c r="U14" s="211"/>
      <c r="V14" s="213"/>
    </row>
    <row r="15" spans="1:22" x14ac:dyDescent="0.35">
      <c r="A15" s="196" t="s">
        <v>43</v>
      </c>
      <c r="B15" s="196" t="s">
        <v>43</v>
      </c>
      <c r="C15" s="211">
        <v>2683312</v>
      </c>
      <c r="D15" s="211">
        <v>904000</v>
      </c>
      <c r="E15" s="211">
        <v>1779312</v>
      </c>
      <c r="F15" s="212">
        <v>554567</v>
      </c>
      <c r="G15" s="211">
        <v>158879</v>
      </c>
      <c r="H15" s="211">
        <v>160387</v>
      </c>
      <c r="I15" s="211">
        <v>30167</v>
      </c>
      <c r="J15" s="213">
        <v>904000</v>
      </c>
      <c r="K15" s="212">
        <v>1128787</v>
      </c>
      <c r="L15" s="211">
        <v>297744</v>
      </c>
      <c r="M15" s="211">
        <v>313705</v>
      </c>
      <c r="N15" s="211">
        <v>39076</v>
      </c>
      <c r="O15" s="213">
        <v>1779312</v>
      </c>
      <c r="P15" s="212">
        <v>1683354</v>
      </c>
      <c r="Q15" s="211">
        <v>456623</v>
      </c>
      <c r="R15" s="211">
        <v>474092</v>
      </c>
      <c r="S15" s="211">
        <v>69243</v>
      </c>
      <c r="T15" s="213">
        <v>2683312</v>
      </c>
      <c r="U15" s="211"/>
      <c r="V15" s="213"/>
    </row>
    <row r="16" spans="1:22" x14ac:dyDescent="0.35">
      <c r="A16" s="196" t="s">
        <v>131</v>
      </c>
      <c r="B16" s="196" t="s">
        <v>132</v>
      </c>
      <c r="C16" s="211">
        <v>42436</v>
      </c>
      <c r="D16" s="211">
        <v>2000</v>
      </c>
      <c r="E16" s="211">
        <v>40436</v>
      </c>
      <c r="F16" s="212">
        <v>1227</v>
      </c>
      <c r="G16" s="211">
        <v>352</v>
      </c>
      <c r="H16" s="211">
        <v>355</v>
      </c>
      <c r="I16" s="211">
        <v>67</v>
      </c>
      <c r="J16" s="213">
        <v>2001</v>
      </c>
      <c r="K16" s="212">
        <v>25652</v>
      </c>
      <c r="L16" s="211">
        <v>6766</v>
      </c>
      <c r="M16" s="211">
        <v>7129</v>
      </c>
      <c r="N16" s="211">
        <v>888</v>
      </c>
      <c r="O16" s="213">
        <v>40435</v>
      </c>
      <c r="P16" s="212">
        <v>26879</v>
      </c>
      <c r="Q16" s="211">
        <v>7118</v>
      </c>
      <c r="R16" s="211">
        <v>7484</v>
      </c>
      <c r="S16" s="211">
        <v>955</v>
      </c>
      <c r="T16" s="213">
        <v>42436</v>
      </c>
      <c r="U16" s="211"/>
      <c r="V16" s="213"/>
    </row>
    <row r="17" spans="1:22" x14ac:dyDescent="0.35">
      <c r="A17" s="196" t="s">
        <v>142</v>
      </c>
      <c r="B17" s="196" t="s">
        <v>47</v>
      </c>
      <c r="C17" s="211">
        <v>54775</v>
      </c>
      <c r="D17" s="211">
        <v>4400</v>
      </c>
      <c r="E17" s="211">
        <v>50375</v>
      </c>
      <c r="F17" s="212">
        <v>2699</v>
      </c>
      <c r="G17" s="211">
        <v>773</v>
      </c>
      <c r="H17" s="211">
        <v>781</v>
      </c>
      <c r="I17" s="211">
        <v>147</v>
      </c>
      <c r="J17" s="213">
        <v>4400</v>
      </c>
      <c r="K17" s="212">
        <v>31958</v>
      </c>
      <c r="L17" s="211">
        <v>8430</v>
      </c>
      <c r="M17" s="211">
        <v>8881</v>
      </c>
      <c r="N17" s="211">
        <v>1106</v>
      </c>
      <c r="O17" s="213">
        <v>50375</v>
      </c>
      <c r="P17" s="212">
        <v>34657</v>
      </c>
      <c r="Q17" s="211">
        <v>9203</v>
      </c>
      <c r="R17" s="211">
        <v>9662</v>
      </c>
      <c r="S17" s="211">
        <v>1253</v>
      </c>
      <c r="T17" s="213">
        <v>54775</v>
      </c>
      <c r="U17" s="211"/>
      <c r="V17" s="213"/>
    </row>
    <row r="18" spans="1:22" x14ac:dyDescent="0.35">
      <c r="A18" s="196" t="s">
        <v>139</v>
      </c>
      <c r="B18" s="196" t="s">
        <v>157</v>
      </c>
      <c r="C18" s="211">
        <v>287761</v>
      </c>
      <c r="D18" s="211">
        <v>80100</v>
      </c>
      <c r="E18" s="211">
        <v>207661</v>
      </c>
      <c r="F18" s="212">
        <v>53101</v>
      </c>
      <c r="G18" s="211">
        <v>12503</v>
      </c>
      <c r="H18" s="211">
        <v>12628</v>
      </c>
      <c r="I18" s="211">
        <v>1868</v>
      </c>
      <c r="J18" s="213">
        <v>80100</v>
      </c>
      <c r="K18" s="212">
        <v>129135</v>
      </c>
      <c r="L18" s="211">
        <v>37119</v>
      </c>
      <c r="M18" s="211">
        <v>35325</v>
      </c>
      <c r="N18" s="211">
        <v>6082</v>
      </c>
      <c r="O18" s="213">
        <v>207661</v>
      </c>
      <c r="P18" s="212">
        <v>182236</v>
      </c>
      <c r="Q18" s="211">
        <v>49622</v>
      </c>
      <c r="R18" s="211">
        <v>47953</v>
      </c>
      <c r="S18" s="211">
        <v>7950</v>
      </c>
      <c r="T18" s="213">
        <v>287761</v>
      </c>
      <c r="U18" s="211"/>
      <c r="V18" s="213"/>
    </row>
    <row r="19" spans="1:22" x14ac:dyDescent="0.35">
      <c r="A19" s="196" t="s">
        <v>146</v>
      </c>
      <c r="B19" s="196" t="s">
        <v>154</v>
      </c>
      <c r="C19" s="211">
        <v>146573</v>
      </c>
      <c r="D19" s="211">
        <v>12400</v>
      </c>
      <c r="E19" s="211">
        <v>134173</v>
      </c>
      <c r="F19" s="212">
        <v>8220</v>
      </c>
      <c r="G19" s="211">
        <v>1936</v>
      </c>
      <c r="H19" s="211">
        <v>1955</v>
      </c>
      <c r="I19" s="211">
        <v>289</v>
      </c>
      <c r="J19" s="213">
        <v>12400</v>
      </c>
      <c r="K19" s="212">
        <v>83436</v>
      </c>
      <c r="L19" s="211">
        <v>23983</v>
      </c>
      <c r="M19" s="211">
        <v>22824</v>
      </c>
      <c r="N19" s="211">
        <v>3930</v>
      </c>
      <c r="O19" s="213">
        <v>134173</v>
      </c>
      <c r="P19" s="212">
        <v>91656</v>
      </c>
      <c r="Q19" s="211">
        <v>25919</v>
      </c>
      <c r="R19" s="211">
        <v>24779</v>
      </c>
      <c r="S19" s="211">
        <v>4219</v>
      </c>
      <c r="T19" s="213">
        <v>146573</v>
      </c>
      <c r="U19" s="211"/>
      <c r="V19" s="213"/>
    </row>
    <row r="20" spans="1:22" x14ac:dyDescent="0.35">
      <c r="A20" s="196" t="s">
        <v>127</v>
      </c>
      <c r="B20" s="196" t="s">
        <v>52</v>
      </c>
      <c r="C20" s="211">
        <v>160710</v>
      </c>
      <c r="D20" s="211">
        <v>25800</v>
      </c>
      <c r="E20" s="211">
        <v>134910</v>
      </c>
      <c r="F20" s="212">
        <v>17104</v>
      </c>
      <c r="G20" s="211">
        <v>4027</v>
      </c>
      <c r="H20" s="211">
        <v>4067</v>
      </c>
      <c r="I20" s="211">
        <v>602</v>
      </c>
      <c r="J20" s="213">
        <v>25800</v>
      </c>
      <c r="K20" s="212">
        <v>83894</v>
      </c>
      <c r="L20" s="211">
        <v>24115</v>
      </c>
      <c r="M20" s="211">
        <v>22949</v>
      </c>
      <c r="N20" s="211">
        <v>3952</v>
      </c>
      <c r="O20" s="213">
        <v>134910</v>
      </c>
      <c r="P20" s="212">
        <v>100998</v>
      </c>
      <c r="Q20" s="211">
        <v>28142</v>
      </c>
      <c r="R20" s="211">
        <v>27016</v>
      </c>
      <c r="S20" s="211">
        <v>4554</v>
      </c>
      <c r="T20" s="213">
        <v>160710</v>
      </c>
      <c r="U20" s="211"/>
      <c r="V20" s="213"/>
    </row>
    <row r="21" spans="1:22" x14ac:dyDescent="0.35">
      <c r="A21" s="196" t="s">
        <v>126</v>
      </c>
      <c r="B21" s="196" t="s">
        <v>54</v>
      </c>
      <c r="C21" s="211">
        <v>365171</v>
      </c>
      <c r="D21" s="211">
        <v>12600</v>
      </c>
      <c r="E21" s="211">
        <v>352571</v>
      </c>
      <c r="F21" s="212">
        <v>8353</v>
      </c>
      <c r="G21" s="211">
        <v>1967</v>
      </c>
      <c r="H21" s="211">
        <v>1986</v>
      </c>
      <c r="I21" s="211">
        <v>294</v>
      </c>
      <c r="J21" s="213">
        <v>12600</v>
      </c>
      <c r="K21" s="212">
        <v>219248</v>
      </c>
      <c r="L21" s="211">
        <v>63021</v>
      </c>
      <c r="M21" s="211">
        <v>59975</v>
      </c>
      <c r="N21" s="211">
        <v>10327</v>
      </c>
      <c r="O21" s="213">
        <v>352571</v>
      </c>
      <c r="P21" s="212">
        <v>227601</v>
      </c>
      <c r="Q21" s="211">
        <v>64988</v>
      </c>
      <c r="R21" s="211">
        <v>61961</v>
      </c>
      <c r="S21" s="211">
        <v>10621</v>
      </c>
      <c r="T21" s="213">
        <v>365171</v>
      </c>
      <c r="U21" s="211"/>
      <c r="V21" s="213"/>
    </row>
    <row r="22" spans="1:22" x14ac:dyDescent="0.35">
      <c r="A22" s="196" t="s">
        <v>131</v>
      </c>
      <c r="B22" s="196" t="s">
        <v>56</v>
      </c>
      <c r="C22" s="211">
        <v>671363</v>
      </c>
      <c r="D22" s="211">
        <v>132200</v>
      </c>
      <c r="E22" s="211">
        <v>539163</v>
      </c>
      <c r="F22" s="212">
        <v>87001</v>
      </c>
      <c r="G22" s="211">
        <v>18435</v>
      </c>
      <c r="H22" s="211">
        <v>19729</v>
      </c>
      <c r="I22" s="211">
        <v>7034</v>
      </c>
      <c r="J22" s="213">
        <v>132199</v>
      </c>
      <c r="K22" s="212">
        <v>336977</v>
      </c>
      <c r="L22" s="211">
        <v>87778</v>
      </c>
      <c r="M22" s="211">
        <v>91723</v>
      </c>
      <c r="N22" s="211">
        <v>22684</v>
      </c>
      <c r="O22" s="213">
        <v>539162</v>
      </c>
      <c r="P22" s="212">
        <v>423978</v>
      </c>
      <c r="Q22" s="211">
        <v>106213</v>
      </c>
      <c r="R22" s="211">
        <v>111452</v>
      </c>
      <c r="S22" s="211">
        <v>29718</v>
      </c>
      <c r="T22" s="213">
        <v>671361</v>
      </c>
      <c r="U22" s="211"/>
      <c r="V22" s="213"/>
    </row>
    <row r="23" spans="1:22" x14ac:dyDescent="0.35">
      <c r="A23" s="196" t="s">
        <v>148</v>
      </c>
      <c r="B23" s="196" t="s">
        <v>164</v>
      </c>
      <c r="C23" s="211">
        <v>126355</v>
      </c>
      <c r="D23" s="211">
        <v>9000</v>
      </c>
      <c r="E23" s="211">
        <v>117355</v>
      </c>
      <c r="F23" s="212">
        <v>5923</v>
      </c>
      <c r="G23" s="211">
        <v>1255</v>
      </c>
      <c r="H23" s="211">
        <v>1343</v>
      </c>
      <c r="I23" s="211">
        <v>479</v>
      </c>
      <c r="J23" s="213">
        <v>9000</v>
      </c>
      <c r="K23" s="212">
        <v>73347</v>
      </c>
      <c r="L23" s="211">
        <v>19106</v>
      </c>
      <c r="M23" s="211">
        <v>19965</v>
      </c>
      <c r="N23" s="211">
        <v>4937</v>
      </c>
      <c r="O23" s="213">
        <v>117355</v>
      </c>
      <c r="P23" s="212">
        <v>79270</v>
      </c>
      <c r="Q23" s="211">
        <v>20361</v>
      </c>
      <c r="R23" s="211">
        <v>21308</v>
      </c>
      <c r="S23" s="211">
        <v>5416</v>
      </c>
      <c r="T23" s="213">
        <v>126355</v>
      </c>
      <c r="U23" s="211"/>
      <c r="V23" s="213"/>
    </row>
    <row r="24" spans="1:22" x14ac:dyDescent="0.35">
      <c r="A24" s="196" t="s">
        <v>139</v>
      </c>
      <c r="B24" s="196" t="s">
        <v>160</v>
      </c>
      <c r="C24" s="211">
        <v>85206</v>
      </c>
      <c r="D24" s="211">
        <v>3600</v>
      </c>
      <c r="E24" s="211">
        <v>81606</v>
      </c>
      <c r="F24" s="212">
        <v>2369</v>
      </c>
      <c r="G24" s="211">
        <v>502</v>
      </c>
      <c r="H24" s="211">
        <v>537</v>
      </c>
      <c r="I24" s="211">
        <v>192</v>
      </c>
      <c r="J24" s="213">
        <v>3600</v>
      </c>
      <c r="K24" s="212">
        <v>51004</v>
      </c>
      <c r="L24" s="211">
        <v>13286</v>
      </c>
      <c r="M24" s="211">
        <v>13883</v>
      </c>
      <c r="N24" s="211">
        <v>3433</v>
      </c>
      <c r="O24" s="213">
        <v>81606</v>
      </c>
      <c r="P24" s="212">
        <v>53373</v>
      </c>
      <c r="Q24" s="211">
        <v>13788</v>
      </c>
      <c r="R24" s="211">
        <v>14420</v>
      </c>
      <c r="S24" s="211">
        <v>3625</v>
      </c>
      <c r="T24" s="213">
        <v>85206</v>
      </c>
      <c r="U24" s="211"/>
      <c r="V24" s="213"/>
    </row>
    <row r="25" spans="1:22" x14ac:dyDescent="0.35">
      <c r="A25" s="196" t="s">
        <v>128</v>
      </c>
      <c r="B25" s="196" t="s">
        <v>62</v>
      </c>
      <c r="C25" s="211">
        <v>440319</v>
      </c>
      <c r="D25" s="211">
        <v>65300</v>
      </c>
      <c r="E25" s="211">
        <v>375019</v>
      </c>
      <c r="F25" s="212">
        <v>40860</v>
      </c>
      <c r="G25" s="211">
        <v>10358</v>
      </c>
      <c r="H25" s="211">
        <v>10263</v>
      </c>
      <c r="I25" s="211">
        <v>3819</v>
      </c>
      <c r="J25" s="213">
        <v>65300</v>
      </c>
      <c r="K25" s="212">
        <v>233948</v>
      </c>
      <c r="L25" s="211">
        <v>65633</v>
      </c>
      <c r="M25" s="211">
        <v>68833</v>
      </c>
      <c r="N25" s="211">
        <v>6605</v>
      </c>
      <c r="O25" s="213">
        <v>375019</v>
      </c>
      <c r="P25" s="212">
        <v>274808</v>
      </c>
      <c r="Q25" s="211">
        <v>75991</v>
      </c>
      <c r="R25" s="211">
        <v>79096</v>
      </c>
      <c r="S25" s="211">
        <v>10424</v>
      </c>
      <c r="T25" s="213">
        <v>440319</v>
      </c>
      <c r="U25" s="211"/>
      <c r="V25" s="213"/>
    </row>
    <row r="26" spans="1:22" x14ac:dyDescent="0.35">
      <c r="A26" s="196" t="s">
        <v>133</v>
      </c>
      <c r="B26" s="196" t="s">
        <v>64</v>
      </c>
      <c r="C26" s="211">
        <v>110183</v>
      </c>
      <c r="D26" s="211">
        <v>2400</v>
      </c>
      <c r="E26" s="211">
        <v>107783</v>
      </c>
      <c r="F26" s="212">
        <v>1502</v>
      </c>
      <c r="G26" s="211">
        <v>381</v>
      </c>
      <c r="H26" s="211">
        <v>377</v>
      </c>
      <c r="I26" s="211">
        <v>140</v>
      </c>
      <c r="J26" s="213">
        <v>2400</v>
      </c>
      <c r="K26" s="212">
        <v>67238</v>
      </c>
      <c r="L26" s="211">
        <v>18864</v>
      </c>
      <c r="M26" s="211">
        <v>19783</v>
      </c>
      <c r="N26" s="211">
        <v>1898</v>
      </c>
      <c r="O26" s="213">
        <v>107783</v>
      </c>
      <c r="P26" s="212">
        <v>68740</v>
      </c>
      <c r="Q26" s="211">
        <v>19245</v>
      </c>
      <c r="R26" s="211">
        <v>20160</v>
      </c>
      <c r="S26" s="211">
        <v>2038</v>
      </c>
      <c r="T26" s="213">
        <v>110183</v>
      </c>
      <c r="U26" s="211"/>
      <c r="V26" s="213"/>
    </row>
    <row r="27" spans="1:22" x14ac:dyDescent="0.35">
      <c r="A27" s="196" t="s">
        <v>128</v>
      </c>
      <c r="B27" s="196" t="s">
        <v>67</v>
      </c>
      <c r="C27" s="211">
        <v>82400</v>
      </c>
      <c r="D27" s="211">
        <v>50700</v>
      </c>
      <c r="E27" s="211">
        <v>31700</v>
      </c>
      <c r="F27" s="212">
        <v>31725</v>
      </c>
      <c r="G27" s="211">
        <v>8042</v>
      </c>
      <c r="H27" s="211">
        <v>7968</v>
      </c>
      <c r="I27" s="211">
        <v>2965</v>
      </c>
      <c r="J27" s="213">
        <v>50700</v>
      </c>
      <c r="K27" s="212">
        <v>19775</v>
      </c>
      <c r="L27" s="211">
        <v>5548</v>
      </c>
      <c r="M27" s="211">
        <v>5818</v>
      </c>
      <c r="N27" s="211">
        <v>558</v>
      </c>
      <c r="O27" s="213">
        <v>31699</v>
      </c>
      <c r="P27" s="212">
        <v>51500</v>
      </c>
      <c r="Q27" s="211">
        <v>13590</v>
      </c>
      <c r="R27" s="211">
        <v>13786</v>
      </c>
      <c r="S27" s="211">
        <v>3523</v>
      </c>
      <c r="T27" s="213">
        <v>82399</v>
      </c>
      <c r="U27" s="211"/>
      <c r="V27" s="213"/>
    </row>
    <row r="28" spans="1:22" x14ac:dyDescent="0.35">
      <c r="A28" s="196" t="s">
        <v>143</v>
      </c>
      <c r="B28" s="196" t="s">
        <v>161</v>
      </c>
      <c r="C28" s="211">
        <v>172803</v>
      </c>
      <c r="D28" s="211">
        <v>0</v>
      </c>
      <c r="E28" s="211">
        <v>172803</v>
      </c>
      <c r="F28" s="212">
        <v>0</v>
      </c>
      <c r="G28" s="211">
        <v>0</v>
      </c>
      <c r="H28" s="211">
        <v>0</v>
      </c>
      <c r="I28" s="211">
        <v>0</v>
      </c>
      <c r="J28" s="213">
        <v>0</v>
      </c>
      <c r="K28" s="212">
        <v>107800</v>
      </c>
      <c r="L28" s="211">
        <v>30243</v>
      </c>
      <c r="M28" s="211">
        <v>31717</v>
      </c>
      <c r="N28" s="211">
        <v>3043</v>
      </c>
      <c r="O28" s="213">
        <v>172803</v>
      </c>
      <c r="P28" s="212">
        <v>107800</v>
      </c>
      <c r="Q28" s="211">
        <v>30243</v>
      </c>
      <c r="R28" s="211">
        <v>31717</v>
      </c>
      <c r="S28" s="211">
        <v>3043</v>
      </c>
      <c r="T28" s="213">
        <v>172803</v>
      </c>
      <c r="U28" s="211"/>
      <c r="V28" s="213"/>
    </row>
    <row r="29" spans="1:22" x14ac:dyDescent="0.35">
      <c r="A29" s="196" t="s">
        <v>137</v>
      </c>
      <c r="B29" s="196" t="s">
        <v>72</v>
      </c>
      <c r="C29" s="211">
        <v>179424</v>
      </c>
      <c r="D29" s="211">
        <v>6200</v>
      </c>
      <c r="E29" s="211">
        <v>173224</v>
      </c>
      <c r="F29" s="212">
        <v>3880</v>
      </c>
      <c r="G29" s="211">
        <v>983</v>
      </c>
      <c r="H29" s="211">
        <v>974</v>
      </c>
      <c r="I29" s="211">
        <v>363</v>
      </c>
      <c r="J29" s="213">
        <v>6200</v>
      </c>
      <c r="K29" s="212">
        <v>108062</v>
      </c>
      <c r="L29" s="211">
        <v>30317</v>
      </c>
      <c r="M29" s="211">
        <v>31794</v>
      </c>
      <c r="N29" s="211">
        <v>3051</v>
      </c>
      <c r="O29" s="213">
        <v>173224</v>
      </c>
      <c r="P29" s="212">
        <v>111942</v>
      </c>
      <c r="Q29" s="211">
        <v>31300</v>
      </c>
      <c r="R29" s="211">
        <v>32768</v>
      </c>
      <c r="S29" s="211">
        <v>3414</v>
      </c>
      <c r="T29" s="213">
        <v>179424</v>
      </c>
      <c r="U29" s="211"/>
      <c r="V29" s="213"/>
    </row>
    <row r="30" spans="1:22" x14ac:dyDescent="0.35">
      <c r="A30" s="196" t="s">
        <v>137</v>
      </c>
      <c r="B30" s="196" t="s">
        <v>74</v>
      </c>
      <c r="C30" s="211">
        <v>115132</v>
      </c>
      <c r="D30" s="211">
        <v>15600</v>
      </c>
      <c r="E30" s="211">
        <v>99532</v>
      </c>
      <c r="F30" s="212">
        <v>9761</v>
      </c>
      <c r="G30" s="211">
        <v>2475</v>
      </c>
      <c r="H30" s="211">
        <v>2452</v>
      </c>
      <c r="I30" s="211">
        <v>912</v>
      </c>
      <c r="J30" s="213">
        <v>15600</v>
      </c>
      <c r="K30" s="212">
        <v>62091</v>
      </c>
      <c r="L30" s="211">
        <v>17419</v>
      </c>
      <c r="M30" s="211">
        <v>18269</v>
      </c>
      <c r="N30" s="211">
        <v>1753</v>
      </c>
      <c r="O30" s="213">
        <v>99532</v>
      </c>
      <c r="P30" s="212">
        <v>71852</v>
      </c>
      <c r="Q30" s="211">
        <v>19894</v>
      </c>
      <c r="R30" s="211">
        <v>20721</v>
      </c>
      <c r="S30" s="211">
        <v>2665</v>
      </c>
      <c r="T30" s="213">
        <v>115132</v>
      </c>
      <c r="U30" s="211"/>
      <c r="V30" s="213"/>
    </row>
    <row r="31" spans="1:22" x14ac:dyDescent="0.35">
      <c r="A31" s="196" t="s">
        <v>140</v>
      </c>
      <c r="B31" s="196" t="s">
        <v>76</v>
      </c>
      <c r="C31" s="211">
        <v>70925</v>
      </c>
      <c r="D31" s="211">
        <v>1500</v>
      </c>
      <c r="E31" s="211">
        <v>69425</v>
      </c>
      <c r="F31" s="212">
        <v>1009</v>
      </c>
      <c r="G31" s="211">
        <v>213</v>
      </c>
      <c r="H31" s="211">
        <v>237</v>
      </c>
      <c r="I31" s="211">
        <v>41</v>
      </c>
      <c r="J31" s="213">
        <v>1500</v>
      </c>
      <c r="K31" s="212">
        <v>44875</v>
      </c>
      <c r="L31" s="211">
        <v>10745</v>
      </c>
      <c r="M31" s="211">
        <v>11477</v>
      </c>
      <c r="N31" s="211">
        <v>2329</v>
      </c>
      <c r="O31" s="213">
        <v>69426</v>
      </c>
      <c r="P31" s="212">
        <v>45884</v>
      </c>
      <c r="Q31" s="211">
        <v>10958</v>
      </c>
      <c r="R31" s="211">
        <v>11714</v>
      </c>
      <c r="S31" s="211">
        <v>2370</v>
      </c>
      <c r="T31" s="213">
        <v>70926</v>
      </c>
      <c r="U31" s="211"/>
      <c r="V31" s="213"/>
    </row>
    <row r="32" spans="1:22" x14ac:dyDescent="0.35">
      <c r="A32" s="196" t="s">
        <v>131</v>
      </c>
      <c r="B32" s="196" t="s">
        <v>77</v>
      </c>
      <c r="C32" s="211">
        <v>80843</v>
      </c>
      <c r="D32" s="211">
        <v>11000</v>
      </c>
      <c r="E32" s="211">
        <v>69843</v>
      </c>
      <c r="F32" s="212">
        <v>7401</v>
      </c>
      <c r="G32" s="211">
        <v>1562</v>
      </c>
      <c r="H32" s="211">
        <v>1735</v>
      </c>
      <c r="I32" s="211">
        <v>302</v>
      </c>
      <c r="J32" s="213">
        <v>11000</v>
      </c>
      <c r="K32" s="212">
        <v>45145</v>
      </c>
      <c r="L32" s="211">
        <v>10809</v>
      </c>
      <c r="M32" s="211">
        <v>11546</v>
      </c>
      <c r="N32" s="211">
        <v>2343</v>
      </c>
      <c r="O32" s="213">
        <v>69843</v>
      </c>
      <c r="P32" s="212">
        <v>52546</v>
      </c>
      <c r="Q32" s="211">
        <v>12371</v>
      </c>
      <c r="R32" s="211">
        <v>13281</v>
      </c>
      <c r="S32" s="211">
        <v>2645</v>
      </c>
      <c r="T32" s="213">
        <v>80843</v>
      </c>
      <c r="U32" s="211"/>
      <c r="V32" s="213"/>
    </row>
    <row r="33" spans="1:22" x14ac:dyDescent="0.35">
      <c r="A33" s="196" t="s">
        <v>129</v>
      </c>
      <c r="B33" s="196" t="s">
        <v>78</v>
      </c>
      <c r="C33" s="211">
        <v>81380</v>
      </c>
      <c r="D33" s="211">
        <v>19900</v>
      </c>
      <c r="E33" s="211">
        <v>61480</v>
      </c>
      <c r="F33" s="212">
        <v>13388</v>
      </c>
      <c r="G33" s="211">
        <v>2826</v>
      </c>
      <c r="H33" s="211">
        <v>3139</v>
      </c>
      <c r="I33" s="211">
        <v>547</v>
      </c>
      <c r="J33" s="213">
        <v>19900</v>
      </c>
      <c r="K33" s="212">
        <v>39740</v>
      </c>
      <c r="L33" s="211">
        <v>9515</v>
      </c>
      <c r="M33" s="211">
        <v>10163</v>
      </c>
      <c r="N33" s="211">
        <v>2062</v>
      </c>
      <c r="O33" s="213">
        <v>61480</v>
      </c>
      <c r="P33" s="212">
        <v>53128</v>
      </c>
      <c r="Q33" s="211">
        <v>12341</v>
      </c>
      <c r="R33" s="211">
        <v>13302</v>
      </c>
      <c r="S33" s="211">
        <v>2609</v>
      </c>
      <c r="T33" s="213">
        <v>81380</v>
      </c>
      <c r="U33" s="211"/>
      <c r="V33" s="213"/>
    </row>
    <row r="34" spans="1:22" x14ac:dyDescent="0.35">
      <c r="A34" s="196" t="s">
        <v>130</v>
      </c>
      <c r="B34" s="196" t="s">
        <v>158</v>
      </c>
      <c r="C34" s="211">
        <v>78655</v>
      </c>
      <c r="D34" s="211">
        <v>14000</v>
      </c>
      <c r="E34" s="211">
        <v>64655</v>
      </c>
      <c r="F34" s="212">
        <v>9226</v>
      </c>
      <c r="G34" s="211">
        <v>2033</v>
      </c>
      <c r="H34" s="211">
        <v>2210</v>
      </c>
      <c r="I34" s="211">
        <v>530</v>
      </c>
      <c r="J34" s="213">
        <v>13999</v>
      </c>
      <c r="K34" s="212">
        <v>38591</v>
      </c>
      <c r="L34" s="211">
        <v>11651</v>
      </c>
      <c r="M34" s="211">
        <v>11405</v>
      </c>
      <c r="N34" s="211">
        <v>3008</v>
      </c>
      <c r="O34" s="213">
        <v>64655</v>
      </c>
      <c r="P34" s="212">
        <v>47817</v>
      </c>
      <c r="Q34" s="211">
        <v>13684</v>
      </c>
      <c r="R34" s="211">
        <v>13615</v>
      </c>
      <c r="S34" s="211">
        <v>3538</v>
      </c>
      <c r="T34" s="213">
        <v>78654</v>
      </c>
      <c r="U34" s="211"/>
      <c r="V34" s="213"/>
    </row>
    <row r="35" spans="1:22" x14ac:dyDescent="0.35">
      <c r="A35" s="196" t="s">
        <v>144</v>
      </c>
      <c r="B35" s="196" t="s">
        <v>162</v>
      </c>
      <c r="C35" s="211">
        <v>71342</v>
      </c>
      <c r="D35" s="211">
        <v>3100</v>
      </c>
      <c r="E35" s="211">
        <v>68242</v>
      </c>
      <c r="F35" s="212">
        <v>2043</v>
      </c>
      <c r="G35" s="211">
        <v>450</v>
      </c>
      <c r="H35" s="211">
        <v>489</v>
      </c>
      <c r="I35" s="211">
        <v>117</v>
      </c>
      <c r="J35" s="213">
        <v>3099</v>
      </c>
      <c r="K35" s="212">
        <v>40732</v>
      </c>
      <c r="L35" s="211">
        <v>12297</v>
      </c>
      <c r="M35" s="211">
        <v>12038</v>
      </c>
      <c r="N35" s="211">
        <v>3175</v>
      </c>
      <c r="O35" s="213">
        <v>68242</v>
      </c>
      <c r="P35" s="212">
        <v>42775</v>
      </c>
      <c r="Q35" s="211">
        <v>12747</v>
      </c>
      <c r="R35" s="211">
        <v>12527</v>
      </c>
      <c r="S35" s="211">
        <v>3292</v>
      </c>
      <c r="T35" s="213">
        <v>71341</v>
      </c>
      <c r="U35" s="211"/>
      <c r="V35" s="213"/>
    </row>
    <row r="36" spans="1:22" x14ac:dyDescent="0.35">
      <c r="A36" s="196" t="s">
        <v>137</v>
      </c>
      <c r="B36" s="196" t="s">
        <v>159</v>
      </c>
      <c r="C36" s="211">
        <v>91927</v>
      </c>
      <c r="D36" s="211">
        <v>22000</v>
      </c>
      <c r="E36" s="211">
        <v>69927</v>
      </c>
      <c r="F36" s="212">
        <v>14498</v>
      </c>
      <c r="G36" s="211">
        <v>3195</v>
      </c>
      <c r="H36" s="211">
        <v>3473</v>
      </c>
      <c r="I36" s="211">
        <v>834</v>
      </c>
      <c r="J36" s="213">
        <v>22000</v>
      </c>
      <c r="K36" s="212">
        <v>41737</v>
      </c>
      <c r="L36" s="211">
        <v>12601</v>
      </c>
      <c r="M36" s="211">
        <v>12335</v>
      </c>
      <c r="N36" s="211">
        <v>3254</v>
      </c>
      <c r="O36" s="213">
        <v>69927</v>
      </c>
      <c r="P36" s="212">
        <v>56235</v>
      </c>
      <c r="Q36" s="211">
        <v>15796</v>
      </c>
      <c r="R36" s="211">
        <v>15808</v>
      </c>
      <c r="S36" s="211">
        <v>4088</v>
      </c>
      <c r="T36" s="213">
        <v>91927</v>
      </c>
      <c r="U36" s="211"/>
      <c r="V36" s="213"/>
    </row>
    <row r="37" spans="1:22" x14ac:dyDescent="0.35">
      <c r="A37" s="196" t="s">
        <v>137</v>
      </c>
      <c r="B37" s="196" t="s">
        <v>163</v>
      </c>
      <c r="C37" s="211">
        <v>89040</v>
      </c>
      <c r="D37" s="211">
        <v>16000</v>
      </c>
      <c r="E37" s="211">
        <v>73040</v>
      </c>
      <c r="F37" s="212">
        <v>10544</v>
      </c>
      <c r="G37" s="211">
        <v>2324</v>
      </c>
      <c r="H37" s="211">
        <v>2526</v>
      </c>
      <c r="I37" s="211">
        <v>606</v>
      </c>
      <c r="J37" s="213">
        <v>16000</v>
      </c>
      <c r="K37" s="212">
        <v>43595</v>
      </c>
      <c r="L37" s="211">
        <v>13162</v>
      </c>
      <c r="M37" s="211">
        <v>12884</v>
      </c>
      <c r="N37" s="211">
        <v>3399</v>
      </c>
      <c r="O37" s="213">
        <v>73040</v>
      </c>
      <c r="P37" s="212">
        <v>54139</v>
      </c>
      <c r="Q37" s="211">
        <v>15486</v>
      </c>
      <c r="R37" s="211">
        <v>15410</v>
      </c>
      <c r="S37" s="211">
        <v>4005</v>
      </c>
      <c r="T37" s="213">
        <v>89040</v>
      </c>
      <c r="U37" s="211"/>
      <c r="V37" s="213"/>
    </row>
    <row r="38" spans="1:22" x14ac:dyDescent="0.35">
      <c r="A38" s="196" t="s">
        <v>146</v>
      </c>
      <c r="B38" s="196" t="s">
        <v>156</v>
      </c>
      <c r="C38" s="211">
        <v>87596</v>
      </c>
      <c r="D38" s="211">
        <v>1400</v>
      </c>
      <c r="E38" s="211">
        <v>86196</v>
      </c>
      <c r="F38" s="212">
        <v>923</v>
      </c>
      <c r="G38" s="211">
        <v>203</v>
      </c>
      <c r="H38" s="211">
        <v>221</v>
      </c>
      <c r="I38" s="211">
        <v>53</v>
      </c>
      <c r="J38" s="213">
        <v>1400</v>
      </c>
      <c r="K38" s="212">
        <v>51448</v>
      </c>
      <c r="L38" s="211">
        <v>15533</v>
      </c>
      <c r="M38" s="211">
        <v>15205</v>
      </c>
      <c r="N38" s="211">
        <v>4011</v>
      </c>
      <c r="O38" s="213">
        <v>86197</v>
      </c>
      <c r="P38" s="212">
        <v>52371</v>
      </c>
      <c r="Q38" s="211">
        <v>15736</v>
      </c>
      <c r="R38" s="211">
        <v>15426</v>
      </c>
      <c r="S38" s="211">
        <v>4064</v>
      </c>
      <c r="T38" s="213">
        <v>87597</v>
      </c>
      <c r="U38" s="211"/>
      <c r="V38" s="213"/>
    </row>
    <row r="39" spans="1:22" x14ac:dyDescent="0.35">
      <c r="A39" s="196" t="s">
        <v>130</v>
      </c>
      <c r="B39" s="196" t="s">
        <v>79</v>
      </c>
      <c r="C39" s="211">
        <v>150060</v>
      </c>
      <c r="D39" s="211">
        <v>27100</v>
      </c>
      <c r="E39" s="211">
        <v>122960</v>
      </c>
      <c r="F39" s="212">
        <v>18221</v>
      </c>
      <c r="G39" s="211">
        <v>4005</v>
      </c>
      <c r="H39" s="211">
        <v>3860</v>
      </c>
      <c r="I39" s="211">
        <v>1013</v>
      </c>
      <c r="J39" s="213">
        <v>27099</v>
      </c>
      <c r="K39" s="212">
        <v>73195</v>
      </c>
      <c r="L39" s="211">
        <v>19667</v>
      </c>
      <c r="M39" s="211">
        <v>19068</v>
      </c>
      <c r="N39" s="211">
        <v>11030</v>
      </c>
      <c r="O39" s="213">
        <v>122960</v>
      </c>
      <c r="P39" s="212">
        <v>91416</v>
      </c>
      <c r="Q39" s="211">
        <v>23672</v>
      </c>
      <c r="R39" s="211">
        <v>22928</v>
      </c>
      <c r="S39" s="211">
        <v>12043</v>
      </c>
      <c r="T39" s="213">
        <v>150059</v>
      </c>
      <c r="U39" s="211"/>
      <c r="V39" s="213"/>
    </row>
    <row r="40" spans="1:22" x14ac:dyDescent="0.35">
      <c r="A40" s="196" t="s">
        <v>137</v>
      </c>
      <c r="B40" s="196" t="s">
        <v>138</v>
      </c>
      <c r="C40" s="211">
        <v>212050</v>
      </c>
      <c r="D40" s="211">
        <v>32600</v>
      </c>
      <c r="E40" s="211">
        <v>179450</v>
      </c>
      <c r="F40" s="212">
        <v>21919</v>
      </c>
      <c r="G40" s="211">
        <v>4818</v>
      </c>
      <c r="H40" s="211">
        <v>4644</v>
      </c>
      <c r="I40" s="211">
        <v>1219</v>
      </c>
      <c r="J40" s="213">
        <v>32600</v>
      </c>
      <c r="K40" s="212">
        <v>106821</v>
      </c>
      <c r="L40" s="211">
        <v>28702</v>
      </c>
      <c r="M40" s="211">
        <v>27828</v>
      </c>
      <c r="N40" s="211">
        <v>16098</v>
      </c>
      <c r="O40" s="213">
        <v>179449</v>
      </c>
      <c r="P40" s="212">
        <v>128740</v>
      </c>
      <c r="Q40" s="211">
        <v>33520</v>
      </c>
      <c r="R40" s="211">
        <v>32472</v>
      </c>
      <c r="S40" s="211">
        <v>17317</v>
      </c>
      <c r="T40" s="213">
        <v>212049</v>
      </c>
      <c r="U40" s="211"/>
      <c r="V40" s="213"/>
    </row>
    <row r="41" spans="1:22" x14ac:dyDescent="0.35">
      <c r="A41" s="196" t="s">
        <v>143</v>
      </c>
      <c r="B41" s="196" t="s">
        <v>80</v>
      </c>
      <c r="C41" s="211">
        <v>147032</v>
      </c>
      <c r="D41" s="211">
        <v>7400</v>
      </c>
      <c r="E41" s="211">
        <v>139632</v>
      </c>
      <c r="F41" s="212">
        <v>4975</v>
      </c>
      <c r="G41" s="211">
        <v>1094</v>
      </c>
      <c r="H41" s="211">
        <v>1054</v>
      </c>
      <c r="I41" s="211">
        <v>277</v>
      </c>
      <c r="J41" s="213">
        <v>7400</v>
      </c>
      <c r="K41" s="212">
        <v>83119</v>
      </c>
      <c r="L41" s="211">
        <v>22333</v>
      </c>
      <c r="M41" s="211">
        <v>21654</v>
      </c>
      <c r="N41" s="211">
        <v>12526</v>
      </c>
      <c r="O41" s="213">
        <v>139632</v>
      </c>
      <c r="P41" s="212">
        <v>88094</v>
      </c>
      <c r="Q41" s="211">
        <v>23427</v>
      </c>
      <c r="R41" s="211">
        <v>22708</v>
      </c>
      <c r="S41" s="211">
        <v>12803</v>
      </c>
      <c r="T41" s="213">
        <v>147032</v>
      </c>
      <c r="U41" s="211"/>
      <c r="V41" s="213"/>
    </row>
    <row r="42" spans="1:22" x14ac:dyDescent="0.35">
      <c r="A42" s="196" t="s">
        <v>146</v>
      </c>
      <c r="B42" s="196" t="s">
        <v>81</v>
      </c>
      <c r="C42" s="211">
        <v>85335</v>
      </c>
      <c r="D42" s="211">
        <v>60500</v>
      </c>
      <c r="E42" s="211">
        <v>24835</v>
      </c>
      <c r="F42" s="212">
        <v>40678</v>
      </c>
      <c r="G42" s="211">
        <v>8941</v>
      </c>
      <c r="H42" s="211">
        <v>8618</v>
      </c>
      <c r="I42" s="211">
        <v>2262</v>
      </c>
      <c r="J42" s="213">
        <v>60499</v>
      </c>
      <c r="K42" s="212">
        <v>14784</v>
      </c>
      <c r="L42" s="211">
        <v>3972</v>
      </c>
      <c r="M42" s="211">
        <v>3851</v>
      </c>
      <c r="N42" s="211">
        <v>2228</v>
      </c>
      <c r="O42" s="213">
        <v>24835</v>
      </c>
      <c r="P42" s="212">
        <v>55462</v>
      </c>
      <c r="Q42" s="211">
        <v>12913</v>
      </c>
      <c r="R42" s="211">
        <v>12469</v>
      </c>
      <c r="S42" s="211">
        <v>4490</v>
      </c>
      <c r="T42" s="213">
        <v>85334</v>
      </c>
      <c r="U42" s="211"/>
      <c r="V42" s="213"/>
    </row>
    <row r="43" spans="1:22" x14ac:dyDescent="0.35">
      <c r="A43" s="196" t="s">
        <v>133</v>
      </c>
      <c r="B43" s="196" t="s">
        <v>82</v>
      </c>
      <c r="C43" s="211">
        <v>143834</v>
      </c>
      <c r="D43" s="211">
        <v>22000</v>
      </c>
      <c r="E43" s="211">
        <v>121834</v>
      </c>
      <c r="F43" s="212">
        <v>14792</v>
      </c>
      <c r="G43" s="211">
        <v>3251</v>
      </c>
      <c r="H43" s="211">
        <v>3134</v>
      </c>
      <c r="I43" s="211">
        <v>823</v>
      </c>
      <c r="J43" s="213">
        <v>22000</v>
      </c>
      <c r="K43" s="212">
        <v>72524</v>
      </c>
      <c r="L43" s="211">
        <v>19487</v>
      </c>
      <c r="M43" s="211">
        <v>18894</v>
      </c>
      <c r="N43" s="211">
        <v>10929</v>
      </c>
      <c r="O43" s="213">
        <v>121834</v>
      </c>
      <c r="P43" s="212">
        <v>87316</v>
      </c>
      <c r="Q43" s="211">
        <v>22738</v>
      </c>
      <c r="R43" s="211">
        <v>22028</v>
      </c>
      <c r="S43" s="211">
        <v>11752</v>
      </c>
      <c r="T43" s="213">
        <v>143834</v>
      </c>
      <c r="U43" s="211"/>
      <c r="V43" s="213"/>
    </row>
    <row r="44" spans="1:22" x14ac:dyDescent="0.35">
      <c r="A44" s="196" t="s">
        <v>135</v>
      </c>
      <c r="B44" s="196" t="s">
        <v>83</v>
      </c>
      <c r="C44" s="211">
        <v>696454</v>
      </c>
      <c r="D44" s="211">
        <v>119800</v>
      </c>
      <c r="E44" s="211">
        <v>576654</v>
      </c>
      <c r="F44" s="212">
        <v>90113</v>
      </c>
      <c r="G44" s="211">
        <v>13661</v>
      </c>
      <c r="H44" s="211">
        <v>13267</v>
      </c>
      <c r="I44" s="211">
        <v>2759</v>
      </c>
      <c r="J44" s="213">
        <v>119800</v>
      </c>
      <c r="K44" s="212">
        <v>392178</v>
      </c>
      <c r="L44" s="211">
        <v>82948</v>
      </c>
      <c r="M44" s="211">
        <v>76312</v>
      </c>
      <c r="N44" s="211">
        <v>25216</v>
      </c>
      <c r="O44" s="213">
        <v>576654</v>
      </c>
      <c r="P44" s="212">
        <v>482291</v>
      </c>
      <c r="Q44" s="211">
        <v>96609</v>
      </c>
      <c r="R44" s="211">
        <v>89579</v>
      </c>
      <c r="S44" s="211">
        <v>27975</v>
      </c>
      <c r="T44" s="213">
        <v>696454</v>
      </c>
      <c r="U44" s="211"/>
      <c r="V44" s="213"/>
    </row>
    <row r="45" spans="1:22" x14ac:dyDescent="0.35">
      <c r="A45" s="196" t="s">
        <v>135</v>
      </c>
      <c r="B45" s="196" t="s">
        <v>84</v>
      </c>
      <c r="C45" s="211">
        <v>155900</v>
      </c>
      <c r="D45" s="211">
        <v>4900</v>
      </c>
      <c r="E45" s="211">
        <v>151000</v>
      </c>
      <c r="F45" s="212">
        <v>3686</v>
      </c>
      <c r="G45" s="211">
        <v>559</v>
      </c>
      <c r="H45" s="211">
        <v>543</v>
      </c>
      <c r="I45" s="211">
        <v>113</v>
      </c>
      <c r="J45" s="213">
        <v>4901</v>
      </c>
      <c r="K45" s="212">
        <v>102694</v>
      </c>
      <c r="L45" s="211">
        <v>21720</v>
      </c>
      <c r="M45" s="211">
        <v>19983</v>
      </c>
      <c r="N45" s="211">
        <v>6603</v>
      </c>
      <c r="O45" s="213">
        <v>151000</v>
      </c>
      <c r="P45" s="212">
        <v>106380</v>
      </c>
      <c r="Q45" s="211">
        <v>22279</v>
      </c>
      <c r="R45" s="211">
        <v>20526</v>
      </c>
      <c r="S45" s="211">
        <v>6716</v>
      </c>
      <c r="T45" s="213">
        <v>155901</v>
      </c>
      <c r="U45" s="211"/>
      <c r="V45" s="213"/>
    </row>
    <row r="46" spans="1:22" x14ac:dyDescent="0.35">
      <c r="A46" s="196" t="s">
        <v>146</v>
      </c>
      <c r="B46" s="196" t="s">
        <v>147</v>
      </c>
      <c r="C46" s="211">
        <v>125417</v>
      </c>
      <c r="D46" s="211">
        <v>1500</v>
      </c>
      <c r="E46" s="211">
        <v>123917</v>
      </c>
      <c r="F46" s="212">
        <v>1128</v>
      </c>
      <c r="G46" s="211">
        <v>171</v>
      </c>
      <c r="H46" s="211">
        <v>166</v>
      </c>
      <c r="I46" s="211">
        <v>35</v>
      </c>
      <c r="J46" s="213">
        <v>1500</v>
      </c>
      <c r="K46" s="212">
        <v>84275</v>
      </c>
      <c r="L46" s="211">
        <v>17825</v>
      </c>
      <c r="M46" s="211">
        <v>16399</v>
      </c>
      <c r="N46" s="211">
        <v>5419</v>
      </c>
      <c r="O46" s="213">
        <v>123918</v>
      </c>
      <c r="P46" s="212">
        <v>85403</v>
      </c>
      <c r="Q46" s="211">
        <v>17996</v>
      </c>
      <c r="R46" s="211">
        <v>16565</v>
      </c>
      <c r="S46" s="211">
        <v>5454</v>
      </c>
      <c r="T46" s="213">
        <v>125418</v>
      </c>
      <c r="U46" s="211"/>
      <c r="V46" s="213"/>
    </row>
    <row r="47" spans="1:22" x14ac:dyDescent="0.35">
      <c r="A47" s="196" t="s">
        <v>133</v>
      </c>
      <c r="B47" s="196" t="s">
        <v>134</v>
      </c>
      <c r="C47" s="211">
        <v>280557</v>
      </c>
      <c r="D47" s="211">
        <v>24600</v>
      </c>
      <c r="E47" s="211">
        <v>255957</v>
      </c>
      <c r="F47" s="212">
        <v>13465</v>
      </c>
      <c r="G47" s="211">
        <v>4620</v>
      </c>
      <c r="H47" s="211">
        <v>4580</v>
      </c>
      <c r="I47" s="211">
        <v>1935</v>
      </c>
      <c r="J47" s="213">
        <v>24600</v>
      </c>
      <c r="K47" s="212">
        <v>159842</v>
      </c>
      <c r="L47" s="211">
        <v>45008</v>
      </c>
      <c r="M47" s="211">
        <v>41222</v>
      </c>
      <c r="N47" s="211">
        <v>9885</v>
      </c>
      <c r="O47" s="213">
        <v>255957</v>
      </c>
      <c r="P47" s="212">
        <v>173307</v>
      </c>
      <c r="Q47" s="211">
        <v>49628</v>
      </c>
      <c r="R47" s="211">
        <v>45802</v>
      </c>
      <c r="S47" s="211">
        <v>11820</v>
      </c>
      <c r="T47" s="213">
        <v>280557</v>
      </c>
      <c r="U47" s="211"/>
      <c r="V47" s="213"/>
    </row>
    <row r="48" spans="1:22" x14ac:dyDescent="0.35">
      <c r="A48" s="196" t="s">
        <v>127</v>
      </c>
      <c r="B48" s="196" t="s">
        <v>85</v>
      </c>
      <c r="C48" s="211">
        <v>179405</v>
      </c>
      <c r="D48" s="211">
        <v>4300</v>
      </c>
      <c r="E48" s="211">
        <v>175105</v>
      </c>
      <c r="F48" s="212">
        <v>2354</v>
      </c>
      <c r="G48" s="211">
        <v>808</v>
      </c>
      <c r="H48" s="211">
        <v>801</v>
      </c>
      <c r="I48" s="211">
        <v>338</v>
      </c>
      <c r="J48" s="213">
        <v>4301</v>
      </c>
      <c r="K48" s="212">
        <v>109351</v>
      </c>
      <c r="L48" s="211">
        <v>30791</v>
      </c>
      <c r="M48" s="211">
        <v>28201</v>
      </c>
      <c r="N48" s="211">
        <v>6762</v>
      </c>
      <c r="O48" s="213">
        <v>175105</v>
      </c>
      <c r="P48" s="212">
        <v>111705</v>
      </c>
      <c r="Q48" s="211">
        <v>31599</v>
      </c>
      <c r="R48" s="211">
        <v>29002</v>
      </c>
      <c r="S48" s="211">
        <v>7100</v>
      </c>
      <c r="T48" s="213">
        <v>179406</v>
      </c>
      <c r="U48" s="211"/>
      <c r="V48" s="213"/>
    </row>
    <row r="49" spans="1:22" x14ac:dyDescent="0.35">
      <c r="A49" s="196" t="s">
        <v>127</v>
      </c>
      <c r="B49" s="196" t="s">
        <v>86</v>
      </c>
      <c r="C49" s="211">
        <v>884600</v>
      </c>
      <c r="D49" s="211">
        <v>166100</v>
      </c>
      <c r="E49" s="211">
        <v>718500</v>
      </c>
      <c r="F49" s="212">
        <v>90915</v>
      </c>
      <c r="G49" s="211">
        <v>31194</v>
      </c>
      <c r="H49" s="211">
        <v>30927</v>
      </c>
      <c r="I49" s="211">
        <v>13064</v>
      </c>
      <c r="J49" s="213">
        <v>166100</v>
      </c>
      <c r="K49" s="212">
        <v>448694</v>
      </c>
      <c r="L49" s="211">
        <v>126343</v>
      </c>
      <c r="M49" s="211">
        <v>115716</v>
      </c>
      <c r="N49" s="211">
        <v>27748</v>
      </c>
      <c r="O49" s="213">
        <v>718501</v>
      </c>
      <c r="P49" s="212">
        <v>539609</v>
      </c>
      <c r="Q49" s="211">
        <v>157537</v>
      </c>
      <c r="R49" s="211">
        <v>146643</v>
      </c>
      <c r="S49" s="211">
        <v>40812</v>
      </c>
      <c r="T49" s="213">
        <v>884601</v>
      </c>
      <c r="U49" s="211"/>
      <c r="V49" s="213"/>
    </row>
    <row r="50" spans="1:22" x14ac:dyDescent="0.35">
      <c r="A50" s="196" t="s">
        <v>135</v>
      </c>
      <c r="B50" s="196" t="s">
        <v>87</v>
      </c>
      <c r="C50" s="211">
        <v>159016</v>
      </c>
      <c r="D50" s="211">
        <v>500</v>
      </c>
      <c r="E50" s="211">
        <v>158516</v>
      </c>
      <c r="F50" s="212">
        <v>274</v>
      </c>
      <c r="G50" s="211">
        <v>94</v>
      </c>
      <c r="H50" s="211">
        <v>93</v>
      </c>
      <c r="I50" s="211">
        <v>39</v>
      </c>
      <c r="J50" s="213">
        <v>500</v>
      </c>
      <c r="K50" s="212">
        <v>98991</v>
      </c>
      <c r="L50" s="211">
        <v>27874</v>
      </c>
      <c r="M50" s="211">
        <v>25529</v>
      </c>
      <c r="N50" s="211">
        <v>6122</v>
      </c>
      <c r="O50" s="213">
        <v>158516</v>
      </c>
      <c r="P50" s="212">
        <v>99265</v>
      </c>
      <c r="Q50" s="211">
        <v>27968</v>
      </c>
      <c r="R50" s="211">
        <v>25622</v>
      </c>
      <c r="S50" s="211">
        <v>6161</v>
      </c>
      <c r="T50" s="213">
        <v>159016</v>
      </c>
      <c r="U50" s="211"/>
      <c r="V50" s="213"/>
    </row>
    <row r="51" spans="1:22" x14ac:dyDescent="0.35">
      <c r="A51" s="196" t="s">
        <v>131</v>
      </c>
      <c r="B51" s="196" t="s">
        <v>88</v>
      </c>
      <c r="C51" s="211">
        <v>50902</v>
      </c>
      <c r="D51" s="211">
        <v>100</v>
      </c>
      <c r="E51" s="211">
        <v>50802</v>
      </c>
      <c r="F51" s="212">
        <v>69</v>
      </c>
      <c r="G51" s="211">
        <v>13</v>
      </c>
      <c r="H51" s="211">
        <v>15</v>
      </c>
      <c r="I51" s="211">
        <v>3</v>
      </c>
      <c r="J51" s="213">
        <v>100</v>
      </c>
      <c r="K51" s="212">
        <v>32816</v>
      </c>
      <c r="L51" s="211">
        <v>7528</v>
      </c>
      <c r="M51" s="211">
        <v>7580</v>
      </c>
      <c r="N51" s="211">
        <v>2879</v>
      </c>
      <c r="O51" s="213">
        <v>50803</v>
      </c>
      <c r="P51" s="212">
        <v>32885</v>
      </c>
      <c r="Q51" s="211">
        <v>7541</v>
      </c>
      <c r="R51" s="211">
        <v>7595</v>
      </c>
      <c r="S51" s="211">
        <v>2882</v>
      </c>
      <c r="T51" s="213">
        <v>50903</v>
      </c>
      <c r="U51" s="211"/>
      <c r="V51" s="213"/>
    </row>
    <row r="52" spans="1:22" x14ac:dyDescent="0.35">
      <c r="A52" s="196" t="s">
        <v>139</v>
      </c>
      <c r="B52" s="196" t="s">
        <v>89</v>
      </c>
      <c r="C52" s="211">
        <v>54157</v>
      </c>
      <c r="D52" s="211">
        <v>5000</v>
      </c>
      <c r="E52" s="211">
        <v>49157</v>
      </c>
      <c r="F52" s="212">
        <v>3426</v>
      </c>
      <c r="G52" s="211">
        <v>652</v>
      </c>
      <c r="H52" s="211">
        <v>617</v>
      </c>
      <c r="I52" s="211">
        <v>305</v>
      </c>
      <c r="J52" s="213">
        <v>5000</v>
      </c>
      <c r="K52" s="212">
        <v>32396</v>
      </c>
      <c r="L52" s="211">
        <v>7882</v>
      </c>
      <c r="M52" s="211">
        <v>7305</v>
      </c>
      <c r="N52" s="211">
        <v>1574</v>
      </c>
      <c r="O52" s="213">
        <v>49157</v>
      </c>
      <c r="P52" s="212">
        <v>35822</v>
      </c>
      <c r="Q52" s="211">
        <v>8534</v>
      </c>
      <c r="R52" s="211">
        <v>7922</v>
      </c>
      <c r="S52" s="211">
        <v>1879</v>
      </c>
      <c r="T52" s="213">
        <v>54157</v>
      </c>
      <c r="U52" s="211"/>
      <c r="V52" s="213"/>
    </row>
    <row r="53" spans="1:22" x14ac:dyDescent="0.35">
      <c r="A53" s="196" t="s">
        <v>149</v>
      </c>
      <c r="B53" s="196" t="s">
        <v>90</v>
      </c>
      <c r="C53" s="211">
        <v>371416</v>
      </c>
      <c r="D53" s="211">
        <v>8000</v>
      </c>
      <c r="E53" s="211">
        <v>363416</v>
      </c>
      <c r="F53" s="212">
        <v>5482</v>
      </c>
      <c r="G53" s="211">
        <v>1043</v>
      </c>
      <c r="H53" s="211">
        <v>987</v>
      </c>
      <c r="I53" s="211">
        <v>488</v>
      </c>
      <c r="J53" s="213">
        <v>8000</v>
      </c>
      <c r="K53" s="212">
        <v>239502</v>
      </c>
      <c r="L53" s="211">
        <v>58275</v>
      </c>
      <c r="M53" s="211">
        <v>54005</v>
      </c>
      <c r="N53" s="211">
        <v>11634</v>
      </c>
      <c r="O53" s="213">
        <v>363416</v>
      </c>
      <c r="P53" s="212">
        <v>244984</v>
      </c>
      <c r="Q53" s="211">
        <v>59318</v>
      </c>
      <c r="R53" s="211">
        <v>54992</v>
      </c>
      <c r="S53" s="211">
        <v>12122</v>
      </c>
      <c r="T53" s="213">
        <v>371416</v>
      </c>
      <c r="U53" s="211"/>
      <c r="V53" s="213"/>
    </row>
    <row r="54" spans="1:22" x14ac:dyDescent="0.35">
      <c r="A54" s="196" t="s">
        <v>135</v>
      </c>
      <c r="B54" s="196" t="s">
        <v>136</v>
      </c>
      <c r="C54" s="211">
        <v>163358</v>
      </c>
      <c r="D54" s="211">
        <v>6000</v>
      </c>
      <c r="E54" s="211">
        <v>157358</v>
      </c>
      <c r="F54" s="212">
        <v>4112</v>
      </c>
      <c r="G54" s="211">
        <v>782</v>
      </c>
      <c r="H54" s="211">
        <v>740</v>
      </c>
      <c r="I54" s="211">
        <v>366</v>
      </c>
      <c r="J54" s="213">
        <v>6000</v>
      </c>
      <c r="K54" s="212">
        <v>103704</v>
      </c>
      <c r="L54" s="211">
        <v>25233</v>
      </c>
      <c r="M54" s="211">
        <v>23384</v>
      </c>
      <c r="N54" s="211">
        <v>5037</v>
      </c>
      <c r="O54" s="213">
        <v>157358</v>
      </c>
      <c r="P54" s="212">
        <v>107816</v>
      </c>
      <c r="Q54" s="211">
        <v>26015</v>
      </c>
      <c r="R54" s="211">
        <v>24124</v>
      </c>
      <c r="S54" s="211">
        <v>5403</v>
      </c>
      <c r="T54" s="213">
        <v>163358</v>
      </c>
      <c r="U54" s="211"/>
      <c r="V54" s="213"/>
    </row>
    <row r="55" spans="1:22" x14ac:dyDescent="0.35">
      <c r="A55" s="196" t="s">
        <v>148</v>
      </c>
      <c r="B55" s="196" t="s">
        <v>91</v>
      </c>
      <c r="C55" s="211">
        <v>142930</v>
      </c>
      <c r="D55" s="211">
        <v>17000</v>
      </c>
      <c r="E55" s="211">
        <v>125930</v>
      </c>
      <c r="F55" s="212">
        <v>11650</v>
      </c>
      <c r="G55" s="211">
        <v>2216</v>
      </c>
      <c r="H55" s="211">
        <v>2096</v>
      </c>
      <c r="I55" s="211">
        <v>1037</v>
      </c>
      <c r="J55" s="213">
        <v>16999</v>
      </c>
      <c r="K55" s="212">
        <v>82992</v>
      </c>
      <c r="L55" s="211">
        <v>20193</v>
      </c>
      <c r="M55" s="211">
        <v>18714</v>
      </c>
      <c r="N55" s="211">
        <v>4031</v>
      </c>
      <c r="O55" s="213">
        <v>125930</v>
      </c>
      <c r="P55" s="212">
        <v>94642</v>
      </c>
      <c r="Q55" s="211">
        <v>22409</v>
      </c>
      <c r="R55" s="211">
        <v>20810</v>
      </c>
      <c r="S55" s="211">
        <v>5068</v>
      </c>
      <c r="T55" s="213">
        <v>142929</v>
      </c>
      <c r="U55" s="211"/>
      <c r="V55" s="213"/>
    </row>
    <row r="56" spans="1:22" x14ac:dyDescent="0.35">
      <c r="A56" s="196" t="s">
        <v>140</v>
      </c>
      <c r="B56" s="196" t="s">
        <v>141</v>
      </c>
      <c r="C56" s="211">
        <v>365900</v>
      </c>
      <c r="D56" s="211">
        <v>23600</v>
      </c>
      <c r="E56" s="211">
        <v>342300</v>
      </c>
      <c r="F56" s="212">
        <v>16173</v>
      </c>
      <c r="G56" s="211">
        <v>3077</v>
      </c>
      <c r="H56" s="211">
        <v>2910</v>
      </c>
      <c r="I56" s="211">
        <v>1440</v>
      </c>
      <c r="J56" s="213">
        <v>23600</v>
      </c>
      <c r="K56" s="212">
        <v>225586</v>
      </c>
      <c r="L56" s="211">
        <v>54889</v>
      </c>
      <c r="M56" s="211">
        <v>50867</v>
      </c>
      <c r="N56" s="211">
        <v>10958</v>
      </c>
      <c r="O56" s="213">
        <v>342300</v>
      </c>
      <c r="P56" s="212">
        <v>241759</v>
      </c>
      <c r="Q56" s="211">
        <v>57966</v>
      </c>
      <c r="R56" s="211">
        <v>53777</v>
      </c>
      <c r="S56" s="211">
        <v>12398</v>
      </c>
      <c r="T56" s="213">
        <v>365900</v>
      </c>
      <c r="U56" s="211"/>
      <c r="V56" s="213"/>
    </row>
    <row r="57" spans="1:22" x14ac:dyDescent="0.35">
      <c r="A57" s="196" t="s">
        <v>149</v>
      </c>
      <c r="B57" s="196" t="s">
        <v>92</v>
      </c>
      <c r="C57" s="211">
        <v>303700</v>
      </c>
      <c r="D57" s="211">
        <v>64100</v>
      </c>
      <c r="E57" s="211">
        <v>239600</v>
      </c>
      <c r="F57" s="212">
        <v>43927</v>
      </c>
      <c r="G57" s="211">
        <v>8357</v>
      </c>
      <c r="H57" s="211">
        <v>7904</v>
      </c>
      <c r="I57" s="211">
        <v>3911</v>
      </c>
      <c r="J57" s="213">
        <v>64099</v>
      </c>
      <c r="K57" s="212">
        <v>157904</v>
      </c>
      <c r="L57" s="211">
        <v>38420</v>
      </c>
      <c r="M57" s="211">
        <v>35606</v>
      </c>
      <c r="N57" s="211">
        <v>7670</v>
      </c>
      <c r="O57" s="213">
        <v>239600</v>
      </c>
      <c r="P57" s="212">
        <v>201831</v>
      </c>
      <c r="Q57" s="211">
        <v>46777</v>
      </c>
      <c r="R57" s="211">
        <v>43510</v>
      </c>
      <c r="S57" s="211">
        <v>11581</v>
      </c>
      <c r="T57" s="213">
        <v>303699</v>
      </c>
      <c r="U57" s="211"/>
      <c r="V57" s="213"/>
    </row>
    <row r="58" spans="1:22" x14ac:dyDescent="0.35">
      <c r="A58" s="196" t="s">
        <v>142</v>
      </c>
      <c r="B58" s="196" t="s">
        <v>93</v>
      </c>
      <c r="C58" s="211">
        <v>64467</v>
      </c>
      <c r="D58" s="211">
        <v>5000</v>
      </c>
      <c r="E58" s="211">
        <v>59467</v>
      </c>
      <c r="F58" s="212">
        <v>3426</v>
      </c>
      <c r="G58" s="211">
        <v>652</v>
      </c>
      <c r="H58" s="211">
        <v>617</v>
      </c>
      <c r="I58" s="211">
        <v>305</v>
      </c>
      <c r="J58" s="213">
        <v>5000</v>
      </c>
      <c r="K58" s="212">
        <v>39191</v>
      </c>
      <c r="L58" s="211">
        <v>9536</v>
      </c>
      <c r="M58" s="211">
        <v>8837</v>
      </c>
      <c r="N58" s="211">
        <v>1904</v>
      </c>
      <c r="O58" s="213">
        <v>59468</v>
      </c>
      <c r="P58" s="212">
        <v>42617</v>
      </c>
      <c r="Q58" s="211">
        <v>10188</v>
      </c>
      <c r="R58" s="211">
        <v>9454</v>
      </c>
      <c r="S58" s="211">
        <v>2209</v>
      </c>
      <c r="T58" s="213">
        <v>64468</v>
      </c>
      <c r="U58" s="211"/>
      <c r="V58" s="213"/>
    </row>
    <row r="59" spans="1:22" x14ac:dyDescent="0.35">
      <c r="A59" s="196" t="s">
        <v>129</v>
      </c>
      <c r="B59" s="196" t="s">
        <v>153</v>
      </c>
      <c r="C59" s="211">
        <v>223473</v>
      </c>
      <c r="D59" s="211">
        <v>129700</v>
      </c>
      <c r="E59" s="211">
        <v>93773</v>
      </c>
      <c r="F59" s="212">
        <v>87212</v>
      </c>
      <c r="G59" s="211">
        <v>16686</v>
      </c>
      <c r="H59" s="211">
        <v>18234</v>
      </c>
      <c r="I59" s="211">
        <v>7569</v>
      </c>
      <c r="J59" s="213">
        <v>129701</v>
      </c>
      <c r="K59" s="212">
        <v>66076</v>
      </c>
      <c r="L59" s="211">
        <v>13456</v>
      </c>
      <c r="M59" s="211">
        <v>12514</v>
      </c>
      <c r="N59" s="211">
        <v>1728</v>
      </c>
      <c r="O59" s="213">
        <v>93774</v>
      </c>
      <c r="P59" s="212">
        <v>153288</v>
      </c>
      <c r="Q59" s="211">
        <v>30142</v>
      </c>
      <c r="R59" s="211">
        <v>30748</v>
      </c>
      <c r="S59" s="211">
        <v>9297</v>
      </c>
      <c r="T59" s="213">
        <v>223475</v>
      </c>
      <c r="U59" s="211"/>
      <c r="V59" s="213"/>
    </row>
    <row r="60" spans="1:22" x14ac:dyDescent="0.35">
      <c r="A60" s="196" t="s">
        <v>130</v>
      </c>
      <c r="B60" s="196" t="s">
        <v>94</v>
      </c>
      <c r="C60" s="211">
        <v>134008</v>
      </c>
      <c r="D60" s="211">
        <v>4900</v>
      </c>
      <c r="E60" s="211">
        <v>129108</v>
      </c>
      <c r="F60" s="212">
        <v>3295</v>
      </c>
      <c r="G60" s="211">
        <v>630</v>
      </c>
      <c r="H60" s="211">
        <v>689</v>
      </c>
      <c r="I60" s="211">
        <v>286</v>
      </c>
      <c r="J60" s="213">
        <v>4900</v>
      </c>
      <c r="K60" s="212">
        <v>90974</v>
      </c>
      <c r="L60" s="211">
        <v>18526</v>
      </c>
      <c r="M60" s="211">
        <v>17229</v>
      </c>
      <c r="N60" s="211">
        <v>2379</v>
      </c>
      <c r="O60" s="213">
        <v>129108</v>
      </c>
      <c r="P60" s="212">
        <v>94269</v>
      </c>
      <c r="Q60" s="211">
        <v>19156</v>
      </c>
      <c r="R60" s="211">
        <v>17918</v>
      </c>
      <c r="S60" s="211">
        <v>2665</v>
      </c>
      <c r="T60" s="213">
        <v>134008</v>
      </c>
      <c r="U60" s="211"/>
      <c r="V60" s="213"/>
    </row>
    <row r="61" spans="1:22" x14ac:dyDescent="0.35">
      <c r="A61" s="196" t="s">
        <v>126</v>
      </c>
      <c r="B61" s="196" t="s">
        <v>95</v>
      </c>
      <c r="C61" s="211">
        <v>60867</v>
      </c>
      <c r="D61" s="211">
        <v>12900</v>
      </c>
      <c r="E61" s="211">
        <v>47967</v>
      </c>
      <c r="F61" s="212">
        <v>8674</v>
      </c>
      <c r="G61" s="211">
        <v>1660</v>
      </c>
      <c r="H61" s="211">
        <v>1814</v>
      </c>
      <c r="I61" s="211">
        <v>753</v>
      </c>
      <c r="J61" s="213">
        <v>12901</v>
      </c>
      <c r="K61" s="212">
        <v>33799</v>
      </c>
      <c r="L61" s="211">
        <v>6883</v>
      </c>
      <c r="M61" s="211">
        <v>6401</v>
      </c>
      <c r="N61" s="211">
        <v>884</v>
      </c>
      <c r="O61" s="213">
        <v>47967</v>
      </c>
      <c r="P61" s="212">
        <v>42473</v>
      </c>
      <c r="Q61" s="211">
        <v>8543</v>
      </c>
      <c r="R61" s="211">
        <v>8215</v>
      </c>
      <c r="S61" s="211">
        <v>1637</v>
      </c>
      <c r="T61" s="213">
        <v>60868</v>
      </c>
      <c r="U61" s="211"/>
      <c r="V61" s="213"/>
    </row>
    <row r="62" spans="1:22" x14ac:dyDescent="0.35">
      <c r="A62" s="196" t="s">
        <v>146</v>
      </c>
      <c r="B62" s="196" t="s">
        <v>96</v>
      </c>
      <c r="C62" s="211">
        <v>119516</v>
      </c>
      <c r="D62" s="211">
        <v>25700</v>
      </c>
      <c r="E62" s="211">
        <v>93816</v>
      </c>
      <c r="F62" s="212">
        <v>17281</v>
      </c>
      <c r="G62" s="211">
        <v>3306</v>
      </c>
      <c r="H62" s="211">
        <v>3613</v>
      </c>
      <c r="I62" s="211">
        <v>1500</v>
      </c>
      <c r="J62" s="213">
        <v>25700</v>
      </c>
      <c r="K62" s="212">
        <v>66106</v>
      </c>
      <c r="L62" s="211">
        <v>13462</v>
      </c>
      <c r="M62" s="211">
        <v>12519</v>
      </c>
      <c r="N62" s="211">
        <v>1729</v>
      </c>
      <c r="O62" s="213">
        <v>93816</v>
      </c>
      <c r="P62" s="212">
        <v>83387</v>
      </c>
      <c r="Q62" s="211">
        <v>16768</v>
      </c>
      <c r="R62" s="211">
        <v>16132</v>
      </c>
      <c r="S62" s="211">
        <v>3229</v>
      </c>
      <c r="T62" s="213">
        <v>119516</v>
      </c>
      <c r="U62" s="211"/>
      <c r="V62" s="213"/>
    </row>
    <row r="63" spans="1:22" x14ac:dyDescent="0.35">
      <c r="A63" s="196" t="s">
        <v>142</v>
      </c>
      <c r="B63" s="196" t="s">
        <v>97</v>
      </c>
      <c r="C63" s="211">
        <v>247081</v>
      </c>
      <c r="D63" s="211">
        <v>7100</v>
      </c>
      <c r="E63" s="211">
        <v>239981</v>
      </c>
      <c r="F63" s="212">
        <v>4384</v>
      </c>
      <c r="G63" s="211">
        <v>1109</v>
      </c>
      <c r="H63" s="211">
        <v>1204</v>
      </c>
      <c r="I63" s="211">
        <v>403</v>
      </c>
      <c r="J63" s="213">
        <v>7100</v>
      </c>
      <c r="K63" s="212">
        <v>143128</v>
      </c>
      <c r="L63" s="211">
        <v>43867</v>
      </c>
      <c r="M63" s="211">
        <v>43007</v>
      </c>
      <c r="N63" s="211">
        <v>9978</v>
      </c>
      <c r="O63" s="213">
        <v>239980</v>
      </c>
      <c r="P63" s="212">
        <v>147512</v>
      </c>
      <c r="Q63" s="211">
        <v>44976</v>
      </c>
      <c r="R63" s="211">
        <v>44211</v>
      </c>
      <c r="S63" s="211">
        <v>10381</v>
      </c>
      <c r="T63" s="213">
        <v>247080</v>
      </c>
      <c r="U63" s="211"/>
      <c r="V63" s="213"/>
    </row>
    <row r="64" spans="1:22" x14ac:dyDescent="0.35">
      <c r="A64" s="196" t="s">
        <v>128</v>
      </c>
      <c r="B64" s="196" t="s">
        <v>98</v>
      </c>
      <c r="C64" s="211">
        <v>82889</v>
      </c>
      <c r="D64" s="211">
        <v>42900</v>
      </c>
      <c r="E64" s="211">
        <v>39989</v>
      </c>
      <c r="F64" s="212">
        <v>26491</v>
      </c>
      <c r="G64" s="211">
        <v>6699</v>
      </c>
      <c r="H64" s="211">
        <v>7274</v>
      </c>
      <c r="I64" s="211">
        <v>2436</v>
      </c>
      <c r="J64" s="213">
        <v>42900</v>
      </c>
      <c r="K64" s="212">
        <v>23850</v>
      </c>
      <c r="L64" s="211">
        <v>7310</v>
      </c>
      <c r="M64" s="211">
        <v>7166</v>
      </c>
      <c r="N64" s="211">
        <v>1663</v>
      </c>
      <c r="O64" s="213">
        <v>39989</v>
      </c>
      <c r="P64" s="212">
        <v>50341</v>
      </c>
      <c r="Q64" s="211">
        <v>14009</v>
      </c>
      <c r="R64" s="211">
        <v>14440</v>
      </c>
      <c r="S64" s="211">
        <v>4099</v>
      </c>
      <c r="T64" s="213">
        <v>82889</v>
      </c>
      <c r="U64" s="211"/>
      <c r="V64" s="213"/>
    </row>
    <row r="65" spans="1:22" x14ac:dyDescent="0.35">
      <c r="A65" s="196" t="s">
        <v>131</v>
      </c>
      <c r="B65" s="196" t="s">
        <v>99</v>
      </c>
      <c r="C65" s="211">
        <v>54490</v>
      </c>
      <c r="D65" s="211">
        <v>9000</v>
      </c>
      <c r="E65" s="211">
        <v>45490</v>
      </c>
      <c r="F65" s="212">
        <v>5558</v>
      </c>
      <c r="G65" s="211">
        <v>1405</v>
      </c>
      <c r="H65" s="211">
        <v>1526</v>
      </c>
      <c r="I65" s="211">
        <v>511</v>
      </c>
      <c r="J65" s="213">
        <v>9000</v>
      </c>
      <c r="K65" s="212">
        <v>27131</v>
      </c>
      <c r="L65" s="211">
        <v>8315</v>
      </c>
      <c r="M65" s="211">
        <v>8152</v>
      </c>
      <c r="N65" s="211">
        <v>1891</v>
      </c>
      <c r="O65" s="213">
        <v>45489</v>
      </c>
      <c r="P65" s="212">
        <v>32689</v>
      </c>
      <c r="Q65" s="211">
        <v>9720</v>
      </c>
      <c r="R65" s="211">
        <v>9678</v>
      </c>
      <c r="S65" s="211">
        <v>2402</v>
      </c>
      <c r="T65" s="213">
        <v>54489</v>
      </c>
      <c r="U65" s="211"/>
      <c r="V65" s="213"/>
    </row>
    <row r="66" spans="1:22" x14ac:dyDescent="0.35">
      <c r="A66" s="196" t="s">
        <v>143</v>
      </c>
      <c r="B66" s="196" t="s">
        <v>166</v>
      </c>
      <c r="C66" s="211">
        <v>115329</v>
      </c>
      <c r="D66" s="211">
        <v>0</v>
      </c>
      <c r="E66" s="211">
        <v>115329</v>
      </c>
      <c r="F66" s="212">
        <v>0</v>
      </c>
      <c r="G66" s="211">
        <v>0</v>
      </c>
      <c r="H66" s="211">
        <v>0</v>
      </c>
      <c r="I66" s="211">
        <v>0</v>
      </c>
      <c r="J66" s="213">
        <v>0</v>
      </c>
      <c r="K66" s="212">
        <v>68784</v>
      </c>
      <c r="L66" s="211">
        <v>21082</v>
      </c>
      <c r="M66" s="211">
        <v>20668</v>
      </c>
      <c r="N66" s="211">
        <v>4795</v>
      </c>
      <c r="O66" s="213">
        <v>115329</v>
      </c>
      <c r="P66" s="212">
        <v>68784</v>
      </c>
      <c r="Q66" s="211">
        <v>21082</v>
      </c>
      <c r="R66" s="211">
        <v>20668</v>
      </c>
      <c r="S66" s="211">
        <v>4795</v>
      </c>
      <c r="T66" s="213">
        <v>115329</v>
      </c>
      <c r="U66" s="211"/>
      <c r="V66" s="213"/>
    </row>
    <row r="67" spans="1:22" x14ac:dyDescent="0.35">
      <c r="A67" s="196" t="s">
        <v>131</v>
      </c>
      <c r="B67" s="196" t="s">
        <v>100</v>
      </c>
      <c r="C67" s="211">
        <v>142557</v>
      </c>
      <c r="D67" s="211">
        <v>8000</v>
      </c>
      <c r="E67" s="211">
        <v>134557</v>
      </c>
      <c r="F67" s="212">
        <v>4940</v>
      </c>
      <c r="G67" s="211">
        <v>1249</v>
      </c>
      <c r="H67" s="211">
        <v>1356</v>
      </c>
      <c r="I67" s="211">
        <v>454</v>
      </c>
      <c r="J67" s="213">
        <v>7999</v>
      </c>
      <c r="K67" s="212">
        <v>80252</v>
      </c>
      <c r="L67" s="211">
        <v>24596</v>
      </c>
      <c r="M67" s="211">
        <v>24114</v>
      </c>
      <c r="N67" s="211">
        <v>5594</v>
      </c>
      <c r="O67" s="213">
        <v>134556</v>
      </c>
      <c r="P67" s="212">
        <v>85192</v>
      </c>
      <c r="Q67" s="211">
        <v>25845</v>
      </c>
      <c r="R67" s="211">
        <v>25470</v>
      </c>
      <c r="S67" s="211">
        <v>6048</v>
      </c>
      <c r="T67" s="213">
        <v>142555</v>
      </c>
      <c r="U67" s="211"/>
      <c r="V67" s="213"/>
    </row>
    <row r="68" spans="1:22" x14ac:dyDescent="0.35">
      <c r="A68" s="196" t="s">
        <v>142</v>
      </c>
      <c r="B68" s="196" t="s">
        <v>101</v>
      </c>
      <c r="C68" s="211">
        <v>126545</v>
      </c>
      <c r="D68" s="211">
        <v>4200</v>
      </c>
      <c r="E68" s="211">
        <v>122345</v>
      </c>
      <c r="F68" s="212">
        <v>2603</v>
      </c>
      <c r="G68" s="211">
        <v>722</v>
      </c>
      <c r="H68" s="211">
        <v>686</v>
      </c>
      <c r="I68" s="211">
        <v>188</v>
      </c>
      <c r="J68" s="213">
        <v>4199</v>
      </c>
      <c r="K68" s="212">
        <v>78433</v>
      </c>
      <c r="L68" s="211">
        <v>20697</v>
      </c>
      <c r="M68" s="211">
        <v>19578</v>
      </c>
      <c r="N68" s="211">
        <v>3636</v>
      </c>
      <c r="O68" s="213">
        <v>122344</v>
      </c>
      <c r="P68" s="212">
        <v>81036</v>
      </c>
      <c r="Q68" s="211">
        <v>21419</v>
      </c>
      <c r="R68" s="211">
        <v>20264</v>
      </c>
      <c r="S68" s="211">
        <v>3824</v>
      </c>
      <c r="T68" s="213">
        <v>126543</v>
      </c>
      <c r="U68" s="211"/>
      <c r="V68" s="213"/>
    </row>
    <row r="69" spans="1:22" x14ac:dyDescent="0.35">
      <c r="A69" s="196" t="s">
        <v>144</v>
      </c>
      <c r="B69" s="196" t="s">
        <v>167</v>
      </c>
      <c r="C69" s="211">
        <v>75638</v>
      </c>
      <c r="D69" s="211">
        <v>2000</v>
      </c>
      <c r="E69" s="211">
        <v>73638</v>
      </c>
      <c r="F69" s="212">
        <v>1240</v>
      </c>
      <c r="G69" s="211">
        <v>344</v>
      </c>
      <c r="H69" s="211">
        <v>327</v>
      </c>
      <c r="I69" s="211">
        <v>89</v>
      </c>
      <c r="J69" s="213">
        <v>2000</v>
      </c>
      <c r="K69" s="212">
        <v>47208</v>
      </c>
      <c r="L69" s="211">
        <v>12457</v>
      </c>
      <c r="M69" s="211">
        <v>11784</v>
      </c>
      <c r="N69" s="211">
        <v>2188</v>
      </c>
      <c r="O69" s="213">
        <v>73637</v>
      </c>
      <c r="P69" s="212">
        <v>48448</v>
      </c>
      <c r="Q69" s="211">
        <v>12801</v>
      </c>
      <c r="R69" s="211">
        <v>12111</v>
      </c>
      <c r="S69" s="211">
        <v>2277</v>
      </c>
      <c r="T69" s="213">
        <v>75637</v>
      </c>
      <c r="U69" s="211"/>
      <c r="V69" s="213"/>
    </row>
    <row r="70" spans="1:22" x14ac:dyDescent="0.35">
      <c r="A70" s="196" t="s">
        <v>148</v>
      </c>
      <c r="B70" s="196" t="s">
        <v>102</v>
      </c>
      <c r="C70" s="211">
        <v>94645</v>
      </c>
      <c r="D70" s="211">
        <v>14000</v>
      </c>
      <c r="E70" s="211">
        <v>80645</v>
      </c>
      <c r="F70" s="212">
        <v>8678</v>
      </c>
      <c r="G70" s="211">
        <v>2408</v>
      </c>
      <c r="H70" s="211">
        <v>2288</v>
      </c>
      <c r="I70" s="211">
        <v>626</v>
      </c>
      <c r="J70" s="213">
        <v>14000</v>
      </c>
      <c r="K70" s="212">
        <v>51700</v>
      </c>
      <c r="L70" s="211">
        <v>13643</v>
      </c>
      <c r="M70" s="211">
        <v>12905</v>
      </c>
      <c r="N70" s="211">
        <v>2397</v>
      </c>
      <c r="O70" s="213">
        <v>80645</v>
      </c>
      <c r="P70" s="212">
        <v>60378</v>
      </c>
      <c r="Q70" s="211">
        <v>16051</v>
      </c>
      <c r="R70" s="211">
        <v>15193</v>
      </c>
      <c r="S70" s="211">
        <v>3023</v>
      </c>
      <c r="T70" s="213">
        <v>94645</v>
      </c>
      <c r="U70" s="211"/>
      <c r="V70" s="213"/>
    </row>
    <row r="71" spans="1:22" x14ac:dyDescent="0.35">
      <c r="A71" s="196" t="s">
        <v>142</v>
      </c>
      <c r="B71" s="196" t="s">
        <v>103</v>
      </c>
      <c r="C71" s="211">
        <v>63295</v>
      </c>
      <c r="D71" s="211">
        <v>3000</v>
      </c>
      <c r="E71" s="211">
        <v>60295</v>
      </c>
      <c r="F71" s="212">
        <v>1860</v>
      </c>
      <c r="G71" s="211">
        <v>516</v>
      </c>
      <c r="H71" s="211">
        <v>490</v>
      </c>
      <c r="I71" s="211">
        <v>134</v>
      </c>
      <c r="J71" s="213">
        <v>3000</v>
      </c>
      <c r="K71" s="212">
        <v>38654</v>
      </c>
      <c r="L71" s="211">
        <v>10200</v>
      </c>
      <c r="M71" s="211">
        <v>9649</v>
      </c>
      <c r="N71" s="211">
        <v>1792</v>
      </c>
      <c r="O71" s="213">
        <v>60295</v>
      </c>
      <c r="P71" s="212">
        <v>40514</v>
      </c>
      <c r="Q71" s="211">
        <v>10716</v>
      </c>
      <c r="R71" s="211">
        <v>10139</v>
      </c>
      <c r="S71" s="211">
        <v>1926</v>
      </c>
      <c r="T71" s="213">
        <v>63295</v>
      </c>
      <c r="U71" s="211"/>
      <c r="V71" s="213"/>
    </row>
    <row r="72" spans="1:22" x14ac:dyDescent="0.35">
      <c r="A72" s="196" t="s">
        <v>128</v>
      </c>
      <c r="B72" s="196" t="s">
        <v>104</v>
      </c>
      <c r="C72" s="211">
        <v>122616</v>
      </c>
      <c r="D72" s="211">
        <v>8500</v>
      </c>
      <c r="E72" s="211">
        <v>114116</v>
      </c>
      <c r="F72" s="212">
        <v>5269</v>
      </c>
      <c r="G72" s="211">
        <v>1462</v>
      </c>
      <c r="H72" s="211">
        <v>1389</v>
      </c>
      <c r="I72" s="211">
        <v>380</v>
      </c>
      <c r="J72" s="213">
        <v>8500</v>
      </c>
      <c r="K72" s="212">
        <v>73158</v>
      </c>
      <c r="L72" s="211">
        <v>19305</v>
      </c>
      <c r="M72" s="211">
        <v>18262</v>
      </c>
      <c r="N72" s="211">
        <v>3391</v>
      </c>
      <c r="O72" s="213">
        <v>114116</v>
      </c>
      <c r="P72" s="212">
        <v>78427</v>
      </c>
      <c r="Q72" s="211">
        <v>20767</v>
      </c>
      <c r="R72" s="211">
        <v>19651</v>
      </c>
      <c r="S72" s="211">
        <v>3771</v>
      </c>
      <c r="T72" s="213">
        <v>122616</v>
      </c>
      <c r="U72" s="211"/>
      <c r="V72" s="213"/>
    </row>
    <row r="73" spans="1:22" x14ac:dyDescent="0.35">
      <c r="A73" s="196" t="s">
        <v>129</v>
      </c>
      <c r="B73" s="196" t="s">
        <v>105</v>
      </c>
      <c r="C73" s="211">
        <v>78537</v>
      </c>
      <c r="D73" s="211">
        <v>17000</v>
      </c>
      <c r="E73" s="211">
        <v>61537</v>
      </c>
      <c r="F73" s="212">
        <v>10537</v>
      </c>
      <c r="G73" s="211">
        <v>2924</v>
      </c>
      <c r="H73" s="211">
        <v>2778</v>
      </c>
      <c r="I73" s="211">
        <v>760</v>
      </c>
      <c r="J73" s="213">
        <v>16999</v>
      </c>
      <c r="K73" s="212">
        <v>39450</v>
      </c>
      <c r="L73" s="211">
        <v>10410</v>
      </c>
      <c r="M73" s="211">
        <v>9848</v>
      </c>
      <c r="N73" s="211">
        <v>1829</v>
      </c>
      <c r="O73" s="213">
        <v>61537</v>
      </c>
      <c r="P73" s="212">
        <v>49987</v>
      </c>
      <c r="Q73" s="211">
        <v>13334</v>
      </c>
      <c r="R73" s="211">
        <v>12626</v>
      </c>
      <c r="S73" s="211">
        <v>2589</v>
      </c>
      <c r="T73" s="213">
        <v>78536</v>
      </c>
      <c r="U73" s="211"/>
      <c r="V73" s="213"/>
    </row>
    <row r="74" spans="1:22" x14ac:dyDescent="0.35">
      <c r="A74" s="196" t="s">
        <v>144</v>
      </c>
      <c r="B74" s="196" t="s">
        <v>106</v>
      </c>
      <c r="C74" s="211">
        <v>139718</v>
      </c>
      <c r="D74" s="211">
        <v>1000</v>
      </c>
      <c r="E74" s="211">
        <v>138718</v>
      </c>
      <c r="F74" s="212">
        <v>678</v>
      </c>
      <c r="G74" s="211">
        <v>134</v>
      </c>
      <c r="H74" s="211">
        <v>148</v>
      </c>
      <c r="I74" s="211">
        <v>41</v>
      </c>
      <c r="J74" s="213">
        <v>1001</v>
      </c>
      <c r="K74" s="212">
        <v>89575</v>
      </c>
      <c r="L74" s="211">
        <v>18922</v>
      </c>
      <c r="M74" s="211">
        <v>22598</v>
      </c>
      <c r="N74" s="211">
        <v>7623</v>
      </c>
      <c r="O74" s="213">
        <v>138718</v>
      </c>
      <c r="P74" s="212">
        <v>90253</v>
      </c>
      <c r="Q74" s="211">
        <v>19056</v>
      </c>
      <c r="R74" s="211">
        <v>22746</v>
      </c>
      <c r="S74" s="211">
        <v>7664</v>
      </c>
      <c r="T74" s="213">
        <v>139719</v>
      </c>
      <c r="U74" s="211"/>
      <c r="V74" s="213"/>
    </row>
    <row r="75" spans="1:22" x14ac:dyDescent="0.35">
      <c r="A75" s="196" t="s">
        <v>144</v>
      </c>
      <c r="B75" s="196" t="s">
        <v>107</v>
      </c>
      <c r="C75" s="211">
        <v>75797</v>
      </c>
      <c r="D75" s="211">
        <v>13900</v>
      </c>
      <c r="E75" s="211">
        <v>61897</v>
      </c>
      <c r="F75" s="212">
        <v>9424</v>
      </c>
      <c r="G75" s="211">
        <v>1859</v>
      </c>
      <c r="H75" s="211">
        <v>2051</v>
      </c>
      <c r="I75" s="211">
        <v>567</v>
      </c>
      <c r="J75" s="213">
        <v>13901</v>
      </c>
      <c r="K75" s="212">
        <v>39969</v>
      </c>
      <c r="L75" s="211">
        <v>8443</v>
      </c>
      <c r="M75" s="211">
        <v>10083</v>
      </c>
      <c r="N75" s="211">
        <v>3402</v>
      </c>
      <c r="O75" s="213">
        <v>61897</v>
      </c>
      <c r="P75" s="212">
        <v>49393</v>
      </c>
      <c r="Q75" s="211">
        <v>10302</v>
      </c>
      <c r="R75" s="211">
        <v>12134</v>
      </c>
      <c r="S75" s="211">
        <v>3969</v>
      </c>
      <c r="T75" s="213">
        <v>75798</v>
      </c>
      <c r="U75" s="211"/>
      <c r="V75" s="213"/>
    </row>
    <row r="76" spans="1:22" x14ac:dyDescent="0.35">
      <c r="A76" s="196" t="s">
        <v>142</v>
      </c>
      <c r="B76" s="196" t="s">
        <v>155</v>
      </c>
      <c r="C76" s="211">
        <v>319547</v>
      </c>
      <c r="D76" s="211">
        <v>6500</v>
      </c>
      <c r="E76" s="211">
        <v>313047</v>
      </c>
      <c r="F76" s="212">
        <v>4407</v>
      </c>
      <c r="G76" s="211">
        <v>869</v>
      </c>
      <c r="H76" s="211">
        <v>959</v>
      </c>
      <c r="I76" s="211">
        <v>265</v>
      </c>
      <c r="J76" s="213">
        <v>6500</v>
      </c>
      <c r="K76" s="212">
        <v>202144</v>
      </c>
      <c r="L76" s="211">
        <v>42702</v>
      </c>
      <c r="M76" s="211">
        <v>50997</v>
      </c>
      <c r="N76" s="211">
        <v>17204</v>
      </c>
      <c r="O76" s="213">
        <v>313047</v>
      </c>
      <c r="P76" s="212">
        <v>206551</v>
      </c>
      <c r="Q76" s="211">
        <v>43571</v>
      </c>
      <c r="R76" s="211">
        <v>51956</v>
      </c>
      <c r="S76" s="211">
        <v>17469</v>
      </c>
      <c r="T76" s="213">
        <v>319547</v>
      </c>
      <c r="U76" s="211"/>
      <c r="V76" s="213"/>
    </row>
    <row r="77" spans="1:22" x14ac:dyDescent="0.35">
      <c r="A77" s="196" t="s">
        <v>135</v>
      </c>
      <c r="B77" s="196" t="s">
        <v>108</v>
      </c>
      <c r="C77" s="211">
        <v>69298</v>
      </c>
      <c r="D77" s="211">
        <v>0</v>
      </c>
      <c r="E77" s="211">
        <v>69298</v>
      </c>
      <c r="F77" s="212">
        <v>0</v>
      </c>
      <c r="G77" s="211">
        <v>0</v>
      </c>
      <c r="H77" s="211">
        <v>0</v>
      </c>
      <c r="I77" s="211">
        <v>0</v>
      </c>
      <c r="J77" s="213">
        <v>0</v>
      </c>
      <c r="K77" s="212">
        <v>44748</v>
      </c>
      <c r="L77" s="211">
        <v>9453</v>
      </c>
      <c r="M77" s="211">
        <v>11289</v>
      </c>
      <c r="N77" s="211">
        <v>3808</v>
      </c>
      <c r="O77" s="213">
        <v>69298</v>
      </c>
      <c r="P77" s="212">
        <v>44748</v>
      </c>
      <c r="Q77" s="211">
        <v>9453</v>
      </c>
      <c r="R77" s="211">
        <v>11289</v>
      </c>
      <c r="S77" s="211">
        <v>3808</v>
      </c>
      <c r="T77" s="213">
        <v>69298</v>
      </c>
      <c r="U77" s="211"/>
      <c r="V77" s="213"/>
    </row>
    <row r="78" spans="1:22" x14ac:dyDescent="0.35">
      <c r="A78" s="196" t="s">
        <v>129</v>
      </c>
      <c r="B78" s="196" t="s">
        <v>109</v>
      </c>
      <c r="C78" s="211">
        <v>81097</v>
      </c>
      <c r="D78" s="211">
        <v>8800</v>
      </c>
      <c r="E78" s="211">
        <v>72297</v>
      </c>
      <c r="F78" s="212">
        <v>5966</v>
      </c>
      <c r="G78" s="211">
        <v>1177</v>
      </c>
      <c r="H78" s="211">
        <v>1298</v>
      </c>
      <c r="I78" s="211">
        <v>359</v>
      </c>
      <c r="J78" s="213">
        <v>8800</v>
      </c>
      <c r="K78" s="212">
        <v>46684</v>
      </c>
      <c r="L78" s="211">
        <v>9862</v>
      </c>
      <c r="M78" s="211">
        <v>11778</v>
      </c>
      <c r="N78" s="211">
        <v>3973</v>
      </c>
      <c r="O78" s="213">
        <v>72297</v>
      </c>
      <c r="P78" s="212">
        <v>52650</v>
      </c>
      <c r="Q78" s="211">
        <v>11039</v>
      </c>
      <c r="R78" s="211">
        <v>13076</v>
      </c>
      <c r="S78" s="211">
        <v>4332</v>
      </c>
      <c r="T78" s="213">
        <v>81097</v>
      </c>
      <c r="U78" s="211"/>
      <c r="V78" s="213"/>
    </row>
    <row r="79" spans="1:22" x14ac:dyDescent="0.35">
      <c r="A79" s="196" t="s">
        <v>144</v>
      </c>
      <c r="B79" s="196" t="s">
        <v>145</v>
      </c>
      <c r="C79" s="211">
        <v>97252</v>
      </c>
      <c r="D79" s="211">
        <v>21300</v>
      </c>
      <c r="E79" s="211">
        <v>75952</v>
      </c>
      <c r="F79" s="212">
        <v>14441</v>
      </c>
      <c r="G79" s="211">
        <v>2848</v>
      </c>
      <c r="H79" s="211">
        <v>3142</v>
      </c>
      <c r="I79" s="211">
        <v>869</v>
      </c>
      <c r="J79" s="213">
        <v>21300</v>
      </c>
      <c r="K79" s="212">
        <v>49045</v>
      </c>
      <c r="L79" s="211">
        <v>10360</v>
      </c>
      <c r="M79" s="211">
        <v>12373</v>
      </c>
      <c r="N79" s="211">
        <v>4174</v>
      </c>
      <c r="O79" s="213">
        <v>75952</v>
      </c>
      <c r="P79" s="212">
        <v>63486</v>
      </c>
      <c r="Q79" s="211">
        <v>13208</v>
      </c>
      <c r="R79" s="211">
        <v>15515</v>
      </c>
      <c r="S79" s="211">
        <v>5043</v>
      </c>
      <c r="T79" s="213">
        <v>97252</v>
      </c>
      <c r="U79" s="211"/>
      <c r="V79" s="213"/>
    </row>
    <row r="80" spans="1:22" ht="16" thickBot="1" x14ac:dyDescent="0.4">
      <c r="A80" s="196" t="s">
        <v>126</v>
      </c>
      <c r="B80" s="196" t="s">
        <v>110</v>
      </c>
      <c r="C80" s="211">
        <v>56232</v>
      </c>
      <c r="D80" s="211">
        <v>4200</v>
      </c>
      <c r="E80" s="211">
        <v>52032</v>
      </c>
      <c r="F80" s="214">
        <v>2847</v>
      </c>
      <c r="G80" s="215">
        <v>562</v>
      </c>
      <c r="H80" s="215">
        <v>620</v>
      </c>
      <c r="I80" s="215">
        <v>171</v>
      </c>
      <c r="J80" s="216">
        <v>4200</v>
      </c>
      <c r="K80" s="214">
        <v>33599</v>
      </c>
      <c r="L80" s="215">
        <v>7098</v>
      </c>
      <c r="M80" s="215">
        <v>8476</v>
      </c>
      <c r="N80" s="215">
        <v>2859</v>
      </c>
      <c r="O80" s="216">
        <v>52032</v>
      </c>
      <c r="P80" s="214">
        <v>36446</v>
      </c>
      <c r="Q80" s="215">
        <v>7660</v>
      </c>
      <c r="R80" s="215">
        <v>9096</v>
      </c>
      <c r="S80" s="215">
        <v>3030</v>
      </c>
      <c r="T80" s="216">
        <v>56232</v>
      </c>
      <c r="U80" s="215"/>
      <c r="V80" s="216"/>
    </row>
    <row r="81" spans="6:20" x14ac:dyDescent="0.35">
      <c r="F81" s="211"/>
      <c r="G81" s="211"/>
      <c r="H81" s="211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</row>
    <row r="82" spans="6:20" x14ac:dyDescent="0.35">
      <c r="F82" s="211"/>
      <c r="G82" s="211"/>
      <c r="H82" s="211"/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</row>
    <row r="83" spans="6:20" x14ac:dyDescent="0.35">
      <c r="F83" s="211"/>
      <c r="G83" s="211"/>
      <c r="H83" s="211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</row>
    <row r="84" spans="6:20" x14ac:dyDescent="0.35">
      <c r="F84" s="211"/>
      <c r="G84" s="211"/>
      <c r="H84" s="211"/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</row>
    <row r="85" spans="6:20" x14ac:dyDescent="0.35">
      <c r="F85" s="211"/>
      <c r="G85" s="211"/>
      <c r="H85" s="211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</row>
    <row r="86" spans="6:20" x14ac:dyDescent="0.35">
      <c r="F86" s="211"/>
      <c r="G86" s="211"/>
      <c r="H86" s="211"/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A9" sqref="A9"/>
    </sheetView>
  </sheetViews>
  <sheetFormatPr defaultRowHeight="14.5" x14ac:dyDescent="0.35"/>
  <cols>
    <col min="1" max="1" width="4.26953125" customWidth="1"/>
    <col min="2" max="2" width="21.54296875" customWidth="1"/>
    <col min="7" max="7" width="13.26953125" customWidth="1"/>
    <col min="8" max="8" width="12.54296875" customWidth="1"/>
    <col min="9" max="9" width="17.81640625" customWidth="1"/>
    <col min="10" max="10" width="17.26953125" customWidth="1"/>
    <col min="11" max="11" width="19.453125" customWidth="1"/>
  </cols>
  <sheetData>
    <row r="1" spans="1:11" x14ac:dyDescent="0.35">
      <c r="A1" s="241" t="s">
        <v>342</v>
      </c>
      <c r="B1" s="241" t="s">
        <v>300</v>
      </c>
      <c r="C1" s="241" t="s">
        <v>301</v>
      </c>
      <c r="D1" s="241" t="s">
        <v>302</v>
      </c>
      <c r="E1" s="241" t="s">
        <v>303</v>
      </c>
      <c r="F1" s="241" t="s">
        <v>304</v>
      </c>
      <c r="G1" s="242" t="s">
        <v>305</v>
      </c>
      <c r="H1" s="243" t="s">
        <v>306</v>
      </c>
      <c r="I1" s="244" t="s">
        <v>307</v>
      </c>
      <c r="J1" s="245" t="s">
        <v>308</v>
      </c>
      <c r="K1" s="246" t="s">
        <v>309</v>
      </c>
    </row>
    <row r="2" spans="1:11" x14ac:dyDescent="0.35">
      <c r="A2" s="247">
        <v>1</v>
      </c>
      <c r="B2" s="247" t="s">
        <v>311</v>
      </c>
      <c r="C2" s="247"/>
      <c r="D2" s="247"/>
      <c r="E2" s="247"/>
      <c r="F2" s="247" t="s">
        <v>312</v>
      </c>
      <c r="G2" s="247" t="s">
        <v>313</v>
      </c>
      <c r="H2" s="247" t="s">
        <v>314</v>
      </c>
      <c r="I2" s="247" t="s">
        <v>315</v>
      </c>
      <c r="J2" s="247" t="s">
        <v>316</v>
      </c>
      <c r="K2" s="247" t="s">
        <v>317</v>
      </c>
    </row>
    <row r="3" spans="1:11" x14ac:dyDescent="0.35">
      <c r="A3" s="248">
        <v>2</v>
      </c>
      <c r="B3" s="248" t="s">
        <v>318</v>
      </c>
      <c r="C3" s="248"/>
      <c r="D3" s="248"/>
      <c r="E3" s="248"/>
      <c r="F3" s="248" t="s">
        <v>312</v>
      </c>
      <c r="G3" s="248" t="s">
        <v>319</v>
      </c>
      <c r="H3" s="248" t="s">
        <v>320</v>
      </c>
      <c r="I3" s="248" t="s">
        <v>321</v>
      </c>
      <c r="J3" s="248" t="s">
        <v>322</v>
      </c>
      <c r="K3" s="248" t="s">
        <v>323</v>
      </c>
    </row>
    <row r="4" spans="1:11" x14ac:dyDescent="0.35">
      <c r="A4" s="247">
        <v>3</v>
      </c>
      <c r="B4" s="247" t="s">
        <v>324</v>
      </c>
      <c r="C4" s="247"/>
      <c r="D4" s="247"/>
      <c r="E4" s="247"/>
      <c r="F4" s="247" t="s">
        <v>312</v>
      </c>
      <c r="G4" s="247" t="s">
        <v>325</v>
      </c>
      <c r="H4" s="247" t="s">
        <v>326</v>
      </c>
      <c r="I4" s="247" t="s">
        <v>327</v>
      </c>
      <c r="J4" s="247" t="s">
        <v>328</v>
      </c>
      <c r="K4" s="247" t="s">
        <v>329</v>
      </c>
    </row>
    <row r="5" spans="1:11" x14ac:dyDescent="0.35">
      <c r="A5" s="248">
        <v>4</v>
      </c>
      <c r="B5" s="248" t="s">
        <v>330</v>
      </c>
      <c r="C5" s="248"/>
      <c r="D5" s="248"/>
      <c r="E5" s="248"/>
      <c r="F5" s="248" t="s">
        <v>312</v>
      </c>
      <c r="G5" s="248" t="s">
        <v>325</v>
      </c>
      <c r="H5" s="248" t="s">
        <v>326</v>
      </c>
      <c r="I5" s="248" t="s">
        <v>327</v>
      </c>
      <c r="J5" s="248" t="s">
        <v>328</v>
      </c>
      <c r="K5" s="248" t="s">
        <v>329</v>
      </c>
    </row>
    <row r="6" spans="1:11" x14ac:dyDescent="0.35">
      <c r="A6" s="247">
        <v>5</v>
      </c>
      <c r="B6" s="247" t="s">
        <v>331</v>
      </c>
      <c r="C6" s="247"/>
      <c r="D6" s="247"/>
      <c r="E6" s="247"/>
      <c r="F6" s="247" t="s">
        <v>312</v>
      </c>
      <c r="G6" s="247" t="s">
        <v>332</v>
      </c>
      <c r="H6" s="247" t="s">
        <v>333</v>
      </c>
      <c r="I6" s="247" t="s">
        <v>334</v>
      </c>
      <c r="J6" s="247" t="s">
        <v>335</v>
      </c>
      <c r="K6" s="247" t="s">
        <v>310</v>
      </c>
    </row>
    <row r="7" spans="1:11" x14ac:dyDescent="0.35">
      <c r="A7" s="249">
        <v>6</v>
      </c>
      <c r="B7" s="249" t="s">
        <v>336</v>
      </c>
      <c r="C7" s="249"/>
      <c r="D7" s="249"/>
      <c r="E7" s="249"/>
      <c r="F7" s="249" t="s">
        <v>312</v>
      </c>
      <c r="G7" s="249" t="s">
        <v>337</v>
      </c>
      <c r="H7" s="249" t="s">
        <v>338</v>
      </c>
      <c r="I7" s="249" t="s">
        <v>339</v>
      </c>
      <c r="J7" s="249" t="s">
        <v>340</v>
      </c>
      <c r="K7" s="249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A-Summary</vt:lpstr>
      <vt:lpstr>B-AL_data</vt:lpstr>
      <vt:lpstr>C-HH_AL_Aggregation</vt:lpstr>
      <vt:lpstr>C-H2R_Estimation</vt:lpstr>
      <vt:lpstr>E-REF_HNO_pop</vt:lpstr>
      <vt:lpstr>Indicators &amp; Thresholds -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2021-08-25T19:29:22Z</dcterms:modified>
</cp:coreProperties>
</file>