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AFF11D9F-91E6-4871-82E5-CDECF60237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questao" sheetId="1" r:id="rId1"/>
    <sheet name="2questao" sheetId="2" r:id="rId2"/>
    <sheet name="3questao" sheetId="3" r:id="rId3"/>
    <sheet name="4questao" sheetId="4" r:id="rId4"/>
    <sheet name="5questao" sheetId="6" r:id="rId5"/>
    <sheet name="6questão" sheetId="7" r:id="rId6"/>
    <sheet name="borrao" sheetId="5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3" l="1"/>
  <c r="F27" i="3" s="1"/>
  <c r="F28" i="3" s="1"/>
  <c r="F29" i="3" s="1"/>
  <c r="F30" i="3" s="1"/>
  <c r="F31" i="3" s="1"/>
  <c r="F32" i="3" s="1"/>
  <c r="F25" i="3"/>
  <c r="F24" i="3"/>
  <c r="P25" i="3"/>
  <c r="P12" i="7" l="1"/>
  <c r="P15" i="7" s="1"/>
  <c r="B8" i="6"/>
  <c r="B10" i="6" s="1"/>
  <c r="C38" i="4" l="1"/>
  <c r="L14" i="3"/>
  <c r="L7" i="3"/>
  <c r="L8" i="3"/>
  <c r="L9" i="3"/>
  <c r="L10" i="3"/>
  <c r="L11" i="3"/>
  <c r="L12" i="3"/>
  <c r="L13" i="3"/>
  <c r="L6" i="3"/>
  <c r="T15" i="1"/>
  <c r="T12" i="1"/>
  <c r="R7" i="1"/>
  <c r="Q7" i="1"/>
  <c r="Q8" i="1" s="1"/>
  <c r="Q9" i="1" s="1"/>
  <c r="Q10" i="1" s="1"/>
  <c r="Q11" i="1" s="1"/>
  <c r="Q12" i="1" s="1"/>
  <c r="Q13" i="1" s="1"/>
  <c r="Q14" i="1" s="1"/>
  <c r="Q15" i="1" s="1"/>
  <c r="O18" i="1"/>
  <c r="R15" i="1" s="1"/>
  <c r="O17" i="1"/>
  <c r="R14" i="1" s="1"/>
  <c r="U15" i="1" s="1"/>
  <c r="O16" i="1"/>
  <c r="R13" i="1" s="1"/>
  <c r="U14" i="1" s="1"/>
  <c r="O15" i="1"/>
  <c r="R12" i="1" s="1"/>
  <c r="O13" i="1"/>
  <c r="O7" i="1"/>
  <c r="O8" i="1"/>
  <c r="R8" i="1" s="1"/>
  <c r="O9" i="1"/>
  <c r="R9" i="1" s="1"/>
  <c r="O10" i="1"/>
  <c r="R10" i="1" s="1"/>
  <c r="O11" i="1"/>
  <c r="R11" i="1" s="1"/>
  <c r="T11" i="1" s="1"/>
  <c r="O6" i="1"/>
  <c r="R6" i="1" s="1"/>
  <c r="M7" i="1"/>
  <c r="M8" i="1" s="1"/>
  <c r="M9" i="1" s="1"/>
  <c r="M10" i="1" s="1"/>
  <c r="M17" i="1" s="1"/>
  <c r="M18" i="1" s="1"/>
  <c r="E7" i="5"/>
  <c r="C10" i="5"/>
  <c r="E10" i="5" s="1"/>
  <c r="C9" i="5"/>
  <c r="T17" i="1" l="1"/>
  <c r="T6" i="1"/>
  <c r="U7" i="1"/>
  <c r="U18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U10" i="1"/>
  <c r="T9" i="1"/>
  <c r="V12" i="1" s="1"/>
  <c r="V17" i="1" s="1"/>
  <c r="U9" i="1"/>
  <c r="T8" i="1"/>
  <c r="V11" i="1" s="1"/>
  <c r="T10" i="1"/>
  <c r="U11" i="1"/>
  <c r="U8" i="1"/>
  <c r="U13" i="1"/>
  <c r="T7" i="1"/>
  <c r="T14" i="1"/>
  <c r="T13" i="1"/>
  <c r="V13" i="1" s="1"/>
  <c r="U12" i="1"/>
  <c r="U17" i="1" s="1"/>
  <c r="C14" i="5"/>
  <c r="V10" i="1" l="1"/>
  <c r="V15" i="1"/>
  <c r="T18" i="1"/>
  <c r="V9" i="1"/>
  <c r="V14" i="1"/>
  <c r="C18" i="5"/>
  <c r="C16" i="5"/>
  <c r="C15" i="4"/>
  <c r="C25" i="4"/>
  <c r="C27" i="4" s="1"/>
  <c r="C28" i="4" s="1"/>
  <c r="C29" i="4" s="1"/>
  <c r="B25" i="3"/>
  <c r="B26" i="3" s="1"/>
  <c r="B27" i="3" s="1"/>
  <c r="C20" i="3"/>
  <c r="C21" i="3" s="1"/>
  <c r="F6" i="3"/>
  <c r="D10" i="3" s="1"/>
  <c r="D11" i="3" s="1"/>
  <c r="D13" i="3" s="1"/>
  <c r="C19" i="3" s="1"/>
  <c r="C26" i="3" s="1"/>
  <c r="E8" i="2"/>
  <c r="C12" i="2" s="1"/>
  <c r="C17" i="2" s="1"/>
  <c r="V18" i="1" l="1"/>
  <c r="C33" i="4"/>
  <c r="C34" i="4"/>
  <c r="D25" i="3"/>
  <c r="C24" i="3"/>
  <c r="E24" i="3" s="1"/>
  <c r="D26" i="3"/>
  <c r="E26" i="3" s="1"/>
  <c r="D27" i="3"/>
  <c r="D24" i="3"/>
  <c r="C25" i="3"/>
  <c r="B28" i="3"/>
  <c r="C27" i="3"/>
  <c r="E27" i="3" l="1"/>
  <c r="C36" i="4"/>
  <c r="C40" i="4" s="1"/>
  <c r="E25" i="3"/>
  <c r="B29" i="3"/>
  <c r="C28" i="3"/>
  <c r="D28" i="3"/>
  <c r="E28" i="3" l="1"/>
  <c r="B30" i="3"/>
  <c r="D29" i="3"/>
  <c r="C29" i="3"/>
  <c r="E29" i="3" l="1"/>
  <c r="B31" i="3"/>
  <c r="C30" i="3"/>
  <c r="D30" i="3"/>
  <c r="E30" i="3" l="1"/>
  <c r="B32" i="3"/>
  <c r="D31" i="3"/>
  <c r="C31" i="3"/>
  <c r="D32" i="3" l="1"/>
  <c r="C32" i="3"/>
  <c r="E31" i="3"/>
  <c r="E32" i="3" l="1"/>
</calcChain>
</file>

<file path=xl/sharedStrings.xml><?xml version="1.0" encoding="utf-8"?>
<sst xmlns="http://schemas.openxmlformats.org/spreadsheetml/2006/main" count="172" uniqueCount="118">
  <si>
    <t>A</t>
  </si>
  <si>
    <t>Tc</t>
  </si>
  <si>
    <t>Tr</t>
  </si>
  <si>
    <t>km2</t>
  </si>
  <si>
    <t>horas</t>
  </si>
  <si>
    <t>i</t>
  </si>
  <si>
    <t>min</t>
  </si>
  <si>
    <t>mm/h</t>
  </si>
  <si>
    <t>a)</t>
  </si>
  <si>
    <t>b)</t>
  </si>
  <si>
    <t>c</t>
  </si>
  <si>
    <t>Q</t>
  </si>
  <si>
    <t>m3/s</t>
  </si>
  <si>
    <t>Hietograma Triangula</t>
  </si>
  <si>
    <t>Imax</t>
  </si>
  <si>
    <t>P</t>
  </si>
  <si>
    <t>mm</t>
  </si>
  <si>
    <t>Td</t>
  </si>
  <si>
    <t>r</t>
  </si>
  <si>
    <t xml:space="preserve">(0,4-0,5) </t>
  </si>
  <si>
    <t>T</t>
  </si>
  <si>
    <t>rTd</t>
  </si>
  <si>
    <t>i1</t>
  </si>
  <si>
    <t>i2</t>
  </si>
  <si>
    <t>Parea</t>
  </si>
  <si>
    <t>Area</t>
  </si>
  <si>
    <t>Xmed</t>
  </si>
  <si>
    <t>devpad</t>
  </si>
  <si>
    <t>Kt</t>
  </si>
  <si>
    <t>P1dia</t>
  </si>
  <si>
    <t>P24</t>
  </si>
  <si>
    <t>P1h</t>
  </si>
  <si>
    <t>P(TC)</t>
  </si>
  <si>
    <t>Dados</t>
  </si>
  <si>
    <t>Parâmetros</t>
  </si>
  <si>
    <t>Cp</t>
  </si>
  <si>
    <t>J/kg.K</t>
  </si>
  <si>
    <t>Tw</t>
  </si>
  <si>
    <t>Pa</t>
  </si>
  <si>
    <t>es (Pa)</t>
  </si>
  <si>
    <t>lv</t>
  </si>
  <si>
    <t>MJ/kg</t>
  </si>
  <si>
    <t>J/kg</t>
  </si>
  <si>
    <t>g</t>
  </si>
  <si>
    <t>Pa/C</t>
  </si>
  <si>
    <t>e</t>
  </si>
  <si>
    <t>UR</t>
  </si>
  <si>
    <t>hpa</t>
  </si>
  <si>
    <t>TPO</t>
  </si>
  <si>
    <t>Determinar as máximas intensidades de precipitação com duração de 1, 2 e 4 horas, para a precipitação registrada no pluviograma (mostrado na figura a seguir). Determinar a altura total precipitada e a duração da chuva.</t>
  </si>
  <si>
    <t>TEMPO</t>
  </si>
  <si>
    <t>Lamina_Registrada</t>
  </si>
  <si>
    <t>Incremento_precipitação</t>
  </si>
  <si>
    <t>Incremento_total</t>
  </si>
  <si>
    <t>Total</t>
  </si>
  <si>
    <t>Total de 1 hora</t>
  </si>
  <si>
    <t>Total de 2 horas</t>
  </si>
  <si>
    <t>toal de precipitação de 4 horas</t>
  </si>
  <si>
    <t>Imax (mm/h)</t>
  </si>
  <si>
    <t xml:space="preserve">Responda as questões a seguir sobre o dimensionamento de um bueiro na cidade de Fortaleza que drena uma área de 2,0 km2 e tem tempo de concentração de uma hora.  </t>
  </si>
  <si>
    <t>Qual a intensidade da chuva de projeto para período de retorno de 10 anos?</t>
  </si>
  <si>
    <t>Qual a vazão de Calcule a vazão de dimensionamento do Bueiro? O  coeficiente de runnoff é igual a 0,9 (adimensional).</t>
  </si>
  <si>
    <t>Equação da IDF da Cidade de Fortaleza</t>
  </si>
  <si>
    <r>
      <t>Deseja-se calcular a cheia afluente a uma barragem em uma bacia de 350 km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 e tempo de concentração de quatro horas.  As precipitações intensas nesta região são representadas pela IDF de Fortaleza. Calcule :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</si>
  <si>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Qual a precipitação com período de retorno de 100 anos. </t>
    </r>
  </si>
  <si>
    <t>Reduçao</t>
  </si>
  <si>
    <r>
      <t>Deseja-se dimensionar o vertedouro de uma barragem no município de Senador Pompeu, para uma bacia de 350 km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e tempo de concentração de quatro horas. </t>
    </r>
  </si>
  <si>
    <t xml:space="preserve">A série de precipitações máximas anuais do posto pluviométrico  da cidade tem média de 120mm e desvio padrão de 40 mm. </t>
  </si>
  <si>
    <t>Calcule a chuva de projeto a ser utilizada sabendo que o vertedouro deve ser dimensionado para um período de retorno de 1000 anos</t>
  </si>
  <si>
    <t xml:space="preserve">Observa-se que esta localidade encontra-se na isozona H. </t>
  </si>
  <si>
    <t>H</t>
  </si>
  <si>
    <t>Distribuição de Gumbel</t>
  </si>
  <si>
    <t>Pa/Po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</si>
  <si>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Qual a precipitação efetiva em uma em uma bacia de 200 km</t>
    </r>
    <r>
      <rPr>
        <vertAlign val="superscript"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 xml:space="preserve"> associada a uma precipitação de  130 mm, sabendo que o número da curva (CN) é 72?</t>
    </r>
  </si>
  <si>
    <t>CN</t>
  </si>
  <si>
    <t>Utilização da terra</t>
  </si>
  <si>
    <t>Condições de superfície</t>
  </si>
  <si>
    <t>Tipos de solos de área</t>
  </si>
  <si>
    <t>B</t>
  </si>
  <si>
    <t>C</t>
  </si>
  <si>
    <t>D</t>
  </si>
  <si>
    <t>Terrenos cultivados</t>
  </si>
  <si>
    <t xml:space="preserve">Com sulcos retilíneos </t>
  </si>
  <si>
    <t>Em fileiras retas</t>
  </si>
  <si>
    <t>Plantações regulares</t>
  </si>
  <si>
    <t xml:space="preserve">Em curvas de nível </t>
  </si>
  <si>
    <t xml:space="preserve">Terraceado em nível </t>
  </si>
  <si>
    <t>Plantações de cereais</t>
  </si>
  <si>
    <t>Plantações de legumes ou campos cultivados</t>
  </si>
  <si>
    <t>Pobres</t>
  </si>
  <si>
    <t>Normais</t>
  </si>
  <si>
    <t xml:space="preserve">Boas </t>
  </si>
  <si>
    <t>Pastagens</t>
  </si>
  <si>
    <t xml:space="preserve">Pobres, em curvas de nível </t>
  </si>
  <si>
    <t>Normais, em curvas de nível</t>
  </si>
  <si>
    <t>Boas, em curvas de nível</t>
  </si>
  <si>
    <t>Campos permanentes</t>
  </si>
  <si>
    <t>Esparsas, de baixa transpiração</t>
  </si>
  <si>
    <t xml:space="preserve">Normais </t>
  </si>
  <si>
    <t xml:space="preserve">Densas, de alta transpiração </t>
  </si>
  <si>
    <t>Chácaras</t>
  </si>
  <si>
    <t xml:space="preserve">Estradas de terra </t>
  </si>
  <si>
    <t>Más</t>
  </si>
  <si>
    <t>De superfície dura</t>
  </si>
  <si>
    <t>Florestas</t>
  </si>
  <si>
    <t>Muito esparsas, baixa tanspiração</t>
  </si>
  <si>
    <t>Esparsas</t>
  </si>
  <si>
    <t>Densas, alta transpiração</t>
  </si>
  <si>
    <t>Superfícies impermeáveis</t>
  </si>
  <si>
    <t>Áreas urbanizadas</t>
  </si>
  <si>
    <t>S</t>
  </si>
  <si>
    <t>Pe</t>
  </si>
  <si>
    <t>Utilize o método dos polígonos de Thiessen. Depois utilize o método da interpolação pelo inverso da distância ao quadrado, aproximando a forma da bacia com células de 10 x 10 km, sendo que a grade sobreposta ao desenho tem resolução de 1 x 1 km.</t>
  </si>
  <si>
    <t xml:space="preserve">Qual é a chuva média na bacia da figura abaixo considerando que a chuva observada em A é de 1300 mm, a chuva observada em B é de 900 mm e a chuva observada em C é de 1100 mm? </t>
  </si>
  <si>
    <t>Prec</t>
  </si>
  <si>
    <t>total</t>
  </si>
  <si>
    <t>i med</t>
  </si>
  <si>
    <t>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</si>
</sst>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vertAlign val="superscript"/>
      <sz val="12"/>
      <color theme="1"/>
      <name val="Arial"/>
      <family val="2"/>
    </font>
    <font>
      <sz val="14"/>
      <color theme="1"/>
      <name val="Arial"/>
      <family val="2"/>
    </font>
    <font>
      <vertAlign val="superscript"/>
      <sz val="14"/>
      <color theme="1"/>
      <name val="Arial"/>
      <family val="2"/>
    </font>
    <font>
      <sz val="12"/>
      <color theme="1"/>
      <name val="Arial"/>
      <family val="1"/>
    </font>
    <font>
      <sz val="11"/>
      <color rgb="FF0070C0"/>
      <name val="Calibri"/>
      <family val="2"/>
      <scheme val="minor"/>
    </font>
    <font>
      <b/>
      <sz val="11"/>
      <color rgb="FF000000"/>
      <name val="Tahoma"/>
      <family val="2"/>
    </font>
    <font>
      <b/>
      <sz val="11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9" fontId="0" fillId="0" borderId="0" xfId="1" applyFont="1"/>
    <xf numFmtId="0" fontId="0" fillId="0" borderId="1" xfId="0" applyBorder="1"/>
    <xf numFmtId="0" fontId="0" fillId="3" borderId="0" xfId="0" applyFill="1"/>
    <xf numFmtId="164" fontId="0" fillId="3" borderId="0" xfId="0" applyNumberFormat="1" applyFill="1"/>
    <xf numFmtId="0" fontId="0" fillId="2" borderId="0" xfId="0" applyFill="1"/>
    <xf numFmtId="0" fontId="8" fillId="2" borderId="0" xfId="0" applyFont="1" applyFill="1" applyAlignment="1">
      <alignment horizontal="left" vertical="center" indent="2"/>
    </xf>
    <xf numFmtId="0" fontId="4" fillId="2" borderId="0" xfId="0" applyFont="1" applyFill="1"/>
    <xf numFmtId="0" fontId="10" fillId="2" borderId="0" xfId="0" applyFont="1" applyFill="1" applyAlignment="1">
      <alignment horizontal="left" vertical="center" indent="8"/>
    </xf>
    <xf numFmtId="16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4" fontId="11" fillId="0" borderId="0" xfId="0" applyNumberFormat="1" applyFont="1"/>
    <xf numFmtId="0" fontId="0" fillId="0" borderId="0" xfId="0" applyAlignment="1">
      <alignment wrapText="1"/>
    </xf>
    <xf numFmtId="0" fontId="5" fillId="2" borderId="0" xfId="0" applyFont="1" applyFill="1"/>
    <xf numFmtId="0" fontId="11" fillId="0" borderId="0" xfId="0" applyFont="1"/>
    <xf numFmtId="2" fontId="11" fillId="0" borderId="0" xfId="0" applyNumberFormat="1" applyFont="1"/>
    <xf numFmtId="0" fontId="10" fillId="2" borderId="0" xfId="0" applyFont="1" applyFill="1" applyAlignment="1">
      <alignment horizontal="left" vertical="center" indent="2"/>
    </xf>
    <xf numFmtId="0" fontId="12" fillId="4" borderId="7" xfId="0" applyFont="1" applyFill="1" applyBorder="1" applyAlignment="1">
      <alignment horizontal="center" vertical="center" wrapText="1" readingOrder="1"/>
    </xf>
    <xf numFmtId="0" fontId="12" fillId="5" borderId="2" xfId="0" applyFont="1" applyFill="1" applyBorder="1" applyAlignment="1">
      <alignment horizontal="justify" vertical="center" wrapText="1" readingOrder="1"/>
    </xf>
    <xf numFmtId="0" fontId="12" fillId="5" borderId="2" xfId="0" applyFont="1" applyFill="1" applyBorder="1" applyAlignment="1">
      <alignment horizontal="center" vertical="center" wrapText="1" readingOrder="1"/>
    </xf>
    <xf numFmtId="0" fontId="12" fillId="5" borderId="6" xfId="0" applyFont="1" applyFill="1" applyBorder="1" applyAlignment="1">
      <alignment horizontal="justify" vertical="center" wrapText="1" readingOrder="1"/>
    </xf>
    <xf numFmtId="0" fontId="12" fillId="5" borderId="6" xfId="0" applyFont="1" applyFill="1" applyBorder="1" applyAlignment="1">
      <alignment horizontal="center" vertical="center" wrapText="1" readingOrder="1"/>
    </xf>
    <xf numFmtId="0" fontId="12" fillId="4" borderId="2" xfId="0" applyFont="1" applyFill="1" applyBorder="1" applyAlignment="1">
      <alignment horizontal="justify" vertical="center" wrapText="1" readingOrder="1"/>
    </xf>
    <xf numFmtId="0" fontId="12" fillId="4" borderId="2" xfId="0" applyFont="1" applyFill="1" applyBorder="1" applyAlignment="1">
      <alignment horizontal="center" vertical="center" wrapText="1" readingOrder="1"/>
    </xf>
    <xf numFmtId="0" fontId="12" fillId="4" borderId="8" xfId="0" applyFont="1" applyFill="1" applyBorder="1" applyAlignment="1">
      <alignment horizontal="justify" vertical="center" wrapText="1" readingOrder="1"/>
    </xf>
    <xf numFmtId="0" fontId="12" fillId="4" borderId="8" xfId="0" applyFont="1" applyFill="1" applyBorder="1" applyAlignment="1">
      <alignment horizontal="center" vertical="center" wrapText="1" readingOrder="1"/>
    </xf>
    <xf numFmtId="0" fontId="12" fillId="4" borderId="6" xfId="0" applyFont="1" applyFill="1" applyBorder="1" applyAlignment="1">
      <alignment horizontal="justify" vertical="center" wrapText="1" readingOrder="1"/>
    </xf>
    <xf numFmtId="0" fontId="12" fillId="4" borderId="6" xfId="0" applyFont="1" applyFill="1" applyBorder="1" applyAlignment="1">
      <alignment horizontal="center" vertical="center" wrapText="1" readingOrder="1"/>
    </xf>
    <xf numFmtId="0" fontId="12" fillId="5" borderId="8" xfId="0" applyFont="1" applyFill="1" applyBorder="1" applyAlignment="1">
      <alignment horizontal="justify" vertical="center" wrapText="1" readingOrder="1"/>
    </xf>
    <xf numFmtId="0" fontId="12" fillId="5" borderId="8" xfId="0" applyFont="1" applyFill="1" applyBorder="1" applyAlignment="1">
      <alignment horizontal="center" vertical="center" wrapText="1" readingOrder="1"/>
    </xf>
    <xf numFmtId="0" fontId="13" fillId="5" borderId="8" xfId="0" applyFont="1" applyFill="1" applyBorder="1" applyAlignment="1">
      <alignment horizontal="center" vertical="center" wrapText="1" readingOrder="1"/>
    </xf>
    <xf numFmtId="0" fontId="0" fillId="5" borderId="6" xfId="0" applyFill="1" applyBorder="1" applyAlignment="1">
      <alignment horizontal="justify" vertical="top" wrapText="1"/>
    </xf>
    <xf numFmtId="0" fontId="12" fillId="5" borderId="7" xfId="0" applyFont="1" applyFill="1" applyBorder="1" applyAlignment="1">
      <alignment horizontal="justify" vertical="center" wrapText="1" readingOrder="1"/>
    </xf>
    <xf numFmtId="0" fontId="12" fillId="5" borderId="7" xfId="0" applyFont="1" applyFill="1" applyBorder="1" applyAlignment="1">
      <alignment horizontal="left" vertical="center" wrapText="1" indent="4" readingOrder="1"/>
    </xf>
    <xf numFmtId="0" fontId="12" fillId="5" borderId="7" xfId="0" applyFont="1" applyFill="1" applyBorder="1" applyAlignment="1">
      <alignment horizontal="center" vertical="center" wrapText="1" readingOrder="1"/>
    </xf>
    <xf numFmtId="0" fontId="5" fillId="2" borderId="0" xfId="0" applyFont="1" applyFill="1" applyAlignment="1">
      <alignment horizontal="left" vertical="center" indent="2"/>
    </xf>
    <xf numFmtId="164" fontId="0" fillId="0" borderId="1" xfId="0" applyNumberFormat="1" applyBorder="1"/>
    <xf numFmtId="0" fontId="0" fillId="6" borderId="0" xfId="0" applyFill="1"/>
    <xf numFmtId="1" fontId="0" fillId="0" borderId="0" xfId="0" applyNumberFormat="1"/>
    <xf numFmtId="0" fontId="4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0" fontId="12" fillId="4" borderId="2" xfId="0" applyFont="1" applyFill="1" applyBorder="1" applyAlignment="1">
      <alignment horizontal="center" vertical="center" wrapText="1" readingOrder="1"/>
    </xf>
    <xf numFmtId="0" fontId="12" fillId="4" borderId="6" xfId="0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12" fillId="4" borderId="5" xfId="0" applyFont="1" applyFill="1" applyBorder="1" applyAlignment="1">
      <alignment horizontal="center" vertical="center" wrapText="1" readingOrder="1"/>
    </xf>
    <xf numFmtId="0" fontId="12" fillId="5" borderId="2" xfId="0" applyFont="1" applyFill="1" applyBorder="1" applyAlignment="1">
      <alignment horizontal="justify" vertical="center" wrapText="1" readingOrder="1"/>
    </xf>
    <xf numFmtId="0" fontId="12" fillId="5" borderId="6" xfId="0" applyFont="1" applyFill="1" applyBorder="1" applyAlignment="1">
      <alignment horizontal="justify" vertical="center" wrapText="1" readingOrder="1"/>
    </xf>
    <xf numFmtId="0" fontId="12" fillId="4" borderId="2" xfId="0" applyFont="1" applyFill="1" applyBorder="1" applyAlignment="1">
      <alignment horizontal="justify" vertical="center" wrapText="1" readingOrder="1"/>
    </xf>
    <xf numFmtId="0" fontId="12" fillId="4" borderId="8" xfId="0" applyFont="1" applyFill="1" applyBorder="1" applyAlignment="1">
      <alignment horizontal="justify" vertical="center" wrapText="1" readingOrder="1"/>
    </xf>
    <xf numFmtId="0" fontId="12" fillId="4" borderId="6" xfId="0" applyFont="1" applyFill="1" applyBorder="1" applyAlignment="1">
      <alignment horizontal="justify" vertical="center" wrapText="1" readingOrder="1"/>
    </xf>
    <xf numFmtId="0" fontId="12" fillId="5" borderId="8" xfId="0" applyFont="1" applyFill="1" applyBorder="1" applyAlignment="1">
      <alignment horizontal="justify" vertical="center" wrapText="1" readingOrder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'3questao'!$L$5</c:f>
              <c:strCache>
                <c:ptCount val="1"/>
                <c:pt idx="0">
                  <c:v>Reduçao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'3questao'!$K$6:$K$14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200</c:v>
                </c:pt>
                <c:pt idx="5">
                  <c:v>350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</c:numCache>
            </c:numRef>
          </c:xVal>
          <c:yVal>
            <c:numRef>
              <c:f>'3questao'!$L$6:$L$14</c:f>
              <c:numCache>
                <c:formatCode>0.0</c:formatCode>
                <c:ptCount val="9"/>
                <c:pt idx="0">
                  <c:v>1</c:v>
                </c:pt>
                <c:pt idx="1">
                  <c:v>0.93377340095392414</c:v>
                </c:pt>
                <c:pt idx="2">
                  <c:v>0.89503332396167423</c:v>
                </c:pt>
                <c:pt idx="3">
                  <c:v>0.86754680190784828</c:v>
                </c:pt>
                <c:pt idx="4">
                  <c:v>0.80132020286177241</c:v>
                </c:pt>
                <c:pt idx="5" formatCode="0.000">
                  <c:v>0.74785183215078765</c:v>
                </c:pt>
                <c:pt idx="6">
                  <c:v>0.71377340095392405</c:v>
                </c:pt>
                <c:pt idx="7">
                  <c:v>0.67503332396167426</c:v>
                </c:pt>
                <c:pt idx="8">
                  <c:v>0.6475468019078483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8-41E2-9DBB-EF6B49BC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61695"/>
        <c:axId val="1138169183"/>
      </c:scatterChart>
      <c:valAx>
        <c:axId val="11381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169183"/>
        <c:crosses val="autoZero"/>
        <c:crossBetween val="midCat"/>
      </c:valAx>
      <c:valAx>
        <c:axId val="11381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1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'3questao'!$E$23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'3questao'!$B$24:$B$32</c:f>
              <c:numCache>
                <c:formatCode>0.0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'3questao'!$E$24:$E$32</c:f>
              <c:numCache>
                <c:formatCode>0.0</c:formatCode>
                <c:ptCount val="9"/>
                <c:pt idx="0">
                  <c:v>0</c:v>
                </c:pt>
                <c:pt idx="1">
                  <c:v>17.788319875641282</c:v>
                </c:pt>
                <c:pt idx="2">
                  <c:v>35.576639751282563</c:v>
                </c:pt>
                <c:pt idx="3">
                  <c:v>53.364959626923842</c:v>
                </c:pt>
                <c:pt idx="4">
                  <c:v>47.435519668376756</c:v>
                </c:pt>
                <c:pt idx="5">
                  <c:v>35.576639751282571</c:v>
                </c:pt>
                <c:pt idx="6">
                  <c:v>23.717759834188371</c:v>
                </c:pt>
                <c:pt idx="7">
                  <c:v>11.858879917094185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4BA0-BA86-C5755C308A86}"/>
            </c:ext>
          </c:extLst>
        </c:ser>
        <c:ser>
          <c:idx val="1"/>
          <c:order val="1"/>
          <c:tx>
            <c:strRef>
              <c:f>'3questao'!$F$23</c:f>
              <c:strCache>
                <c:ptCount val="1"/>
                <c:pt idx="0">
                  <c:v>imed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'3questao'!$B$24:$B$32</c:f>
              <c:numCache>
                <c:formatCode>0.0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'3questao'!$F$24:$F$32</c:f>
              <c:numCache>
                <c:formatCode>0.0</c:formatCode>
                <c:ptCount val="9"/>
                <c:pt idx="0">
                  <c:v>28.461311801026053</c:v>
                </c:pt>
                <c:pt idx="1">
                  <c:v>28.461311801026053</c:v>
                </c:pt>
                <c:pt idx="2">
                  <c:v>28.461311801026053</c:v>
                </c:pt>
                <c:pt idx="3">
                  <c:v>28.461311801026053</c:v>
                </c:pt>
                <c:pt idx="4">
                  <c:v>28.461311801026053</c:v>
                </c:pt>
                <c:pt idx="5">
                  <c:v>28.461311801026053</c:v>
                </c:pt>
                <c:pt idx="6">
                  <c:v>28.461311801026053</c:v>
                </c:pt>
                <c:pt idx="7">
                  <c:v>28.461311801026053</c:v>
                </c:pt>
                <c:pt idx="8">
                  <c:v>28.461311801026053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A-4BA0-BA86-C5755C30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61168"/>
        <c:axId val="1248262000"/>
      </c:scatterChart>
      <c:valAx>
        <c:axId val="12482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262000"/>
        <c:crosses val="autoZero"/>
        <c:crossBetween val="midCat"/>
      </c:valAx>
      <c:valAx>
        <c:axId val="12482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2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493568</xdr:colOff>
      <xdr:row>3</xdr:row>
      <xdr:rowOff>95250</xdr:rowOff>
    </xdr:from>
    <xdr:to>
      <xdr:col>10</xdr:col>
      <xdr:colOff>420832</xdr:colOff>
      <xdr:row>21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568" y="1333500"/>
          <a:ext cx="5988628" cy="3333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20</xdr:row>
      <xdr:rowOff>19051</xdr:rowOff>
    </xdr:from>
    <xdr:to>
      <xdr:col>12</xdr:col>
      <xdr:colOff>219075</xdr:colOff>
      <xdr:row>29</xdr:row>
      <xdr:rowOff>164525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95725" y="3905251"/>
          <a:ext cx="3638550" cy="1859974"/>
        </a:xfrm>
        <a:prstGeom prst="rect">
          <a:avLst/>
        </a:prstGeom>
      </xdr:spPr>
    </xdr:pic>
    <xdr:clientData/>
  </xdr:twoCellAnchor>
  <xdr:twoCellAnchor>
    <xdr:from>
      <xdr:col>14</xdr:col>
      <xdr:colOff>85725</xdr:colOff>
      <xdr:row>4</xdr:row>
      <xdr:rowOff>109537</xdr:rowOff>
    </xdr:from>
    <xdr:to>
      <xdr:col>21</xdr:col>
      <xdr:colOff>390525</xdr:colOff>
      <xdr:row>18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21</xdr:row>
      <xdr:rowOff>57150</xdr:rowOff>
    </xdr:from>
    <xdr:to>
      <xdr:col>20</xdr:col>
      <xdr:colOff>171450</xdr:colOff>
      <xdr:row>35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161925</xdr:colOff>
          <xdr:row>22</xdr:row>
          <xdr:rowOff>171450</xdr:rowOff>
        </xdr:from>
        <xdr:to>
          <xdr:col>12</xdr:col>
          <xdr:colOff>352425</xdr:colOff>
          <xdr:row>26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571500</xdr:colOff>
      <xdr:row>4</xdr:row>
      <xdr:rowOff>171450</xdr:rowOff>
    </xdr:from>
    <xdr:to>
      <xdr:col>10</xdr:col>
      <xdr:colOff>78740</xdr:colOff>
      <xdr:row>8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1009650"/>
          <a:ext cx="560324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66675</xdr:colOff>
      <xdr:row>5</xdr:row>
      <xdr:rowOff>104775</xdr:rowOff>
    </xdr:from>
    <xdr:to>
      <xdr:col>24</xdr:col>
      <xdr:colOff>304800</xdr:colOff>
      <xdr:row>35</xdr:row>
      <xdr:rowOff>66675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1133475"/>
          <a:ext cx="6334125" cy="5676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295275</xdr:colOff>
      <xdr:row>30</xdr:row>
      <xdr:rowOff>161925</xdr:rowOff>
    </xdr:from>
    <xdr:to>
      <xdr:col>13</xdr:col>
      <xdr:colOff>495300</xdr:colOff>
      <xdr:row>42</xdr:row>
      <xdr:rowOff>19050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5953125"/>
          <a:ext cx="4467225" cy="2143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542925</xdr:colOff>
      <xdr:row>10</xdr:row>
      <xdr:rowOff>171450</xdr:rowOff>
    </xdr:from>
    <xdr:to>
      <xdr:col>12</xdr:col>
      <xdr:colOff>447675</xdr:colOff>
      <xdr:row>22</xdr:row>
      <xdr:rowOff>152400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200525" y="2152650"/>
          <a:ext cx="3562350" cy="2266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</xdr:row>
          <xdr:rowOff>0</xdr:rowOff>
        </xdr:from>
        <xdr:to>
          <xdr:col>15</xdr:col>
          <xdr:colOff>171450</xdr:colOff>
          <xdr:row>9</xdr:row>
          <xdr:rowOff>123825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0</xdr:colOff>
      <xdr:row>11</xdr:row>
      <xdr:rowOff>161925</xdr:rowOff>
    </xdr:from>
    <xdr:to>
      <xdr:col>16</xdr:col>
      <xdr:colOff>46693</xdr:colOff>
      <xdr:row>18</xdr:row>
      <xdr:rowOff>151864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6705600" y="2295525"/>
          <a:ext cx="3094693" cy="1323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000">
              <a:solidFill>
                <a:srgbClr val="000000"/>
              </a:solidFill>
            </a:rPr>
            <a:t>onde:</a:t>
          </a:r>
        </a:p>
        <a:p>
          <a:r>
            <a:rPr lang="pt-BR" sz="2000">
              <a:solidFill>
                <a:srgbClr val="000000"/>
              </a:solidFill>
            </a:rPr>
            <a:t>PE = excesso de chuva</a:t>
          </a:r>
        </a:p>
        <a:p>
          <a:r>
            <a:rPr lang="pt-BR" sz="2000">
              <a:solidFill>
                <a:srgbClr val="000000"/>
              </a:solidFill>
            </a:rPr>
            <a:t>P = precipitação</a:t>
          </a:r>
        </a:p>
        <a:p>
          <a:r>
            <a:rPr lang="pt-BR" sz="2000">
              <a:solidFill>
                <a:srgbClr val="000000"/>
              </a:solidFill>
            </a:rPr>
            <a:t>S = Armazenamento no solo</a:t>
          </a:r>
        </a:p>
      </xdr:txBody>
    </xdr:sp>
    <xdr:clientData/>
  </xdr:twoCellAnchor>
  <xdr:twoCellAnchor editAs="oneCell">
    <xdr:from>
      <xdr:col>13</xdr:col>
      <xdr:colOff>387350</xdr:colOff>
      <xdr:row>19</xdr:row>
      <xdr:rowOff>161925</xdr:rowOff>
    </xdr:from>
    <xdr:to>
      <xdr:col>15</xdr:col>
      <xdr:colOff>311150</xdr:colOff>
      <xdr:row>22</xdr:row>
      <xdr:rowOff>101600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150" y="3819525"/>
          <a:ext cx="114300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20</xdr:row>
      <xdr:rowOff>25400</xdr:rowOff>
    </xdr:from>
    <xdr:to>
      <xdr:col>13</xdr:col>
      <xdr:colOff>374650</xdr:colOff>
      <xdr:row>22</xdr:row>
      <xdr:rowOff>12700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705600" y="3873500"/>
          <a:ext cx="1593850" cy="36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solidFill>
                <a:srgbClr val="000000"/>
              </a:solidFill>
            </a:rPr>
            <a:t>Em polegada:</a:t>
          </a:r>
        </a:p>
      </xdr:txBody>
    </xdr:sp>
    <xdr:clientData/>
  </xdr:twoCellAnchor>
  <xdr:twoCellAnchor>
    <xdr:from>
      <xdr:col>11</xdr:col>
      <xdr:colOff>0</xdr:colOff>
      <xdr:row>23</xdr:row>
      <xdr:rowOff>161925</xdr:rowOff>
    </xdr:from>
    <xdr:to>
      <xdr:col>13</xdr:col>
      <xdr:colOff>577850</xdr:colOff>
      <xdr:row>25</xdr:row>
      <xdr:rowOff>155066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05600" y="4581525"/>
          <a:ext cx="1797050" cy="374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solidFill>
                <a:srgbClr val="000000"/>
              </a:solidFill>
            </a:rPr>
            <a:t>Em centímero: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428625</xdr:colOff>
          <xdr:row>25</xdr:row>
          <xdr:rowOff>38100</xdr:rowOff>
        </xdr:from>
        <xdr:to>
          <xdr:col>15</xdr:col>
          <xdr:colOff>533400</xdr:colOff>
          <xdr:row>27</xdr:row>
          <xdr:rowOff>171450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16</xdr:col>
      <xdr:colOff>76200</xdr:colOff>
      <xdr:row>4</xdr:row>
      <xdr:rowOff>66675</xdr:rowOff>
    </xdr:from>
    <xdr:to>
      <xdr:col>28</xdr:col>
      <xdr:colOff>152400</xdr:colOff>
      <xdr:row>24</xdr:row>
      <xdr:rowOff>190496</xdr:rowOff>
    </xdr:to>
    <xdr:grpSp>
      <xdr:nvGrpSpPr>
        <xdr:cNvPr id="8" name="Group 4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>
          <a:grpSpLocks/>
        </xdr:cNvGrpSpPr>
      </xdr:nvGrpSpPr>
      <xdr:grpSpPr bwMode="auto">
        <a:xfrm>
          <a:off x="9774382" y="863311"/>
          <a:ext cx="8406245" cy="3933821"/>
          <a:chOff x="521" y="1888"/>
          <a:chExt cx="4990" cy="2302"/>
        </a:xfrm>
      </xdr:grpSpPr>
      <xdr:sp macro="" textlink="">
        <xdr:nvSpPr>
          <xdr:cNvPr id="9" name="Rectangle 5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4507" y="3714"/>
            <a:ext cx="1004" cy="4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Volume  Infiltrado</a:t>
            </a:r>
          </a:p>
        </xdr:txBody>
      </xdr:sp>
      <xdr:sp macro="" textlink="">
        <xdr:nvSpPr>
          <xdr:cNvPr id="10" name="Line 6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ShapeType="1"/>
          </xdr:cNvSpPr>
        </xdr:nvSpPr>
        <xdr:spPr bwMode="auto">
          <a:xfrm>
            <a:off x="1768" y="3683"/>
            <a:ext cx="3024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 type="triangle" w="med" len="med"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1" name="Line 7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768" y="2051"/>
            <a:ext cx="0" cy="1632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 type="triangle" w="med" len="med"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2" name="Line 8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ShapeType="1"/>
          </xdr:cNvSpPr>
        </xdr:nvSpPr>
        <xdr:spPr bwMode="auto">
          <a:xfrm>
            <a:off x="1768" y="3347"/>
            <a:ext cx="432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3" name="Line 9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2200" y="2963"/>
            <a:ext cx="432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4" name="Line 10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ShapeType="1"/>
          </xdr:cNvSpPr>
        </xdr:nvSpPr>
        <xdr:spPr bwMode="auto">
          <a:xfrm>
            <a:off x="2632" y="2435"/>
            <a:ext cx="384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5" name="Line 11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ShapeType="1"/>
          </xdr:cNvSpPr>
        </xdr:nvSpPr>
        <xdr:spPr bwMode="auto">
          <a:xfrm>
            <a:off x="3016" y="2099"/>
            <a:ext cx="432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6" name="Line 12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200" y="2963"/>
            <a:ext cx="0" cy="384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7" name="Line 13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016" y="2099"/>
            <a:ext cx="0" cy="336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8" name="Line 14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2435"/>
            <a:ext cx="0" cy="528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19" name="Line 15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3448" y="2099"/>
            <a:ext cx="0" cy="624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0" name="Line 16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3880" y="2723"/>
            <a:ext cx="0" cy="432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1" name="Line 17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4408" y="3155"/>
            <a:ext cx="0" cy="528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2" name="Line 18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>
            <a:spLocks noChangeShapeType="1"/>
          </xdr:cNvSpPr>
        </xdr:nvSpPr>
        <xdr:spPr bwMode="auto">
          <a:xfrm>
            <a:off x="3448" y="2723"/>
            <a:ext cx="432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3" name="Line 19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3880" y="3155"/>
            <a:ext cx="528" cy="0"/>
          </a:xfrm>
          <a:prstGeom prst="line">
            <a:avLst/>
          </a:pr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4" name="Freeform 20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/>
          </xdr:cNvSpPr>
        </xdr:nvSpPr>
        <xdr:spPr bwMode="auto">
          <a:xfrm>
            <a:off x="2056" y="2051"/>
            <a:ext cx="2640" cy="1392"/>
          </a:xfrm>
          <a:custGeom>
            <a:avLst/>
            <a:gdLst>
              <a:gd name="T0" fmla="*/ 0 w 2736"/>
              <a:gd name="T1" fmla="*/ 0 h 1344"/>
              <a:gd name="T2" fmla="*/ 690 w 2736"/>
              <a:gd name="T3" fmla="*/ 906 h 1344"/>
              <a:gd name="T4" fmla="*/ 1596 w 2736"/>
              <a:gd name="T5" fmla="*/ 1387 h 1344"/>
              <a:gd name="T6" fmla="*/ 2458 w 2736"/>
              <a:gd name="T7" fmla="*/ 1493 h 1344"/>
              <a:gd name="T8" fmla="*/ 0 60000 65536"/>
              <a:gd name="T9" fmla="*/ 0 60000 65536"/>
              <a:gd name="T10" fmla="*/ 0 60000 65536"/>
              <a:gd name="T11" fmla="*/ 0 60000 65536"/>
              <a:gd name="T12" fmla="*/ 0 w 2736"/>
              <a:gd name="T13" fmla="*/ 0 h 1344"/>
              <a:gd name="T14" fmla="*/ 2736 w 2736"/>
              <a:gd name="T15" fmla="*/ 1344 h 134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736" h="1344">
                <a:moveTo>
                  <a:pt x="0" y="0"/>
                </a:moveTo>
                <a:cubicBezTo>
                  <a:pt x="236" y="304"/>
                  <a:pt x="472" y="608"/>
                  <a:pt x="768" y="816"/>
                </a:cubicBezTo>
                <a:cubicBezTo>
                  <a:pt x="1064" y="1024"/>
                  <a:pt x="1448" y="1160"/>
                  <a:pt x="1776" y="1248"/>
                </a:cubicBezTo>
                <a:cubicBezTo>
                  <a:pt x="2104" y="1336"/>
                  <a:pt x="2420" y="1340"/>
                  <a:pt x="2736" y="1344"/>
                </a:cubicBezTo>
              </a:path>
            </a:pathLst>
          </a:cu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5" name="Text Box 21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4" y="1960"/>
            <a:ext cx="382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prstClr val="black"/>
                </a:solidFill>
                <a:latin typeface="Times New Roman" pitchFamily="18" charset="0"/>
              </a:rPr>
              <a:t>i, f</a:t>
            </a:r>
          </a:p>
        </xdr:txBody>
      </xdr:sp>
      <xdr:sp macro="" textlink="">
        <xdr:nvSpPr>
          <xdr:cNvPr id="26" name="Text Box 22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0" y="3543"/>
            <a:ext cx="227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prstClr val="black"/>
                </a:solidFill>
                <a:latin typeface="Times New Roman" pitchFamily="18" charset="0"/>
              </a:rPr>
              <a:t>t</a:t>
            </a:r>
          </a:p>
        </xdr:txBody>
      </xdr:sp>
      <xdr:sp macro="" textlink="">
        <xdr:nvSpPr>
          <xdr:cNvPr id="27" name="Line 23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2632" y="2963"/>
            <a:ext cx="0" cy="720"/>
          </a:xfrm>
          <a:prstGeom prst="line">
            <a:avLst/>
          </a:prstGeom>
          <a:noFill/>
          <a:ln w="28575">
            <a:solidFill>
              <a:schemeClr val="tx1"/>
            </a:solidFill>
            <a:prstDash val="lgDashDotDot"/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28" name="Text Box 24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56" y="2003"/>
            <a:ext cx="384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f</a:t>
            </a:r>
          </a:p>
        </xdr:txBody>
      </xdr:sp>
      <xdr:sp macro="" textlink="">
        <xdr:nvSpPr>
          <xdr:cNvPr id="29" name="Text Box 25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52" y="1955"/>
            <a:ext cx="384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i</a:t>
            </a:r>
          </a:p>
        </xdr:txBody>
      </xdr:sp>
      <xdr:sp macro="" textlink="">
        <xdr:nvSpPr>
          <xdr:cNvPr id="30" name="Line 26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2728" y="2435"/>
            <a:ext cx="0" cy="384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1" name="Line 27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3016" y="2435"/>
            <a:ext cx="0" cy="624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2" name="Line 28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3448" y="2723"/>
            <a:ext cx="0" cy="52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3" name="Line 29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2723"/>
            <a:ext cx="0" cy="576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4" name="Line 30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3736" y="2723"/>
            <a:ext cx="0" cy="624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5" name="Line 31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3880" y="3155"/>
            <a:ext cx="0" cy="240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6" name="Line 32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4024" y="3155"/>
            <a:ext cx="0" cy="240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7" name="Line 33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4312" y="3155"/>
            <a:ext cx="0" cy="28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8" name="Line 34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3160" y="2099"/>
            <a:ext cx="0" cy="100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39" name="Line 35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3304" y="2099"/>
            <a:ext cx="0" cy="1104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0" name="Line 36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4168" y="3155"/>
            <a:ext cx="0" cy="28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1" name="Line 37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2872" y="2435"/>
            <a:ext cx="0" cy="52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2" name="Line 38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>
            <a:spLocks noChangeShapeType="1"/>
          </xdr:cNvSpPr>
        </xdr:nvSpPr>
        <xdr:spPr bwMode="auto">
          <a:xfrm>
            <a:off x="1768" y="3539"/>
            <a:ext cx="864" cy="0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3" name="Line 39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ShapeType="1"/>
          </xdr:cNvSpPr>
        </xdr:nvSpPr>
        <xdr:spPr bwMode="auto">
          <a:xfrm>
            <a:off x="1768" y="3443"/>
            <a:ext cx="864" cy="0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4" name="Line 40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>
            <a:spLocks noChangeShapeType="1"/>
          </xdr:cNvSpPr>
        </xdr:nvSpPr>
        <xdr:spPr bwMode="auto">
          <a:xfrm>
            <a:off x="2200" y="3155"/>
            <a:ext cx="432" cy="0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5" name="Line 41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>
            <a:spLocks noChangeShapeType="1"/>
          </xdr:cNvSpPr>
        </xdr:nvSpPr>
        <xdr:spPr bwMode="auto">
          <a:xfrm>
            <a:off x="2200" y="3299"/>
            <a:ext cx="432" cy="0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6" name="Line 42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SpPr>
            <a:spLocks noChangeShapeType="1"/>
          </xdr:cNvSpPr>
        </xdr:nvSpPr>
        <xdr:spPr bwMode="auto">
          <a:xfrm>
            <a:off x="2200" y="3059"/>
            <a:ext cx="432" cy="0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7" name="Line 43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3155"/>
            <a:ext cx="672" cy="528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8" name="Line 44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824" y="3203"/>
            <a:ext cx="624" cy="480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49" name="Line 45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064" y="3299"/>
            <a:ext cx="480" cy="384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0" name="Line 46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256" y="3347"/>
            <a:ext cx="432" cy="336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1" name="Line 47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96" y="3395"/>
            <a:ext cx="384" cy="288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2" name="Line 48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736" y="3395"/>
            <a:ext cx="336" cy="288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3" name="Line 49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928" y="3443"/>
            <a:ext cx="336" cy="240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4" name="Line 50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168" y="3491"/>
            <a:ext cx="240" cy="192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5" name="Line 51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3107"/>
            <a:ext cx="480" cy="384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6" name="Line 52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3011"/>
            <a:ext cx="384" cy="288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7" name="Line 53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2915"/>
            <a:ext cx="240" cy="192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8" name="Line 54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32" y="2867"/>
            <a:ext cx="144" cy="96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59" name="Text Box 55">
            <a:extLst>
              <a:ext uri="{FF2B5EF4-FFF2-40B4-BE49-F238E27FC236}">
                <a16:creationId xmlns:a16="http://schemas.microsoft.com/office/drawing/2014/main" id="{00000000-0008-0000-0400-00003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928" y="1888"/>
            <a:ext cx="1130" cy="1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srgbClr val="0000FF"/>
                </a:solidFill>
                <a:latin typeface="Times New Roman" pitchFamily="18" charset="0"/>
              </a:rPr>
              <a:t>Excesso que se converte em lâmina do escoamento ou chuva efetiva Pe</a:t>
            </a:r>
          </a:p>
        </xdr:txBody>
      </xdr:sp>
      <xdr:sp macro="" textlink="">
        <xdr:nvSpPr>
          <xdr:cNvPr id="60" name="Line 56">
            <a:extLst>
              <a:ext uri="{FF2B5EF4-FFF2-40B4-BE49-F238E27FC236}">
                <a16:creationId xmlns:a16="http://schemas.microsoft.com/office/drawing/2014/main" id="{00000000-0008-0000-0400-00003C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640" y="2531"/>
            <a:ext cx="336" cy="288"/>
          </a:xfrm>
          <a:prstGeom prst="line">
            <a:avLst/>
          </a:prstGeom>
          <a:noFill/>
          <a:ln w="28575">
            <a:solidFill>
              <a:srgbClr val="0000FF"/>
            </a:solidFill>
            <a:round/>
            <a:headEnd/>
            <a:tailEnd type="triangle" w="med" len="med"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61" name="Text Box 57">
            <a:extLst>
              <a:ext uri="{FF2B5EF4-FFF2-40B4-BE49-F238E27FC236}">
                <a16:creationId xmlns:a16="http://schemas.microsoft.com/office/drawing/2014/main" id="{00000000-0008-0000-0400-00003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1" y="3748"/>
            <a:ext cx="1819" cy="4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Ia = Abstração iniciais (infiltra na taxa da chuva)</a:t>
            </a:r>
          </a:p>
        </xdr:txBody>
      </xdr:sp>
      <xdr:sp macro="" textlink="">
        <xdr:nvSpPr>
          <xdr:cNvPr id="62" name="Line 58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474" y="3566"/>
            <a:ext cx="507" cy="227"/>
          </a:xfrm>
          <a:prstGeom prst="line">
            <a:avLst/>
          </a:prstGeom>
          <a:noFill/>
          <a:ln w="28575">
            <a:solidFill>
              <a:srgbClr val="00CC00"/>
            </a:solidFill>
            <a:round/>
            <a:headEnd/>
            <a:tailEnd type="triangle" w="med" len="med"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63" name="Text Box 59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54" y="3714"/>
            <a:ext cx="1680" cy="4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ct val="50000"/>
              </a:spcBef>
            </a:pPr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Infiltração na Taxa Potencial</a:t>
            </a:r>
          </a:p>
        </xdr:txBody>
      </xdr:sp>
      <xdr:sp macro="" textlink="">
        <xdr:nvSpPr>
          <xdr:cNvPr id="64" name="Line 60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379" y="3430"/>
            <a:ext cx="1" cy="363"/>
          </a:xfrm>
          <a:prstGeom prst="line">
            <a:avLst/>
          </a:prstGeom>
          <a:noFill/>
          <a:ln w="28575">
            <a:solidFill>
              <a:srgbClr val="FF3300"/>
            </a:solidFill>
            <a:round/>
            <a:headEnd/>
            <a:tailEnd type="triangle" w="med" len="med"/>
          </a:ln>
        </xdr:spPr>
        <xdr:txBody>
          <a:bodyPr wrap="square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>
              <a:solidFill>
                <a:prstClr val="black"/>
              </a:solidFill>
            </a:endParaRPr>
          </a:p>
        </xdr:txBody>
      </xdr:sp>
      <xdr:sp macro="" textlink="">
        <xdr:nvSpPr>
          <xdr:cNvPr id="65" name="Rectangle 61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2265" y="3299"/>
            <a:ext cx="240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Ia</a:t>
            </a:r>
          </a:p>
        </xdr:txBody>
      </xdr:sp>
      <xdr:sp macro="" textlink="">
        <xdr:nvSpPr>
          <xdr:cNvPr id="66" name="Rectangle 62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>
            <a:spLocks noChangeArrowheads="1"/>
          </xdr:cNvSpPr>
        </xdr:nvSpPr>
        <xdr:spPr bwMode="auto">
          <a:xfrm>
            <a:off x="2518" y="3748"/>
            <a:ext cx="206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+</a:t>
            </a:r>
          </a:p>
        </xdr:txBody>
      </xdr:sp>
      <xdr:sp macro="" textlink="">
        <xdr:nvSpPr>
          <xdr:cNvPr id="67" name="Rectangle 63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3013" y="2531"/>
            <a:ext cx="276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pt-BR" sz="2000">
                <a:solidFill>
                  <a:prstClr val="black"/>
                </a:solidFill>
                <a:latin typeface="Times New Roman" pitchFamily="18" charset="0"/>
              </a:rPr>
              <a:t>Pe</a:t>
            </a:r>
          </a:p>
        </xdr:txBody>
      </xdr:sp>
      <xdr:sp macro="" textlink="">
        <xdr:nvSpPr>
          <xdr:cNvPr id="68" name="Rectangle 64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4308" y="3724"/>
            <a:ext cx="206" cy="2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pt-BR" sz="2000">
                <a:solidFill>
                  <a:srgbClr val="1F497D"/>
                </a:solidFill>
                <a:latin typeface="Times New Roman" pitchFamily="18" charset="0"/>
              </a:rPr>
              <a:t>=</a:t>
            </a:r>
          </a:p>
        </xdr:txBody>
      </xdr:sp>
    </xdr:grpSp>
    <xdr:clientData/>
  </xdr:twoCellAnchor>
  <xdr:twoCellAnchor editAs="oneCell">
    <xdr:from>
      <xdr:col>0</xdr:col>
      <xdr:colOff>0</xdr:colOff>
      <xdr:row>29</xdr:row>
      <xdr:rowOff>19049</xdr:rowOff>
    </xdr:from>
    <xdr:to>
      <xdr:col>16</xdr:col>
      <xdr:colOff>280988</xdr:colOff>
      <xdr:row>42</xdr:row>
      <xdr:rowOff>171449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610224"/>
          <a:ext cx="10034588" cy="442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428624</xdr:colOff>
      <xdr:row>5</xdr:row>
      <xdr:rowOff>133350</xdr:rowOff>
    </xdr:from>
    <xdr:to>
      <xdr:col>12</xdr:col>
      <xdr:colOff>504825</xdr:colOff>
      <xdr:row>29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4" y="1085850"/>
          <a:ext cx="6781801" cy="45910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352425</xdr:colOff>
      <xdr:row>15</xdr:row>
      <xdr:rowOff>28575</xdr:rowOff>
    </xdr:from>
    <xdr:to>
      <xdr:col>7</xdr:col>
      <xdr:colOff>85725</xdr:colOff>
      <xdr:row>21</xdr:row>
      <xdr:rowOff>76200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>
          <a:off x="2181225" y="2886075"/>
          <a:ext cx="2171700" cy="11906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11</xdr:row>
      <xdr:rowOff>161925</xdr:rowOff>
    </xdr:from>
    <xdr:to>
      <xdr:col>9</xdr:col>
      <xdr:colOff>504825</xdr:colOff>
      <xdr:row>21</xdr:row>
      <xdr:rowOff>57151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 flipV="1">
          <a:off x="4352925" y="2257425"/>
          <a:ext cx="1638300" cy="18002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21</xdr:row>
      <xdr:rowOff>95250</xdr:rowOff>
    </xdr:from>
    <xdr:to>
      <xdr:col>8</xdr:col>
      <xdr:colOff>85725</xdr:colOff>
      <xdr:row>28</xdr:row>
      <xdr:rowOff>104775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>
          <a:off x="4333875" y="4095750"/>
          <a:ext cx="628650" cy="1343025"/>
        </a:xfrm>
        <a:prstGeom prst="line">
          <a:avLst/>
        </a:prstGeom>
        <a:ln w="38100"/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image" Target="../media/image9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8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8"/>
  <sheetViews>
    <sheetView tabSelected="1" zoomScale="110" zoomScaleNormal="110" workbookViewId="0">
      <selection activeCell="O23" sqref="O23"/>
    </sheetView>
  </sheetViews>
  <sheetFormatPr defaultRowHeight="15" x14ac:dyDescent="0.25"/>
  <cols>
    <col min="14" max="14" width="19.28515625" customWidth="1"/>
    <col min="15" max="15" width="23.5703125" customWidth="1"/>
    <col min="18" max="18" width="17" customWidth="1"/>
    <col min="19" max="19" width="13" customWidth="1"/>
    <col min="20" max="20" width="13.28515625" customWidth="1"/>
    <col min="21" max="21" width="15.7109375" customWidth="1"/>
  </cols>
  <sheetData>
    <row r="2" spans="2:22" ht="67.5" customHeight="1" x14ac:dyDescent="0.3">
      <c r="B2" s="44" t="s">
        <v>49</v>
      </c>
      <c r="C2" s="44"/>
      <c r="D2" s="44"/>
      <c r="E2" s="44"/>
      <c r="F2" s="44"/>
      <c r="G2" s="44"/>
      <c r="H2" s="44"/>
      <c r="I2" s="44"/>
      <c r="J2" s="44"/>
      <c r="K2" s="44"/>
    </row>
    <row r="4" spans="2:22" x14ac:dyDescent="0.25">
      <c r="M4" t="s">
        <v>50</v>
      </c>
      <c r="N4" t="s">
        <v>51</v>
      </c>
      <c r="O4" t="s">
        <v>52</v>
      </c>
      <c r="Q4" s="6" t="s">
        <v>50</v>
      </c>
      <c r="R4" s="6" t="s">
        <v>53</v>
      </c>
      <c r="S4" s="6" t="s">
        <v>54</v>
      </c>
      <c r="T4" t="s">
        <v>55</v>
      </c>
      <c r="U4" t="s">
        <v>56</v>
      </c>
      <c r="V4" t="s">
        <v>57</v>
      </c>
    </row>
    <row r="5" spans="2:22" x14ac:dyDescent="0.25">
      <c r="M5">
        <v>0</v>
      </c>
      <c r="N5">
        <v>5.2</v>
      </c>
      <c r="Q5" s="6">
        <v>0</v>
      </c>
      <c r="R5" s="41">
        <v>0</v>
      </c>
      <c r="S5" s="41">
        <v>0</v>
      </c>
    </row>
    <row r="6" spans="2:22" x14ac:dyDescent="0.25">
      <c r="M6">
        <v>1</v>
      </c>
      <c r="N6">
        <v>6.1</v>
      </c>
      <c r="O6">
        <f>+N6-N5</f>
        <v>0.89999999999999947</v>
      </c>
      <c r="Q6" s="6">
        <v>1</v>
      </c>
      <c r="R6" s="41">
        <f>+O6</f>
        <v>0.89999999999999947</v>
      </c>
      <c r="S6" s="41">
        <f>+S5+R6</f>
        <v>0.89999999999999947</v>
      </c>
      <c r="T6">
        <f t="shared" ref="T6:T15" si="0">+R6</f>
        <v>0.89999999999999947</v>
      </c>
    </row>
    <row r="7" spans="2:22" x14ac:dyDescent="0.25">
      <c r="M7">
        <f>+M6+1</f>
        <v>2</v>
      </c>
      <c r="N7">
        <v>6.2</v>
      </c>
      <c r="O7">
        <f t="shared" ref="O7:O11" si="1">+N7-N6</f>
        <v>0.10000000000000053</v>
      </c>
      <c r="Q7" s="6">
        <f>+Q6+1</f>
        <v>2</v>
      </c>
      <c r="R7" s="41">
        <f t="shared" ref="R7:R10" si="2">+O7</f>
        <v>0.10000000000000053</v>
      </c>
      <c r="S7" s="41">
        <f t="shared" ref="S7:S15" si="3">+S6+R7</f>
        <v>1</v>
      </c>
      <c r="T7">
        <f t="shared" si="0"/>
        <v>0.10000000000000053</v>
      </c>
      <c r="U7">
        <f>+SUM(R6:R7)</f>
        <v>1</v>
      </c>
    </row>
    <row r="8" spans="2:22" x14ac:dyDescent="0.25">
      <c r="M8">
        <f t="shared" ref="M8:M10" si="4">+M7+1</f>
        <v>3</v>
      </c>
      <c r="N8">
        <v>6.5</v>
      </c>
      <c r="O8">
        <f t="shared" si="1"/>
        <v>0.29999999999999982</v>
      </c>
      <c r="Q8" s="6">
        <f t="shared" ref="Q8:Q12" si="5">+Q7+1</f>
        <v>3</v>
      </c>
      <c r="R8" s="41">
        <f t="shared" si="2"/>
        <v>0.29999999999999982</v>
      </c>
      <c r="S8" s="41">
        <f t="shared" si="3"/>
        <v>1.2999999999999998</v>
      </c>
      <c r="T8">
        <f t="shared" si="0"/>
        <v>0.29999999999999982</v>
      </c>
      <c r="U8">
        <f t="shared" ref="U8:U15" si="6">+SUM(R7:R8)</f>
        <v>0.40000000000000036</v>
      </c>
    </row>
    <row r="9" spans="2:22" x14ac:dyDescent="0.25">
      <c r="M9">
        <f t="shared" si="4"/>
        <v>4</v>
      </c>
      <c r="N9">
        <v>7.6</v>
      </c>
      <c r="O9">
        <f t="shared" si="1"/>
        <v>1.0999999999999996</v>
      </c>
      <c r="Q9" s="6">
        <f t="shared" si="5"/>
        <v>4</v>
      </c>
      <c r="R9" s="41">
        <f t="shared" si="2"/>
        <v>1.0999999999999996</v>
      </c>
      <c r="S9" s="41">
        <f t="shared" si="3"/>
        <v>2.3999999999999995</v>
      </c>
      <c r="T9">
        <f t="shared" si="0"/>
        <v>1.0999999999999996</v>
      </c>
      <c r="U9">
        <f t="shared" si="6"/>
        <v>1.3999999999999995</v>
      </c>
      <c r="V9">
        <f>+SUM(T6:T9)</f>
        <v>2.3999999999999995</v>
      </c>
    </row>
    <row r="10" spans="2:22" x14ac:dyDescent="0.25">
      <c r="M10">
        <f t="shared" si="4"/>
        <v>5</v>
      </c>
      <c r="N10">
        <v>8.3000000000000007</v>
      </c>
      <c r="O10">
        <f t="shared" si="1"/>
        <v>0.70000000000000107</v>
      </c>
      <c r="Q10" s="6">
        <f t="shared" si="5"/>
        <v>5</v>
      </c>
      <c r="R10" s="41">
        <f t="shared" si="2"/>
        <v>0.70000000000000107</v>
      </c>
      <c r="S10" s="41">
        <f t="shared" si="3"/>
        <v>3.1000000000000005</v>
      </c>
      <c r="T10">
        <f t="shared" si="0"/>
        <v>0.70000000000000107</v>
      </c>
      <c r="U10">
        <f t="shared" si="6"/>
        <v>1.8000000000000007</v>
      </c>
      <c r="V10">
        <f t="shared" ref="V10:V15" si="7">+SUM(T7:T10)</f>
        <v>2.2000000000000011</v>
      </c>
    </row>
    <row r="11" spans="2:22" x14ac:dyDescent="0.25">
      <c r="M11">
        <v>5.7</v>
      </c>
      <c r="N11" s="2">
        <v>10</v>
      </c>
      <c r="O11">
        <f t="shared" si="1"/>
        <v>1.6999999999999993</v>
      </c>
      <c r="Q11" s="6">
        <f t="shared" si="5"/>
        <v>6</v>
      </c>
      <c r="R11" s="41">
        <f>+O11+O12+O13</f>
        <v>11.7</v>
      </c>
      <c r="S11" s="41">
        <f t="shared" si="3"/>
        <v>14.8</v>
      </c>
      <c r="T11" s="7">
        <f t="shared" si="0"/>
        <v>11.7</v>
      </c>
      <c r="U11">
        <f t="shared" si="6"/>
        <v>12.4</v>
      </c>
      <c r="V11">
        <f t="shared" si="7"/>
        <v>13.8</v>
      </c>
    </row>
    <row r="12" spans="2:22" x14ac:dyDescent="0.25">
      <c r="M12">
        <v>5.7</v>
      </c>
      <c r="N12">
        <v>0</v>
      </c>
      <c r="O12">
        <v>0</v>
      </c>
      <c r="Q12" s="6">
        <f t="shared" si="5"/>
        <v>7</v>
      </c>
      <c r="R12" s="41">
        <f>+O15</f>
        <v>4.5</v>
      </c>
      <c r="S12" s="41">
        <f t="shared" si="3"/>
        <v>19.3</v>
      </c>
      <c r="T12" s="42">
        <f t="shared" si="0"/>
        <v>4.5</v>
      </c>
      <c r="U12" s="7">
        <f t="shared" si="6"/>
        <v>16.2</v>
      </c>
      <c r="V12" s="7">
        <f t="shared" si="7"/>
        <v>18</v>
      </c>
    </row>
    <row r="13" spans="2:22" x14ac:dyDescent="0.25">
      <c r="M13">
        <v>6</v>
      </c>
      <c r="N13">
        <v>10</v>
      </c>
      <c r="O13">
        <f>+N13-O12</f>
        <v>10</v>
      </c>
      <c r="Q13" s="6">
        <f>+Q12+1</f>
        <v>8</v>
      </c>
      <c r="R13" s="41">
        <f>+O16</f>
        <v>0</v>
      </c>
      <c r="S13" s="41">
        <f t="shared" si="3"/>
        <v>19.3</v>
      </c>
      <c r="T13" s="42">
        <f t="shared" si="0"/>
        <v>0</v>
      </c>
      <c r="U13" s="42">
        <f t="shared" si="6"/>
        <v>4.5</v>
      </c>
      <c r="V13" s="42">
        <f t="shared" si="7"/>
        <v>16.899999999999999</v>
      </c>
    </row>
    <row r="14" spans="2:22" x14ac:dyDescent="0.25">
      <c r="M14">
        <v>6</v>
      </c>
      <c r="N14">
        <v>0</v>
      </c>
      <c r="O14">
        <v>0</v>
      </c>
      <c r="Q14" s="6">
        <f>+Q13+1</f>
        <v>9</v>
      </c>
      <c r="R14" s="41">
        <f>+O17</f>
        <v>0.20000000000000018</v>
      </c>
      <c r="S14" s="41">
        <f t="shared" si="3"/>
        <v>19.5</v>
      </c>
      <c r="T14" s="42">
        <f t="shared" si="0"/>
        <v>0.20000000000000018</v>
      </c>
      <c r="U14" s="42">
        <f t="shared" si="6"/>
        <v>0.20000000000000018</v>
      </c>
      <c r="V14" s="42">
        <f t="shared" si="7"/>
        <v>16.399999999999999</v>
      </c>
    </row>
    <row r="15" spans="2:22" x14ac:dyDescent="0.25">
      <c r="M15">
        <v>7</v>
      </c>
      <c r="N15">
        <v>4.5</v>
      </c>
      <c r="O15">
        <f>+N15-N14</f>
        <v>4.5</v>
      </c>
      <c r="Q15" s="6">
        <f>+Q14+1</f>
        <v>10</v>
      </c>
      <c r="R15" s="41">
        <f>+O18</f>
        <v>3.0999999999999996</v>
      </c>
      <c r="S15" s="41">
        <f t="shared" si="3"/>
        <v>22.6</v>
      </c>
      <c r="T15" s="42">
        <f t="shared" si="0"/>
        <v>3.0999999999999996</v>
      </c>
      <c r="U15" s="42">
        <f t="shared" si="6"/>
        <v>3.3</v>
      </c>
      <c r="V15" s="42">
        <f t="shared" si="7"/>
        <v>7.8</v>
      </c>
    </row>
    <row r="16" spans="2:22" x14ac:dyDescent="0.25">
      <c r="M16">
        <v>8</v>
      </c>
      <c r="N16">
        <v>4.5</v>
      </c>
      <c r="O16">
        <f>+N16-N15</f>
        <v>0</v>
      </c>
      <c r="T16" s="42"/>
      <c r="U16" s="42"/>
      <c r="V16" s="42"/>
    </row>
    <row r="17" spans="13:22" x14ac:dyDescent="0.25">
      <c r="M17">
        <f>+M16+1</f>
        <v>9</v>
      </c>
      <c r="N17">
        <v>4.7</v>
      </c>
      <c r="O17">
        <f>+N17-N16</f>
        <v>0.20000000000000018</v>
      </c>
      <c r="S17" s="7" t="s">
        <v>58</v>
      </c>
      <c r="T17" s="7">
        <f>+T11/1</f>
        <v>11.7</v>
      </c>
      <c r="U17" s="7">
        <f>+U12/2</f>
        <v>8.1</v>
      </c>
      <c r="V17" s="8">
        <f>+V12/4</f>
        <v>4.5</v>
      </c>
    </row>
    <row r="18" spans="13:22" x14ac:dyDescent="0.25">
      <c r="M18">
        <f>+M17+1</f>
        <v>10</v>
      </c>
      <c r="N18">
        <v>7.8</v>
      </c>
      <c r="O18">
        <f>+N18-N17</f>
        <v>3.0999999999999996</v>
      </c>
      <c r="T18">
        <f>+LARGE(T6:T15,1)/1</f>
        <v>11.7</v>
      </c>
      <c r="U18">
        <f>+LARGE(U6:U15,1)/2</f>
        <v>8.1</v>
      </c>
      <c r="V18">
        <f>+LARGE(V6:V15,1)/4</f>
        <v>4.5</v>
      </c>
    </row>
  </sheetData>
  <mergeCells count="1">
    <mergeCell ref="B2:K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C17" sqref="C17"/>
    </sheetView>
  </sheetViews>
  <sheetFormatPr defaultRowHeight="15" x14ac:dyDescent="0.25"/>
  <sheetData>
    <row r="1" spans="1:18" x14ac:dyDescent="0.25">
      <c r="A1" s="44" t="s">
        <v>59</v>
      </c>
      <c r="B1" s="44"/>
      <c r="C1" s="44"/>
      <c r="D1" s="44"/>
      <c r="E1" s="44"/>
      <c r="F1" s="44"/>
      <c r="G1" s="44"/>
      <c r="H1" s="44"/>
      <c r="I1" s="44"/>
      <c r="J1" s="44"/>
    </row>
    <row r="2" spans="1:18" ht="4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</row>
    <row r="5" spans="1:18" x14ac:dyDescent="0.25">
      <c r="A5" s="9" t="s">
        <v>8</v>
      </c>
      <c r="B5" s="45" t="s">
        <v>60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7" spans="1:18" x14ac:dyDescent="0.25">
      <c r="B7" t="s">
        <v>0</v>
      </c>
      <c r="C7">
        <v>2</v>
      </c>
      <c r="D7" t="s">
        <v>3</v>
      </c>
    </row>
    <row r="8" spans="1:18" x14ac:dyDescent="0.25">
      <c r="B8" t="s">
        <v>1</v>
      </c>
      <c r="C8">
        <v>1</v>
      </c>
      <c r="D8" t="s">
        <v>4</v>
      </c>
      <c r="E8">
        <f>+C8*60</f>
        <v>60</v>
      </c>
      <c r="F8" t="s">
        <v>6</v>
      </c>
    </row>
    <row r="9" spans="1:18" x14ac:dyDescent="0.25">
      <c r="B9" t="s">
        <v>2</v>
      </c>
      <c r="C9">
        <v>10</v>
      </c>
    </row>
    <row r="12" spans="1:18" x14ac:dyDescent="0.25">
      <c r="B12" t="s">
        <v>5</v>
      </c>
      <c r="C12" s="1">
        <f>506.99*C9^0.18/(E8+8)^0.62</f>
        <v>56.084631072027491</v>
      </c>
      <c r="D12" t="s">
        <v>7</v>
      </c>
      <c r="E12" t="s">
        <v>62</v>
      </c>
    </row>
    <row r="15" spans="1:18" x14ac:dyDescent="0.25">
      <c r="A15" s="9" t="s">
        <v>9</v>
      </c>
      <c r="B15" s="45" t="s">
        <v>61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 x14ac:dyDescent="0.25">
      <c r="B16" t="s">
        <v>10</v>
      </c>
      <c r="C16">
        <v>0.3</v>
      </c>
    </row>
    <row r="17" spans="2:4" x14ac:dyDescent="0.25">
      <c r="B17" t="s">
        <v>11</v>
      </c>
      <c r="C17" s="2">
        <f>0.278*C16*C12*C7</f>
        <v>9.3549164628141863</v>
      </c>
      <c r="D17" t="s">
        <v>12</v>
      </c>
    </row>
  </sheetData>
  <mergeCells count="3">
    <mergeCell ref="A1:J2"/>
    <mergeCell ref="B5:M5"/>
    <mergeCell ref="B15:R1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2"/>
  <sheetViews>
    <sheetView workbookViewId="0">
      <selection activeCell="E23" activeCellId="1" sqref="B23:B32 E23:F32"/>
    </sheetView>
  </sheetViews>
  <sheetFormatPr defaultRowHeight="15" x14ac:dyDescent="0.25"/>
  <sheetData>
    <row r="1" spans="1:29" ht="21" x14ac:dyDescent="0.3">
      <c r="A1" s="10" t="s">
        <v>63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9"/>
      <c r="Z1" s="9"/>
      <c r="AA1" s="9"/>
      <c r="AB1" s="9"/>
      <c r="AC1" s="9"/>
    </row>
    <row r="2" spans="1:29" x14ac:dyDescent="0.25">
      <c r="S2" s="17"/>
    </row>
    <row r="4" spans="1:29" x14ac:dyDescent="0.25">
      <c r="A4" s="12" t="s">
        <v>64</v>
      </c>
      <c r="B4" s="9"/>
      <c r="C4" s="9"/>
      <c r="D4" s="9"/>
      <c r="E4" s="9"/>
      <c r="F4" s="9"/>
      <c r="G4" s="9"/>
      <c r="H4" s="9"/>
      <c r="I4" s="9"/>
      <c r="J4" s="9"/>
    </row>
    <row r="5" spans="1:29" x14ac:dyDescent="0.25">
      <c r="A5" t="s">
        <v>8</v>
      </c>
      <c r="C5" t="s">
        <v>0</v>
      </c>
      <c r="D5">
        <v>350</v>
      </c>
      <c r="E5" t="s">
        <v>3</v>
      </c>
      <c r="K5" t="s">
        <v>25</v>
      </c>
      <c r="L5" t="s">
        <v>65</v>
      </c>
    </row>
    <row r="6" spans="1:29" x14ac:dyDescent="0.25">
      <c r="C6" t="s">
        <v>1</v>
      </c>
      <c r="D6">
        <v>4</v>
      </c>
      <c r="E6" t="s">
        <v>4</v>
      </c>
      <c r="F6">
        <f>+D6*60</f>
        <v>240</v>
      </c>
      <c r="G6" t="s">
        <v>6</v>
      </c>
      <c r="K6">
        <v>25</v>
      </c>
      <c r="L6" s="2">
        <f>1-0.22*LOG(K6/25)</f>
        <v>1</v>
      </c>
    </row>
    <row r="7" spans="1:29" x14ac:dyDescent="0.25">
      <c r="C7" t="s">
        <v>2</v>
      </c>
      <c r="D7">
        <v>100</v>
      </c>
      <c r="K7">
        <v>50</v>
      </c>
      <c r="L7" s="2">
        <f t="shared" ref="L7:L14" si="0">1-0.22*LOG(K7/25)</f>
        <v>0.93377340095392414</v>
      </c>
    </row>
    <row r="8" spans="1:29" x14ac:dyDescent="0.25">
      <c r="K8">
        <v>75</v>
      </c>
      <c r="L8" s="2">
        <f t="shared" si="0"/>
        <v>0.89503332396167423</v>
      </c>
    </row>
    <row r="9" spans="1:29" x14ac:dyDescent="0.25">
      <c r="K9">
        <v>100</v>
      </c>
      <c r="L9" s="2">
        <f t="shared" si="0"/>
        <v>0.86754680190784828</v>
      </c>
    </row>
    <row r="10" spans="1:29" x14ac:dyDescent="0.25">
      <c r="C10" t="s">
        <v>5</v>
      </c>
      <c r="D10" s="1">
        <f>506.99*D7^0.18/(F6+8)^0.62</f>
        <v>38.057420704810767</v>
      </c>
      <c r="E10" t="s">
        <v>7</v>
      </c>
      <c r="K10">
        <v>200</v>
      </c>
      <c r="L10" s="2">
        <f t="shared" si="0"/>
        <v>0.80132020286177241</v>
      </c>
    </row>
    <row r="11" spans="1:29" x14ac:dyDescent="0.25">
      <c r="C11" t="s">
        <v>15</v>
      </c>
      <c r="D11" s="2">
        <f>+D10*D6</f>
        <v>152.22968281924307</v>
      </c>
      <c r="E11" t="s">
        <v>16</v>
      </c>
      <c r="K11" s="4">
        <v>350</v>
      </c>
      <c r="L11" s="14">
        <f t="shared" si="0"/>
        <v>0.74785183215078765</v>
      </c>
    </row>
    <row r="12" spans="1:29" x14ac:dyDescent="0.25">
      <c r="D12" s="2"/>
      <c r="K12">
        <v>500</v>
      </c>
      <c r="L12" s="2">
        <f t="shared" si="0"/>
        <v>0.71377340095392405</v>
      </c>
    </row>
    <row r="13" spans="1:29" x14ac:dyDescent="0.25">
      <c r="C13" t="s">
        <v>24</v>
      </c>
      <c r="D13" s="2">
        <f>+D11*(1-0.22*LOG(D5/25))</f>
        <v>113.84524720410421</v>
      </c>
      <c r="E13" t="s">
        <v>16</v>
      </c>
      <c r="K13">
        <v>750</v>
      </c>
      <c r="L13" s="2">
        <f t="shared" si="0"/>
        <v>0.67503332396167426</v>
      </c>
    </row>
    <row r="14" spans="1:29" x14ac:dyDescent="0.25">
      <c r="K14">
        <v>1000</v>
      </c>
      <c r="L14" s="2">
        <f t="shared" si="0"/>
        <v>0.6475468019078483</v>
      </c>
    </row>
    <row r="15" spans="1:29" x14ac:dyDescent="0.25">
      <c r="A15" s="12" t="s">
        <v>64</v>
      </c>
      <c r="B15" s="9"/>
      <c r="C15" s="9"/>
      <c r="D15" s="9"/>
      <c r="E15" s="9"/>
      <c r="F15" s="9"/>
      <c r="G15" s="9"/>
      <c r="H15" s="9"/>
      <c r="I15" s="9"/>
      <c r="J15" s="9"/>
    </row>
    <row r="16" spans="1:29" x14ac:dyDescent="0.25">
      <c r="A16" t="s">
        <v>9</v>
      </c>
      <c r="B16" t="s">
        <v>13</v>
      </c>
    </row>
    <row r="17" spans="2:17" x14ac:dyDescent="0.25">
      <c r="B17" t="s">
        <v>18</v>
      </c>
      <c r="C17">
        <v>0.4</v>
      </c>
      <c r="D17" t="s">
        <v>19</v>
      </c>
    </row>
    <row r="19" spans="2:17" x14ac:dyDescent="0.25">
      <c r="B19" t="s">
        <v>14</v>
      </c>
      <c r="C19" s="1">
        <f>2*D13/D6</f>
        <v>56.922623602052106</v>
      </c>
      <c r="D19" t="s">
        <v>7</v>
      </c>
    </row>
    <row r="20" spans="2:17" x14ac:dyDescent="0.25">
      <c r="B20" t="s">
        <v>17</v>
      </c>
      <c r="C20">
        <f>+D6</f>
        <v>4</v>
      </c>
    </row>
    <row r="21" spans="2:17" x14ac:dyDescent="0.25">
      <c r="B21" t="s">
        <v>21</v>
      </c>
      <c r="C21">
        <f>+C17*C20</f>
        <v>1.6</v>
      </c>
    </row>
    <row r="23" spans="2:17" x14ac:dyDescent="0.25">
      <c r="B23" t="s">
        <v>20</v>
      </c>
      <c r="C23" t="s">
        <v>22</v>
      </c>
      <c r="D23" t="s">
        <v>23</v>
      </c>
      <c r="E23" t="s">
        <v>5</v>
      </c>
      <c r="F23" t="s">
        <v>117</v>
      </c>
    </row>
    <row r="24" spans="2:17" x14ac:dyDescent="0.25">
      <c r="B24" s="2">
        <v>0</v>
      </c>
      <c r="C24" s="13">
        <f>+MIN($C$19*B24/($C$17*$C$20), ($C$19-$C$19/(1-$C$17)*B24))</f>
        <v>0</v>
      </c>
      <c r="D24" s="2">
        <f>+$C$19/(1-$C$17)-$C$19/((1-$C$17)*$C$20)*B24</f>
        <v>94.871039336753512</v>
      </c>
      <c r="E24" s="16">
        <f>+SMALL(C24:D24,1)</f>
        <v>0</v>
      </c>
      <c r="F24" s="2">
        <f>+P25</f>
        <v>28.461311801026053</v>
      </c>
    </row>
    <row r="25" spans="2:17" x14ac:dyDescent="0.25">
      <c r="B25" s="2">
        <f>+B24+0.5</f>
        <v>0.5</v>
      </c>
      <c r="C25" s="13">
        <f>+$C$19*B25/($C$17*$C$20)</f>
        <v>17.788319875641282</v>
      </c>
      <c r="D25" s="2">
        <f t="shared" ref="D25:D32" si="1">+$C$19/(1-$C$17)-$C$19/((1-$C$17)*$C$20)*B25</f>
        <v>83.012159419659326</v>
      </c>
      <c r="E25" s="16">
        <f t="shared" ref="E25:E32" si="2">+SMALL(C25:D25,1)</f>
        <v>17.788319875641282</v>
      </c>
      <c r="F25" s="2">
        <f>+F24</f>
        <v>28.461311801026053</v>
      </c>
      <c r="O25" t="s">
        <v>116</v>
      </c>
      <c r="P25" s="2">
        <f>+D13/D6</f>
        <v>28.461311801026053</v>
      </c>
      <c r="Q25" t="s">
        <v>7</v>
      </c>
    </row>
    <row r="26" spans="2:17" x14ac:dyDescent="0.25">
      <c r="B26" s="2">
        <f t="shared" ref="B26:B32" si="3">+B25+0.5</f>
        <v>1</v>
      </c>
      <c r="C26" s="13">
        <f t="shared" ref="C26:C32" si="4">+$C$19*B26/($C$17*$C$20)</f>
        <v>35.576639751282563</v>
      </c>
      <c r="D26" s="2">
        <f t="shared" si="1"/>
        <v>71.153279502565141</v>
      </c>
      <c r="E26" s="16">
        <f t="shared" si="2"/>
        <v>35.576639751282563</v>
      </c>
      <c r="F26" s="2">
        <f t="shared" ref="F26:F32" si="5">+F25</f>
        <v>28.461311801026053</v>
      </c>
    </row>
    <row r="27" spans="2:17" x14ac:dyDescent="0.25">
      <c r="B27" s="2">
        <f t="shared" si="3"/>
        <v>1.5</v>
      </c>
      <c r="C27" s="13">
        <f t="shared" si="4"/>
        <v>53.364959626923842</v>
      </c>
      <c r="D27" s="2">
        <f t="shared" si="1"/>
        <v>59.294399585470941</v>
      </c>
      <c r="E27" s="16">
        <f t="shared" si="2"/>
        <v>53.364959626923842</v>
      </c>
      <c r="F27" s="2">
        <f t="shared" si="5"/>
        <v>28.461311801026053</v>
      </c>
    </row>
    <row r="28" spans="2:17" x14ac:dyDescent="0.25">
      <c r="B28" s="2">
        <f t="shared" si="3"/>
        <v>2</v>
      </c>
      <c r="C28" s="2">
        <f t="shared" si="4"/>
        <v>71.153279502565127</v>
      </c>
      <c r="D28" s="13">
        <f t="shared" si="1"/>
        <v>47.435519668376756</v>
      </c>
      <c r="E28" s="16">
        <f t="shared" si="2"/>
        <v>47.435519668376756</v>
      </c>
      <c r="F28" s="2">
        <f t="shared" si="5"/>
        <v>28.461311801026053</v>
      </c>
    </row>
    <row r="29" spans="2:17" x14ac:dyDescent="0.25">
      <c r="B29" s="2">
        <f t="shared" si="3"/>
        <v>2.5</v>
      </c>
      <c r="C29" s="2">
        <f t="shared" si="4"/>
        <v>88.941599378206405</v>
      </c>
      <c r="D29" s="13">
        <f t="shared" si="1"/>
        <v>35.576639751282571</v>
      </c>
      <c r="E29" s="16">
        <f t="shared" si="2"/>
        <v>35.576639751282571</v>
      </c>
      <c r="F29" s="2">
        <f t="shared" si="5"/>
        <v>28.461311801026053</v>
      </c>
    </row>
    <row r="30" spans="2:17" x14ac:dyDescent="0.25">
      <c r="B30" s="2">
        <f t="shared" si="3"/>
        <v>3</v>
      </c>
      <c r="C30" s="2">
        <f t="shared" si="4"/>
        <v>106.72991925384768</v>
      </c>
      <c r="D30" s="13">
        <f t="shared" si="1"/>
        <v>23.717759834188371</v>
      </c>
      <c r="E30" s="16">
        <f t="shared" si="2"/>
        <v>23.717759834188371</v>
      </c>
      <c r="F30" s="2">
        <f t="shared" si="5"/>
        <v>28.461311801026053</v>
      </c>
    </row>
    <row r="31" spans="2:17" x14ac:dyDescent="0.25">
      <c r="B31" s="2">
        <f t="shared" si="3"/>
        <v>3.5</v>
      </c>
      <c r="C31" s="2">
        <f t="shared" si="4"/>
        <v>124.51823912948898</v>
      </c>
      <c r="D31" s="13">
        <f t="shared" si="1"/>
        <v>11.858879917094185</v>
      </c>
      <c r="E31" s="16">
        <f t="shared" si="2"/>
        <v>11.858879917094185</v>
      </c>
      <c r="F31" s="2">
        <f t="shared" si="5"/>
        <v>28.461311801026053</v>
      </c>
    </row>
    <row r="32" spans="2:17" x14ac:dyDescent="0.25">
      <c r="B32" s="2">
        <f t="shared" si="3"/>
        <v>4</v>
      </c>
      <c r="C32" s="2">
        <f t="shared" si="4"/>
        <v>142.30655900513025</v>
      </c>
      <c r="D32" s="13">
        <f t="shared" si="1"/>
        <v>0</v>
      </c>
      <c r="E32" s="16">
        <f t="shared" si="2"/>
        <v>0</v>
      </c>
      <c r="F32" s="2">
        <f t="shared" si="5"/>
        <v>28.461311801026053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workbookViewId="0">
      <selection activeCell="C40" sqref="C40"/>
    </sheetView>
  </sheetViews>
  <sheetFormatPr defaultRowHeight="15" x14ac:dyDescent="0.25"/>
  <sheetData>
    <row r="1" spans="1:18" ht="18.75" x14ac:dyDescent="0.25">
      <c r="A1" s="18" t="s">
        <v>66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5.75" x14ac:dyDescent="0.25">
      <c r="A2" s="18" t="s">
        <v>67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5.75" x14ac:dyDescent="0.25">
      <c r="A3" s="18" t="s">
        <v>68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5.75" x14ac:dyDescent="0.25">
      <c r="A4" s="18" t="s">
        <v>69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13" spans="1:18" x14ac:dyDescent="0.25">
      <c r="B13" t="s">
        <v>25</v>
      </c>
      <c r="C13">
        <v>350</v>
      </c>
      <c r="D13" t="s">
        <v>3</v>
      </c>
    </row>
    <row r="15" spans="1:18" x14ac:dyDescent="0.25">
      <c r="B15" t="s">
        <v>1</v>
      </c>
      <c r="C15" s="2">
        <f>+C16*60</f>
        <v>240</v>
      </c>
      <c r="D15" t="s">
        <v>6</v>
      </c>
    </row>
    <row r="16" spans="1:18" x14ac:dyDescent="0.25">
      <c r="C16" s="2">
        <v>4</v>
      </c>
      <c r="D16" t="s">
        <v>4</v>
      </c>
    </row>
    <row r="17" spans="2:4" x14ac:dyDescent="0.25">
      <c r="B17" s="19" t="s">
        <v>2</v>
      </c>
      <c r="C17" s="19">
        <v>1000</v>
      </c>
    </row>
    <row r="18" spans="2:4" x14ac:dyDescent="0.25">
      <c r="B18" s="19" t="s">
        <v>70</v>
      </c>
      <c r="C18" s="19">
        <v>0.46300000000000002</v>
      </c>
    </row>
    <row r="20" spans="2:4" x14ac:dyDescent="0.25">
      <c r="B20" t="s">
        <v>26</v>
      </c>
      <c r="C20">
        <v>120</v>
      </c>
    </row>
    <row r="21" spans="2:4" x14ac:dyDescent="0.25">
      <c r="B21" t="s">
        <v>27</v>
      </c>
      <c r="C21">
        <v>40</v>
      </c>
    </row>
    <row r="23" spans="2:4" x14ac:dyDescent="0.25">
      <c r="B23" t="s">
        <v>71</v>
      </c>
    </row>
    <row r="25" spans="2:4" x14ac:dyDescent="0.25">
      <c r="B25" s="19" t="s">
        <v>28</v>
      </c>
      <c r="C25" s="20">
        <f>-(6^0.5)/(PI())*(0.5772+LN(LN(C17/(C17-1))))</f>
        <v>4.9355236901202835</v>
      </c>
    </row>
    <row r="27" spans="2:4" x14ac:dyDescent="0.25">
      <c r="B27" t="s">
        <v>29</v>
      </c>
      <c r="C27" s="2">
        <f>+C20+C25*C21</f>
        <v>317.42094760481132</v>
      </c>
      <c r="D27" t="s">
        <v>16</v>
      </c>
    </row>
    <row r="28" spans="2:4" x14ac:dyDescent="0.25">
      <c r="B28" t="s">
        <v>30</v>
      </c>
      <c r="C28" s="2">
        <f>1.1*C27</f>
        <v>349.16304236529248</v>
      </c>
    </row>
    <row r="29" spans="2:4" x14ac:dyDescent="0.25">
      <c r="B29" t="s">
        <v>31</v>
      </c>
      <c r="C29" s="2">
        <f>+C18*C28</f>
        <v>161.66248861513043</v>
      </c>
    </row>
    <row r="31" spans="2:4" x14ac:dyDescent="0.25">
      <c r="C31">
        <v>1</v>
      </c>
    </row>
    <row r="33" spans="2:4" x14ac:dyDescent="0.25">
      <c r="B33" t="s">
        <v>30</v>
      </c>
      <c r="C33" s="2">
        <f>+C31*C28</f>
        <v>349.16304236529248</v>
      </c>
    </row>
    <row r="34" spans="2:4" x14ac:dyDescent="0.25">
      <c r="B34" t="s">
        <v>31</v>
      </c>
      <c r="C34" s="2">
        <f>+C31*C29</f>
        <v>161.66248861513043</v>
      </c>
    </row>
    <row r="36" spans="2:4" x14ac:dyDescent="0.25">
      <c r="B36" t="s">
        <v>32</v>
      </c>
      <c r="C36" s="43">
        <f>+C34+(C33-C34)*(LOG(C16)-LOG(1))/(LOG(24)-LOG(1))</f>
        <v>243.45183966027884</v>
      </c>
      <c r="D36" t="s">
        <v>16</v>
      </c>
    </row>
    <row r="38" spans="2:4" x14ac:dyDescent="0.25">
      <c r="B38" t="s">
        <v>72</v>
      </c>
      <c r="C38" s="15">
        <f>1-0.22*LOG(C13/25)</f>
        <v>0.74785183215078765</v>
      </c>
    </row>
    <row r="40" spans="2:4" x14ac:dyDescent="0.25">
      <c r="B40" t="s">
        <v>24</v>
      </c>
      <c r="C40" s="2">
        <f>+C38*C36</f>
        <v>182.06590433041933</v>
      </c>
      <c r="D40" t="s">
        <v>16</v>
      </c>
    </row>
  </sheetData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7</xdr:col>
                <xdr:colOff>161925</xdr:colOff>
                <xdr:row>22</xdr:row>
                <xdr:rowOff>171450</xdr:rowOff>
              </from>
              <to>
                <xdr:col>12</xdr:col>
                <xdr:colOff>352425</xdr:colOff>
                <xdr:row>26</xdr:row>
                <xdr:rowOff>19050</xdr:rowOff>
              </to>
            </anchor>
          </objectPr>
        </oleObject>
      </mc:Choice>
      <mc:Fallback>
        <oleObject progId="Equation.3" shapeId="307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W59"/>
  <sheetViews>
    <sheetView zoomScale="110" zoomScaleNormal="110" workbookViewId="0">
      <selection activeCell="B10" sqref="B10"/>
    </sheetView>
  </sheetViews>
  <sheetFormatPr defaultRowHeight="15" x14ac:dyDescent="0.25"/>
  <cols>
    <col min="18" max="18" width="17.85546875" customWidth="1"/>
    <col min="19" max="19" width="16.140625" customWidth="1"/>
  </cols>
  <sheetData>
    <row r="2" spans="1:17" ht="18" x14ac:dyDescent="0.25">
      <c r="A2" s="21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5" spans="1:17" x14ac:dyDescent="0.25">
      <c r="A5" t="s">
        <v>15</v>
      </c>
      <c r="B5">
        <v>182.1</v>
      </c>
      <c r="C5" t="s">
        <v>16</v>
      </c>
    </row>
    <row r="6" spans="1:17" x14ac:dyDescent="0.25">
      <c r="A6" t="s">
        <v>74</v>
      </c>
      <c r="B6">
        <v>83</v>
      </c>
    </row>
    <row r="8" spans="1:17" x14ac:dyDescent="0.25">
      <c r="A8" t="s">
        <v>110</v>
      </c>
      <c r="B8" s="2">
        <f>(25400/B6-254)</f>
        <v>52.02409638554218</v>
      </c>
      <c r="C8" t="s">
        <v>16</v>
      </c>
    </row>
    <row r="10" spans="1:17" x14ac:dyDescent="0.25">
      <c r="A10" s="19" t="s">
        <v>111</v>
      </c>
      <c r="B10" s="16">
        <f>+(B5-0.2*B8)^2/(B5+0.8*B8)</f>
        <v>131.76886437541188</v>
      </c>
      <c r="C10" s="19" t="s">
        <v>16</v>
      </c>
    </row>
    <row r="28" spans="18:23" ht="15.75" thickBot="1" x14ac:dyDescent="0.3"/>
    <row r="29" spans="18:23" ht="16.5" thickTop="1" thickBot="1" x14ac:dyDescent="0.3">
      <c r="R29" s="46" t="s">
        <v>75</v>
      </c>
      <c r="S29" s="46" t="s">
        <v>76</v>
      </c>
      <c r="T29" s="48" t="s">
        <v>77</v>
      </c>
      <c r="U29" s="49"/>
      <c r="V29" s="49"/>
      <c r="W29" s="50"/>
    </row>
    <row r="30" spans="18:23" ht="16.5" thickTop="1" thickBot="1" x14ac:dyDescent="0.3">
      <c r="R30" s="47"/>
      <c r="S30" s="47"/>
      <c r="T30" s="22" t="s">
        <v>0</v>
      </c>
      <c r="U30" s="22" t="s">
        <v>78</v>
      </c>
      <c r="V30" s="22" t="s">
        <v>79</v>
      </c>
      <c r="W30" s="22" t="s">
        <v>80</v>
      </c>
    </row>
    <row r="31" spans="18:23" ht="29.25" thickTop="1" x14ac:dyDescent="0.25">
      <c r="R31" s="51" t="s">
        <v>81</v>
      </c>
      <c r="S31" s="23" t="s">
        <v>82</v>
      </c>
      <c r="T31" s="24">
        <v>77</v>
      </c>
      <c r="U31" s="24">
        <v>86</v>
      </c>
      <c r="V31" s="24">
        <v>91</v>
      </c>
      <c r="W31" s="24">
        <v>94</v>
      </c>
    </row>
    <row r="32" spans="18:23" ht="29.25" thickBot="1" x14ac:dyDescent="0.3">
      <c r="R32" s="52"/>
      <c r="S32" s="25" t="s">
        <v>83</v>
      </c>
      <c r="T32" s="26">
        <v>70</v>
      </c>
      <c r="U32" s="26">
        <v>80</v>
      </c>
      <c r="V32" s="26">
        <v>87</v>
      </c>
      <c r="W32" s="26">
        <v>90</v>
      </c>
    </row>
    <row r="33" spans="18:23" ht="29.25" thickTop="1" x14ac:dyDescent="0.25">
      <c r="R33" s="53" t="s">
        <v>84</v>
      </c>
      <c r="S33" s="27" t="s">
        <v>85</v>
      </c>
      <c r="T33" s="28">
        <v>67</v>
      </c>
      <c r="U33" s="28">
        <v>77</v>
      </c>
      <c r="V33" s="28">
        <v>83</v>
      </c>
      <c r="W33" s="28">
        <v>87</v>
      </c>
    </row>
    <row r="34" spans="18:23" ht="28.5" x14ac:dyDescent="0.25">
      <c r="R34" s="54"/>
      <c r="S34" s="29" t="s">
        <v>86</v>
      </c>
      <c r="T34" s="30">
        <v>64</v>
      </c>
      <c r="U34" s="30">
        <v>73</v>
      </c>
      <c r="V34" s="30">
        <v>79</v>
      </c>
      <c r="W34" s="30">
        <v>82</v>
      </c>
    </row>
    <row r="35" spans="18:23" ht="29.25" thickBot="1" x14ac:dyDescent="0.3">
      <c r="R35" s="55"/>
      <c r="S35" s="31" t="s">
        <v>83</v>
      </c>
      <c r="T35" s="32">
        <v>64</v>
      </c>
      <c r="U35" s="32">
        <v>76</v>
      </c>
      <c r="V35" s="32">
        <v>84</v>
      </c>
      <c r="W35" s="32">
        <v>88</v>
      </c>
    </row>
    <row r="36" spans="18:23" ht="29.25" thickTop="1" x14ac:dyDescent="0.25">
      <c r="R36" s="51" t="s">
        <v>87</v>
      </c>
      <c r="S36" s="23" t="s">
        <v>85</v>
      </c>
      <c r="T36" s="24">
        <v>62</v>
      </c>
      <c r="U36" s="24">
        <v>74</v>
      </c>
      <c r="V36" s="24">
        <v>82</v>
      </c>
      <c r="W36" s="24">
        <v>85</v>
      </c>
    </row>
    <row r="37" spans="18:23" ht="28.5" x14ac:dyDescent="0.25">
      <c r="R37" s="56"/>
      <c r="S37" s="33" t="s">
        <v>86</v>
      </c>
      <c r="T37" s="34">
        <v>60</v>
      </c>
      <c r="U37" s="34">
        <v>71</v>
      </c>
      <c r="V37" s="34">
        <v>79</v>
      </c>
      <c r="W37" s="34">
        <v>82</v>
      </c>
    </row>
    <row r="38" spans="18:23" ht="29.25" thickBot="1" x14ac:dyDescent="0.3">
      <c r="R38" s="52"/>
      <c r="S38" s="25" t="s">
        <v>83</v>
      </c>
      <c r="T38" s="26">
        <v>62</v>
      </c>
      <c r="U38" s="26">
        <v>75</v>
      </c>
      <c r="V38" s="26">
        <v>83</v>
      </c>
      <c r="W38" s="26">
        <v>87</v>
      </c>
    </row>
    <row r="39" spans="18:23" ht="29.25" thickTop="1" x14ac:dyDescent="0.25">
      <c r="R39" s="53" t="s">
        <v>88</v>
      </c>
      <c r="S39" s="27" t="s">
        <v>85</v>
      </c>
      <c r="T39" s="28">
        <v>60</v>
      </c>
      <c r="U39" s="28">
        <v>72</v>
      </c>
      <c r="V39" s="28">
        <v>81</v>
      </c>
      <c r="W39" s="28">
        <v>84</v>
      </c>
    </row>
    <row r="40" spans="18:23" ht="28.5" x14ac:dyDescent="0.25">
      <c r="R40" s="54"/>
      <c r="S40" s="29" t="s">
        <v>86</v>
      </c>
      <c r="T40" s="30">
        <v>57</v>
      </c>
      <c r="U40" s="30">
        <v>70</v>
      </c>
      <c r="V40" s="30">
        <v>78</v>
      </c>
      <c r="W40" s="30">
        <v>89</v>
      </c>
    </row>
    <row r="41" spans="18:23" x14ac:dyDescent="0.25">
      <c r="R41" s="54"/>
      <c r="S41" s="29" t="s">
        <v>89</v>
      </c>
      <c r="T41" s="30">
        <v>68</v>
      </c>
      <c r="U41" s="30">
        <v>79</v>
      </c>
      <c r="V41" s="30">
        <v>86</v>
      </c>
      <c r="W41" s="30">
        <v>89</v>
      </c>
    </row>
    <row r="42" spans="18:23" x14ac:dyDescent="0.25">
      <c r="R42" s="54"/>
      <c r="S42" s="29" t="s">
        <v>90</v>
      </c>
      <c r="T42" s="30">
        <v>49</v>
      </c>
      <c r="U42" s="30">
        <v>69</v>
      </c>
      <c r="V42" s="30">
        <v>79</v>
      </c>
      <c r="W42" s="30">
        <v>94</v>
      </c>
    </row>
    <row r="43" spans="18:23" ht="15.75" thickBot="1" x14ac:dyDescent="0.3">
      <c r="R43" s="55"/>
      <c r="S43" s="31" t="s">
        <v>91</v>
      </c>
      <c r="T43" s="32">
        <v>39</v>
      </c>
      <c r="U43" s="32">
        <v>61</v>
      </c>
      <c r="V43" s="32">
        <v>74</v>
      </c>
      <c r="W43" s="32">
        <v>80</v>
      </c>
    </row>
    <row r="44" spans="18:23" ht="43.5" thickTop="1" x14ac:dyDescent="0.25">
      <c r="R44" s="51" t="s">
        <v>92</v>
      </c>
      <c r="S44" s="23" t="s">
        <v>93</v>
      </c>
      <c r="T44" s="24">
        <v>47</v>
      </c>
      <c r="U44" s="24">
        <v>67</v>
      </c>
      <c r="V44" s="24">
        <v>81</v>
      </c>
      <c r="W44" s="24">
        <v>88</v>
      </c>
    </row>
    <row r="45" spans="18:23" ht="42.75" x14ac:dyDescent="0.25">
      <c r="R45" s="56"/>
      <c r="S45" s="33" t="s">
        <v>94</v>
      </c>
      <c r="T45" s="34">
        <v>25</v>
      </c>
      <c r="U45" s="34">
        <v>59</v>
      </c>
      <c r="V45" s="34">
        <v>75</v>
      </c>
      <c r="W45" s="35">
        <v>83</v>
      </c>
    </row>
    <row r="46" spans="18:23" ht="43.5" thickBot="1" x14ac:dyDescent="0.3">
      <c r="R46" s="52"/>
      <c r="S46" s="25" t="s">
        <v>95</v>
      </c>
      <c r="T46" s="26">
        <v>6</v>
      </c>
      <c r="U46" s="26">
        <v>35</v>
      </c>
      <c r="V46" s="26">
        <v>70</v>
      </c>
      <c r="W46" s="26">
        <v>79</v>
      </c>
    </row>
    <row r="47" spans="18:23" ht="15.75" thickTop="1" x14ac:dyDescent="0.25">
      <c r="R47" s="53" t="s">
        <v>96</v>
      </c>
      <c r="S47" s="27" t="s">
        <v>90</v>
      </c>
      <c r="T47" s="28">
        <v>30</v>
      </c>
      <c r="U47" s="28">
        <v>58</v>
      </c>
      <c r="V47" s="28">
        <v>71</v>
      </c>
      <c r="W47" s="28">
        <v>78</v>
      </c>
    </row>
    <row r="48" spans="18:23" ht="42.75" x14ac:dyDescent="0.25">
      <c r="R48" s="54"/>
      <c r="S48" s="29" t="s">
        <v>97</v>
      </c>
      <c r="T48" s="30">
        <v>45</v>
      </c>
      <c r="U48" s="30">
        <v>66</v>
      </c>
      <c r="V48" s="30">
        <v>77</v>
      </c>
      <c r="W48" s="30">
        <v>83</v>
      </c>
    </row>
    <row r="49" spans="18:23" x14ac:dyDescent="0.25">
      <c r="R49" s="54"/>
      <c r="S49" s="29" t="s">
        <v>98</v>
      </c>
      <c r="T49" s="30">
        <v>36</v>
      </c>
      <c r="U49" s="30">
        <v>60</v>
      </c>
      <c r="V49" s="30">
        <v>73</v>
      </c>
      <c r="W49" s="30">
        <v>79</v>
      </c>
    </row>
    <row r="50" spans="18:23" ht="43.5" thickBot="1" x14ac:dyDescent="0.3">
      <c r="R50" s="55"/>
      <c r="S50" s="31" t="s">
        <v>99</v>
      </c>
      <c r="T50" s="32">
        <v>25</v>
      </c>
      <c r="U50" s="32">
        <v>55</v>
      </c>
      <c r="V50" s="32">
        <v>70</v>
      </c>
      <c r="W50" s="32">
        <v>77</v>
      </c>
    </row>
    <row r="51" spans="18:23" ht="15.75" thickTop="1" x14ac:dyDescent="0.25">
      <c r="R51" s="23" t="s">
        <v>100</v>
      </c>
      <c r="S51" s="23" t="s">
        <v>90</v>
      </c>
      <c r="T51" s="24">
        <v>59</v>
      </c>
      <c r="U51" s="24">
        <v>74</v>
      </c>
      <c r="V51" s="24">
        <v>82</v>
      </c>
      <c r="W51" s="24">
        <v>86</v>
      </c>
    </row>
    <row r="52" spans="18:23" ht="28.5" x14ac:dyDescent="0.25">
      <c r="R52" s="33" t="s">
        <v>101</v>
      </c>
      <c r="S52" s="33" t="s">
        <v>102</v>
      </c>
      <c r="T52" s="34">
        <v>72</v>
      </c>
      <c r="U52" s="34">
        <v>82</v>
      </c>
      <c r="V52" s="34">
        <v>87</v>
      </c>
      <c r="W52" s="34">
        <v>89</v>
      </c>
    </row>
    <row r="53" spans="18:23" ht="29.25" thickBot="1" x14ac:dyDescent="0.3">
      <c r="R53" s="36"/>
      <c r="S53" s="25" t="s">
        <v>103</v>
      </c>
      <c r="T53" s="26">
        <v>74</v>
      </c>
      <c r="U53" s="26">
        <v>84</v>
      </c>
      <c r="V53" s="26">
        <v>90</v>
      </c>
      <c r="W53" s="26">
        <v>92</v>
      </c>
    </row>
    <row r="54" spans="18:23" ht="57.75" thickTop="1" x14ac:dyDescent="0.25">
      <c r="R54" s="53" t="s">
        <v>104</v>
      </c>
      <c r="S54" s="27" t="s">
        <v>105</v>
      </c>
      <c r="T54" s="28">
        <v>56</v>
      </c>
      <c r="U54" s="28">
        <v>75</v>
      </c>
      <c r="V54" s="28">
        <v>86</v>
      </c>
      <c r="W54" s="28">
        <v>91</v>
      </c>
    </row>
    <row r="55" spans="18:23" x14ac:dyDescent="0.25">
      <c r="R55" s="54"/>
      <c r="S55" s="29" t="s">
        <v>106</v>
      </c>
      <c r="T55" s="30">
        <v>46</v>
      </c>
      <c r="U55" s="30">
        <v>68</v>
      </c>
      <c r="V55" s="30">
        <v>78</v>
      </c>
      <c r="W55" s="30">
        <v>84</v>
      </c>
    </row>
    <row r="56" spans="18:23" ht="28.5" x14ac:dyDescent="0.25">
      <c r="R56" s="54"/>
      <c r="S56" s="29" t="s">
        <v>107</v>
      </c>
      <c r="T56" s="30">
        <v>26</v>
      </c>
      <c r="U56" s="30">
        <v>52</v>
      </c>
      <c r="V56" s="30">
        <v>62</v>
      </c>
      <c r="W56" s="30">
        <v>69</v>
      </c>
    </row>
    <row r="57" spans="18:23" ht="15.75" thickBot="1" x14ac:dyDescent="0.3">
      <c r="R57" s="55"/>
      <c r="S57" s="31" t="s">
        <v>98</v>
      </c>
      <c r="T57" s="32">
        <v>36</v>
      </c>
      <c r="U57" s="32">
        <v>60</v>
      </c>
      <c r="V57" s="32">
        <v>70</v>
      </c>
      <c r="W57" s="32">
        <v>76</v>
      </c>
    </row>
    <row r="58" spans="18:23" ht="30" thickTop="1" thickBot="1" x14ac:dyDescent="0.3">
      <c r="R58" s="37" t="s">
        <v>108</v>
      </c>
      <c r="S58" s="37" t="s">
        <v>109</v>
      </c>
      <c r="T58" s="38">
        <v>100</v>
      </c>
      <c r="U58" s="39">
        <v>100</v>
      </c>
      <c r="V58" s="39">
        <v>100</v>
      </c>
      <c r="W58" s="38">
        <v>100</v>
      </c>
    </row>
    <row r="59" spans="18:23" ht="15.75" thickTop="1" x14ac:dyDescent="0.25"/>
  </sheetData>
  <mergeCells count="10">
    <mergeCell ref="R39:R43"/>
    <mergeCell ref="R44:R46"/>
    <mergeCell ref="R47:R50"/>
    <mergeCell ref="R54:R57"/>
    <mergeCell ref="R29:R30"/>
    <mergeCell ref="S29:S30"/>
    <mergeCell ref="T29:W29"/>
    <mergeCell ref="R31:R32"/>
    <mergeCell ref="R33:R35"/>
    <mergeCell ref="R36:R38"/>
  </mergeCell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shapeId="6145" r:id="rId3">
          <objectPr defaultSize="0" r:id="rId4">
            <anchor moveWithCells="1">
              <from>
                <xdr:col>11</xdr:col>
                <xdr:colOff>19050</xdr:colOff>
                <xdr:row>4</xdr:row>
                <xdr:rowOff>0</xdr:rowOff>
              </from>
              <to>
                <xdr:col>15</xdr:col>
                <xdr:colOff>171450</xdr:colOff>
                <xdr:row>9</xdr:row>
                <xdr:rowOff>123825</xdr:rowOff>
              </to>
            </anchor>
          </objectPr>
        </oleObject>
      </mc:Choice>
      <mc:Fallback>
        <oleObject shapeId="6145" r:id="rId3"/>
      </mc:Fallback>
    </mc:AlternateContent>
    <mc:AlternateContent xmlns:mc="http://schemas.openxmlformats.org/markup-compatibility/2006">
      <mc:Choice Requires="x14">
        <oleObject shapeId="6146" r:id="rId5">
          <objectPr defaultSize="0" r:id="rId6">
            <anchor moveWithCells="1">
              <from>
                <xdr:col>13</xdr:col>
                <xdr:colOff>428625</xdr:colOff>
                <xdr:row>25</xdr:row>
                <xdr:rowOff>38100</xdr:rowOff>
              </from>
              <to>
                <xdr:col>15</xdr:col>
                <xdr:colOff>533400</xdr:colOff>
                <xdr:row>27</xdr:row>
                <xdr:rowOff>171450</xdr:rowOff>
              </to>
            </anchor>
          </objectPr>
        </oleObject>
      </mc:Choice>
      <mc:Fallback>
        <oleObject shapeId="6146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0873-8D21-44F3-85D4-B4735BA36F1F}">
  <dimension ref="A2:Y15"/>
  <sheetViews>
    <sheetView workbookViewId="0">
      <selection activeCell="Q29" sqref="Q29"/>
    </sheetView>
  </sheetViews>
  <sheetFormatPr defaultRowHeight="15" x14ac:dyDescent="0.25"/>
  <sheetData>
    <row r="2" spans="1:25" x14ac:dyDescent="0.25">
      <c r="A2" s="40" t="s">
        <v>113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9" t="s">
        <v>112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8" spans="1:25" x14ac:dyDescent="0.25">
      <c r="P8" t="s">
        <v>25</v>
      </c>
      <c r="Q8" t="s">
        <v>114</v>
      </c>
    </row>
    <row r="9" spans="1:25" x14ac:dyDescent="0.25">
      <c r="O9" t="s">
        <v>0</v>
      </c>
      <c r="P9">
        <v>20</v>
      </c>
      <c r="Q9">
        <v>1300</v>
      </c>
    </row>
    <row r="10" spans="1:25" x14ac:dyDescent="0.25">
      <c r="O10" t="s">
        <v>78</v>
      </c>
      <c r="P10">
        <v>30</v>
      </c>
      <c r="Q10">
        <v>900</v>
      </c>
    </row>
    <row r="11" spans="1:25" x14ac:dyDescent="0.25">
      <c r="O11" t="s">
        <v>79</v>
      </c>
      <c r="P11">
        <v>50</v>
      </c>
      <c r="Q11">
        <v>1100</v>
      </c>
    </row>
    <row r="12" spans="1:25" x14ac:dyDescent="0.25">
      <c r="O12" t="s">
        <v>115</v>
      </c>
      <c r="P12">
        <f>+SUM(P9:P11)</f>
        <v>100</v>
      </c>
    </row>
    <row r="15" spans="1:25" x14ac:dyDescent="0.25">
      <c r="O15" t="s">
        <v>15</v>
      </c>
      <c r="P15">
        <f>+(P9*Q9+P10*Q10+P11*Q11)/P12</f>
        <v>1080</v>
      </c>
      <c r="Q15" t="s">
        <v>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J18"/>
  <sheetViews>
    <sheetView workbookViewId="0">
      <selection activeCell="A2" sqref="A2:J22"/>
    </sheetView>
  </sheetViews>
  <sheetFormatPr defaultRowHeight="15" x14ac:dyDescent="0.25"/>
  <sheetData>
    <row r="4" spans="1:10" x14ac:dyDescent="0.25">
      <c r="B4" t="s">
        <v>33</v>
      </c>
      <c r="H4" t="s">
        <v>34</v>
      </c>
    </row>
    <row r="5" spans="1:10" x14ac:dyDescent="0.25">
      <c r="B5" t="s">
        <v>20</v>
      </c>
      <c r="C5">
        <v>30</v>
      </c>
      <c r="H5" t="s">
        <v>35</v>
      </c>
      <c r="I5">
        <v>1013</v>
      </c>
      <c r="J5" t="s">
        <v>36</v>
      </c>
    </row>
    <row r="6" spans="1:10" x14ac:dyDescent="0.25">
      <c r="B6" t="s">
        <v>37</v>
      </c>
      <c r="C6">
        <v>20</v>
      </c>
    </row>
    <row r="7" spans="1:10" x14ac:dyDescent="0.25">
      <c r="B7" t="s">
        <v>15</v>
      </c>
      <c r="C7">
        <v>1009</v>
      </c>
      <c r="D7" t="s">
        <v>47</v>
      </c>
      <c r="E7">
        <f>+C7*100</f>
        <v>100900</v>
      </c>
      <c r="F7" t="s">
        <v>38</v>
      </c>
    </row>
    <row r="9" spans="1:10" x14ac:dyDescent="0.25">
      <c r="B9" t="s">
        <v>39</v>
      </c>
      <c r="C9" s="1">
        <f>611*EXP(17.27*C5/(237.3+C5))</f>
        <v>4244.4544055366032</v>
      </c>
      <c r="D9" t="s">
        <v>38</v>
      </c>
    </row>
    <row r="10" spans="1:10" x14ac:dyDescent="0.25">
      <c r="B10" t="s">
        <v>40</v>
      </c>
      <c r="C10">
        <f>2.501-0.002361*C5</f>
        <v>2.4301699999999999</v>
      </c>
      <c r="D10" t="s">
        <v>41</v>
      </c>
      <c r="E10">
        <f>+C10*10^6</f>
        <v>2430170</v>
      </c>
      <c r="F10" t="s">
        <v>42</v>
      </c>
    </row>
    <row r="12" spans="1:10" x14ac:dyDescent="0.25">
      <c r="B12" s="3" t="s">
        <v>43</v>
      </c>
      <c r="C12" s="1">
        <v>66</v>
      </c>
      <c r="D12" t="s">
        <v>44</v>
      </c>
    </row>
    <row r="14" spans="1:10" x14ac:dyDescent="0.25">
      <c r="B14" s="4" t="s">
        <v>45</v>
      </c>
      <c r="C14" s="4">
        <f>+C9-C12*(C5-C6)</f>
        <v>3584.4544055366032</v>
      </c>
      <c r="D14" s="4" t="s">
        <v>38</v>
      </c>
    </row>
    <row r="16" spans="1:10" x14ac:dyDescent="0.25">
      <c r="A16" t="s">
        <v>8</v>
      </c>
      <c r="B16" t="s">
        <v>48</v>
      </c>
      <c r="C16" s="1">
        <f>237.3*LN(C14/611)/(17.27-LN(C14/611))</f>
        <v>27.08558511566838</v>
      </c>
    </row>
    <row r="18" spans="1:3" x14ac:dyDescent="0.25">
      <c r="A18" t="s">
        <v>9</v>
      </c>
      <c r="B18" t="s">
        <v>46</v>
      </c>
      <c r="C18" s="5">
        <f>+C14/C9</f>
        <v>0.84450298272987112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1questao</vt:lpstr>
      <vt:lpstr>2questao</vt:lpstr>
      <vt:lpstr>3questao</vt:lpstr>
      <vt:lpstr>4questao</vt:lpstr>
      <vt:lpstr>5questao</vt:lpstr>
      <vt:lpstr>6questão</vt:lpstr>
      <vt:lpstr>borrao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2023-08-06T14:56:28Z</dcterms:modified>
</cp:coreProperties>
</file>