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asmart1/Dropbox/Adam PhD/Manuscripts/islandDensity/dat/"/>
    </mc:Choice>
  </mc:AlternateContent>
  <xr:revisionPtr revIDLastSave="0" documentId="13_ncr:1_{060A923D-6D32-5A43-97FE-287C3BEC0946}" xr6:coauthVersionLast="45" xr6:coauthVersionMax="45" xr10:uidLastSave="{00000000-0000-0000-0000-000000000000}"/>
  <bookViews>
    <workbookView xWindow="48380" yWindow="1500" windowWidth="27700" windowHeight="19500" activeTab="1" xr2:uid="{FB7BCCD9-7BBF-3042-B7AC-1919B5AE861B}"/>
  </bookViews>
  <sheets>
    <sheet name="readme" sheetId="7" r:id="rId1"/>
    <sheet name="sumCost" sheetId="1" r:id="rId2"/>
    <sheet name="sumArea" sheetId="8" r:id="rId3"/>
    <sheet name="detailCost" sheetId="3" r:id="rId4"/>
    <sheet name="HCIIslands" sheetId="4" r:id="rId5"/>
    <sheet name="FAOIqld" sheetId="5" r:id="rId6"/>
    <sheet name="FAOInt"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1" l="1"/>
  <c r="D5" i="1"/>
  <c r="F11" i="3"/>
  <c r="D9" i="3"/>
  <c r="D7" i="3"/>
  <c r="C2" i="1" l="1"/>
  <c r="C3" i="1"/>
  <c r="C4" i="1"/>
  <c r="C6" i="1"/>
  <c r="C7" i="1"/>
  <c r="C8" i="1"/>
  <c r="C9" i="1"/>
  <c r="C10" i="1"/>
  <c r="C10" i="8" l="1"/>
  <c r="C3" i="8" l="1"/>
  <c r="C2" i="8"/>
  <c r="H11" i="4"/>
  <c r="H36" i="4"/>
  <c r="H20" i="4"/>
  <c r="H8" i="4"/>
  <c r="E7" i="4"/>
  <c r="H37" i="4"/>
  <c r="H32" i="4"/>
  <c r="H45" i="4"/>
  <c r="H39" i="4"/>
  <c r="H13" i="4"/>
  <c r="H15" i="4"/>
  <c r="H17" i="4"/>
  <c r="H27" i="4"/>
  <c r="H35" i="4" l="1"/>
  <c r="H23" i="4"/>
  <c r="H31" i="4"/>
  <c r="H40" i="4" l="1"/>
  <c r="H22" i="4"/>
  <c r="H6" i="4"/>
  <c r="H5" i="4"/>
  <c r="H38" i="4"/>
  <c r="H29" i="4"/>
  <c r="H9" i="4"/>
  <c r="H4" i="4"/>
  <c r="H19" i="4"/>
  <c r="H43" i="4"/>
  <c r="H3" i="4"/>
  <c r="H34" i="4"/>
  <c r="H25" i="4"/>
  <c r="H18" i="4"/>
  <c r="C7" i="8" s="1"/>
  <c r="H14" i="4"/>
  <c r="H33" i="4"/>
  <c r="C4" i="8" s="1"/>
  <c r="H2" i="4"/>
  <c r="C9" i="8" s="1"/>
  <c r="H42" i="4"/>
  <c r="H28" i="4"/>
  <c r="H26" i="4"/>
  <c r="C8" i="8" s="1"/>
  <c r="H41" i="4"/>
  <c r="H12" i="4"/>
  <c r="C5" i="8" l="1"/>
  <c r="C6" i="8"/>
  <c r="H13" i="6"/>
  <c r="H14" i="6" s="1"/>
  <c r="H41" i="5"/>
  <c r="H42" i="5" s="1"/>
  <c r="E2" i="4"/>
  <c r="B9" i="8" s="1"/>
  <c r="E16" i="4"/>
  <c r="E20" i="4"/>
  <c r="E14" i="4"/>
  <c r="E13" i="4"/>
  <c r="E12" i="4"/>
  <c r="E11" i="4"/>
  <c r="E10" i="4"/>
  <c r="E9" i="4"/>
  <c r="E8" i="4"/>
  <c r="E19" i="4"/>
  <c r="E17" i="4"/>
  <c r="E18" i="4"/>
  <c r="E15" i="4"/>
  <c r="E6" i="4"/>
  <c r="E5" i="4"/>
  <c r="E4" i="4"/>
  <c r="E3" i="4"/>
  <c r="E45" i="4"/>
  <c r="E43" i="4"/>
  <c r="E44" i="4"/>
  <c r="E42" i="4"/>
  <c r="E36" i="4"/>
  <c r="E35" i="4"/>
  <c r="E34" i="4"/>
  <c r="E33" i="4"/>
  <c r="E32" i="4"/>
  <c r="E31" i="4"/>
  <c r="E30" i="4"/>
  <c r="E29" i="4"/>
  <c r="E41" i="4"/>
  <c r="E40" i="4"/>
  <c r="E39" i="4"/>
  <c r="E37" i="4"/>
  <c r="E38" i="4"/>
  <c r="E28" i="4"/>
  <c r="E27" i="4"/>
  <c r="E26" i="4"/>
  <c r="E25" i="4"/>
  <c r="E24" i="4"/>
  <c r="E23" i="4"/>
  <c r="E22" i="4"/>
  <c r="E21" i="4"/>
  <c r="E64" i="4"/>
  <c r="E63" i="4"/>
  <c r="E62" i="4"/>
  <c r="E61" i="4"/>
  <c r="E60" i="4"/>
  <c r="E59" i="4"/>
  <c r="E58" i="4"/>
  <c r="E57" i="4"/>
  <c r="E49" i="4"/>
  <c r="E48" i="4"/>
  <c r="E56" i="4"/>
  <c r="E55" i="4"/>
  <c r="E47" i="4"/>
  <c r="E54" i="4"/>
  <c r="E46" i="4"/>
  <c r="E53" i="4"/>
  <c r="E52" i="4"/>
  <c r="E51" i="4"/>
  <c r="E50" i="4"/>
  <c r="F3" i="3"/>
  <c r="F4" i="3"/>
  <c r="F5" i="3"/>
  <c r="F6" i="3"/>
  <c r="F7" i="3"/>
  <c r="F12" i="3" s="1"/>
  <c r="F8" i="3"/>
  <c r="F9" i="3"/>
  <c r="F10" i="3"/>
  <c r="C16" i="3"/>
  <c r="C17" i="3"/>
  <c r="C18" i="3"/>
  <c r="C19" i="3"/>
  <c r="C20" i="3"/>
  <c r="C21" i="3"/>
  <c r="B22" i="3"/>
  <c r="C22" i="3"/>
  <c r="D16" i="3" l="1"/>
  <c r="B4" i="8"/>
  <c r="B5" i="8"/>
  <c r="B6" i="8"/>
  <c r="B8" i="8"/>
  <c r="B7" i="8"/>
  <c r="D21" i="3" l="1"/>
  <c r="D20" i="3"/>
  <c r="D15" i="3"/>
  <c r="D17" i="3"/>
  <c r="D18" i="3"/>
  <c r="G29" i="3"/>
  <c r="D19" i="3"/>
  <c r="F16" i="3" l="1"/>
  <c r="E16" i="3"/>
  <c r="D22" i="3"/>
</calcChain>
</file>

<file path=xl/sharedStrings.xml><?xml version="1.0" encoding="utf-8"?>
<sst xmlns="http://schemas.openxmlformats.org/spreadsheetml/2006/main" count="788" uniqueCount="284">
  <si>
    <t>category</t>
  </si>
  <si>
    <t>cpu</t>
  </si>
  <si>
    <t>field</t>
  </si>
  <si>
    <t>personal</t>
  </si>
  <si>
    <t>travel</t>
  </si>
  <si>
    <t>item</t>
  </si>
  <si>
    <t>calico</t>
  </si>
  <si>
    <t>sustenance</t>
  </si>
  <si>
    <t>co2</t>
  </si>
  <si>
    <t>upd</t>
  </si>
  <si>
    <t>batteries</t>
  </si>
  <si>
    <t>equiptPrep</t>
  </si>
  <si>
    <t>survey</t>
  </si>
  <si>
    <t>wasteDisp</t>
  </si>
  <si>
    <t>travelTo</t>
  </si>
  <si>
    <t>travelIn</t>
  </si>
  <si>
    <t>Cost category</t>
  </si>
  <si>
    <t>Item</t>
  </si>
  <si>
    <t>Unit type</t>
  </si>
  <si>
    <t>Total Units</t>
  </si>
  <si>
    <t>Cost per unit (AU)</t>
  </si>
  <si>
    <t>Total Cost</t>
  </si>
  <si>
    <t>Comments</t>
  </si>
  <si>
    <t>Field consumable</t>
  </si>
  <si>
    <t>Calico Bag</t>
  </si>
  <si>
    <t>per bag</t>
  </si>
  <si>
    <t>1 bag per 20 individuals caught</t>
  </si>
  <si>
    <t>Battery</t>
  </si>
  <si>
    <t>per four batteries</t>
  </si>
  <si>
    <t xml:space="preserve">Sustenance </t>
  </si>
  <si>
    <t>per day</t>
  </si>
  <si>
    <t>$30 per head per day</t>
  </si>
  <si>
    <t>CO2</t>
  </si>
  <si>
    <t>per 8kg bottle</t>
  </si>
  <si>
    <t>Includes tubing, bottle hire and gas fill.</t>
  </si>
  <si>
    <t xml:space="preserve">Personal </t>
  </si>
  <si>
    <t>Equiptment preparation</t>
  </si>
  <si>
    <t>per hour</t>
  </si>
  <si>
    <t>One hour each day preparing and charging equiptment</t>
  </si>
  <si>
    <t>Survey time</t>
  </si>
  <si>
    <t>Waste disposal</t>
  </si>
  <si>
    <t>One hour to dispose of carcasses each day</t>
  </si>
  <si>
    <t>Travel</t>
  </si>
  <si>
    <t>Travel to site</t>
  </si>
  <si>
    <t>Motorised travel within site</t>
  </si>
  <si>
    <t>Total cost to clear Horan Island (0.78km2)</t>
  </si>
  <si>
    <t>Total cost per 1km2</t>
  </si>
  <si>
    <t>Islands identidied as 'High Consevation Status' by the Fedral Government (2009)</t>
  </si>
  <si>
    <t>Total</t>
  </si>
  <si>
    <t>NSW (toads absent)</t>
  </si>
  <si>
    <t>include Torres strait islands?</t>
  </si>
  <si>
    <t>QLD islands (absent)</t>
  </si>
  <si>
    <t>QLD islands (present)</t>
  </si>
  <si>
    <t>NT islands (absent)</t>
  </si>
  <si>
    <t>NT islands (present)</t>
  </si>
  <si>
    <t>WA islands (absent)</t>
  </si>
  <si>
    <t>Horan Island (WA)</t>
  </si>
  <si>
    <t>Column1</t>
  </si>
  <si>
    <t>Cost to eradicate (AU)</t>
  </si>
  <si>
    <t>Area (km2)</t>
  </si>
  <si>
    <t>Number of islands</t>
  </si>
  <si>
    <t xml:space="preserve">Landmass </t>
  </si>
  <si>
    <t>No pests</t>
  </si>
  <si>
    <t>Top 50</t>
  </si>
  <si>
    <t>N</t>
  </si>
  <si>
    <t>WA</t>
  </si>
  <si>
    <t>Montebello Islands</t>
  </si>
  <si>
    <t>Trimouille Island</t>
  </si>
  <si>
    <t>Top 100</t>
  </si>
  <si>
    <t xml:space="preserve">Adele Island </t>
  </si>
  <si>
    <t>Hermite Island</t>
  </si>
  <si>
    <t>Boodie Island</t>
  </si>
  <si>
    <t>Barrow Island</t>
  </si>
  <si>
    <t>Dorre Island</t>
  </si>
  <si>
    <t>Bernier Island</t>
  </si>
  <si>
    <t>Serrurier Island</t>
  </si>
  <si>
    <t xml:space="preserve">Dampier </t>
  </si>
  <si>
    <t>Rosemary Island</t>
  </si>
  <si>
    <t>Faure Island</t>
  </si>
  <si>
    <t>East Intercourse Island</t>
  </si>
  <si>
    <t>Legendre Island</t>
  </si>
  <si>
    <t>West Lewis Island</t>
  </si>
  <si>
    <t>Unnamed Island</t>
  </si>
  <si>
    <t>Gidley Island</t>
  </si>
  <si>
    <t>Angel Island</t>
  </si>
  <si>
    <t>Dirk Hartog Island</t>
  </si>
  <si>
    <t>East Lewis Island</t>
  </si>
  <si>
    <t>Dolphin Island</t>
  </si>
  <si>
    <t>Y</t>
  </si>
  <si>
    <t>QLD</t>
  </si>
  <si>
    <t>South Wellesley Group</t>
  </si>
  <si>
    <t>Sweers Island</t>
  </si>
  <si>
    <t>Bentineck Island</t>
  </si>
  <si>
    <t>Moreton Bay</t>
  </si>
  <si>
    <t>Moreton Island</t>
  </si>
  <si>
    <t>GBRMP</t>
  </si>
  <si>
    <t>Goold Island</t>
  </si>
  <si>
    <t>Magnetic Island</t>
  </si>
  <si>
    <t>AKA Coonanglebah Island</t>
  </si>
  <si>
    <t>Family Islands</t>
  </si>
  <si>
    <t>Dunk Island</t>
  </si>
  <si>
    <t>North Stradbroke Island</t>
  </si>
  <si>
    <t>Macleay Island</t>
  </si>
  <si>
    <t>Russell Island</t>
  </si>
  <si>
    <t>Fraser Island</t>
  </si>
  <si>
    <t>Hinchinbrook Island</t>
  </si>
  <si>
    <t>Bribie Island</t>
  </si>
  <si>
    <t>Woogoompah Island</t>
  </si>
  <si>
    <t>Torres Strait</t>
  </si>
  <si>
    <t>Badu Island</t>
  </si>
  <si>
    <t>Darnley Island</t>
  </si>
  <si>
    <t>Moa Island</t>
  </si>
  <si>
    <t>Wellesley Islands</t>
  </si>
  <si>
    <t>Mornington Island</t>
  </si>
  <si>
    <t>Hammond Island</t>
  </si>
  <si>
    <t>Horn Island</t>
  </si>
  <si>
    <t>Prince of Wales Island</t>
  </si>
  <si>
    <t>Boigu Island</t>
  </si>
  <si>
    <t>Turtle Head Island</t>
  </si>
  <si>
    <t>Albany Island</t>
  </si>
  <si>
    <t>Long Island</t>
  </si>
  <si>
    <t>Curtis Island</t>
  </si>
  <si>
    <t>NT</t>
  </si>
  <si>
    <t>Sir Edward Pellew Group</t>
  </si>
  <si>
    <t>North Island</t>
  </si>
  <si>
    <t>Centre Island</t>
  </si>
  <si>
    <t>Vanderlin Island</t>
  </si>
  <si>
    <t xml:space="preserve">West Island </t>
  </si>
  <si>
    <t>Elcho Island Group</t>
  </si>
  <si>
    <t>Elcho Island</t>
  </si>
  <si>
    <t>Crocodile Islands Group</t>
  </si>
  <si>
    <t>Milingimbi Island</t>
  </si>
  <si>
    <t xml:space="preserve">Howard Island </t>
  </si>
  <si>
    <t>South West Island</t>
  </si>
  <si>
    <t>Tiwi Islands</t>
  </si>
  <si>
    <t>Bathurst Island</t>
  </si>
  <si>
    <t>Groote Eylante Group</t>
  </si>
  <si>
    <t>Groote Eylandt</t>
  </si>
  <si>
    <t>Wessel</t>
  </si>
  <si>
    <t>Raragala Island</t>
  </si>
  <si>
    <t>Melville Island</t>
  </si>
  <si>
    <t>Marchinbar Island</t>
  </si>
  <si>
    <t>Peron Islands</t>
  </si>
  <si>
    <t>Peron Island</t>
  </si>
  <si>
    <t>Croker Island Group</t>
  </si>
  <si>
    <t>Croker Island</t>
  </si>
  <si>
    <t>Yabooma Island</t>
  </si>
  <si>
    <t>English Company Group</t>
  </si>
  <si>
    <t>Inglis Island</t>
  </si>
  <si>
    <t>Indian Island</t>
  </si>
  <si>
    <t>NSW</t>
  </si>
  <si>
    <t>Lord Howe Island</t>
  </si>
  <si>
    <t>Priority List</t>
  </si>
  <si>
    <t>Distance to Mainland (km)</t>
  </si>
  <si>
    <t>Toads Presents</t>
  </si>
  <si>
    <t xml:space="preserve">Area (ha) </t>
  </si>
  <si>
    <t>Jurisdiction</t>
  </si>
  <si>
    <t>Archipelago</t>
  </si>
  <si>
    <t>Island Name</t>
  </si>
  <si>
    <t>SUM (KM2)</t>
  </si>
  <si>
    <t>SUM (HA)</t>
  </si>
  <si>
    <t>Cane Toad</t>
  </si>
  <si>
    <t>CAPRICORN GROUP</t>
  </si>
  <si>
    <t>HERON ISLAND</t>
  </si>
  <si>
    <t>NEWRY ISLAND</t>
  </si>
  <si>
    <t>SNAPPER ISLAND</t>
  </si>
  <si>
    <t>FRANKLAND ISLANDS</t>
  </si>
  <si>
    <t>HIGH ISLAND</t>
  </si>
  <si>
    <t>FAMILY ISLANDS</t>
  </si>
  <si>
    <t>BEDARRA ISLANDS</t>
  </si>
  <si>
    <t>KARRGARRA ISLAND</t>
  </si>
  <si>
    <t>LAMB ISLAND</t>
  </si>
  <si>
    <t>AKENS ISLAND</t>
  </si>
  <si>
    <t>COOCHIEMUDLO ISLAND</t>
  </si>
  <si>
    <t>FORSYTH ISLANDS</t>
  </si>
  <si>
    <t>BAYLEY ISLAND</t>
  </si>
  <si>
    <t>THURSDAY ISLAND</t>
  </si>
  <si>
    <t>WHITSUNDAY GROUP</t>
  </si>
  <si>
    <t>HAYMAN ISLAND</t>
  </si>
  <si>
    <t>SOUTH MOLLE ISLAND</t>
  </si>
  <si>
    <t>KANGAROO ISLAND</t>
  </si>
  <si>
    <t>LINDEMAN GROUP</t>
  </si>
  <si>
    <t>LINDEMAN ISLAND</t>
  </si>
  <si>
    <t>COONANGLEBAH ISLAND</t>
  </si>
  <si>
    <t>PALM ISLANDS</t>
  </si>
  <si>
    <t>FANTOME ISLAND</t>
  </si>
  <si>
    <t>MACLEAY ISLAND</t>
  </si>
  <si>
    <t>GOOLD ISLAND</t>
  </si>
  <si>
    <t>LIZARD ISLAND</t>
  </si>
  <si>
    <t>LONG ISLAND</t>
  </si>
  <si>
    <t>SOUTH WELLESLEY ISLANDS</t>
  </si>
  <si>
    <t>SWEERS ISLAND</t>
  </si>
  <si>
    <t>ORPHEUS ISLAND</t>
  </si>
  <si>
    <t>SHAW ISLAND</t>
  </si>
  <si>
    <t>RUSSELL ISLAND</t>
  </si>
  <si>
    <t>SOUTH STRADBROKE ISLAND</t>
  </si>
  <si>
    <t>QUAIL ISLAND</t>
  </si>
  <si>
    <t>GLOUCESTER ISLAND</t>
  </si>
  <si>
    <t>FACING ISLAND</t>
  </si>
  <si>
    <t>MAGNETIC ISLAND</t>
  </si>
  <si>
    <t>GREAT PALM ISLAND</t>
  </si>
  <si>
    <t>TOWNSHEND ISLAND</t>
  </si>
  <si>
    <t>BENTINCK ISLAND</t>
  </si>
  <si>
    <t>BRIBIE ISLAND</t>
  </si>
  <si>
    <t>MORETON ISLAND</t>
  </si>
  <si>
    <t>NORTH STRADBROKE ISLAND</t>
  </si>
  <si>
    <t>HINCHINBROOK ISLAND</t>
  </si>
  <si>
    <t>CURTIS ISLAND</t>
  </si>
  <si>
    <t>FRASER ISLAND</t>
  </si>
  <si>
    <t>ISLAND AREA (ha)</t>
  </si>
  <si>
    <t>LAT</t>
  </si>
  <si>
    <t>LONG</t>
  </si>
  <si>
    <t>DIST FROM MAINLAND (km)</t>
  </si>
  <si>
    <t>COMMMON NAME</t>
  </si>
  <si>
    <t>STATE</t>
  </si>
  <si>
    <t>ISLAND GROUP</t>
  </si>
  <si>
    <t>ISLAND NAME</t>
  </si>
  <si>
    <t>HOWARD ISLAND</t>
  </si>
  <si>
    <t>VANDERLIN ISLAND</t>
  </si>
  <si>
    <t>SIR EDWARD PELLEW GROUP</t>
  </si>
  <si>
    <t>WEST ISLAND</t>
  </si>
  <si>
    <t>SOUTH WEST ISLAND</t>
  </si>
  <si>
    <t>CENTRE ISLAND</t>
  </si>
  <si>
    <t>QUOIN ISLAND</t>
  </si>
  <si>
    <t>NORTH ISLAND</t>
  </si>
  <si>
    <t>MILINGIMBI ISLAND</t>
  </si>
  <si>
    <t>NT ISLAND NUMBER C033</t>
  </si>
  <si>
    <t>ENTRANCE ISLAND</t>
  </si>
  <si>
    <t>CROCODILE ISLAND</t>
  </si>
  <si>
    <t>HCI - Prioritisation of high conservation status offshore islands</t>
  </si>
  <si>
    <t>http://www.environment.gov.au/system/files/resources/5325cdf1-b56f-43b3-8bef-052d740d93fd/files/offshore-islands.pdf</t>
  </si>
  <si>
    <t>Data pulled 01/03/2019</t>
  </si>
  <si>
    <t>FAOI - Feral animals on offshore islands database</t>
  </si>
  <si>
    <t>http://www.environment.gov.au/biodiversity/invasive-species/feral-animals-australia/offshore-islands</t>
  </si>
  <si>
    <t>landmass</t>
  </si>
  <si>
    <t>horanIsland</t>
  </si>
  <si>
    <t>Waislands_A</t>
  </si>
  <si>
    <t>Ntislands_P</t>
  </si>
  <si>
    <t>Ntislands_A</t>
  </si>
  <si>
    <t>QLDislands_P</t>
  </si>
  <si>
    <t>QLDislands_A</t>
  </si>
  <si>
    <t>indianIsland</t>
  </si>
  <si>
    <t>areaKm2</t>
  </si>
  <si>
    <t>areaPer</t>
  </si>
  <si>
    <t xml:space="preserve">Spreadsheet of cost scenarios for island biosecurity in Northern Australia for the Density Manuscript. 
Example islands for our cost scenarios are drawn from the 'Prioritisation of high conservation status offshore islands report'. Data on cane toad presence is manually extracted from the HCI report (2009) and cross checked with the FAOI database (2009) - no FAOI for WA.
Each island in WA, NT &amp; QLD is added to the 'example costing spreadsheet - islands in WA have been removed south of Geraldton (28S; 114E) as Cane Toads are unlikley to reach these areas.
Distance to mainland is measured via the longest strecth of water encountered when island hopping to mainland. When an island group has an establish CT population, distance to that island is used.
Cost data is from costs incurred during Smart/Phillips field season @ Lake Argyle in Nov 2017. Water body presence if drawn from the presence of any species relying on the presence of freshwater OR from inspection via google earth. </t>
  </si>
  <si>
    <t>Pigs</t>
  </si>
  <si>
    <t>Water Present GMAPS</t>
  </si>
  <si>
    <t xml:space="preserve">Northern Quoll may occur </t>
  </si>
  <si>
    <t>Fox, Cat</t>
  </si>
  <si>
    <t xml:space="preserve">Foxs eradicated </t>
  </si>
  <si>
    <t xml:space="preserve">Foxs Eradicated </t>
  </si>
  <si>
    <t>Rock Wallaby Present, Sheep</t>
  </si>
  <si>
    <t>Human Footprint, seasonal wetlands, cat pig</t>
  </si>
  <si>
    <t xml:space="preserve">Huan Footprint, Burrowing bettong, Wallaby, bandicoot, </t>
  </si>
  <si>
    <t>NA</t>
  </si>
  <si>
    <t>Human footprint, dunnart, cat, pig, dog, cattle</t>
  </si>
  <si>
    <t>Human Footprint, seasonal wetlands, deer, dog, cat pig, buffalo, dingo</t>
  </si>
  <si>
    <t>Human footprint</t>
  </si>
  <si>
    <t>Barred bandicoot, wallaby, bilby,  past cat, goat, horse, sheep</t>
  </si>
  <si>
    <t>Human footprint, cats, dog, deer</t>
  </si>
  <si>
    <t>Human footprint, cat, pig, cattle, horse, dingo</t>
  </si>
  <si>
    <t>Human footprint, cat, pig, fox, dog, cattle</t>
  </si>
  <si>
    <t>Human footprint, cat, pig, dog</t>
  </si>
  <si>
    <t>Banded hare wallaby, bettong, bilby, cat, goat, sheep, horse, camel</t>
  </si>
  <si>
    <t xml:space="preserve">Human footprint, Foxs Eradicated </t>
  </si>
  <si>
    <t>Human footprint, sheep</t>
  </si>
  <si>
    <t>Human footprint, wallaby, bettong, cat, goat</t>
  </si>
  <si>
    <t>Human footprint,  cat, dog, deer</t>
  </si>
  <si>
    <t xml:space="preserve">Human footprint, cat, pig, goat, horse, cattle, deer, </t>
  </si>
  <si>
    <t>Human footprint, cat, pig, dog, deer</t>
  </si>
  <si>
    <t>Norther Quoll,  cattle, water buffalo,</t>
  </si>
  <si>
    <t>Human footprint, goat</t>
  </si>
  <si>
    <t xml:space="preserve">Northern Quoll may occur, golden bandicoot, cattle, </t>
  </si>
  <si>
    <t>Human footprint, dunnart, cat, pig, dog, cattle, horse, wattle buffalo, dingo</t>
  </si>
  <si>
    <t>Pig</t>
  </si>
  <si>
    <t>Human footprint, cat, pig, goat, horse, dog, cattle, deer</t>
  </si>
  <si>
    <t>Human footprint, pig</t>
  </si>
  <si>
    <t xml:space="preserve">Include in analysis </t>
  </si>
  <si>
    <t>FW Shoreline (km)</t>
  </si>
  <si>
    <t>HEAVILY MINED</t>
  </si>
  <si>
    <t>Pilbarra</t>
  </si>
  <si>
    <t>Inc. personal, fuel and insurance. One hour motorised travel around site each day</t>
  </si>
  <si>
    <t>Inc. personal, fuel and insurance. 8 hours drive from Darwin each way. Once a week. 15 weeks to complete (72/5)</t>
  </si>
  <si>
    <t>8 hours each day per person . 1 hour is taken with motorised travel (higher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</si>
</sst>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6" x14ac:knownFonts="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u/>
      <sz val="12"/>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5" fillId="0" borderId="0" applyNumberFormat="0" applyFill="0" applyBorder="0" applyAlignment="0" applyProtection="0"/>
  </cellStyleXfs>
  <cellXfs count="27">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164" fontId="3" fillId="0" borderId="0" xfId="0" applyNumberFormat="1" applyFont="1" applyAlignment="1">
      <alignment horizontal="center" vertical="center"/>
    </xf>
    <xf numFmtId="0" fontId="0" fillId="0" borderId="0" xfId="0" applyAlignment="1"/>
    <xf numFmtId="0" fontId="3" fillId="0" borderId="0" xfId="0" applyFont="1" applyAlignment="1"/>
    <xf numFmtId="164" fontId="3" fillId="0" borderId="0" xfId="0" applyNumberFormat="1" applyFont="1" applyAlignment="1"/>
    <xf numFmtId="0" fontId="2" fillId="0" borderId="0" xfId="0" applyFont="1" applyAlignment="1"/>
    <xf numFmtId="164" fontId="4" fillId="0" borderId="0" xfId="0" applyNumberFormat="1" applyFont="1" applyAlignment="1"/>
    <xf numFmtId="164" fontId="0" fillId="0" borderId="0" xfId="0" applyNumberFormat="1"/>
    <xf numFmtId="44" fontId="2" fillId="0" borderId="0" xfId="1" applyFont="1"/>
    <xf numFmtId="0" fontId="2" fillId="0" borderId="0" xfId="0" applyFont="1"/>
    <xf numFmtId="44" fontId="0" fillId="0" borderId="0" xfId="1" applyFont="1"/>
    <xf numFmtId="44" fontId="0" fillId="0" borderId="0" xfId="0" applyNumberFormat="1"/>
    <xf numFmtId="0" fontId="2" fillId="0" borderId="0" xfId="0" applyFont="1" applyAlignment="1">
      <alignment horizontal="center" vertical="center" wrapText="1"/>
    </xf>
    <xf numFmtId="1" fontId="0" fillId="0" borderId="0" xfId="0" applyNumberFormat="1"/>
    <xf numFmtId="0" fontId="3" fillId="0" borderId="0" xfId="0" applyFont="1"/>
    <xf numFmtId="0" fontId="0" fillId="0" borderId="0" xfId="0" applyAlignment="1">
      <alignment horizontal="center" vertical="center" wrapText="1"/>
    </xf>
    <xf numFmtId="1" fontId="0" fillId="0" borderId="0" xfId="0" applyNumberFormat="1" applyAlignment="1">
      <alignment horizontal="center" vertical="center" wrapText="1"/>
    </xf>
    <xf numFmtId="0" fontId="3" fillId="0" borderId="0" xfId="0" applyFont="1" applyFill="1"/>
    <xf numFmtId="0" fontId="0" fillId="0" borderId="0" xfId="0" applyFill="1"/>
    <xf numFmtId="0" fontId="5" fillId="0" borderId="0" xfId="2"/>
    <xf numFmtId="1" fontId="0" fillId="0" borderId="0" xfId="0" applyNumberFormat="1" applyFill="1"/>
    <xf numFmtId="0" fontId="0" fillId="2" borderId="0" xfId="0" applyFill="1"/>
    <xf numFmtId="0" fontId="0" fillId="0" borderId="0" xfId="0" applyNumberFormat="1"/>
    <xf numFmtId="0" fontId="0" fillId="0" borderId="0" xfId="0" applyAlignment="1">
      <alignment horizontal="left" vertical="top" wrapText="1"/>
    </xf>
    <xf numFmtId="0" fontId="2" fillId="0" borderId="0" xfId="0" applyFont="1" applyAlignment="1">
      <alignment horizontal="center" wrapText="1"/>
    </xf>
  </cellXfs>
  <cellStyles count="3">
    <cellStyle name="Currency" xfId="1" builtinId="4"/>
    <cellStyle name="Hyperlink" xfId="2" builtinId="8"/>
    <cellStyle name="Normal" xfId="0" builtinId="0"/>
  </cellStyles>
  <dxfs count="15">
    <dxf>
      <numFmt numFmtId="0" formatCode="General"/>
      <fill>
        <patternFill patternType="solid">
          <fgColor indexed="64"/>
          <bgColor rgb="FFFF0000"/>
        </patternFill>
      </fill>
    </dxf>
    <dxf>
      <numFmt numFmtId="1" formatCode="0"/>
    </dxf>
    <dxf>
      <alignment horizontal="center" vertical="center" textRotation="0" wrapText="1" indent="0" justifyLastLine="0" shrinkToFit="0"/>
    </dxf>
    <dxf>
      <numFmt numFmtId="34" formatCode="_(&quot;$&quot;* #,##0.00_);_(&quot;$&quot;* \(#,##0.00\);_(&quot;$&quot;* &quot;-&quot;??_);_(@_)"/>
    </dxf>
    <dxf>
      <numFmt numFmtId="165" formatCode="&quot;$&quot;#,##0"/>
    </dxf>
    <dxf>
      <font>
        <b/>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scheme val="minor"/>
      </font>
      <alignment horizontal="general" vertical="bottom" textRotation="0" wrapText="0" justifyLastLine="0" shrinkToFit="0"/>
    </dxf>
    <dxf>
      <font>
        <b val="0"/>
        <i val="0"/>
        <strike val="0"/>
        <condense val="0"/>
        <extend val="0"/>
        <outline val="0"/>
        <shadow val="0"/>
        <u val="none"/>
        <vertAlign val="baseline"/>
        <sz val="12"/>
        <color rgb="FF000000"/>
        <name val="Calibri"/>
        <scheme val="minor"/>
      </font>
      <numFmt numFmtId="164" formatCode="&quot;$&quot;#,##0.00"/>
      <alignment horizontal="general" vertical="bottom" textRotation="0" wrapText="0" justifyLastLine="0" shrinkToFit="0"/>
    </dxf>
    <dxf>
      <font>
        <b val="0"/>
        <i val="0"/>
        <strike val="0"/>
        <condense val="0"/>
        <extend val="0"/>
        <outline val="0"/>
        <shadow val="0"/>
        <u val="none"/>
        <vertAlign val="baseline"/>
        <sz val="12"/>
        <color rgb="FF000000"/>
        <name val="Calibri"/>
        <scheme val="minor"/>
      </font>
      <numFmt numFmtId="164" formatCode="&quot;$&quot;#,##0.00"/>
      <alignment horizontal="general" vertical="bottom" textRotation="0" wrapText="0" justifyLastLine="0" shrinkToFit="0"/>
    </dxf>
    <dxf>
      <font>
        <b val="0"/>
        <i val="0"/>
        <strike val="0"/>
        <condense val="0"/>
        <extend val="0"/>
        <outline val="0"/>
        <shadow val="0"/>
        <u val="none"/>
        <vertAlign val="baseline"/>
        <sz val="12"/>
        <color rgb="FF000000"/>
        <name val="Calibri"/>
        <scheme val="minor"/>
      </font>
      <alignment horizontal="general" vertical="bottom" textRotation="0" wrapText="0" justifyLastLine="0" shrinkToFit="0"/>
    </dxf>
    <dxf>
      <font>
        <b val="0"/>
        <i val="0"/>
        <strike val="0"/>
        <condense val="0"/>
        <extend val="0"/>
        <outline val="0"/>
        <shadow val="0"/>
        <u val="none"/>
        <vertAlign val="baseline"/>
        <sz val="12"/>
        <color rgb="FF000000"/>
        <name val="Calibri"/>
        <scheme val="minor"/>
      </font>
      <alignment horizontal="general" vertical="bottom" textRotation="0" wrapText="0" justifyLastLine="0" shrinkToFit="0"/>
    </dxf>
    <dxf>
      <font>
        <b val="0"/>
        <i val="0"/>
        <strike val="0"/>
        <condense val="0"/>
        <extend val="0"/>
        <outline val="0"/>
        <shadow val="0"/>
        <u val="none"/>
        <vertAlign val="baseline"/>
        <sz val="12"/>
        <color rgb="FF000000"/>
        <name val="Calibri"/>
        <scheme val="minor"/>
      </font>
      <alignment horizontal="general" vertical="bottom" textRotation="0" wrapText="0" justifyLastLine="0" shrinkToFit="0"/>
    </dxf>
    <dxf>
      <alignment horizontal="general" vertical="bottom" textRotation="0" wrapText="0" justifyLastLine="0" shrinkToFit="0"/>
    </dxf>
    <dxf>
      <font>
        <b val="0"/>
        <i val="0"/>
        <strike val="0"/>
        <condense val="0"/>
        <extend val="0"/>
        <outline val="0"/>
        <shadow val="0"/>
        <u val="none"/>
        <vertAlign val="baseline"/>
        <sz val="12"/>
        <color rgb="FF000000"/>
        <name val="Calibri"/>
        <scheme val="minor"/>
      </font>
      <alignment horizontal="general" vertical="bottom" textRotation="0" wrapText="0" justifyLastLine="0" shrinkToFit="0"/>
    </dxf>
    <dxf>
      <font>
        <b val="0"/>
        <i val="0"/>
        <strike val="0"/>
        <condense val="0"/>
        <extend val="0"/>
        <outline val="0"/>
        <shadow val="0"/>
        <u val="none"/>
        <vertAlign val="baseline"/>
        <sz val="12"/>
        <color rgb="FF000000"/>
        <name val="Calibri"/>
        <scheme val="minor"/>
      </font>
      <alignment horizontal="center" vertical="center" textRotation="0" wrapText="0" indent="0" justifyLastLine="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ACB922-F0A7-E64A-880F-0E093CE26573}" name="Table53" displayName="Table53" ref="A1:G12" totalsRowShown="0" headerRowDxfId="14" dataDxfId="13">
  <autoFilter ref="A1:G12" xr:uid="{00000000-0009-0000-0100-000005000000}"/>
  <tableColumns count="7">
    <tableColumn id="1" xr3:uid="{00000000-0010-0000-0100-000001000000}" name="Cost category" dataDxfId="12"/>
    <tableColumn id="2" xr3:uid="{00000000-0010-0000-0100-000002000000}" name="Item" dataDxfId="11"/>
    <tableColumn id="3" xr3:uid="{00000000-0010-0000-0100-000003000000}" name="Unit type" dataDxfId="10"/>
    <tableColumn id="4" xr3:uid="{00000000-0010-0000-0100-000004000000}" name="Total Units" dataDxfId="9"/>
    <tableColumn id="5" xr3:uid="{00000000-0010-0000-0100-000005000000}" name="Cost per unit (AU)" dataDxfId="8"/>
    <tableColumn id="6" xr3:uid="{00000000-0010-0000-0100-000006000000}" name="Total Cost" dataDxfId="7">
      <calculatedColumnFormula>D2*E2</calculatedColumnFormula>
    </tableColumn>
    <tableColumn id="7" xr3:uid="{00000000-0010-0000-0100-000007000000}" name="Comments" dataDxfId="6"/>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630DF04-0D6D-2E47-A5F9-92969353F512}" name="Table6" displayName="Table6" ref="A14:E22" totalsRowShown="0" headerRowDxfId="5">
  <autoFilter ref="A14:E22" xr:uid="{00000000-0009-0000-0100-000006000000}"/>
  <tableColumns count="5">
    <tableColumn id="1" xr3:uid="{00000000-0010-0000-0200-000001000000}" name="Landmass "/>
    <tableColumn id="2" xr3:uid="{00000000-0010-0000-0200-000002000000}" name="Number of islands"/>
    <tableColumn id="3" xr3:uid="{00000000-0010-0000-0200-000003000000}" name="Area (km2)"/>
    <tableColumn id="4" xr3:uid="{00000000-0010-0000-0200-000004000000}" name="Cost to eradicate (AU)" dataDxfId="4"/>
    <tableColumn id="5" xr3:uid="{00000000-0010-0000-0200-000005000000}" name="Column1" dataDxfId="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C799E0-E195-D449-8689-D63BF5F64F3D}" name="Table4" displayName="Table4" ref="A1:L64" totalsRowShown="0" headerRowDxfId="2">
  <autoFilter ref="A1:L64" xr:uid="{00000000-0009-0000-0100-000004000000}">
    <filterColumn colId="11">
      <filters>
        <filter val="Y"/>
      </filters>
    </filterColumn>
  </autoFilter>
  <sortState xmlns:xlrd2="http://schemas.microsoft.com/office/spreadsheetml/2017/richdata2" ref="A2:L64">
    <sortCondition ref="C1:C64"/>
  </sortState>
  <tableColumns count="12">
    <tableColumn id="1" xr3:uid="{00000000-0010-0000-0000-000001000000}" name="Island Name"/>
    <tableColumn id="2" xr3:uid="{00000000-0010-0000-0000-000002000000}" name="Archipelago"/>
    <tableColumn id="3" xr3:uid="{00000000-0010-0000-0000-000003000000}" name="Jurisdiction"/>
    <tableColumn id="4" xr3:uid="{00000000-0010-0000-0000-000004000000}" name="Area (ha) "/>
    <tableColumn id="5" xr3:uid="{00000000-0010-0000-0000-000005000000}" name="Area (km2)" dataDxfId="1">
      <calculatedColumnFormula>Table4[[#This Row],[Area (ha) ]]/100</calculatedColumnFormula>
    </tableColumn>
    <tableColumn id="8" xr3:uid="{00000000-0010-0000-0000-000008000000}" name="Toads Presents"/>
    <tableColumn id="10" xr3:uid="{E2EE13EE-527B-E941-A9EF-630CB7EC69DD}" name="Water Present GMAPS"/>
    <tableColumn id="12" xr3:uid="{4AB86A46-9D8E-B141-AABB-5EB5F063BF13}" name="FW Shoreline (km)" dataDxfId="0">
      <calculatedColumnFormula>1.27+0.36+0.46+0.69</calculatedColumnFormula>
    </tableColumn>
    <tableColumn id="9" xr3:uid="{00000000-0010-0000-0000-000009000000}" name="Distance to Mainland (km)"/>
    <tableColumn id="6" xr3:uid="{00000000-0010-0000-0000-000006000000}" name="Priority List"/>
    <tableColumn id="7" xr3:uid="{00000000-0010-0000-0000-000007000000}" name="Comments"/>
    <tableColumn id="11" xr3:uid="{6551C5AE-A2A4-D343-A6BA-71013D980B0C}" name="Include in analysis "/>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53241E-53C5-B845-A52F-9229731EE3DA}" name="Table1" displayName="Table1" ref="A1:H41" totalsRowCount="1">
  <autoFilter ref="A1:H40" xr:uid="{00000000-0009-0000-0100-000001000000}"/>
  <tableColumns count="8">
    <tableColumn id="2" xr3:uid="{00000000-0010-0000-0400-000002000000}" name="ISLAND NAME"/>
    <tableColumn id="4" xr3:uid="{00000000-0010-0000-0400-000004000000}" name="ISLAND GROUP"/>
    <tableColumn id="5" xr3:uid="{00000000-0010-0000-0400-000005000000}" name="STATE"/>
    <tableColumn id="7" xr3:uid="{00000000-0010-0000-0400-000007000000}" name="COMMMON NAME"/>
    <tableColumn id="13" xr3:uid="{00000000-0010-0000-0400-00000D000000}" name="DIST FROM MAINLAND (km)"/>
    <tableColumn id="14" xr3:uid="{00000000-0010-0000-0400-00000E000000}" name="LONG"/>
    <tableColumn id="15" xr3:uid="{00000000-0010-0000-0400-00000F000000}" name="LAT" totalsRowLabel="SUM (HA)"/>
    <tableColumn id="16" xr3:uid="{00000000-0010-0000-0400-000010000000}" name="ISLAND AREA (ha)" totalsRowFunction="custom">
      <totalsRowFormula>SUM(Table1[ISLAND AREA (ha)])</totalsRow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712EBF4-79E6-AB45-975E-D8DA94AD2244}" name="Table2" displayName="Table2" ref="A1:H13" totalsRowCount="1">
  <autoFilter ref="A1:H12" xr:uid="{7E0611A3-F020-B445-BBF9-FEE230FE3D6C}"/>
  <tableColumns count="8">
    <tableColumn id="2" xr3:uid="{D83DA2C2-441B-2145-9A24-6FAD843301C7}" name="ISLAND NAME"/>
    <tableColumn id="4" xr3:uid="{6D150499-2C1E-A84A-80BA-03A57DFFFDC1}" name="ISLAND GROUP"/>
    <tableColumn id="5" xr3:uid="{2C1A7A7D-6BB1-644A-8675-151BC484FF06}" name="STATE"/>
    <tableColumn id="7" xr3:uid="{95A20BAA-E7B5-9645-9A4C-1B84DE2790BD}" name="COMMMON NAME"/>
    <tableColumn id="13" xr3:uid="{691147E0-FF8E-6647-8501-218026CD82CF}" name="DIST FROM MAINLAND (km)"/>
    <tableColumn id="14" xr3:uid="{448C1C46-94D5-FE43-867C-5A2A5BABB5BA}" name="LONG"/>
    <tableColumn id="15" xr3:uid="{B59F9A7E-679E-D748-AA6A-E8A99436186E}" name="LAT" totalsRowLabel="SUM (HA)"/>
    <tableColumn id="16" xr3:uid="{FA050A67-4CAC-A244-8B0E-00C516756566}" name="ISLAND AREA (ha)" totalsRowFunction="custom">
      <totalsRowFormula>SUM(Table2[ISLAND AREA (ha)])</totalsRow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environment.gov.au/system/files/resources/5325cdf1-b56f-43b3-8bef-052d740d93fd/files/offshore-islands.pdf" TargetMode="External"/><Relationship Id="rId1" Type="http://schemas.openxmlformats.org/officeDocument/2006/relationships/hyperlink" Target="http://www.environment.gov.au/biodiversity/invasive-species/feral-animals-australia/offshore-island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00453-029D-664C-94C8-5282845A14A7}">
  <dimension ref="A1:K3"/>
  <sheetViews>
    <sheetView workbookViewId="0">
      <selection activeCell="E5" sqref="E5"/>
    </sheetView>
  </sheetViews>
  <sheetFormatPr baseColWidth="10" defaultRowHeight="16" x14ac:dyDescent="0.2"/>
  <cols>
    <col min="9" max="9" width="10.83203125" customWidth="1"/>
  </cols>
  <sheetData>
    <row r="1" spans="1:11" ht="268" customHeight="1" x14ac:dyDescent="0.2">
      <c r="A1" s="25" t="s">
        <v>244</v>
      </c>
      <c r="B1" s="25"/>
      <c r="C1" s="25"/>
      <c r="D1" s="25"/>
      <c r="E1" s="25"/>
      <c r="F1" s="25"/>
      <c r="G1" s="25"/>
      <c r="H1" s="25"/>
      <c r="I1" s="25"/>
    </row>
    <row r="2" spans="1:11" x14ac:dyDescent="0.2">
      <c r="A2" s="11" t="s">
        <v>229</v>
      </c>
      <c r="B2" s="21" t="s">
        <v>230</v>
      </c>
      <c r="K2" s="26" t="s">
        <v>231</v>
      </c>
    </row>
    <row r="3" spans="1:11" x14ac:dyDescent="0.2">
      <c r="A3" s="11" t="s">
        <v>232</v>
      </c>
      <c r="B3" s="21" t="s">
        <v>233</v>
      </c>
      <c r="K3" s="26"/>
    </row>
  </sheetData>
  <mergeCells count="2">
    <mergeCell ref="A1:I1"/>
    <mergeCell ref="K2:K3"/>
  </mergeCells>
  <hyperlinks>
    <hyperlink ref="B3" r:id="rId1" xr:uid="{62E59114-BFCC-EE4A-A892-874CB821D11E}"/>
    <hyperlink ref="B2" r:id="rId2" xr:uid="{01345F9F-C73D-D54E-B6CE-44DEA53674E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F015A-205A-7F48-9D2E-4A2F72061433}">
  <dimension ref="A1:D10"/>
  <sheetViews>
    <sheetView tabSelected="1" topLeftCell="A2" workbookViewId="0">
      <selection activeCell="E24" sqref="A1:XFD1048576"/>
    </sheetView>
  </sheetViews>
  <sheetFormatPr baseColWidth="10" defaultRowHeight="16" x14ac:dyDescent="0.2"/>
  <sheetData>
    <row r="1" spans="1:4" x14ac:dyDescent="0.2">
      <c r="A1" t="s">
        <v>0</v>
      </c>
      <c r="B1" t="s">
        <v>5</v>
      </c>
      <c r="C1" t="s">
        <v>1</v>
      </c>
      <c r="D1" t="s">
        <v>9</v>
      </c>
    </row>
    <row r="2" spans="1:4" x14ac:dyDescent="0.2">
      <c r="A2" t="s">
        <v>2</v>
      </c>
      <c r="B2" t="s">
        <v>6</v>
      </c>
      <c r="C2" s="9">
        <f>Table53[[#This Row],[Cost per unit (AU)]]</f>
        <v>1</v>
      </c>
      <c r="D2" s="24">
        <v>1</v>
      </c>
    </row>
    <row r="3" spans="1:4" x14ac:dyDescent="0.2">
      <c r="A3" t="s">
        <v>2</v>
      </c>
      <c r="B3" t="s">
        <v>10</v>
      </c>
      <c r="C3" s="9">
        <f>Table53[[#This Row],[Cost per unit (AU)]]</f>
        <v>14</v>
      </c>
      <c r="D3" s="24">
        <v>1</v>
      </c>
    </row>
    <row r="4" spans="1:4" x14ac:dyDescent="0.2">
      <c r="A4" t="s">
        <v>2</v>
      </c>
      <c r="B4" t="s">
        <v>7</v>
      </c>
      <c r="C4" s="9">
        <f>Table53[[#This Row],[Cost per unit (AU)]]</f>
        <v>60</v>
      </c>
      <c r="D4" s="24">
        <v>1</v>
      </c>
    </row>
    <row r="5" spans="1:4" x14ac:dyDescent="0.2">
      <c r="A5" t="s">
        <v>2</v>
      </c>
      <c r="B5" t="s">
        <v>8</v>
      </c>
      <c r="C5" s="9">
        <v>150</v>
      </c>
      <c r="D5" s="9">
        <f>C5/75</f>
        <v>2</v>
      </c>
    </row>
    <row r="6" spans="1:4" x14ac:dyDescent="0.2">
      <c r="A6" t="s">
        <v>3</v>
      </c>
      <c r="B6" t="s">
        <v>11</v>
      </c>
      <c r="C6" s="9">
        <f>Table53[[#This Row],[Cost per unit (AU)]]</f>
        <v>85</v>
      </c>
      <c r="D6" s="24">
        <v>0</v>
      </c>
    </row>
    <row r="7" spans="1:4" x14ac:dyDescent="0.2">
      <c r="A7" t="s">
        <v>3</v>
      </c>
      <c r="B7" t="s">
        <v>12</v>
      </c>
      <c r="C7" s="9">
        <f>Table53[[#This Row],[Cost per unit (AU)]]</f>
        <v>85</v>
      </c>
      <c r="D7" s="24">
        <v>20</v>
      </c>
    </row>
    <row r="8" spans="1:4" x14ac:dyDescent="0.2">
      <c r="A8" t="s">
        <v>3</v>
      </c>
      <c r="B8" t="s">
        <v>13</v>
      </c>
      <c r="C8" s="9">
        <f>Table53[[#This Row],[Cost per unit (AU)]]</f>
        <v>85</v>
      </c>
      <c r="D8" s="24">
        <v>0</v>
      </c>
    </row>
    <row r="9" spans="1:4" x14ac:dyDescent="0.2">
      <c r="A9" t="s">
        <v>4</v>
      </c>
      <c r="B9" t="s">
        <v>14</v>
      </c>
      <c r="C9" s="9">
        <f>Table53[[#This Row],[Cost per unit (AU)]]</f>
        <v>111</v>
      </c>
      <c r="D9" s="24">
        <f>1/5*8</f>
        <v>1.6</v>
      </c>
    </row>
    <row r="10" spans="1:4" x14ac:dyDescent="0.2">
      <c r="A10" t="s">
        <v>4</v>
      </c>
      <c r="B10" t="s">
        <v>15</v>
      </c>
      <c r="C10" s="9">
        <f>Table53[[#This Row],[Cost per unit (AU)]]</f>
        <v>36</v>
      </c>
      <c r="D10" s="2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3C8CA-CDFB-E64E-A8A9-985B597B1541}">
  <dimension ref="A1:C10"/>
  <sheetViews>
    <sheetView workbookViewId="0">
      <selection activeCell="D21" sqref="D21"/>
    </sheetView>
  </sheetViews>
  <sheetFormatPr baseColWidth="10" defaultRowHeight="16" x14ac:dyDescent="0.2"/>
  <cols>
    <col min="1" max="1" width="13.83203125" customWidth="1"/>
  </cols>
  <sheetData>
    <row r="1" spans="1:3" x14ac:dyDescent="0.2">
      <c r="A1" t="s">
        <v>234</v>
      </c>
      <c r="B1" t="s">
        <v>242</v>
      </c>
      <c r="C1" t="s">
        <v>243</v>
      </c>
    </row>
    <row r="2" spans="1:3" x14ac:dyDescent="0.2">
      <c r="A2" s="19" t="s">
        <v>235</v>
      </c>
      <c r="B2" s="20">
        <v>0.93</v>
      </c>
      <c r="C2">
        <f>7633/1000</f>
        <v>7.633</v>
      </c>
    </row>
    <row r="3" spans="1:3" x14ac:dyDescent="0.2">
      <c r="A3" s="19" t="s">
        <v>241</v>
      </c>
      <c r="B3" s="20">
        <v>6.28</v>
      </c>
      <c r="C3">
        <f>1037/1000</f>
        <v>1.0369999999999999</v>
      </c>
    </row>
    <row r="4" spans="1:3" x14ac:dyDescent="0.2">
      <c r="A4" s="19" t="s">
        <v>236</v>
      </c>
      <c r="B4" s="22">
        <f>SUM(HCIIslands!E31:E34)</f>
        <v>1240.6300000000001</v>
      </c>
      <c r="C4">
        <f>SUM(HCIIslands!H31:H34)</f>
        <v>134.01178999999999</v>
      </c>
    </row>
    <row r="5" spans="1:3" x14ac:dyDescent="0.2">
      <c r="A5" s="19" t="s">
        <v>237</v>
      </c>
      <c r="B5" s="22">
        <f>SUM(HCIIslands!E3:E6)</f>
        <v>534.91</v>
      </c>
      <c r="C5">
        <f>SUM(HCIIslands!H3:H6)</f>
        <v>120.93</v>
      </c>
    </row>
    <row r="6" spans="1:3" x14ac:dyDescent="0.2">
      <c r="A6" s="19" t="s">
        <v>238</v>
      </c>
      <c r="B6" s="22">
        <f>SUM(HCIIslands!E7:E14)</f>
        <v>10420.83</v>
      </c>
      <c r="C6">
        <f>SUM(HCIIslands!H7:H14)</f>
        <v>1621.85</v>
      </c>
    </row>
    <row r="7" spans="1:3" x14ac:dyDescent="0.2">
      <c r="A7" s="19" t="s">
        <v>239</v>
      </c>
      <c r="B7" s="22">
        <f>SUM(HCIIslands!E15:E22)</f>
        <v>955.87000000000012</v>
      </c>
      <c r="C7">
        <f>SUM(HCIIslands!H15:H22)</f>
        <v>145.02000000000001</v>
      </c>
    </row>
    <row r="8" spans="1:3" x14ac:dyDescent="0.2">
      <c r="A8" s="19" t="s">
        <v>240</v>
      </c>
      <c r="B8" s="22">
        <f>SUM(HCIIslands!E23:E30)</f>
        <v>621.25</v>
      </c>
      <c r="C8">
        <f>SUM(HCIIslands!H23:H30)</f>
        <v>174.85000000000002</v>
      </c>
    </row>
    <row r="9" spans="1:3" x14ac:dyDescent="0.2">
      <c r="A9" s="19" t="s">
        <v>150</v>
      </c>
      <c r="B9" s="22">
        <f>SUM(HCIIslands!E2)</f>
        <v>17.940000000000001</v>
      </c>
      <c r="C9">
        <f>SUM(HCIIslands!H2)</f>
        <v>0.69000000000000006</v>
      </c>
    </row>
    <row r="10" spans="1:3" x14ac:dyDescent="0.2">
      <c r="A10" s="19" t="s">
        <v>280</v>
      </c>
      <c r="B10">
        <v>0</v>
      </c>
      <c r="C10">
        <f>155+3423</f>
        <v>3578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2980A-B949-1449-B981-F4E33228F0D0}">
  <dimension ref="A1:G29"/>
  <sheetViews>
    <sheetView workbookViewId="0">
      <selection activeCell="D29" sqref="A1:XFD1048576"/>
    </sheetView>
  </sheetViews>
  <sheetFormatPr baseColWidth="10" defaultRowHeight="16" x14ac:dyDescent="0.2"/>
  <cols>
    <col min="1" max="1" width="24.83203125" customWidth="1"/>
    <col min="2" max="2" width="27.5" customWidth="1"/>
    <col min="3" max="3" width="15.5" customWidth="1"/>
    <col min="4" max="4" width="21.5" customWidth="1"/>
    <col min="5" max="5" width="18.6640625" customWidth="1"/>
    <col min="6" max="6" width="17" customWidth="1"/>
    <col min="7" max="7" width="62.33203125" customWidth="1"/>
    <col min="12" max="12" width="20.33203125" customWidth="1"/>
    <col min="13" max="13" width="15.6640625" customWidth="1"/>
    <col min="14" max="14" width="13.83203125" customWidth="1"/>
  </cols>
  <sheetData>
    <row r="1" spans="1:7" s="1" customFormat="1" ht="29" customHeight="1" x14ac:dyDescent="0.2">
      <c r="A1" s="1" t="s">
        <v>16</v>
      </c>
      <c r="B1" s="2" t="s">
        <v>17</v>
      </c>
      <c r="C1" s="2" t="s">
        <v>18</v>
      </c>
      <c r="D1" s="2" t="s">
        <v>19</v>
      </c>
      <c r="E1" s="3" t="s">
        <v>20</v>
      </c>
      <c r="F1" s="2" t="s">
        <v>21</v>
      </c>
      <c r="G1" s="2" t="s">
        <v>22</v>
      </c>
    </row>
    <row r="2" spans="1:7" x14ac:dyDescent="0.2">
      <c r="A2" s="4" t="s">
        <v>23</v>
      </c>
      <c r="B2" s="5" t="s">
        <v>24</v>
      </c>
      <c r="C2" s="5" t="s">
        <v>25</v>
      </c>
      <c r="D2" s="5">
        <v>63</v>
      </c>
      <c r="E2" s="6">
        <v>1</v>
      </c>
      <c r="F2" s="6">
        <v>63</v>
      </c>
      <c r="G2" s="5" t="s">
        <v>26</v>
      </c>
    </row>
    <row r="3" spans="1:7" x14ac:dyDescent="0.2">
      <c r="A3" s="4" t="s">
        <v>23</v>
      </c>
      <c r="B3" s="5" t="s">
        <v>27</v>
      </c>
      <c r="C3" s="5" t="s">
        <v>28</v>
      </c>
      <c r="D3" s="5">
        <v>75</v>
      </c>
      <c r="E3" s="6">
        <v>14</v>
      </c>
      <c r="F3" s="6">
        <f t="shared" ref="F3:F10" si="0">D3*E3</f>
        <v>1050</v>
      </c>
      <c r="G3" s="5"/>
    </row>
    <row r="4" spans="1:7" x14ac:dyDescent="0.2">
      <c r="A4" s="4" t="s">
        <v>23</v>
      </c>
      <c r="B4" s="5" t="s">
        <v>29</v>
      </c>
      <c r="C4" s="5" t="s">
        <v>30</v>
      </c>
      <c r="D4" s="5">
        <v>75</v>
      </c>
      <c r="E4" s="6">
        <v>60</v>
      </c>
      <c r="F4" s="6">
        <f t="shared" si="0"/>
        <v>4500</v>
      </c>
      <c r="G4" s="5" t="s">
        <v>31</v>
      </c>
    </row>
    <row r="5" spans="1:7" x14ac:dyDescent="0.2">
      <c r="A5" s="4" t="s">
        <v>23</v>
      </c>
      <c r="B5" s="5" t="s">
        <v>32</v>
      </c>
      <c r="C5" s="5" t="s">
        <v>33</v>
      </c>
      <c r="D5" s="5">
        <v>1</v>
      </c>
      <c r="E5" s="6">
        <v>150</v>
      </c>
      <c r="F5" s="6">
        <f t="shared" si="0"/>
        <v>150</v>
      </c>
      <c r="G5" s="5" t="s">
        <v>34</v>
      </c>
    </row>
    <row r="6" spans="1:7" x14ac:dyDescent="0.2">
      <c r="A6" s="4" t="s">
        <v>35</v>
      </c>
      <c r="B6" s="5" t="s">
        <v>36</v>
      </c>
      <c r="C6" s="5" t="s">
        <v>37</v>
      </c>
      <c r="D6" s="5">
        <v>0</v>
      </c>
      <c r="E6" s="6">
        <v>85</v>
      </c>
      <c r="F6" s="6">
        <f t="shared" si="0"/>
        <v>0</v>
      </c>
      <c r="G6" s="5" t="s">
        <v>38</v>
      </c>
    </row>
    <row r="7" spans="1:7" x14ac:dyDescent="0.2">
      <c r="A7" s="4" t="s">
        <v>35</v>
      </c>
      <c r="B7" s="5" t="s">
        <v>39</v>
      </c>
      <c r="C7" s="5" t="s">
        <v>37</v>
      </c>
      <c r="D7" s="5">
        <f>10*2*75</f>
        <v>1500</v>
      </c>
      <c r="E7" s="6">
        <v>85</v>
      </c>
      <c r="F7" s="6">
        <f t="shared" si="0"/>
        <v>127500</v>
      </c>
      <c r="G7" s="5" t="s">
        <v>283</v>
      </c>
    </row>
    <row r="8" spans="1:7" x14ac:dyDescent="0.2">
      <c r="A8" s="4" t="s">
        <v>35</v>
      </c>
      <c r="B8" s="5" t="s">
        <v>40</v>
      </c>
      <c r="C8" s="5" t="s">
        <v>37</v>
      </c>
      <c r="D8" s="5">
        <v>0</v>
      </c>
      <c r="E8" s="6">
        <v>85</v>
      </c>
      <c r="F8" s="6">
        <f t="shared" si="0"/>
        <v>0</v>
      </c>
      <c r="G8" s="5" t="s">
        <v>41</v>
      </c>
    </row>
    <row r="9" spans="1:7" x14ac:dyDescent="0.2">
      <c r="A9" s="4" t="s">
        <v>42</v>
      </c>
      <c r="B9" s="5" t="s">
        <v>43</v>
      </c>
      <c r="C9" s="5" t="s">
        <v>37</v>
      </c>
      <c r="D9" s="5">
        <f>8 *(75/5)</f>
        <v>120</v>
      </c>
      <c r="E9" s="6">
        <v>111</v>
      </c>
      <c r="F9" s="6">
        <f t="shared" si="0"/>
        <v>13320</v>
      </c>
      <c r="G9" s="5" t="s">
        <v>282</v>
      </c>
    </row>
    <row r="10" spans="1:7" x14ac:dyDescent="0.2">
      <c r="A10" s="4" t="s">
        <v>42</v>
      </c>
      <c r="B10" s="5" t="s">
        <v>44</v>
      </c>
      <c r="C10" s="5" t="s">
        <v>37</v>
      </c>
      <c r="D10" s="5">
        <v>75</v>
      </c>
      <c r="E10" s="6">
        <v>36</v>
      </c>
      <c r="F10" s="6">
        <f t="shared" si="0"/>
        <v>2700</v>
      </c>
      <c r="G10" s="5" t="s">
        <v>281</v>
      </c>
    </row>
    <row r="11" spans="1:7" x14ac:dyDescent="0.2">
      <c r="A11" s="7" t="s">
        <v>45</v>
      </c>
      <c r="B11" s="5"/>
      <c r="C11" s="5"/>
      <c r="D11" s="5"/>
      <c r="E11" s="6"/>
      <c r="F11" s="8">
        <f>SUM(F2:F10)</f>
        <v>149283</v>
      </c>
      <c r="G11" s="5"/>
    </row>
    <row r="12" spans="1:7" x14ac:dyDescent="0.2">
      <c r="A12" s="7" t="s">
        <v>46</v>
      </c>
      <c r="B12" s="5"/>
      <c r="C12" s="5"/>
      <c r="D12" s="5"/>
      <c r="E12" s="6"/>
      <c r="F12" s="8">
        <f>1/0.7769*F11</f>
        <v>192152.14313296432</v>
      </c>
      <c r="G12" s="5"/>
    </row>
    <row r="14" spans="1:7" ht="29" customHeight="1" x14ac:dyDescent="0.2">
      <c r="A14" s="14" t="s">
        <v>61</v>
      </c>
      <c r="B14" s="14" t="s">
        <v>60</v>
      </c>
      <c r="C14" s="14" t="s">
        <v>59</v>
      </c>
      <c r="D14" s="14" t="s">
        <v>58</v>
      </c>
      <c r="E14" s="14" t="s">
        <v>57</v>
      </c>
    </row>
    <row r="15" spans="1:7" x14ac:dyDescent="0.2">
      <c r="A15" t="s">
        <v>56</v>
      </c>
      <c r="B15">
        <v>1</v>
      </c>
      <c r="C15">
        <v>0.77690000000000003</v>
      </c>
      <c r="D15" s="12">
        <f>C15*F12</f>
        <v>149283</v>
      </c>
    </row>
    <row r="16" spans="1:7" x14ac:dyDescent="0.2">
      <c r="A16" t="s">
        <v>55</v>
      </c>
      <c r="B16">
        <v>20</v>
      </c>
      <c r="C16">
        <f>114212/100</f>
        <v>1142.1199999999999</v>
      </c>
      <c r="D16" s="12">
        <f>C16*F12</f>
        <v>219460805.71502119</v>
      </c>
      <c r="E16" s="13">
        <f>SUM(D16,D18,D20,D21)</f>
        <v>2683045354.3441882</v>
      </c>
      <c r="F16" s="13">
        <f>SUM(D17,D19)</f>
        <v>809294867.31883121</v>
      </c>
    </row>
    <row r="17" spans="1:7" x14ac:dyDescent="0.2">
      <c r="A17" t="s">
        <v>54</v>
      </c>
      <c r="B17">
        <v>8</v>
      </c>
      <c r="C17">
        <f>123205/100</f>
        <v>1232.05</v>
      </c>
      <c r="D17" s="12">
        <f>C17*F12</f>
        <v>236741047.94696867</v>
      </c>
    </row>
    <row r="18" spans="1:7" x14ac:dyDescent="0.2">
      <c r="A18" t="s">
        <v>53</v>
      </c>
      <c r="B18">
        <v>10</v>
      </c>
      <c r="C18">
        <f>1052949/100</f>
        <v>10529.49</v>
      </c>
      <c r="D18" s="12">
        <f>C18*F12</f>
        <v>2023264069.5971165</v>
      </c>
    </row>
    <row r="19" spans="1:7" x14ac:dyDescent="0.2">
      <c r="A19" t="s">
        <v>52</v>
      </c>
      <c r="B19">
        <v>13</v>
      </c>
      <c r="C19">
        <f>297969/100</f>
        <v>2979.69</v>
      </c>
      <c r="D19" s="12">
        <f>C19*F12</f>
        <v>572553819.37186253</v>
      </c>
    </row>
    <row r="20" spans="1:7" x14ac:dyDescent="0.2">
      <c r="A20" t="s">
        <v>51</v>
      </c>
      <c r="B20">
        <v>12</v>
      </c>
      <c r="C20">
        <f>227358/100</f>
        <v>2273.58</v>
      </c>
      <c r="D20" s="12">
        <f>C20*F12</f>
        <v>436873269.58424503</v>
      </c>
      <c r="F20" t="s">
        <v>50</v>
      </c>
    </row>
    <row r="21" spans="1:7" x14ac:dyDescent="0.2">
      <c r="A21" t="s">
        <v>49</v>
      </c>
      <c r="B21">
        <v>1</v>
      </c>
      <c r="C21">
        <f>1794/100</f>
        <v>17.940000000000001</v>
      </c>
      <c r="D21" s="12">
        <f>Table6[[#This Row],[Area (km2)]]*F12</f>
        <v>3447209.44780538</v>
      </c>
    </row>
    <row r="22" spans="1:7" x14ac:dyDescent="0.2">
      <c r="A22" s="11" t="s">
        <v>48</v>
      </c>
      <c r="B22" s="11">
        <f>SUM(B20,B18,B16)</f>
        <v>42</v>
      </c>
      <c r="C22" s="10">
        <f>SUM(C15:C21)</f>
        <v>18175.6469</v>
      </c>
      <c r="D22" s="10">
        <f>SUM(D15:D21)</f>
        <v>3492489504.6630192</v>
      </c>
    </row>
    <row r="23" spans="1:7" x14ac:dyDescent="0.2">
      <c r="D23" s="9"/>
    </row>
    <row r="24" spans="1:7" x14ac:dyDescent="0.2">
      <c r="A24" t="s">
        <v>47</v>
      </c>
    </row>
    <row r="29" spans="1:7" x14ac:dyDescent="0.2">
      <c r="G29" s="9">
        <f>F12*268000</f>
        <v>51496774359.634438</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38CAB-ED1E-FE4F-9094-E6FE86C965DD}">
  <dimension ref="A1:M64"/>
  <sheetViews>
    <sheetView zoomScale="125" zoomScaleNormal="125" workbookViewId="0">
      <selection activeCell="H2" sqref="H2"/>
    </sheetView>
  </sheetViews>
  <sheetFormatPr baseColWidth="10" defaultRowHeight="16" x14ac:dyDescent="0.2"/>
  <cols>
    <col min="1" max="1" width="13.83203125" customWidth="1"/>
    <col min="2" max="2" width="13.33203125" customWidth="1"/>
    <col min="3" max="3" width="12.83203125" customWidth="1"/>
    <col min="4" max="4" width="11.5" customWidth="1"/>
    <col min="5" max="5" width="12.5" style="15" customWidth="1"/>
    <col min="6" max="9" width="14.1640625" customWidth="1"/>
    <col min="10" max="10" width="12.83203125" customWidth="1"/>
    <col min="11" max="11" width="14.83203125" customWidth="1"/>
  </cols>
  <sheetData>
    <row r="1" spans="1:12" ht="39" customHeight="1" x14ac:dyDescent="0.2">
      <c r="A1" s="17" t="s">
        <v>158</v>
      </c>
      <c r="B1" s="17" t="s">
        <v>157</v>
      </c>
      <c r="C1" s="17" t="s">
        <v>156</v>
      </c>
      <c r="D1" s="17" t="s">
        <v>155</v>
      </c>
      <c r="E1" s="18" t="s">
        <v>59</v>
      </c>
      <c r="F1" s="17" t="s">
        <v>154</v>
      </c>
      <c r="G1" s="17" t="s">
        <v>246</v>
      </c>
      <c r="H1" s="17" t="s">
        <v>278</v>
      </c>
      <c r="I1" s="17" t="s">
        <v>153</v>
      </c>
      <c r="J1" s="17" t="s">
        <v>152</v>
      </c>
      <c r="K1" s="17" t="s">
        <v>22</v>
      </c>
      <c r="L1" s="17" t="s">
        <v>277</v>
      </c>
    </row>
    <row r="2" spans="1:12" x14ac:dyDescent="0.2">
      <c r="A2" t="s">
        <v>151</v>
      </c>
      <c r="C2" t="s">
        <v>150</v>
      </c>
      <c r="D2">
        <v>1794</v>
      </c>
      <c r="E2" s="15">
        <f>Table4[[#This Row],[Area (ha) ]]/100</f>
        <v>17.940000000000001</v>
      </c>
      <c r="F2" t="s">
        <v>64</v>
      </c>
      <c r="G2" t="s">
        <v>88</v>
      </c>
      <c r="H2">
        <f>0.14+0.14+0.3+0.11</f>
        <v>0.69000000000000006</v>
      </c>
      <c r="I2">
        <v>570</v>
      </c>
      <c r="J2" t="s">
        <v>63</v>
      </c>
      <c r="K2" t="s">
        <v>257</v>
      </c>
      <c r="L2" t="s">
        <v>88</v>
      </c>
    </row>
    <row r="3" spans="1:12" x14ac:dyDescent="0.2">
      <c r="A3" t="s">
        <v>124</v>
      </c>
      <c r="B3" t="s">
        <v>123</v>
      </c>
      <c r="C3" t="s">
        <v>122</v>
      </c>
      <c r="D3">
        <v>5578</v>
      </c>
      <c r="E3" s="15">
        <f>Table4[[#This Row],[Area (ha) ]]/100</f>
        <v>55.78</v>
      </c>
      <c r="F3" t="s">
        <v>88</v>
      </c>
      <c r="G3" t="s">
        <v>88</v>
      </c>
      <c r="H3">
        <f>2.49+0.28</f>
        <v>2.7700000000000005</v>
      </c>
      <c r="I3">
        <v>28</v>
      </c>
      <c r="J3" t="s">
        <v>63</v>
      </c>
      <c r="L3" t="s">
        <v>88</v>
      </c>
    </row>
    <row r="4" spans="1:12" x14ac:dyDescent="0.2">
      <c r="A4" t="s">
        <v>125</v>
      </c>
      <c r="B4" t="s">
        <v>123</v>
      </c>
      <c r="C4" t="s">
        <v>122</v>
      </c>
      <c r="D4">
        <v>8498</v>
      </c>
      <c r="E4" s="15">
        <f>Table4[[#This Row],[Area (ha) ]]/100</f>
        <v>84.98</v>
      </c>
      <c r="F4" t="s">
        <v>88</v>
      </c>
      <c r="G4" t="s">
        <v>88</v>
      </c>
      <c r="H4">
        <f>3.6+1.99+2.14+2.89+1.1+1.01+4.29+3.21</f>
        <v>20.23</v>
      </c>
      <c r="I4">
        <v>7.8</v>
      </c>
      <c r="J4" t="s">
        <v>68</v>
      </c>
      <c r="L4" t="s">
        <v>88</v>
      </c>
    </row>
    <row r="5" spans="1:12" x14ac:dyDescent="0.2">
      <c r="A5" t="s">
        <v>126</v>
      </c>
      <c r="B5" t="s">
        <v>123</v>
      </c>
      <c r="C5" t="s">
        <v>122</v>
      </c>
      <c r="D5">
        <v>26432</v>
      </c>
      <c r="E5" s="15">
        <f>Table4[[#This Row],[Area (ha) ]]/100</f>
        <v>264.32</v>
      </c>
      <c r="F5" t="s">
        <v>88</v>
      </c>
      <c r="G5" t="s">
        <v>88</v>
      </c>
      <c r="H5">
        <f>40+10.37+2.78+2.85+1.63+1.34+2.02+6.76</f>
        <v>67.750000000000014</v>
      </c>
      <c r="I5">
        <v>7</v>
      </c>
      <c r="J5" t="s">
        <v>63</v>
      </c>
      <c r="L5" t="s">
        <v>88</v>
      </c>
    </row>
    <row r="6" spans="1:12" x14ac:dyDescent="0.2">
      <c r="A6" t="s">
        <v>127</v>
      </c>
      <c r="B6" t="s">
        <v>123</v>
      </c>
      <c r="C6" t="s">
        <v>122</v>
      </c>
      <c r="D6">
        <v>12983</v>
      </c>
      <c r="E6" s="15">
        <f>Table4[[#This Row],[Area (ha) ]]/100</f>
        <v>129.83000000000001</v>
      </c>
      <c r="F6" t="s">
        <v>88</v>
      </c>
      <c r="G6" t="s">
        <v>88</v>
      </c>
      <c r="H6">
        <f>0.68+2.33+0.31+0.32+0.32+0.56+0.8+0.49+0.39+5.77+2.84+10.42+2.52+2.43</f>
        <v>30.179999999999996</v>
      </c>
      <c r="I6">
        <v>4</v>
      </c>
      <c r="J6" t="s">
        <v>68</v>
      </c>
      <c r="L6" t="s">
        <v>88</v>
      </c>
    </row>
    <row r="7" spans="1:12" x14ac:dyDescent="0.2">
      <c r="A7" t="s">
        <v>135</v>
      </c>
      <c r="B7" t="s">
        <v>134</v>
      </c>
      <c r="C7" t="s">
        <v>122</v>
      </c>
      <c r="D7">
        <v>169318</v>
      </c>
      <c r="E7" s="15">
        <f>Table4[[#This Row],[Area (ha) ]]/100</f>
        <v>1693.18</v>
      </c>
      <c r="F7" t="s">
        <v>64</v>
      </c>
      <c r="G7" t="s">
        <v>88</v>
      </c>
      <c r="H7">
        <v>136.54</v>
      </c>
      <c r="I7">
        <v>61</v>
      </c>
      <c r="J7" t="s">
        <v>63</v>
      </c>
      <c r="K7" t="s">
        <v>255</v>
      </c>
      <c r="L7" t="s">
        <v>88</v>
      </c>
    </row>
    <row r="8" spans="1:12" x14ac:dyDescent="0.2">
      <c r="A8" t="s">
        <v>137</v>
      </c>
      <c r="B8" t="s">
        <v>136</v>
      </c>
      <c r="C8" t="s">
        <v>122</v>
      </c>
      <c r="D8">
        <v>228518</v>
      </c>
      <c r="E8" s="15">
        <f>Table4[[#This Row],[Area (ha) ]]/100</f>
        <v>2285.1799999999998</v>
      </c>
      <c r="F8" t="s">
        <v>64</v>
      </c>
      <c r="G8" t="s">
        <v>88</v>
      </c>
      <c r="H8">
        <f>2.18+4.5+2.02+1.92+3.77+2.75+2.36+1.74+0.58+0.52+0.69+0.89+0.83+1.58+4.65+2.55+2.16+8.89+4.66+6.78+2.67+7.68+1+0.52+1.82+2.34+0.7+1.93+19.77+26+1.49+0.8+3.32+0.63+1.77+1.49+16.72+3.79+2.24+3.22+0.44+2.15+6.83+0.28+0.18+1.73+1.72+2.1+1+1+6.36+2.97+1.31+0.08+1.43+2.68+1.03+7.2+6.74</f>
        <v>203.15000000000003</v>
      </c>
      <c r="I8">
        <v>45</v>
      </c>
      <c r="J8" t="s">
        <v>63</v>
      </c>
      <c r="K8" t="s">
        <v>267</v>
      </c>
      <c r="L8" t="s">
        <v>88</v>
      </c>
    </row>
    <row r="9" spans="1:12" x14ac:dyDescent="0.2">
      <c r="A9" t="s">
        <v>139</v>
      </c>
      <c r="B9" t="s">
        <v>138</v>
      </c>
      <c r="C9" t="s">
        <v>122</v>
      </c>
      <c r="D9">
        <v>9364</v>
      </c>
      <c r="E9" s="15">
        <f>Table4[[#This Row],[Area (ha) ]]/100</f>
        <v>93.64</v>
      </c>
      <c r="F9" t="s">
        <v>64</v>
      </c>
      <c r="G9" t="s">
        <v>88</v>
      </c>
      <c r="H9">
        <f>0.81+0.46+0.27+0.27+0.56+0.75+0.26+0.06+0.29+2.12+0.43+4.27</f>
        <v>10.549999999999999</v>
      </c>
      <c r="I9">
        <v>36</v>
      </c>
      <c r="J9" t="s">
        <v>63</v>
      </c>
      <c r="K9" t="s">
        <v>254</v>
      </c>
      <c r="L9" t="s">
        <v>88</v>
      </c>
    </row>
    <row r="10" spans="1:12" x14ac:dyDescent="0.2">
      <c r="A10" t="s">
        <v>140</v>
      </c>
      <c r="B10" t="s">
        <v>134</v>
      </c>
      <c r="C10" t="s">
        <v>122</v>
      </c>
      <c r="D10">
        <v>578577</v>
      </c>
      <c r="E10" s="15">
        <f>Table4[[#This Row],[Area (ha) ]]/100</f>
        <v>5785.77</v>
      </c>
      <c r="F10" t="s">
        <v>64</v>
      </c>
      <c r="G10" t="s">
        <v>88</v>
      </c>
      <c r="H10">
        <v>1054.4000000000001</v>
      </c>
      <c r="I10">
        <v>24</v>
      </c>
      <c r="J10" t="s">
        <v>63</v>
      </c>
      <c r="K10" t="s">
        <v>273</v>
      </c>
      <c r="L10" t="s">
        <v>88</v>
      </c>
    </row>
    <row r="11" spans="1:12" x14ac:dyDescent="0.2">
      <c r="A11" t="s">
        <v>141</v>
      </c>
      <c r="B11" t="s">
        <v>138</v>
      </c>
      <c r="C11" t="s">
        <v>122</v>
      </c>
      <c r="D11">
        <v>20860</v>
      </c>
      <c r="E11" s="15">
        <f>Table4[[#This Row],[Area (ha) ]]/100</f>
        <v>208.6</v>
      </c>
      <c r="F11" t="s">
        <v>64</v>
      </c>
      <c r="G11" t="s">
        <v>88</v>
      </c>
      <c r="H11">
        <f>58.85</f>
        <v>58.85</v>
      </c>
      <c r="I11">
        <v>21</v>
      </c>
      <c r="J11" t="s">
        <v>68</v>
      </c>
      <c r="K11" t="s">
        <v>272</v>
      </c>
      <c r="L11" t="s">
        <v>88</v>
      </c>
    </row>
    <row r="12" spans="1:12" x14ac:dyDescent="0.2">
      <c r="A12" t="s">
        <v>143</v>
      </c>
      <c r="B12" t="s">
        <v>142</v>
      </c>
      <c r="C12" t="s">
        <v>122</v>
      </c>
      <c r="D12">
        <v>538</v>
      </c>
      <c r="E12" s="15">
        <f>Table4[[#This Row],[Area (ha) ]]/100</f>
        <v>5.38</v>
      </c>
      <c r="F12" t="s">
        <v>64</v>
      </c>
      <c r="G12" t="s">
        <v>88</v>
      </c>
      <c r="H12">
        <f>1.27+0.36+0.46+0.69</f>
        <v>2.78</v>
      </c>
      <c r="I12">
        <v>3.4</v>
      </c>
      <c r="J12" t="s">
        <v>68</v>
      </c>
      <c r="K12" t="s">
        <v>274</v>
      </c>
      <c r="L12" t="s">
        <v>88</v>
      </c>
    </row>
    <row r="13" spans="1:12" x14ac:dyDescent="0.2">
      <c r="A13" t="s">
        <v>145</v>
      </c>
      <c r="B13" t="s">
        <v>144</v>
      </c>
      <c r="C13" t="s">
        <v>122</v>
      </c>
      <c r="D13">
        <v>32410</v>
      </c>
      <c r="E13" s="15">
        <f>Table4[[#This Row],[Area (ha) ]]/100</f>
        <v>324.10000000000002</v>
      </c>
      <c r="F13" t="s">
        <v>64</v>
      </c>
      <c r="G13" t="s">
        <v>88</v>
      </c>
      <c r="H13">
        <f>2.91+1.11+1.32+1.84+1.11+6.87+1.33+2.04+2.97+2.05+8.9+14.27+55.59+6.35+6.84+5.44+21.68+1.16+0.82+7.62</f>
        <v>152.22</v>
      </c>
      <c r="I13">
        <v>3</v>
      </c>
      <c r="J13" t="s">
        <v>63</v>
      </c>
      <c r="K13" t="s">
        <v>260</v>
      </c>
      <c r="L13" t="s">
        <v>88</v>
      </c>
    </row>
    <row r="14" spans="1:12" x14ac:dyDescent="0.2">
      <c r="A14" t="s">
        <v>146</v>
      </c>
      <c r="B14" t="s">
        <v>130</v>
      </c>
      <c r="C14" t="s">
        <v>122</v>
      </c>
      <c r="D14">
        <v>2498</v>
      </c>
      <c r="E14" s="15">
        <f>Table4[[#This Row],[Area (ha) ]]/100</f>
        <v>24.98</v>
      </c>
      <c r="F14" t="s">
        <v>64</v>
      </c>
      <c r="G14" t="s">
        <v>88</v>
      </c>
      <c r="H14">
        <f>1.68+1.68</f>
        <v>3.36</v>
      </c>
      <c r="I14">
        <v>2.7</v>
      </c>
      <c r="J14" t="s">
        <v>63</v>
      </c>
      <c r="K14" t="s">
        <v>254</v>
      </c>
      <c r="L14" t="s">
        <v>88</v>
      </c>
    </row>
    <row r="15" spans="1:12" hidden="1" x14ac:dyDescent="0.2">
      <c r="A15" t="s">
        <v>129</v>
      </c>
      <c r="B15" t="s">
        <v>128</v>
      </c>
      <c r="C15" t="s">
        <v>122</v>
      </c>
      <c r="D15">
        <v>28243</v>
      </c>
      <c r="E15" s="15">
        <f>Table4[[#This Row],[Area (ha) ]]/100</f>
        <v>282.43</v>
      </c>
      <c r="F15" t="s">
        <v>88</v>
      </c>
      <c r="G15" t="s">
        <v>88</v>
      </c>
      <c r="H15">
        <f>3.37+1.08+0.41+1.09+6.89+5.67+8.35+6.72+4.13+0.46</f>
        <v>38.17</v>
      </c>
      <c r="I15">
        <v>0.8</v>
      </c>
      <c r="J15" t="s">
        <v>63</v>
      </c>
      <c r="K15" t="s">
        <v>257</v>
      </c>
      <c r="L15" t="s">
        <v>64</v>
      </c>
    </row>
    <row r="16" spans="1:12" hidden="1" x14ac:dyDescent="0.2">
      <c r="A16" t="s">
        <v>149</v>
      </c>
      <c r="C16" t="s">
        <v>122</v>
      </c>
      <c r="D16">
        <v>2702</v>
      </c>
      <c r="E16" s="15">
        <f>Table4[[#This Row],[Area (ha) ]]/100</f>
        <v>27.02</v>
      </c>
      <c r="F16" t="s">
        <v>88</v>
      </c>
      <c r="G16" t="s">
        <v>88</v>
      </c>
      <c r="H16">
        <v>1</v>
      </c>
      <c r="I16">
        <v>0.4</v>
      </c>
      <c r="J16" t="s">
        <v>68</v>
      </c>
      <c r="K16" t="s">
        <v>62</v>
      </c>
      <c r="L16" t="s">
        <v>64</v>
      </c>
    </row>
    <row r="17" spans="1:13" hidden="1" x14ac:dyDescent="0.2">
      <c r="A17" t="s">
        <v>132</v>
      </c>
      <c r="C17" t="s">
        <v>122</v>
      </c>
      <c r="D17">
        <v>27324</v>
      </c>
      <c r="E17" s="15">
        <f>Table4[[#This Row],[Area (ha) ]]/100</f>
        <v>273.24</v>
      </c>
      <c r="F17" t="s">
        <v>88</v>
      </c>
      <c r="G17" t="s">
        <v>88</v>
      </c>
      <c r="H17">
        <f>2.91+10.45+3.94+2.89+0.98+9.49+13.67+3.21+1.71+2.79+2.57</f>
        <v>54.610000000000007</v>
      </c>
      <c r="I17">
        <v>0.1</v>
      </c>
      <c r="J17" t="s">
        <v>68</v>
      </c>
      <c r="L17" t="s">
        <v>64</v>
      </c>
    </row>
    <row r="18" spans="1:13" hidden="1" x14ac:dyDescent="0.2">
      <c r="A18" t="s">
        <v>131</v>
      </c>
      <c r="B18" t="s">
        <v>130</v>
      </c>
      <c r="C18" t="s">
        <v>122</v>
      </c>
      <c r="D18">
        <v>4949</v>
      </c>
      <c r="E18" s="15">
        <f>Table4[[#This Row],[Area (ha) ]]/100</f>
        <v>49.49</v>
      </c>
      <c r="F18" t="s">
        <v>88</v>
      </c>
      <c r="G18" t="s">
        <v>88</v>
      </c>
      <c r="H18" s="23">
        <f>0.93+0.31</f>
        <v>1.24</v>
      </c>
      <c r="I18">
        <v>0.1</v>
      </c>
      <c r="J18" t="s">
        <v>68</v>
      </c>
      <c r="K18" t="s">
        <v>255</v>
      </c>
      <c r="L18" t="s">
        <v>64</v>
      </c>
    </row>
    <row r="19" spans="1:13" hidden="1" x14ac:dyDescent="0.2">
      <c r="A19" t="s">
        <v>133</v>
      </c>
      <c r="B19" t="s">
        <v>123</v>
      </c>
      <c r="C19" t="s">
        <v>122</v>
      </c>
      <c r="D19">
        <v>9198</v>
      </c>
      <c r="E19" s="15">
        <f>Table4[[#This Row],[Area (ha) ]]/100</f>
        <v>91.98</v>
      </c>
      <c r="F19" t="s">
        <v>88</v>
      </c>
      <c r="G19" t="s">
        <v>88</v>
      </c>
      <c r="H19">
        <f>6.11+4.4+3.95+3.54+2.74</f>
        <v>20.740000000000002</v>
      </c>
      <c r="I19">
        <v>0.02</v>
      </c>
      <c r="J19" t="s">
        <v>68</v>
      </c>
      <c r="L19" t="s">
        <v>64</v>
      </c>
    </row>
    <row r="20" spans="1:13" hidden="1" x14ac:dyDescent="0.2">
      <c r="A20" t="s">
        <v>148</v>
      </c>
      <c r="B20" t="s">
        <v>147</v>
      </c>
      <c r="C20" t="s">
        <v>122</v>
      </c>
      <c r="D20">
        <v>8164</v>
      </c>
      <c r="E20" s="15">
        <f>Table4[[#This Row],[Area (ha) ]]/100</f>
        <v>81.64</v>
      </c>
      <c r="F20" t="s">
        <v>64</v>
      </c>
      <c r="G20" t="s">
        <v>88</v>
      </c>
      <c r="H20">
        <f>1+3+6+9.8</f>
        <v>19.8</v>
      </c>
      <c r="I20">
        <v>1.5</v>
      </c>
      <c r="J20" t="s">
        <v>63</v>
      </c>
      <c r="K20" t="s">
        <v>270</v>
      </c>
      <c r="L20" t="s">
        <v>64</v>
      </c>
    </row>
    <row r="21" spans="1:13" x14ac:dyDescent="0.2">
      <c r="A21" t="s">
        <v>91</v>
      </c>
      <c r="B21" t="s">
        <v>90</v>
      </c>
      <c r="C21" t="s">
        <v>89</v>
      </c>
      <c r="D21">
        <v>1132</v>
      </c>
      <c r="E21" s="15">
        <f>Table4[[#This Row],[Area (ha) ]]/100</f>
        <v>11.32</v>
      </c>
      <c r="F21" t="s">
        <v>88</v>
      </c>
      <c r="G21" t="s">
        <v>88</v>
      </c>
      <c r="H21">
        <v>4.3499999999999996</v>
      </c>
      <c r="I21">
        <v>30</v>
      </c>
      <c r="J21" t="s">
        <v>68</v>
      </c>
      <c r="L21" t="s">
        <v>88</v>
      </c>
    </row>
    <row r="22" spans="1:13" x14ac:dyDescent="0.2">
      <c r="A22" t="s">
        <v>92</v>
      </c>
      <c r="B22" t="s">
        <v>90</v>
      </c>
      <c r="C22" t="s">
        <v>89</v>
      </c>
      <c r="D22">
        <v>13875</v>
      </c>
      <c r="E22" s="15">
        <f>Table4[[#This Row],[Area (ha) ]]/100</f>
        <v>138.75</v>
      </c>
      <c r="F22" t="s">
        <v>88</v>
      </c>
      <c r="G22" t="s">
        <v>88</v>
      </c>
      <c r="H22">
        <f>1.48+0.22+3.41</f>
        <v>5.1100000000000003</v>
      </c>
      <c r="I22">
        <v>25</v>
      </c>
      <c r="J22" t="s">
        <v>68</v>
      </c>
      <c r="K22" t="s">
        <v>257</v>
      </c>
      <c r="L22" t="s">
        <v>88</v>
      </c>
    </row>
    <row r="23" spans="1:13" x14ac:dyDescent="0.2">
      <c r="A23" t="s">
        <v>94</v>
      </c>
      <c r="B23" t="s">
        <v>93</v>
      </c>
      <c r="C23" t="s">
        <v>89</v>
      </c>
      <c r="D23">
        <v>17149</v>
      </c>
      <c r="E23" s="15">
        <f>Table4[[#This Row],[Area (ha) ]]/100</f>
        <v>171.49</v>
      </c>
      <c r="F23" t="s">
        <v>88</v>
      </c>
      <c r="G23" t="s">
        <v>88</v>
      </c>
      <c r="H23">
        <f>7.78+0.61+28.49+0.92+1.08+0.78+1+1.04+0.7+7.7+4.2</f>
        <v>54.300000000000004</v>
      </c>
      <c r="I23">
        <v>20</v>
      </c>
      <c r="J23" t="s">
        <v>63</v>
      </c>
      <c r="L23" t="s">
        <v>88</v>
      </c>
    </row>
    <row r="24" spans="1:13" x14ac:dyDescent="0.2">
      <c r="A24" t="s">
        <v>96</v>
      </c>
      <c r="B24" t="s">
        <v>95</v>
      </c>
      <c r="C24" t="s">
        <v>89</v>
      </c>
      <c r="D24">
        <v>795</v>
      </c>
      <c r="E24" s="15">
        <f>Table4[[#This Row],[Area (ha) ]]/100</f>
        <v>7.95</v>
      </c>
      <c r="F24" t="s">
        <v>88</v>
      </c>
      <c r="G24" t="s">
        <v>88</v>
      </c>
      <c r="H24">
        <v>1</v>
      </c>
      <c r="I24">
        <v>15</v>
      </c>
      <c r="J24" t="s">
        <v>68</v>
      </c>
      <c r="L24" t="s">
        <v>88</v>
      </c>
    </row>
    <row r="25" spans="1:13" x14ac:dyDescent="0.2">
      <c r="A25" t="s">
        <v>97</v>
      </c>
      <c r="C25" t="s">
        <v>89</v>
      </c>
      <c r="D25">
        <v>5067</v>
      </c>
      <c r="E25" s="15">
        <f>Table4[[#This Row],[Area (ha) ]]/100</f>
        <v>50.67</v>
      </c>
      <c r="F25" t="s">
        <v>88</v>
      </c>
      <c r="G25" t="s">
        <v>88</v>
      </c>
      <c r="H25" s="23">
        <f>0.36+0.13+1.39+0.43</f>
        <v>2.31</v>
      </c>
      <c r="I25">
        <v>6.3</v>
      </c>
      <c r="J25" t="s">
        <v>68</v>
      </c>
      <c r="L25" t="s">
        <v>88</v>
      </c>
    </row>
    <row r="26" spans="1:13" x14ac:dyDescent="0.2">
      <c r="A26" t="s">
        <v>100</v>
      </c>
      <c r="B26" t="s">
        <v>99</v>
      </c>
      <c r="C26" t="s">
        <v>89</v>
      </c>
      <c r="D26">
        <v>721</v>
      </c>
      <c r="E26" s="15">
        <f>Table4[[#This Row],[Area (ha) ]]/100</f>
        <v>7.21</v>
      </c>
      <c r="F26" t="s">
        <v>88</v>
      </c>
      <c r="G26" t="s">
        <v>88</v>
      </c>
      <c r="H26">
        <f>0.34+0.55</f>
        <v>0.89000000000000012</v>
      </c>
      <c r="I26">
        <v>4</v>
      </c>
      <c r="J26" t="s">
        <v>63</v>
      </c>
      <c r="K26" t="s">
        <v>98</v>
      </c>
      <c r="L26" t="s">
        <v>88</v>
      </c>
    </row>
    <row r="27" spans="1:13" x14ac:dyDescent="0.2">
      <c r="A27" t="s">
        <v>101</v>
      </c>
      <c r="B27" t="s">
        <v>93</v>
      </c>
      <c r="C27" t="s">
        <v>89</v>
      </c>
      <c r="D27">
        <v>26949</v>
      </c>
      <c r="E27" s="15">
        <f>Table4[[#This Row],[Area (ha) ]]/100</f>
        <v>269.49</v>
      </c>
      <c r="F27" t="s">
        <v>88</v>
      </c>
      <c r="G27" t="s">
        <v>88</v>
      </c>
      <c r="H27">
        <f>0.81+0.4+3.3+0.22+1.23+1.57+2.6+1.73+1.46+3+7.63+1.85+1.92+0.18+4.64+1.79+7.82+10.08+27.61+0.48+0.81+1.28+0.5+0.59+0.73+3.15+0.93+0.59+0.69+0.44+2.54+1.93+0.42+0.49+0.65+1.71+1.07+1+0.96+1.15+0.74+1.29+0.81+0.48+0.1</f>
        <v>105.37000000000003</v>
      </c>
      <c r="I27">
        <v>3.8</v>
      </c>
      <c r="J27" t="s">
        <v>63</v>
      </c>
      <c r="L27" t="s">
        <v>88</v>
      </c>
    </row>
    <row r="28" spans="1:13" x14ac:dyDescent="0.2">
      <c r="A28" t="s">
        <v>102</v>
      </c>
      <c r="B28" t="s">
        <v>93</v>
      </c>
      <c r="C28" t="s">
        <v>89</v>
      </c>
      <c r="D28">
        <v>740</v>
      </c>
      <c r="E28" s="15">
        <f>Table4[[#This Row],[Area (ha) ]]/100</f>
        <v>7.4</v>
      </c>
      <c r="F28" t="s">
        <v>88</v>
      </c>
      <c r="G28" t="s">
        <v>88</v>
      </c>
      <c r="H28" s="23">
        <f>0.76</f>
        <v>0.76</v>
      </c>
      <c r="I28">
        <v>3</v>
      </c>
      <c r="J28" t="s">
        <v>68</v>
      </c>
      <c r="L28" t="s">
        <v>88</v>
      </c>
    </row>
    <row r="29" spans="1:13" x14ac:dyDescent="0.2">
      <c r="A29" t="s">
        <v>109</v>
      </c>
      <c r="B29" t="s">
        <v>108</v>
      </c>
      <c r="C29" t="s">
        <v>89</v>
      </c>
      <c r="D29">
        <v>10124</v>
      </c>
      <c r="E29" s="15">
        <f>Table4[[#This Row],[Area (ha) ]]/100</f>
        <v>101.24</v>
      </c>
      <c r="F29" t="s">
        <v>64</v>
      </c>
      <c r="G29" t="s">
        <v>88</v>
      </c>
      <c r="H29" s="23">
        <f>1.67+0.53+0.61+2.68+4.44+0.29</f>
        <v>10.219999999999999</v>
      </c>
      <c r="I29">
        <v>90</v>
      </c>
      <c r="J29" t="s">
        <v>68</v>
      </c>
      <c r="K29" t="s">
        <v>252</v>
      </c>
      <c r="L29" t="s">
        <v>88</v>
      </c>
      <c r="M29" t="s">
        <v>279</v>
      </c>
    </row>
    <row r="30" spans="1:13" x14ac:dyDescent="0.2">
      <c r="A30" t="s">
        <v>110</v>
      </c>
      <c r="B30" t="s">
        <v>108</v>
      </c>
      <c r="C30" t="s">
        <v>89</v>
      </c>
      <c r="D30">
        <v>580</v>
      </c>
      <c r="E30" s="15">
        <f>Table4[[#This Row],[Area (ha) ]]/100</f>
        <v>5.8</v>
      </c>
      <c r="F30" t="s">
        <v>64</v>
      </c>
      <c r="G30" t="s">
        <v>88</v>
      </c>
      <c r="H30" s="23">
        <v>0</v>
      </c>
      <c r="I30">
        <v>70</v>
      </c>
      <c r="J30" t="s">
        <v>68</v>
      </c>
      <c r="K30" t="s">
        <v>262</v>
      </c>
      <c r="L30" t="s">
        <v>88</v>
      </c>
    </row>
    <row r="31" spans="1:13" x14ac:dyDescent="0.2">
      <c r="A31" t="s">
        <v>111</v>
      </c>
      <c r="B31" t="s">
        <v>108</v>
      </c>
      <c r="C31" t="s">
        <v>89</v>
      </c>
      <c r="D31">
        <v>17030</v>
      </c>
      <c r="E31" s="15">
        <f>Table4[[#This Row],[Area (ha) ]]/100</f>
        <v>170.3</v>
      </c>
      <c r="F31" t="s">
        <v>64</v>
      </c>
      <c r="G31" t="s">
        <v>88</v>
      </c>
      <c r="H31">
        <f>(7*0.5)+3.94+1.91+0.5+1.2+1.32179+6.21+1.83+0.38+0.39</f>
        <v>21.181789999999996</v>
      </c>
      <c r="I31">
        <v>52</v>
      </c>
      <c r="J31" t="s">
        <v>68</v>
      </c>
      <c r="K31" t="s">
        <v>256</v>
      </c>
      <c r="L31" t="s">
        <v>88</v>
      </c>
    </row>
    <row r="32" spans="1:13" x14ac:dyDescent="0.2">
      <c r="A32" t="s">
        <v>113</v>
      </c>
      <c r="B32" t="s">
        <v>112</v>
      </c>
      <c r="C32" t="s">
        <v>89</v>
      </c>
      <c r="D32">
        <v>100144</v>
      </c>
      <c r="E32" s="15">
        <f>Table4[[#This Row],[Area (ha) ]]/100</f>
        <v>1001.44</v>
      </c>
      <c r="F32" t="s">
        <v>64</v>
      </c>
      <c r="G32" t="s">
        <v>88</v>
      </c>
      <c r="H32" s="23">
        <f>12.25+0.65+0.32+3.59+0.79+1.02+1.4+2.92+4.55+6.49+0.89+5.18+21.35+3.61+18.93+4.38+1.29+3.08+3.86+1.72+2.59+0.7+0.69</f>
        <v>102.25</v>
      </c>
      <c r="I32">
        <v>29</v>
      </c>
      <c r="J32" t="s">
        <v>68</v>
      </c>
      <c r="K32" t="s">
        <v>262</v>
      </c>
      <c r="L32" t="s">
        <v>88</v>
      </c>
    </row>
    <row r="33" spans="1:13" x14ac:dyDescent="0.2">
      <c r="A33" t="s">
        <v>114</v>
      </c>
      <c r="B33" t="s">
        <v>108</v>
      </c>
      <c r="C33" t="s">
        <v>89</v>
      </c>
      <c r="D33">
        <v>1570</v>
      </c>
      <c r="E33" s="15">
        <f>Table4[[#This Row],[Area (ha) ]]/100</f>
        <v>15.7</v>
      </c>
      <c r="F33" t="s">
        <v>64</v>
      </c>
      <c r="G33" t="s">
        <v>88</v>
      </c>
      <c r="H33" s="23">
        <f>0.27+0.71+0.08+0.41+0.3+0.74</f>
        <v>2.5099999999999998</v>
      </c>
      <c r="I33">
        <v>18</v>
      </c>
      <c r="J33" t="s">
        <v>68</v>
      </c>
      <c r="K33" t="s">
        <v>268</v>
      </c>
      <c r="L33" t="s">
        <v>88</v>
      </c>
    </row>
    <row r="34" spans="1:13" x14ac:dyDescent="0.2">
      <c r="A34" t="s">
        <v>115</v>
      </c>
      <c r="B34" t="s">
        <v>108</v>
      </c>
      <c r="C34" t="s">
        <v>89</v>
      </c>
      <c r="D34">
        <v>5319</v>
      </c>
      <c r="E34" s="15">
        <f>Table4[[#This Row],[Area (ha) ]]/100</f>
        <v>53.19</v>
      </c>
      <c r="F34" t="s">
        <v>64</v>
      </c>
      <c r="G34" t="s">
        <v>88</v>
      </c>
      <c r="H34" s="23">
        <f>2.19+1.19+3.1+0.28+0.63+0.68</f>
        <v>8.07</v>
      </c>
      <c r="I34">
        <v>16.7</v>
      </c>
      <c r="J34" t="s">
        <v>68</v>
      </c>
      <c r="K34" t="s">
        <v>269</v>
      </c>
      <c r="L34" t="s">
        <v>88</v>
      </c>
    </row>
    <row r="35" spans="1:13" x14ac:dyDescent="0.2">
      <c r="A35" t="s">
        <v>116</v>
      </c>
      <c r="B35" t="s">
        <v>108</v>
      </c>
      <c r="C35" t="s">
        <v>89</v>
      </c>
      <c r="D35">
        <v>19541</v>
      </c>
      <c r="E35" s="15">
        <f>Table4[[#This Row],[Area (ha) ]]/100</f>
        <v>195.41</v>
      </c>
      <c r="F35" t="s">
        <v>64</v>
      </c>
      <c r="G35" t="s">
        <v>88</v>
      </c>
      <c r="H35">
        <f>13.74+0.57+3.88+1.19+0.7+0.84+1.64+2.01+0.73+1.38</f>
        <v>26.68</v>
      </c>
      <c r="I35">
        <v>16</v>
      </c>
      <c r="J35" t="s">
        <v>63</v>
      </c>
      <c r="K35" t="s">
        <v>275</v>
      </c>
      <c r="L35" t="s">
        <v>88</v>
      </c>
    </row>
    <row r="36" spans="1:13" x14ac:dyDescent="0.2">
      <c r="A36" t="s">
        <v>117</v>
      </c>
      <c r="B36" t="s">
        <v>108</v>
      </c>
      <c r="C36" t="s">
        <v>89</v>
      </c>
      <c r="D36">
        <v>7180</v>
      </c>
      <c r="E36" s="15">
        <f>Table4[[#This Row],[Area (ha) ]]/100</f>
        <v>71.8</v>
      </c>
      <c r="F36" t="s">
        <v>64</v>
      </c>
      <c r="G36" t="s">
        <v>88</v>
      </c>
      <c r="H36">
        <f>23+16+15.54</f>
        <v>54.54</v>
      </c>
      <c r="I36">
        <v>7.8</v>
      </c>
      <c r="J36" t="s">
        <v>68</v>
      </c>
      <c r="K36" t="s">
        <v>259</v>
      </c>
      <c r="L36" t="s">
        <v>88</v>
      </c>
    </row>
    <row r="37" spans="1:13" hidden="1" x14ac:dyDescent="0.2">
      <c r="A37" t="s">
        <v>104</v>
      </c>
      <c r="C37" t="s">
        <v>89</v>
      </c>
      <c r="D37">
        <v>166170</v>
      </c>
      <c r="E37" s="15">
        <f>Table4[[#This Row],[Area (ha) ]]/100</f>
        <v>1661.7</v>
      </c>
      <c r="F37" t="s">
        <v>88</v>
      </c>
      <c r="G37" t="s">
        <v>88</v>
      </c>
      <c r="H37">
        <f>51.55+24.85+6.14+0.89+0.24+0.24+0.1+0.16+4.75+4.3+1.14+1.08+4.02+26.74+2.02+9.6+0.69+4.54+7.71+0.21+0.09+0.11+4.85+1.54+1.29+2.36+1.01+1.12+13.29+9.05+2.14+1.24+6.65+12.55+2.06+12.55+3.14+11.26+2.03+4.47+1.03+6.09+8.42+2.46+6.21+3.16+2.37+3.32+2.24+4.16+1.26+1+4+7.72+5+9.67+2.26+11.5+2.85+20</f>
        <v>348.49000000000007</v>
      </c>
      <c r="I37">
        <v>1</v>
      </c>
      <c r="J37" t="s">
        <v>63</v>
      </c>
      <c r="L37" t="s">
        <v>64</v>
      </c>
    </row>
    <row r="38" spans="1:13" hidden="1" x14ac:dyDescent="0.2">
      <c r="A38" t="s">
        <v>103</v>
      </c>
      <c r="C38" t="s">
        <v>89</v>
      </c>
      <c r="D38">
        <v>10381</v>
      </c>
      <c r="E38" s="15">
        <f>Table4[[#This Row],[Area (ha) ]]/100</f>
        <v>103.81</v>
      </c>
      <c r="F38" t="s">
        <v>88</v>
      </c>
      <c r="G38" t="s">
        <v>88</v>
      </c>
      <c r="H38" s="23">
        <f>0.56+0.51+0.69+2.45+0.12+0.59+1.58+0.1</f>
        <v>6.6</v>
      </c>
      <c r="I38">
        <v>1</v>
      </c>
      <c r="J38" t="s">
        <v>68</v>
      </c>
      <c r="L38" t="s">
        <v>64</v>
      </c>
    </row>
    <row r="39" spans="1:13" hidden="1" x14ac:dyDescent="0.2">
      <c r="A39" t="s">
        <v>105</v>
      </c>
      <c r="B39" t="s">
        <v>95</v>
      </c>
      <c r="C39" t="s">
        <v>89</v>
      </c>
      <c r="D39">
        <v>39613</v>
      </c>
      <c r="E39" s="15">
        <f>Table4[[#This Row],[Area (ha) ]]/100</f>
        <v>396.13</v>
      </c>
      <c r="F39" t="s">
        <v>88</v>
      </c>
      <c r="G39" t="s">
        <v>88</v>
      </c>
      <c r="H39">
        <f>3.32+12.4+4.16+8.85+2.99+6.07+1.77+1.18+4.23+5.58+3.44+2.01</f>
        <v>56.000000000000007</v>
      </c>
      <c r="I39">
        <v>0.8</v>
      </c>
      <c r="J39" t="s">
        <v>63</v>
      </c>
      <c r="L39" t="s">
        <v>64</v>
      </c>
    </row>
    <row r="40" spans="1:13" hidden="1" x14ac:dyDescent="0.2">
      <c r="A40" t="s">
        <v>106</v>
      </c>
      <c r="B40" t="s">
        <v>93</v>
      </c>
      <c r="C40" t="s">
        <v>89</v>
      </c>
      <c r="D40">
        <v>14757</v>
      </c>
      <c r="E40" s="15">
        <f>Table4[[#This Row],[Area (ha) ]]/100</f>
        <v>147.57</v>
      </c>
      <c r="F40" t="s">
        <v>88</v>
      </c>
      <c r="G40" t="s">
        <v>88</v>
      </c>
      <c r="H40" s="23">
        <f>0.54+3.38+0.95+0.13+2.12+0.92+0.09+0.25+2.22+1.44+0.08+0.58+(20*0.2)+16+5.93+0.97+0.47+4.3+0.44+0.4+1.13</f>
        <v>46.339999999999996</v>
      </c>
      <c r="I40">
        <v>0.1</v>
      </c>
      <c r="J40" t="s">
        <v>63</v>
      </c>
      <c r="L40" t="s">
        <v>64</v>
      </c>
    </row>
    <row r="41" spans="1:13" hidden="1" x14ac:dyDescent="0.2">
      <c r="A41" t="s">
        <v>107</v>
      </c>
      <c r="B41" t="s">
        <v>93</v>
      </c>
      <c r="C41" t="s">
        <v>89</v>
      </c>
      <c r="D41">
        <v>620</v>
      </c>
      <c r="E41" s="15">
        <f>Table4[[#This Row],[Area (ha) ]]/100</f>
        <v>6.2</v>
      </c>
      <c r="F41" t="s">
        <v>88</v>
      </c>
      <c r="G41" t="s">
        <v>88</v>
      </c>
      <c r="H41">
        <f>0.03+0.5+0.22</f>
        <v>0.75</v>
      </c>
      <c r="I41">
        <v>0.05</v>
      </c>
      <c r="J41" t="s">
        <v>63</v>
      </c>
      <c r="L41" t="s">
        <v>64</v>
      </c>
    </row>
    <row r="42" spans="1:13" hidden="1" x14ac:dyDescent="0.2">
      <c r="A42" t="s">
        <v>118</v>
      </c>
      <c r="C42" t="s">
        <v>89</v>
      </c>
      <c r="D42">
        <v>1253</v>
      </c>
      <c r="E42" s="15">
        <f>Table4[[#This Row],[Area (ha) ]]/100</f>
        <v>12.53</v>
      </c>
      <c r="F42" t="s">
        <v>64</v>
      </c>
      <c r="G42" t="s">
        <v>88</v>
      </c>
      <c r="H42">
        <f>0.94+0.27+0.8+0.38</f>
        <v>2.3899999999999997</v>
      </c>
      <c r="I42">
        <v>0.8</v>
      </c>
      <c r="J42" t="s">
        <v>68</v>
      </c>
      <c r="K42" t="s">
        <v>276</v>
      </c>
      <c r="L42" t="s">
        <v>64</v>
      </c>
    </row>
    <row r="43" spans="1:13" hidden="1" x14ac:dyDescent="0.2">
      <c r="A43" t="s">
        <v>120</v>
      </c>
      <c r="C43" t="s">
        <v>89</v>
      </c>
      <c r="D43">
        <v>6387</v>
      </c>
      <c r="E43" s="15">
        <f>Table4[[#This Row],[Area (ha) ]]/100</f>
        <v>63.87</v>
      </c>
      <c r="F43" t="s">
        <v>64</v>
      </c>
      <c r="G43" t="s">
        <v>88</v>
      </c>
      <c r="H43" s="23">
        <f>0.67</f>
        <v>0.67</v>
      </c>
      <c r="I43">
        <v>0.5</v>
      </c>
      <c r="J43" t="s">
        <v>68</v>
      </c>
      <c r="K43" t="s">
        <v>271</v>
      </c>
      <c r="L43" t="s">
        <v>64</v>
      </c>
    </row>
    <row r="44" spans="1:13" hidden="1" x14ac:dyDescent="0.2">
      <c r="A44" t="s">
        <v>119</v>
      </c>
      <c r="C44" t="s">
        <v>89</v>
      </c>
      <c r="D44">
        <v>584</v>
      </c>
      <c r="E44" s="15">
        <f>Table4[[#This Row],[Area (ha) ]]/100</f>
        <v>5.84</v>
      </c>
      <c r="F44" t="s">
        <v>64</v>
      </c>
      <c r="G44" t="s">
        <v>64</v>
      </c>
      <c r="H44">
        <v>0</v>
      </c>
      <c r="I44">
        <v>0.5</v>
      </c>
      <c r="J44" t="s">
        <v>68</v>
      </c>
      <c r="K44" t="s">
        <v>245</v>
      </c>
      <c r="L44" t="s">
        <v>64</v>
      </c>
    </row>
    <row r="45" spans="1:13" hidden="1" x14ac:dyDescent="0.2">
      <c r="A45" t="s">
        <v>121</v>
      </c>
      <c r="C45" t="s">
        <v>89</v>
      </c>
      <c r="D45">
        <v>57646</v>
      </c>
      <c r="E45" s="15">
        <f>Table4[[#This Row],[Area (ha) ]]/100</f>
        <v>576.46</v>
      </c>
      <c r="F45" t="s">
        <v>64</v>
      </c>
      <c r="G45" t="s">
        <v>88</v>
      </c>
      <c r="H45" s="23">
        <f>0.15+0.96+3.98+0.35+5.68+5.19+5.18+10.12+2.16+0.15+0.12+0.1+1.74+0.15+1.86+0.1+2.98+2.61+0.34+0.34+0.2+1.21+0.33+0.22+32.11+66.05</f>
        <v>144.38</v>
      </c>
      <c r="I45">
        <v>0.15</v>
      </c>
      <c r="J45" t="s">
        <v>63</v>
      </c>
      <c r="K45" t="s">
        <v>261</v>
      </c>
      <c r="L45" t="s">
        <v>64</v>
      </c>
      <c r="M45" t="s">
        <v>64</v>
      </c>
    </row>
    <row r="46" spans="1:13" x14ac:dyDescent="0.2">
      <c r="A46" t="s">
        <v>72</v>
      </c>
      <c r="C46" t="s">
        <v>65</v>
      </c>
      <c r="D46">
        <v>23503</v>
      </c>
      <c r="E46" s="15">
        <f>Table4[[#This Row],[Area (ha) ]]/100</f>
        <v>235.03</v>
      </c>
      <c r="F46" t="s">
        <v>64</v>
      </c>
      <c r="G46" t="s">
        <v>64</v>
      </c>
      <c r="H46">
        <v>21</v>
      </c>
      <c r="I46">
        <v>56</v>
      </c>
      <c r="J46" t="s">
        <v>63</v>
      </c>
      <c r="K46" t="s">
        <v>253</v>
      </c>
      <c r="L46" t="s">
        <v>88</v>
      </c>
      <c r="M46" t="s">
        <v>88</v>
      </c>
    </row>
    <row r="47" spans="1:13" x14ac:dyDescent="0.2">
      <c r="A47" s="16" t="s">
        <v>74</v>
      </c>
      <c r="C47" t="s">
        <v>65</v>
      </c>
      <c r="D47">
        <v>4152</v>
      </c>
      <c r="E47" s="15">
        <f>Table4[[#This Row],[Area (ha) ]]/100</f>
        <v>41.52</v>
      </c>
      <c r="F47" t="s">
        <v>64</v>
      </c>
      <c r="G47" t="s">
        <v>64</v>
      </c>
      <c r="H47">
        <v>2</v>
      </c>
      <c r="I47">
        <v>38</v>
      </c>
      <c r="J47" t="s">
        <v>63</v>
      </c>
      <c r="K47" t="s">
        <v>258</v>
      </c>
      <c r="L47" t="s">
        <v>88</v>
      </c>
      <c r="M47" t="s">
        <v>64</v>
      </c>
    </row>
    <row r="48" spans="1:13" x14ac:dyDescent="0.2">
      <c r="A48" t="s">
        <v>78</v>
      </c>
      <c r="C48" t="s">
        <v>65</v>
      </c>
      <c r="D48">
        <v>5194</v>
      </c>
      <c r="E48" s="15">
        <f>Table4[[#This Row],[Area (ha) ]]/100</f>
        <v>51.94</v>
      </c>
      <c r="F48" t="s">
        <v>64</v>
      </c>
      <c r="G48" t="s">
        <v>64</v>
      </c>
      <c r="H48">
        <v>2</v>
      </c>
      <c r="I48">
        <v>6.1</v>
      </c>
      <c r="J48" t="s">
        <v>63</v>
      </c>
      <c r="K48" t="s">
        <v>266</v>
      </c>
      <c r="L48" t="s">
        <v>88</v>
      </c>
      <c r="M48" t="s">
        <v>88</v>
      </c>
    </row>
    <row r="49" spans="1:13" x14ac:dyDescent="0.2">
      <c r="A49" s="20" t="s">
        <v>79</v>
      </c>
      <c r="B49" s="20" t="s">
        <v>76</v>
      </c>
      <c r="C49" s="20" t="s">
        <v>65</v>
      </c>
      <c r="D49" s="20">
        <v>233</v>
      </c>
      <c r="E49" s="22">
        <f>Table4[[#This Row],[Area (ha) ]]/100</f>
        <v>2.33</v>
      </c>
      <c r="F49" s="20" t="s">
        <v>64</v>
      </c>
      <c r="G49" s="20" t="s">
        <v>64</v>
      </c>
      <c r="H49" s="20">
        <v>2</v>
      </c>
      <c r="I49" s="20">
        <v>5.5</v>
      </c>
      <c r="J49" s="20" t="s">
        <v>68</v>
      </c>
      <c r="K49" s="20" t="s">
        <v>264</v>
      </c>
      <c r="L49" s="20" t="s">
        <v>88</v>
      </c>
      <c r="M49" t="s">
        <v>88</v>
      </c>
    </row>
    <row r="50" spans="1:13" hidden="1" x14ac:dyDescent="0.2">
      <c r="A50" s="20" t="s">
        <v>67</v>
      </c>
      <c r="B50" s="20" t="s">
        <v>66</v>
      </c>
      <c r="C50" s="20" t="s">
        <v>65</v>
      </c>
      <c r="D50" s="20">
        <v>511</v>
      </c>
      <c r="E50" s="22">
        <f>Table4[[#This Row],[Area (ha) ]]/100</f>
        <v>5.1100000000000003</v>
      </c>
      <c r="F50" s="20" t="s">
        <v>64</v>
      </c>
      <c r="G50" s="20" t="s">
        <v>64</v>
      </c>
      <c r="H50" s="20">
        <v>0</v>
      </c>
      <c r="I50" s="20">
        <v>84</v>
      </c>
      <c r="J50" s="20" t="s">
        <v>63</v>
      </c>
      <c r="K50" s="20" t="s">
        <v>62</v>
      </c>
      <c r="L50" s="20" t="s">
        <v>64</v>
      </c>
      <c r="M50" t="s">
        <v>88</v>
      </c>
    </row>
    <row r="51" spans="1:13" hidden="1" x14ac:dyDescent="0.2">
      <c r="A51" s="20" t="s">
        <v>69</v>
      </c>
      <c r="B51" s="20"/>
      <c r="C51" s="20" t="s">
        <v>65</v>
      </c>
      <c r="D51" s="20">
        <v>268</v>
      </c>
      <c r="E51" s="22">
        <f>Table4[[#This Row],[Area (ha) ]]/100</f>
        <v>2.68</v>
      </c>
      <c r="F51" s="20" t="s">
        <v>64</v>
      </c>
      <c r="G51" s="20" t="s">
        <v>64</v>
      </c>
      <c r="H51" s="20">
        <v>0</v>
      </c>
      <c r="I51" s="20">
        <v>81</v>
      </c>
      <c r="J51" s="20" t="s">
        <v>68</v>
      </c>
      <c r="K51" s="20" t="s">
        <v>254</v>
      </c>
      <c r="L51" s="20" t="s">
        <v>64</v>
      </c>
      <c r="M51" t="s">
        <v>88</v>
      </c>
    </row>
    <row r="52" spans="1:13" hidden="1" x14ac:dyDescent="0.2">
      <c r="A52" s="20" t="s">
        <v>70</v>
      </c>
      <c r="B52" s="20" t="s">
        <v>66</v>
      </c>
      <c r="C52" s="20" t="s">
        <v>65</v>
      </c>
      <c r="D52" s="20">
        <v>1110</v>
      </c>
      <c r="E52" s="22">
        <f>Table4[[#This Row],[Area (ha) ]]/100</f>
        <v>11.1</v>
      </c>
      <c r="F52" s="20" t="s">
        <v>64</v>
      </c>
      <c r="G52" s="20" t="s">
        <v>64</v>
      </c>
      <c r="H52" s="20">
        <v>0</v>
      </c>
      <c r="I52" s="20">
        <v>75</v>
      </c>
      <c r="J52" s="20" t="s">
        <v>63</v>
      </c>
      <c r="K52" s="20" t="s">
        <v>62</v>
      </c>
      <c r="L52" s="20" t="s">
        <v>64</v>
      </c>
      <c r="M52" t="s">
        <v>88</v>
      </c>
    </row>
    <row r="53" spans="1:13" hidden="1" x14ac:dyDescent="0.2">
      <c r="A53" s="20" t="s">
        <v>71</v>
      </c>
      <c r="B53" s="20"/>
      <c r="C53" s="20" t="s">
        <v>65</v>
      </c>
      <c r="D53" s="20">
        <v>202</v>
      </c>
      <c r="E53" s="22">
        <f>Table4[[#This Row],[Area (ha) ]]/100</f>
        <v>2.02</v>
      </c>
      <c r="F53" s="20" t="s">
        <v>64</v>
      </c>
      <c r="G53" s="20" t="s">
        <v>64</v>
      </c>
      <c r="H53" s="20">
        <v>0</v>
      </c>
      <c r="I53" s="20">
        <v>56</v>
      </c>
      <c r="J53" s="20" t="s">
        <v>68</v>
      </c>
      <c r="K53" s="20" t="s">
        <v>62</v>
      </c>
      <c r="L53" s="20" t="s">
        <v>64</v>
      </c>
      <c r="M53" t="s">
        <v>88</v>
      </c>
    </row>
    <row r="54" spans="1:13" hidden="1" x14ac:dyDescent="0.2">
      <c r="A54" t="s">
        <v>73</v>
      </c>
      <c r="C54" t="s">
        <v>65</v>
      </c>
      <c r="D54">
        <v>4959</v>
      </c>
      <c r="E54" s="15">
        <f>Table4[[#This Row],[Area (ha) ]]/100</f>
        <v>49.59</v>
      </c>
      <c r="F54" t="s">
        <v>64</v>
      </c>
      <c r="G54" t="s">
        <v>64</v>
      </c>
      <c r="H54">
        <v>0</v>
      </c>
      <c r="I54">
        <v>54</v>
      </c>
      <c r="J54" t="s">
        <v>63</v>
      </c>
      <c r="K54" t="s">
        <v>258</v>
      </c>
      <c r="L54" t="s">
        <v>64</v>
      </c>
      <c r="M54" t="s">
        <v>64</v>
      </c>
    </row>
    <row r="55" spans="1:13" hidden="1" x14ac:dyDescent="0.2">
      <c r="A55" s="20" t="s">
        <v>75</v>
      </c>
      <c r="B55" s="20"/>
      <c r="C55" s="20" t="s">
        <v>65</v>
      </c>
      <c r="D55" s="20">
        <v>300</v>
      </c>
      <c r="E55" s="22">
        <f>Table4[[#This Row],[Area (ha) ]]/100</f>
        <v>3</v>
      </c>
      <c r="F55" s="20" t="s">
        <v>64</v>
      </c>
      <c r="G55" s="20" t="s">
        <v>64</v>
      </c>
      <c r="H55" s="20">
        <v>0</v>
      </c>
      <c r="I55" s="20">
        <v>20</v>
      </c>
      <c r="J55" s="20" t="s">
        <v>68</v>
      </c>
      <c r="K55" s="20" t="s">
        <v>62</v>
      </c>
      <c r="L55" s="20" t="s">
        <v>64</v>
      </c>
      <c r="M55" t="s">
        <v>88</v>
      </c>
    </row>
    <row r="56" spans="1:13" hidden="1" x14ac:dyDescent="0.2">
      <c r="A56" s="20" t="s">
        <v>77</v>
      </c>
      <c r="B56" s="20" t="s">
        <v>76</v>
      </c>
      <c r="C56" s="20" t="s">
        <v>65</v>
      </c>
      <c r="D56" s="20">
        <v>1132</v>
      </c>
      <c r="E56" s="22">
        <f>Table4[[#This Row],[Area (ha) ]]/100</f>
        <v>11.32</v>
      </c>
      <c r="F56" s="20" t="s">
        <v>64</v>
      </c>
      <c r="G56" s="20" t="s">
        <v>64</v>
      </c>
      <c r="H56" s="20">
        <v>0</v>
      </c>
      <c r="I56" s="20">
        <v>7.6</v>
      </c>
      <c r="J56" s="20" t="s">
        <v>63</v>
      </c>
      <c r="K56" s="20" t="s">
        <v>250</v>
      </c>
      <c r="L56" s="20" t="s">
        <v>64</v>
      </c>
      <c r="M56" t="s">
        <v>88</v>
      </c>
    </row>
    <row r="57" spans="1:13" hidden="1" x14ac:dyDescent="0.2">
      <c r="A57" s="20" t="s">
        <v>80</v>
      </c>
      <c r="B57" s="20" t="s">
        <v>76</v>
      </c>
      <c r="C57" s="20" t="s">
        <v>65</v>
      </c>
      <c r="D57" s="20">
        <v>1320</v>
      </c>
      <c r="E57" s="22">
        <f>Table4[[#This Row],[Area (ha) ]]/100</f>
        <v>13.2</v>
      </c>
      <c r="F57" s="20" t="s">
        <v>64</v>
      </c>
      <c r="G57" s="20" t="s">
        <v>64</v>
      </c>
      <c r="H57" s="20">
        <v>0</v>
      </c>
      <c r="I57" s="20">
        <v>2.6</v>
      </c>
      <c r="J57" s="20" t="s">
        <v>63</v>
      </c>
      <c r="K57" s="20" t="s">
        <v>250</v>
      </c>
      <c r="L57" s="20" t="s">
        <v>64</v>
      </c>
      <c r="M57" t="s">
        <v>64</v>
      </c>
    </row>
    <row r="58" spans="1:13" hidden="1" x14ac:dyDescent="0.2">
      <c r="A58" s="20" t="s">
        <v>81</v>
      </c>
      <c r="B58" s="20" t="s">
        <v>76</v>
      </c>
      <c r="C58" s="20" t="s">
        <v>65</v>
      </c>
      <c r="D58" s="20">
        <v>1973</v>
      </c>
      <c r="E58" s="22">
        <f>Table4[[#This Row],[Area (ha) ]]/100</f>
        <v>19.73</v>
      </c>
      <c r="F58" s="20" t="s">
        <v>64</v>
      </c>
      <c r="G58" s="20" t="s">
        <v>64</v>
      </c>
      <c r="H58" s="20">
        <v>0</v>
      </c>
      <c r="I58" s="20">
        <v>2.5</v>
      </c>
      <c r="J58" s="20" t="s">
        <v>63</v>
      </c>
      <c r="K58" s="20" t="s">
        <v>251</v>
      </c>
      <c r="L58" s="20" t="s">
        <v>64</v>
      </c>
      <c r="M58" t="s">
        <v>88</v>
      </c>
    </row>
    <row r="59" spans="1:13" hidden="1" x14ac:dyDescent="0.2">
      <c r="A59" s="20" t="s">
        <v>82</v>
      </c>
      <c r="B59" s="20" t="s">
        <v>76</v>
      </c>
      <c r="C59" s="20" t="s">
        <v>65</v>
      </c>
      <c r="D59" s="20">
        <v>231</v>
      </c>
      <c r="E59" s="22">
        <f>Table4[[#This Row],[Area (ha) ]]/100</f>
        <v>2.31</v>
      </c>
      <c r="F59" s="20" t="s">
        <v>64</v>
      </c>
      <c r="G59" s="20" t="s">
        <v>64</v>
      </c>
      <c r="H59" s="20">
        <v>0</v>
      </c>
      <c r="I59" s="20">
        <v>2.1</v>
      </c>
      <c r="J59" s="20" t="s">
        <v>68</v>
      </c>
      <c r="K59" s="20" t="s">
        <v>254</v>
      </c>
      <c r="L59" s="20" t="s">
        <v>64</v>
      </c>
      <c r="M59" t="s">
        <v>88</v>
      </c>
    </row>
    <row r="60" spans="1:13" hidden="1" x14ac:dyDescent="0.2">
      <c r="A60" s="20" t="s">
        <v>83</v>
      </c>
      <c r="B60" s="20" t="s">
        <v>76</v>
      </c>
      <c r="C60" s="20" t="s">
        <v>65</v>
      </c>
      <c r="D60" s="20">
        <v>848</v>
      </c>
      <c r="E60" s="22">
        <f>Table4[[#This Row],[Area (ha) ]]/100</f>
        <v>8.48</v>
      </c>
      <c r="F60" s="20" t="s">
        <v>64</v>
      </c>
      <c r="G60" s="20" t="s">
        <v>64</v>
      </c>
      <c r="H60" s="20">
        <v>0</v>
      </c>
      <c r="I60" s="20">
        <v>1.7</v>
      </c>
      <c r="J60" s="20" t="s">
        <v>68</v>
      </c>
      <c r="K60" s="20" t="s">
        <v>248</v>
      </c>
      <c r="L60" s="20" t="s">
        <v>64</v>
      </c>
      <c r="M60" t="s">
        <v>88</v>
      </c>
    </row>
    <row r="61" spans="1:13" hidden="1" x14ac:dyDescent="0.2">
      <c r="A61" s="20" t="s">
        <v>84</v>
      </c>
      <c r="B61" s="20" t="s">
        <v>76</v>
      </c>
      <c r="C61" s="20" t="s">
        <v>65</v>
      </c>
      <c r="D61" s="20">
        <v>916</v>
      </c>
      <c r="E61" s="22">
        <f>Table4[[#This Row],[Area (ha) ]]/100</f>
        <v>9.16</v>
      </c>
      <c r="F61" s="20" t="s">
        <v>64</v>
      </c>
      <c r="G61" s="20" t="s">
        <v>64</v>
      </c>
      <c r="H61" s="20">
        <v>0</v>
      </c>
      <c r="I61" s="20">
        <v>1.2</v>
      </c>
      <c r="J61" s="20" t="s">
        <v>68</v>
      </c>
      <c r="K61" s="20" t="s">
        <v>249</v>
      </c>
      <c r="L61" s="20" t="s">
        <v>64</v>
      </c>
      <c r="M61" t="s">
        <v>88</v>
      </c>
    </row>
    <row r="62" spans="1:13" hidden="1" x14ac:dyDescent="0.2">
      <c r="A62" t="s">
        <v>85</v>
      </c>
      <c r="C62" t="s">
        <v>65</v>
      </c>
      <c r="D62">
        <v>62775</v>
      </c>
      <c r="E62" s="15">
        <f>Table4[[#This Row],[Area (ha) ]]/100</f>
        <v>627.75</v>
      </c>
      <c r="F62" t="s">
        <v>64</v>
      </c>
      <c r="G62" t="s">
        <v>64</v>
      </c>
      <c r="H62">
        <v>6</v>
      </c>
      <c r="I62">
        <v>1</v>
      </c>
      <c r="J62" t="s">
        <v>63</v>
      </c>
      <c r="K62" t="s">
        <v>263</v>
      </c>
      <c r="L62" t="s">
        <v>64</v>
      </c>
      <c r="M62" t="s">
        <v>88</v>
      </c>
    </row>
    <row r="63" spans="1:13" hidden="1" x14ac:dyDescent="0.2">
      <c r="A63" s="20" t="s">
        <v>86</v>
      </c>
      <c r="B63" s="20" t="s">
        <v>76</v>
      </c>
      <c r="C63" s="20" t="s">
        <v>65</v>
      </c>
      <c r="D63" s="20">
        <v>1002</v>
      </c>
      <c r="E63" s="22">
        <f>Table4[[#This Row],[Area (ha) ]]/100</f>
        <v>10.02</v>
      </c>
      <c r="F63" s="20" t="s">
        <v>64</v>
      </c>
      <c r="G63" s="20" t="s">
        <v>64</v>
      </c>
      <c r="H63" s="20">
        <v>0</v>
      </c>
      <c r="I63" s="20">
        <v>0.8</v>
      </c>
      <c r="J63" s="20" t="s">
        <v>63</v>
      </c>
      <c r="K63" s="20" t="s">
        <v>265</v>
      </c>
      <c r="L63" s="20" t="s">
        <v>64</v>
      </c>
      <c r="M63" t="s">
        <v>88</v>
      </c>
    </row>
    <row r="64" spans="1:13" hidden="1" x14ac:dyDescent="0.2">
      <c r="A64" t="s">
        <v>87</v>
      </c>
      <c r="B64" t="s">
        <v>76</v>
      </c>
      <c r="C64" t="s">
        <v>65</v>
      </c>
      <c r="D64">
        <v>3306</v>
      </c>
      <c r="E64" s="15">
        <f>Table4[[#This Row],[Area (ha) ]]/100</f>
        <v>33.06</v>
      </c>
      <c r="F64" t="s">
        <v>64</v>
      </c>
      <c r="G64" t="s">
        <v>64</v>
      </c>
      <c r="H64">
        <v>0</v>
      </c>
      <c r="I64">
        <v>0.5</v>
      </c>
      <c r="J64" t="s">
        <v>63</v>
      </c>
      <c r="K64" t="s">
        <v>247</v>
      </c>
      <c r="L64" t="s">
        <v>64</v>
      </c>
      <c r="M64" t="s">
        <v>88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CDBF-75E0-DD41-86B1-46EAAFDDB123}">
  <dimension ref="A1:H42"/>
  <sheetViews>
    <sheetView workbookViewId="0">
      <selection activeCell="L7" sqref="L7"/>
    </sheetView>
  </sheetViews>
  <sheetFormatPr baseColWidth="10" defaultRowHeight="16" x14ac:dyDescent="0.2"/>
  <cols>
    <col min="1" max="1" width="15.1640625" customWidth="1"/>
    <col min="2" max="2" width="16" customWidth="1"/>
    <col min="4" max="4" width="19.33203125" customWidth="1"/>
    <col min="5" max="5" width="26.6640625" customWidth="1"/>
    <col min="8" max="8" width="18.1640625" customWidth="1"/>
  </cols>
  <sheetData>
    <row r="1" spans="1:8" x14ac:dyDescent="0.2">
      <c r="A1" t="s">
        <v>216</v>
      </c>
      <c r="B1" t="s">
        <v>215</v>
      </c>
      <c r="C1" t="s">
        <v>214</v>
      </c>
      <c r="D1" t="s">
        <v>213</v>
      </c>
      <c r="E1" t="s">
        <v>212</v>
      </c>
      <c r="F1" t="s">
        <v>211</v>
      </c>
      <c r="G1" t="s">
        <v>210</v>
      </c>
      <c r="H1" t="s">
        <v>209</v>
      </c>
    </row>
    <row r="2" spans="1:8" x14ac:dyDescent="0.2">
      <c r="A2" t="s">
        <v>208</v>
      </c>
      <c r="C2" t="s">
        <v>89</v>
      </c>
      <c r="D2" t="s">
        <v>161</v>
      </c>
      <c r="E2">
        <v>1.27342139244</v>
      </c>
      <c r="F2">
        <v>153.14271832200001</v>
      </c>
      <c r="G2">
        <v>-25.259830214899999</v>
      </c>
      <c r="H2">
        <v>166169.69582299999</v>
      </c>
    </row>
    <row r="3" spans="1:8" x14ac:dyDescent="0.2">
      <c r="A3" t="s">
        <v>207</v>
      </c>
      <c r="C3" t="s">
        <v>89</v>
      </c>
      <c r="D3" t="s">
        <v>161</v>
      </c>
      <c r="E3">
        <v>0.12884847808899999</v>
      </c>
      <c r="F3">
        <v>151.151976287</v>
      </c>
      <c r="G3">
        <v>-23.6123812477</v>
      </c>
      <c r="H3">
        <v>57645.9960871</v>
      </c>
    </row>
    <row r="4" spans="1:8" x14ac:dyDescent="0.2">
      <c r="A4" t="s">
        <v>206</v>
      </c>
      <c r="C4" t="s">
        <v>89</v>
      </c>
      <c r="D4" t="s">
        <v>161</v>
      </c>
      <c r="E4">
        <v>0.71735387900500003</v>
      </c>
      <c r="F4">
        <v>146.23573595600001</v>
      </c>
      <c r="G4">
        <v>-18.355248490600001</v>
      </c>
      <c r="H4">
        <v>39613.402683799999</v>
      </c>
    </row>
    <row r="5" spans="1:8" x14ac:dyDescent="0.2">
      <c r="A5" t="s">
        <v>205</v>
      </c>
      <c r="C5" t="s">
        <v>89</v>
      </c>
      <c r="D5" t="s">
        <v>161</v>
      </c>
      <c r="E5">
        <v>3.5569198505899999</v>
      </c>
      <c r="F5">
        <v>153.454366161</v>
      </c>
      <c r="G5">
        <v>-27.545639231399999</v>
      </c>
      <c r="H5">
        <v>26948.967632399999</v>
      </c>
    </row>
    <row r="6" spans="1:8" x14ac:dyDescent="0.2">
      <c r="A6" t="s">
        <v>204</v>
      </c>
      <c r="C6" t="s">
        <v>89</v>
      </c>
      <c r="D6" t="s">
        <v>161</v>
      </c>
      <c r="E6">
        <v>21.2684510355</v>
      </c>
      <c r="F6">
        <v>153.40631082100001</v>
      </c>
      <c r="G6">
        <v>-27.1488545132</v>
      </c>
      <c r="H6">
        <v>17149.398244</v>
      </c>
    </row>
    <row r="7" spans="1:8" x14ac:dyDescent="0.2">
      <c r="A7" t="s">
        <v>203</v>
      </c>
      <c r="C7" t="s">
        <v>89</v>
      </c>
      <c r="D7" t="s">
        <v>161</v>
      </c>
      <c r="E7">
        <v>0.25897735076400002</v>
      </c>
      <c r="F7">
        <v>153.13536809999999</v>
      </c>
      <c r="G7">
        <v>-26.986692233700001</v>
      </c>
      <c r="H7">
        <v>14756.972323600001</v>
      </c>
    </row>
    <row r="8" spans="1:8" x14ac:dyDescent="0.2">
      <c r="A8" t="s">
        <v>202</v>
      </c>
      <c r="B8" t="s">
        <v>190</v>
      </c>
      <c r="C8" t="s">
        <v>89</v>
      </c>
      <c r="D8" t="s">
        <v>161</v>
      </c>
      <c r="E8">
        <v>25.7685316882</v>
      </c>
      <c r="F8">
        <v>139.49060925699999</v>
      </c>
      <c r="G8">
        <v>-17.067632458999999</v>
      </c>
      <c r="H8">
        <v>13874.6193821</v>
      </c>
    </row>
    <row r="9" spans="1:8" x14ac:dyDescent="0.2">
      <c r="A9" t="s">
        <v>201</v>
      </c>
      <c r="C9" t="s">
        <v>89</v>
      </c>
      <c r="D9" t="s">
        <v>161</v>
      </c>
      <c r="E9">
        <v>1.33363145559</v>
      </c>
      <c r="F9">
        <v>150.505991599</v>
      </c>
      <c r="G9">
        <v>-22.280009895500001</v>
      </c>
      <c r="H9">
        <v>7761.7247559799998</v>
      </c>
    </row>
    <row r="10" spans="1:8" x14ac:dyDescent="0.2">
      <c r="A10" t="s">
        <v>200</v>
      </c>
      <c r="B10" t="s">
        <v>184</v>
      </c>
      <c r="C10" t="s">
        <v>89</v>
      </c>
      <c r="D10" t="s">
        <v>161</v>
      </c>
      <c r="E10">
        <v>25.2876201688</v>
      </c>
      <c r="F10">
        <v>146.61827387899999</v>
      </c>
      <c r="G10">
        <v>-18.738364732600001</v>
      </c>
      <c r="H10">
        <v>5551.7855869599998</v>
      </c>
    </row>
    <row r="11" spans="1:8" x14ac:dyDescent="0.2">
      <c r="A11" t="s">
        <v>199</v>
      </c>
      <c r="C11" t="s">
        <v>89</v>
      </c>
      <c r="D11" t="s">
        <v>161</v>
      </c>
      <c r="E11">
        <v>4.4566403242900003</v>
      </c>
      <c r="F11">
        <v>146.83291286799999</v>
      </c>
      <c r="G11">
        <v>-19.139210158299999</v>
      </c>
      <c r="H11">
        <v>5066.9154052000004</v>
      </c>
    </row>
    <row r="12" spans="1:8" x14ac:dyDescent="0.2">
      <c r="A12" t="s">
        <v>198</v>
      </c>
      <c r="C12" t="s">
        <v>89</v>
      </c>
      <c r="D12" t="s">
        <v>161</v>
      </c>
      <c r="E12">
        <v>4.2252676720200002</v>
      </c>
      <c r="F12">
        <v>151.35959168799999</v>
      </c>
      <c r="G12">
        <v>-23.8238646352</v>
      </c>
      <c r="H12">
        <v>2995.55913341</v>
      </c>
    </row>
    <row r="13" spans="1:8" x14ac:dyDescent="0.2">
      <c r="A13" t="s">
        <v>197</v>
      </c>
      <c r="C13" t="s">
        <v>89</v>
      </c>
      <c r="D13" t="s">
        <v>161</v>
      </c>
      <c r="E13">
        <v>0.98390882127900003</v>
      </c>
      <c r="F13">
        <v>148.457467931</v>
      </c>
      <c r="G13">
        <v>-20.0140604266</v>
      </c>
      <c r="H13">
        <v>2663.65337499</v>
      </c>
    </row>
    <row r="14" spans="1:8" x14ac:dyDescent="0.2">
      <c r="A14" t="s">
        <v>196</v>
      </c>
      <c r="C14" t="s">
        <v>89</v>
      </c>
      <c r="D14" t="s">
        <v>161</v>
      </c>
      <c r="E14">
        <v>0.79199378757000005</v>
      </c>
      <c r="F14">
        <v>149.97742168299999</v>
      </c>
      <c r="G14">
        <v>-22.137806158099998</v>
      </c>
      <c r="H14">
        <v>2659.9529433600001</v>
      </c>
    </row>
    <row r="15" spans="1:8" x14ac:dyDescent="0.2">
      <c r="A15" t="s">
        <v>195</v>
      </c>
      <c r="C15" t="s">
        <v>89</v>
      </c>
      <c r="D15" t="s">
        <v>161</v>
      </c>
      <c r="E15">
        <v>0.219815101017</v>
      </c>
      <c r="F15">
        <v>153.424612706</v>
      </c>
      <c r="G15">
        <v>-27.838412123299999</v>
      </c>
      <c r="H15">
        <v>2022.5190785899999</v>
      </c>
    </row>
    <row r="16" spans="1:8" x14ac:dyDescent="0.2">
      <c r="A16" t="s">
        <v>194</v>
      </c>
      <c r="C16" t="s">
        <v>89</v>
      </c>
      <c r="D16" t="s">
        <v>161</v>
      </c>
      <c r="E16">
        <v>1.2137736146</v>
      </c>
      <c r="F16">
        <v>153.38208606200001</v>
      </c>
      <c r="G16">
        <v>-27.674414558300001</v>
      </c>
      <c r="H16">
        <v>1701.9094381800001</v>
      </c>
    </row>
    <row r="17" spans="1:8" x14ac:dyDescent="0.2">
      <c r="A17" t="s">
        <v>193</v>
      </c>
      <c r="B17" t="s">
        <v>181</v>
      </c>
      <c r="C17" t="s">
        <v>89</v>
      </c>
      <c r="D17" t="s">
        <v>161</v>
      </c>
      <c r="E17">
        <v>11.3792049226</v>
      </c>
      <c r="F17">
        <v>149.07569628300001</v>
      </c>
      <c r="G17">
        <v>-20.4856442687</v>
      </c>
      <c r="H17">
        <v>1604.3945610999999</v>
      </c>
    </row>
    <row r="18" spans="1:8" x14ac:dyDescent="0.2">
      <c r="A18" t="s">
        <v>192</v>
      </c>
      <c r="B18" t="s">
        <v>184</v>
      </c>
      <c r="C18" t="s">
        <v>89</v>
      </c>
      <c r="D18" t="s">
        <v>161</v>
      </c>
      <c r="E18">
        <v>14.4398309414</v>
      </c>
      <c r="F18">
        <v>146.49448016400001</v>
      </c>
      <c r="G18">
        <v>-18.616772171899999</v>
      </c>
      <c r="H18">
        <v>1341.62145764</v>
      </c>
    </row>
    <row r="19" spans="1:8" x14ac:dyDescent="0.2">
      <c r="A19" t="s">
        <v>191</v>
      </c>
      <c r="B19" t="s">
        <v>190</v>
      </c>
      <c r="C19" t="s">
        <v>89</v>
      </c>
      <c r="D19" t="s">
        <v>161</v>
      </c>
      <c r="E19">
        <v>32.115693982300002</v>
      </c>
      <c r="F19">
        <v>139.61718690500001</v>
      </c>
      <c r="G19">
        <v>-17.1025545896</v>
      </c>
      <c r="H19">
        <v>1132.31798372</v>
      </c>
    </row>
    <row r="20" spans="1:8" x14ac:dyDescent="0.2">
      <c r="A20" t="s">
        <v>189</v>
      </c>
      <c r="C20" t="s">
        <v>89</v>
      </c>
      <c r="D20" t="s">
        <v>161</v>
      </c>
      <c r="E20">
        <v>0.52052651606300004</v>
      </c>
      <c r="F20">
        <v>148.85874874699999</v>
      </c>
      <c r="G20">
        <v>-20.364602143300001</v>
      </c>
      <c r="H20">
        <v>993.41968235100001</v>
      </c>
    </row>
    <row r="21" spans="1:8" x14ac:dyDescent="0.2">
      <c r="A21" t="s">
        <v>188</v>
      </c>
      <c r="C21" t="s">
        <v>89</v>
      </c>
      <c r="D21" t="s">
        <v>161</v>
      </c>
      <c r="E21">
        <v>28.7736530946</v>
      </c>
      <c r="F21">
        <v>145.46034292300001</v>
      </c>
      <c r="G21">
        <v>-14.6668612919</v>
      </c>
      <c r="H21">
        <v>846.97259914000006</v>
      </c>
    </row>
    <row r="22" spans="1:8" x14ac:dyDescent="0.2">
      <c r="A22" t="s">
        <v>187</v>
      </c>
      <c r="C22" t="s">
        <v>89</v>
      </c>
      <c r="D22" t="s">
        <v>161</v>
      </c>
      <c r="E22">
        <v>15.208032404000001</v>
      </c>
      <c r="F22">
        <v>146.17094742099999</v>
      </c>
      <c r="G22">
        <v>-18.166713165499999</v>
      </c>
      <c r="H22">
        <v>795.33828909399995</v>
      </c>
    </row>
    <row r="23" spans="1:8" x14ac:dyDescent="0.2">
      <c r="A23" t="s">
        <v>186</v>
      </c>
      <c r="C23" t="s">
        <v>89</v>
      </c>
      <c r="D23" t="s">
        <v>161</v>
      </c>
      <c r="E23">
        <v>3.48379969955</v>
      </c>
      <c r="F23">
        <v>153.35989612500001</v>
      </c>
      <c r="G23">
        <v>-27.6112483434</v>
      </c>
      <c r="H23">
        <v>739.85266591699997</v>
      </c>
    </row>
    <row r="24" spans="1:8" x14ac:dyDescent="0.2">
      <c r="A24" t="s">
        <v>185</v>
      </c>
      <c r="B24" t="s">
        <v>184</v>
      </c>
      <c r="C24" t="s">
        <v>89</v>
      </c>
      <c r="D24" t="s">
        <v>161</v>
      </c>
      <c r="E24">
        <v>17.908787808700001</v>
      </c>
      <c r="F24">
        <v>146.51809037999999</v>
      </c>
      <c r="G24">
        <v>-18.685608946599999</v>
      </c>
      <c r="H24">
        <v>725.57744873000001</v>
      </c>
    </row>
    <row r="25" spans="1:8" x14ac:dyDescent="0.2">
      <c r="A25" t="s">
        <v>183</v>
      </c>
      <c r="C25" t="s">
        <v>89</v>
      </c>
      <c r="D25" t="s">
        <v>161</v>
      </c>
      <c r="E25">
        <v>4.0281034439400001</v>
      </c>
      <c r="F25">
        <v>146.158113106</v>
      </c>
      <c r="G25">
        <v>-17.944690735399998</v>
      </c>
      <c r="H25">
        <v>720.59093493299997</v>
      </c>
    </row>
    <row r="26" spans="1:8" x14ac:dyDescent="0.2">
      <c r="A26" t="s">
        <v>182</v>
      </c>
      <c r="B26" t="s">
        <v>181</v>
      </c>
      <c r="C26" t="s">
        <v>89</v>
      </c>
      <c r="D26" t="s">
        <v>161</v>
      </c>
      <c r="E26">
        <v>12.4259678597</v>
      </c>
      <c r="F26">
        <v>149.04255665700001</v>
      </c>
      <c r="G26">
        <v>-20.4455228942</v>
      </c>
      <c r="H26">
        <v>668.33603115799997</v>
      </c>
    </row>
    <row r="27" spans="1:8" x14ac:dyDescent="0.2">
      <c r="A27" t="s">
        <v>180</v>
      </c>
      <c r="C27" t="s">
        <v>89</v>
      </c>
      <c r="D27" t="s">
        <v>161</v>
      </c>
      <c r="E27">
        <v>0.276876901989</v>
      </c>
      <c r="F27">
        <v>153.38246525</v>
      </c>
      <c r="G27">
        <v>-27.770602294500002</v>
      </c>
      <c r="H27">
        <v>644.187347768</v>
      </c>
    </row>
    <row r="28" spans="1:8" x14ac:dyDescent="0.2">
      <c r="A28" t="s">
        <v>179</v>
      </c>
      <c r="C28" t="s">
        <v>89</v>
      </c>
      <c r="D28" t="s">
        <v>161</v>
      </c>
      <c r="E28">
        <v>2.6646930272299998</v>
      </c>
      <c r="F28">
        <v>148.83679543900001</v>
      </c>
      <c r="G28">
        <v>-20.269251015999998</v>
      </c>
      <c r="H28">
        <v>439.89059106100001</v>
      </c>
    </row>
    <row r="29" spans="1:8" x14ac:dyDescent="0.2">
      <c r="A29" t="s">
        <v>178</v>
      </c>
      <c r="B29" t="s">
        <v>177</v>
      </c>
      <c r="C29" t="s">
        <v>89</v>
      </c>
      <c r="D29" t="s">
        <v>161</v>
      </c>
      <c r="E29">
        <v>22.681135718699998</v>
      </c>
      <c r="F29">
        <v>148.887856234</v>
      </c>
      <c r="G29">
        <v>-20.050809883900001</v>
      </c>
      <c r="H29">
        <v>351.03123047700001</v>
      </c>
    </row>
    <row r="30" spans="1:8" x14ac:dyDescent="0.2">
      <c r="A30" t="s">
        <v>176</v>
      </c>
      <c r="C30" t="s">
        <v>89</v>
      </c>
      <c r="D30" t="s">
        <v>161</v>
      </c>
      <c r="E30">
        <v>26.5812625547</v>
      </c>
      <c r="F30">
        <v>142.22021996800001</v>
      </c>
      <c r="G30">
        <v>-10.5789048859</v>
      </c>
      <c r="H30">
        <v>341.20574409599999</v>
      </c>
    </row>
    <row r="31" spans="1:8" x14ac:dyDescent="0.2">
      <c r="A31" t="s">
        <v>175</v>
      </c>
      <c r="B31" t="s">
        <v>174</v>
      </c>
      <c r="C31" t="s">
        <v>89</v>
      </c>
      <c r="D31" t="s">
        <v>161</v>
      </c>
      <c r="E31">
        <v>2.7177231361300001</v>
      </c>
      <c r="F31">
        <v>139.065256756</v>
      </c>
      <c r="G31">
        <v>-16.895513609799998</v>
      </c>
      <c r="H31">
        <v>253.901713914</v>
      </c>
    </row>
    <row r="32" spans="1:8" x14ac:dyDescent="0.2">
      <c r="A32" t="s">
        <v>173</v>
      </c>
      <c r="C32" t="s">
        <v>89</v>
      </c>
      <c r="D32" t="s">
        <v>161</v>
      </c>
      <c r="E32">
        <v>0.72546599148699997</v>
      </c>
      <c r="F32">
        <v>153.33037445400001</v>
      </c>
      <c r="G32">
        <v>-27.5701885804</v>
      </c>
      <c r="H32">
        <v>170.03844863399999</v>
      </c>
    </row>
    <row r="33" spans="1:8" x14ac:dyDescent="0.2">
      <c r="A33" t="s">
        <v>172</v>
      </c>
      <c r="C33" t="s">
        <v>89</v>
      </c>
      <c r="D33" t="s">
        <v>161</v>
      </c>
      <c r="E33">
        <v>2.6805180472600001</v>
      </c>
      <c r="F33">
        <v>150.26681130399999</v>
      </c>
      <c r="G33">
        <v>-22.358795125899999</v>
      </c>
      <c r="H33">
        <v>156.82652763900001</v>
      </c>
    </row>
    <row r="34" spans="1:8" x14ac:dyDescent="0.2">
      <c r="A34" t="s">
        <v>171</v>
      </c>
      <c r="C34" t="s">
        <v>89</v>
      </c>
      <c r="D34" t="s">
        <v>161</v>
      </c>
      <c r="E34">
        <v>5.7159111229899997</v>
      </c>
      <c r="F34">
        <v>153.380257081</v>
      </c>
      <c r="G34">
        <v>-27.624989535600001</v>
      </c>
      <c r="H34">
        <v>150.21653155499999</v>
      </c>
    </row>
    <row r="35" spans="1:8" x14ac:dyDescent="0.2">
      <c r="A35" t="s">
        <v>170</v>
      </c>
      <c r="C35" t="s">
        <v>89</v>
      </c>
      <c r="D35" t="s">
        <v>161</v>
      </c>
      <c r="E35">
        <v>4.4150932405800001</v>
      </c>
      <c r="F35">
        <v>153.372095382</v>
      </c>
      <c r="G35">
        <v>-27.639022837700001</v>
      </c>
      <c r="H35">
        <v>106.38178888900001</v>
      </c>
    </row>
    <row r="36" spans="1:8" x14ac:dyDescent="0.2">
      <c r="A36" t="s">
        <v>169</v>
      </c>
      <c r="B36" t="s">
        <v>168</v>
      </c>
      <c r="C36" t="s">
        <v>89</v>
      </c>
      <c r="D36" t="s">
        <v>161</v>
      </c>
      <c r="E36">
        <v>5.1864982951999998</v>
      </c>
      <c r="F36">
        <v>146.14851593899999</v>
      </c>
      <c r="G36">
        <v>-18.004275590999999</v>
      </c>
      <c r="H36">
        <v>86.489640186399996</v>
      </c>
    </row>
    <row r="37" spans="1:8" x14ac:dyDescent="0.2">
      <c r="A37" t="s">
        <v>167</v>
      </c>
      <c r="B37" t="s">
        <v>166</v>
      </c>
      <c r="C37" t="s">
        <v>89</v>
      </c>
      <c r="D37" t="s">
        <v>161</v>
      </c>
      <c r="E37">
        <v>4.5044439989000002</v>
      </c>
      <c r="F37">
        <v>146.009896258</v>
      </c>
      <c r="G37">
        <v>-17.157499657700001</v>
      </c>
      <c r="H37">
        <v>70.005592531999994</v>
      </c>
    </row>
    <row r="38" spans="1:8" x14ac:dyDescent="0.2">
      <c r="A38" t="s">
        <v>165</v>
      </c>
      <c r="C38" t="s">
        <v>89</v>
      </c>
      <c r="D38" t="s">
        <v>161</v>
      </c>
      <c r="E38">
        <v>1.6207892447500001</v>
      </c>
      <c r="F38">
        <v>145.499161265</v>
      </c>
      <c r="G38">
        <v>-16.297444930800001</v>
      </c>
      <c r="H38">
        <v>64.381832439700005</v>
      </c>
    </row>
    <row r="39" spans="1:8" x14ac:dyDescent="0.2">
      <c r="A39" t="s">
        <v>164</v>
      </c>
      <c r="C39" t="s">
        <v>89</v>
      </c>
      <c r="D39" t="s">
        <v>161</v>
      </c>
      <c r="E39">
        <v>2.7669963117499998</v>
      </c>
      <c r="F39">
        <v>148.92234783999999</v>
      </c>
      <c r="G39">
        <v>-20.852934223399998</v>
      </c>
      <c r="H39">
        <v>60.39406666</v>
      </c>
    </row>
    <row r="40" spans="1:8" x14ac:dyDescent="0.2">
      <c r="A40" t="s">
        <v>163</v>
      </c>
      <c r="B40" t="s">
        <v>162</v>
      </c>
      <c r="C40" t="s">
        <v>89</v>
      </c>
      <c r="D40" t="s">
        <v>161</v>
      </c>
      <c r="E40">
        <v>64.267490921700002</v>
      </c>
      <c r="F40">
        <v>151.915265898</v>
      </c>
      <c r="G40">
        <v>-23.441871608100001</v>
      </c>
      <c r="H40">
        <v>15.193416338800001</v>
      </c>
    </row>
    <row r="41" spans="1:8" x14ac:dyDescent="0.2">
      <c r="G41" t="s">
        <v>160</v>
      </c>
      <c r="H41">
        <f>SUM(Table1[ISLAND AREA (ha)])</f>
        <v>379061.63801864284</v>
      </c>
    </row>
    <row r="42" spans="1:8" x14ac:dyDescent="0.2">
      <c r="G42" s="11" t="s">
        <v>159</v>
      </c>
      <c r="H42" s="11">
        <f>Table1[[#Totals],[ISLAND AREA (ha)]]/100</f>
        <v>3790.6163801864286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EC1A8-9BD6-FA40-89C2-2AEA05E30274}">
  <dimension ref="A1:H14"/>
  <sheetViews>
    <sheetView workbookViewId="0">
      <selection activeCell="I51" sqref="I51"/>
    </sheetView>
  </sheetViews>
  <sheetFormatPr baseColWidth="10" defaultRowHeight="16" x14ac:dyDescent="0.2"/>
  <sheetData>
    <row r="1" spans="1:8" x14ac:dyDescent="0.2">
      <c r="A1" t="s">
        <v>216</v>
      </c>
      <c r="B1" t="s">
        <v>215</v>
      </c>
      <c r="C1" t="s">
        <v>214</v>
      </c>
      <c r="D1" t="s">
        <v>213</v>
      </c>
      <c r="E1" t="s">
        <v>212</v>
      </c>
      <c r="F1" t="s">
        <v>211</v>
      </c>
      <c r="G1" t="s">
        <v>210</v>
      </c>
      <c r="H1" t="s">
        <v>209</v>
      </c>
    </row>
    <row r="2" spans="1:8" x14ac:dyDescent="0.2">
      <c r="A2" t="s">
        <v>217</v>
      </c>
      <c r="C2" t="s">
        <v>122</v>
      </c>
      <c r="D2" t="s">
        <v>161</v>
      </c>
      <c r="E2">
        <v>4.8160711144499997E-2</v>
      </c>
      <c r="F2">
        <v>135.39654404300001</v>
      </c>
      <c r="G2">
        <v>-12.1492415142</v>
      </c>
      <c r="H2">
        <v>27324.1336256</v>
      </c>
    </row>
    <row r="3" spans="1:8" x14ac:dyDescent="0.2">
      <c r="A3" t="s">
        <v>218</v>
      </c>
      <c r="B3" t="s">
        <v>219</v>
      </c>
      <c r="C3" t="s">
        <v>122</v>
      </c>
      <c r="D3" t="s">
        <v>161</v>
      </c>
      <c r="E3">
        <v>5.7029987590099998</v>
      </c>
      <c r="F3">
        <v>137.025831431</v>
      </c>
      <c r="G3">
        <v>-15.7178893703</v>
      </c>
      <c r="H3">
        <v>26432.228526800001</v>
      </c>
    </row>
    <row r="4" spans="1:8" x14ac:dyDescent="0.2">
      <c r="A4" t="s">
        <v>220</v>
      </c>
      <c r="B4" t="s">
        <v>219</v>
      </c>
      <c r="C4" t="s">
        <v>122</v>
      </c>
      <c r="D4" t="s">
        <v>161</v>
      </c>
      <c r="E4">
        <v>3.6517195328000001</v>
      </c>
      <c r="F4">
        <v>136.559125365</v>
      </c>
      <c r="G4">
        <v>-15.5868233582</v>
      </c>
      <c r="H4">
        <v>12982.779266199999</v>
      </c>
    </row>
    <row r="5" spans="1:8" x14ac:dyDescent="0.2">
      <c r="A5" t="s">
        <v>221</v>
      </c>
      <c r="B5" t="s">
        <v>219</v>
      </c>
      <c r="C5" t="s">
        <v>122</v>
      </c>
      <c r="D5" t="s">
        <v>161</v>
      </c>
      <c r="E5">
        <v>0.61139449209499996</v>
      </c>
      <c r="F5">
        <v>136.66526624799999</v>
      </c>
      <c r="G5">
        <v>-15.7239436599</v>
      </c>
      <c r="H5">
        <v>9198.2509374399997</v>
      </c>
    </row>
    <row r="6" spans="1:8" x14ac:dyDescent="0.2">
      <c r="A6" t="s">
        <v>222</v>
      </c>
      <c r="B6" t="s">
        <v>219</v>
      </c>
      <c r="C6" t="s">
        <v>122</v>
      </c>
      <c r="D6" t="s">
        <v>161</v>
      </c>
      <c r="E6">
        <v>7.6522279904900001</v>
      </c>
      <c r="F6">
        <v>136.77309799400001</v>
      </c>
      <c r="G6">
        <v>-15.6935517153</v>
      </c>
      <c r="H6">
        <v>8498.19408879</v>
      </c>
    </row>
    <row r="7" spans="1:8" x14ac:dyDescent="0.2">
      <c r="A7" t="s">
        <v>223</v>
      </c>
      <c r="C7" t="s">
        <v>122</v>
      </c>
      <c r="D7" t="s">
        <v>161</v>
      </c>
      <c r="E7">
        <v>2.5861507902700001</v>
      </c>
      <c r="F7">
        <v>129.554746392</v>
      </c>
      <c r="G7">
        <v>-14.8648341704</v>
      </c>
      <c r="H7">
        <v>5677.8483495099999</v>
      </c>
    </row>
    <row r="8" spans="1:8" x14ac:dyDescent="0.2">
      <c r="A8" t="s">
        <v>224</v>
      </c>
      <c r="B8" t="s">
        <v>219</v>
      </c>
      <c r="C8" t="s">
        <v>122</v>
      </c>
      <c r="D8" t="s">
        <v>161</v>
      </c>
      <c r="E8">
        <v>24.8167338266</v>
      </c>
      <c r="F8">
        <v>136.865468058</v>
      </c>
      <c r="G8">
        <v>-15.582679669799999</v>
      </c>
      <c r="H8">
        <v>5577.5859681600004</v>
      </c>
    </row>
    <row r="9" spans="1:8" x14ac:dyDescent="0.2">
      <c r="A9" t="s">
        <v>225</v>
      </c>
      <c r="C9" t="s">
        <v>122</v>
      </c>
      <c r="D9" t="s">
        <v>161</v>
      </c>
      <c r="E9">
        <v>0.40168944774100002</v>
      </c>
      <c r="F9">
        <v>134.890568978</v>
      </c>
      <c r="G9">
        <v>-12.094570338600001</v>
      </c>
      <c r="H9">
        <v>4948.63747014</v>
      </c>
    </row>
    <row r="10" spans="1:8" x14ac:dyDescent="0.2">
      <c r="A10" t="s">
        <v>226</v>
      </c>
      <c r="C10" t="s">
        <v>122</v>
      </c>
      <c r="D10" t="s">
        <v>161</v>
      </c>
      <c r="E10">
        <v>0</v>
      </c>
      <c r="F10">
        <v>129.77888852500001</v>
      </c>
      <c r="G10">
        <v>-14.807595661600001</v>
      </c>
      <c r="H10">
        <v>1867.89821764</v>
      </c>
    </row>
    <row r="11" spans="1:8" x14ac:dyDescent="0.2">
      <c r="A11" t="s">
        <v>227</v>
      </c>
      <c r="C11" t="s">
        <v>122</v>
      </c>
      <c r="D11" t="s">
        <v>161</v>
      </c>
      <c r="E11">
        <v>0.23478862219400001</v>
      </c>
      <c r="F11">
        <v>129.696066758</v>
      </c>
      <c r="G11">
        <v>-15.1736109065</v>
      </c>
      <c r="H11">
        <v>1532.41830641</v>
      </c>
    </row>
    <row r="12" spans="1:8" x14ac:dyDescent="0.2">
      <c r="A12" t="s">
        <v>228</v>
      </c>
      <c r="C12" t="s">
        <v>122</v>
      </c>
      <c r="D12" t="s">
        <v>161</v>
      </c>
      <c r="E12">
        <v>0.27871260769200001</v>
      </c>
      <c r="F12">
        <v>130.625674242</v>
      </c>
      <c r="G12">
        <v>-12.6846313071</v>
      </c>
      <c r="H12">
        <v>46.020106924300002</v>
      </c>
    </row>
    <row r="13" spans="1:8" x14ac:dyDescent="0.2">
      <c r="G13" t="s">
        <v>160</v>
      </c>
      <c r="H13">
        <f>SUM(Table2[ISLAND AREA (ha)])</f>
        <v>104085.99486361431</v>
      </c>
    </row>
    <row r="14" spans="1:8" x14ac:dyDescent="0.2">
      <c r="G14" s="11" t="s">
        <v>159</v>
      </c>
      <c r="H14" s="11">
        <f>Table2[[#Totals],[ISLAND AREA (ha)]]/100</f>
        <v>1040.8599486361431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sumCost</vt:lpstr>
      <vt:lpstr>sumArea</vt:lpstr>
      <vt:lpstr>detailCost</vt:lpstr>
      <vt:lpstr>HCIIslands</vt:lpstr>
      <vt:lpstr>FAOIqld</vt:lpstr>
      <vt:lpstr>FAOInt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2018-10-15T23:41:47Z</dcterms:created>
  <dcterms:modified xsi:type="dcterms:W3CDTF">2019-09-13T03:52:06Z</dcterms:modified>
</cp:coreProperties>
</file>