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ersonale\Università\Magistrale\Architetture e Sistemi SW Distribuiti\Progetto6\DynamicClientFramework\Progetto6\"/>
    </mc:Choice>
  </mc:AlternateContent>
  <xr:revisionPtr revIDLastSave="0" documentId="13_ncr:1_{AD138E72-EC6E-4691-AFA3-76020F985993}" xr6:coauthVersionLast="47" xr6:coauthVersionMax="47" xr10:uidLastSave="{00000000-0000-0000-0000-000000000000}"/>
  <bookViews>
    <workbookView xWindow="0" yWindow="552" windowWidth="14604" windowHeight="11436" firstSheet="1" activeTab="2" xr2:uid="{FD73FD00-E424-4645-8C8F-C9C080FB4908}"/>
  </bookViews>
  <sheets>
    <sheet name="AGGREGABLE" sheetId="1" r:id="rId1"/>
    <sheet name="DROP" sheetId="2" r:id="rId2"/>
    <sheet name="AGGREGABLE2" sheetId="4" r:id="rId3"/>
    <sheet name="DROP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4" l="1"/>
  <c r="G23" i="4"/>
  <c r="H42" i="3"/>
  <c r="H21" i="3"/>
  <c r="J32" i="3"/>
  <c r="J33" i="3"/>
  <c r="J34" i="3"/>
  <c r="J35" i="3"/>
  <c r="J36" i="3"/>
  <c r="J37" i="3"/>
  <c r="J38" i="3"/>
  <c r="J39" i="3"/>
  <c r="J40" i="3"/>
  <c r="J41" i="3"/>
  <c r="G32" i="3"/>
  <c r="G33" i="3"/>
  <c r="G34" i="3"/>
  <c r="G35" i="3"/>
  <c r="G36" i="3"/>
  <c r="G37" i="3"/>
  <c r="G38" i="3"/>
  <c r="G39" i="3"/>
  <c r="G40" i="3"/>
  <c r="G41" i="3"/>
  <c r="I42" i="3"/>
  <c r="F42" i="3"/>
  <c r="E42" i="3"/>
  <c r="F35" i="4"/>
  <c r="F36" i="4"/>
  <c r="F37" i="4"/>
  <c r="F38" i="4"/>
  <c r="F39" i="4"/>
  <c r="F40" i="4"/>
  <c r="F41" i="4"/>
  <c r="F42" i="4"/>
  <c r="F43" i="4"/>
  <c r="F44" i="4"/>
  <c r="I35" i="4"/>
  <c r="I36" i="4"/>
  <c r="I37" i="4"/>
  <c r="I38" i="4"/>
  <c r="I39" i="4"/>
  <c r="I40" i="4"/>
  <c r="I41" i="4"/>
  <c r="I42" i="4"/>
  <c r="I43" i="4"/>
  <c r="I44" i="4"/>
  <c r="H45" i="4"/>
  <c r="E45" i="4"/>
  <c r="D45" i="4"/>
  <c r="F15" i="4"/>
  <c r="H23" i="4"/>
  <c r="E23" i="4"/>
  <c r="D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I14" i="4"/>
  <c r="F14" i="4"/>
  <c r="I13" i="4"/>
  <c r="F13" i="4"/>
  <c r="J12" i="3"/>
  <c r="J13" i="3"/>
  <c r="J14" i="3"/>
  <c r="J15" i="3"/>
  <c r="J16" i="3"/>
  <c r="J17" i="3"/>
  <c r="J18" i="3"/>
  <c r="J19" i="3"/>
  <c r="J20" i="3"/>
  <c r="J11" i="3"/>
  <c r="G13" i="3"/>
  <c r="I21" i="3"/>
  <c r="F21" i="3"/>
  <c r="E21" i="3"/>
  <c r="G20" i="3"/>
  <c r="G19" i="3"/>
  <c r="G18" i="3"/>
  <c r="G17" i="3"/>
  <c r="G16" i="3"/>
  <c r="G15" i="3"/>
  <c r="G14" i="3"/>
  <c r="G12" i="3"/>
  <c r="G11" i="3"/>
  <c r="I41" i="2"/>
  <c r="F41" i="2"/>
  <c r="E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I22" i="2"/>
  <c r="F22" i="2"/>
  <c r="E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G22" i="2" s="1"/>
  <c r="J12" i="2"/>
  <c r="G12" i="2"/>
  <c r="L38" i="1"/>
  <c r="K38" i="1"/>
  <c r="I38" i="1"/>
  <c r="H38" i="1"/>
  <c r="G38" i="1"/>
  <c r="L28" i="1"/>
  <c r="L29" i="1"/>
  <c r="L30" i="1"/>
  <c r="L31" i="1"/>
  <c r="L32" i="1"/>
  <c r="L33" i="1"/>
  <c r="L34" i="1"/>
  <c r="L35" i="1"/>
  <c r="L36" i="1"/>
  <c r="L37" i="1"/>
  <c r="I28" i="1"/>
  <c r="I29" i="1"/>
  <c r="I30" i="1"/>
  <c r="I31" i="1"/>
  <c r="I32" i="1"/>
  <c r="I33" i="1"/>
  <c r="I34" i="1"/>
  <c r="I35" i="1"/>
  <c r="I36" i="1"/>
  <c r="I37" i="1"/>
  <c r="K19" i="1"/>
  <c r="G19" i="1"/>
  <c r="L9" i="1"/>
  <c r="L10" i="1"/>
  <c r="L11" i="1"/>
  <c r="L12" i="1"/>
  <c r="L13" i="1"/>
  <c r="L14" i="1"/>
  <c r="L15" i="1"/>
  <c r="L16" i="1"/>
  <c r="L17" i="1"/>
  <c r="L18" i="1"/>
  <c r="I9" i="1"/>
  <c r="I10" i="1"/>
  <c r="I11" i="1"/>
  <c r="I12" i="1"/>
  <c r="I13" i="1"/>
  <c r="I14" i="1"/>
  <c r="I15" i="1"/>
  <c r="I16" i="1"/>
  <c r="I17" i="1"/>
  <c r="I18" i="1"/>
  <c r="H19" i="1"/>
  <c r="G42" i="3" l="1"/>
  <c r="J42" i="3"/>
  <c r="I45" i="4"/>
  <c r="F45" i="4"/>
  <c r="F23" i="4"/>
  <c r="I23" i="4"/>
  <c r="J21" i="3"/>
  <c r="G21" i="3"/>
  <c r="G41" i="2"/>
  <c r="J41" i="2"/>
  <c r="J22" i="2"/>
  <c r="L19" i="1"/>
  <c r="I19" i="1"/>
</calcChain>
</file>

<file path=xl/sharedStrings.xml><?xml version="1.0" encoding="utf-8"?>
<sst xmlns="http://schemas.openxmlformats.org/spreadsheetml/2006/main" count="130" uniqueCount="21">
  <si>
    <t>Consumer</t>
  </si>
  <si>
    <t>Sender</t>
  </si>
  <si>
    <t>N</t>
  </si>
  <si>
    <t>Simulation Time</t>
  </si>
  <si>
    <t>60 s</t>
  </si>
  <si>
    <t>Longest Congestion Period</t>
  </si>
  <si>
    <t>Epsilon</t>
  </si>
  <si>
    <t>Buffer min dim</t>
  </si>
  <si>
    <t>TGT/ST (%)</t>
  </si>
  <si>
    <t>Congestion Times</t>
  </si>
  <si>
    <t>MEAN</t>
  </si>
  <si>
    <t xml:space="preserve">Total Normal Time </t>
  </si>
  <si>
    <t>Total Congested Time</t>
  </si>
  <si>
    <t>Strategy</t>
  </si>
  <si>
    <t>Aggregate</t>
  </si>
  <si>
    <t>Mean messages queue</t>
  </si>
  <si>
    <t>Aggregable</t>
  </si>
  <si>
    <t>Drop</t>
  </si>
  <si>
    <t>Mean queue messages</t>
  </si>
  <si>
    <t xml:space="preserve"> 1                              5                        15,1940                         3,0510                         2,6167</t>
  </si>
  <si>
    <t xml:space="preserve"> 1                              4                        33,4550                        21,3000                         4,8167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</si>
</sst>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/>
    <xf numFmtId="0" fontId="0" fillId="0" borderId="0" xfId="0" applyAlignment="1">
      <alignment horizontal="left" vertical="center"/>
    </xf>
    <xf numFmtId="2" fontId="0" fillId="0" borderId="0" xfId="0" applyNumberFormat="1" applyAlignment="1"/>
    <xf numFmtId="2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117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C742D-8AE3-42D3-AD43-8837D027E10B}" name="Tabella1" displayName="Tabella1" ref="F8:L19" totalsRowCount="1" headerRowDxfId="116" dataDxfId="115">
  <autoFilter ref="F8:L18" xr:uid="{05EC742D-8AE3-42D3-AD43-8837D027E10B}"/>
  <tableColumns count="7">
    <tableColumn id="1" xr3:uid="{F1EFE9EE-CB81-42D7-97B0-0EC878C17008}" name="N" totalsRowLabel="MEAN" dataDxfId="114" totalsRowDxfId="113"/>
    <tableColumn id="2" xr3:uid="{E566AC6D-16CB-4527-A0B3-99A5B0F86E62}" name="Congestion Times" totalsRowFunction="custom" dataDxfId="112" totalsRowDxfId="111">
      <totalsRowFormula>AVERAGE(Tabella1[Congestion Times])</totalsRowFormula>
    </tableColumn>
    <tableColumn id="3" xr3:uid="{290876D3-8289-41E3-A1D8-D11238703273}" name="Total Congested Time" totalsRowFunction="custom" dataDxfId="110" totalsRowDxfId="109">
      <totalsRowFormula>SUBTOTAL(109,Tabella1[Total Congested Time])/(10)</totalsRowFormula>
    </tableColumn>
    <tableColumn id="7" xr3:uid="{6751FCFE-FC66-4148-86FC-75AA1F45BB10}" name="Total Normal Time " totalsRowFunction="custom" dataDxfId="108" totalsRowDxfId="107">
      <calculatedColumnFormula>N9-Tabella1[[#This Row],[Total Congested Time]]</calculatedColumnFormula>
      <totalsRowFormula>AVERAGE(Tabella1[[Total Normal Time ]])</totalsRowFormula>
    </tableColumn>
    <tableColumn id="4" xr3:uid="{584C2CF0-7AC1-4B2C-8FE4-83C474FE19E3}" name="Longest Congestion Period" dataDxfId="106" totalsRowDxfId="105"/>
    <tableColumn id="6" xr3:uid="{E20A344E-4B47-4AAD-8719-0EFF3679D283}" name="Mean messages queue" totalsRowFunction="custom" dataDxfId="104" totalsRowDxfId="103">
      <totalsRowFormula>AVERAGE(Tabella1[Mean messages queue])</totalsRowFormula>
    </tableColumn>
    <tableColumn id="5" xr3:uid="{BF661344-BD8E-4EB7-A673-09B7F7F9270A}" name="TGT/ST (%)" totalsRowFunction="custom" dataDxfId="102" totalsRowDxfId="101">
      <calculatedColumnFormula>Tabella1[[#This Row],[Total Congested Time]]/N9*100</calculatedColumnFormula>
      <totalsRowFormula>AVERAGE(Tabella1[TGT/ST (%)])</totalsRow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61272-E897-46C5-9ACE-294CABA5F629}" name="Tabella13" displayName="Tabella13" ref="F27:L38" totalsRowCount="1" headerRowDxfId="100" dataDxfId="99">
  <autoFilter ref="F27:L37" xr:uid="{3E461272-E897-46C5-9ACE-294CABA5F629}"/>
  <tableColumns count="7">
    <tableColumn id="1" xr3:uid="{8B4A1AD7-88DE-406D-8B0E-F6EED1C60541}" name="N" totalsRowLabel="MEAN" dataDxfId="98" totalsRowDxfId="97"/>
    <tableColumn id="2" xr3:uid="{BEC2B5E5-BD10-441A-9122-0363C9A6AD27}" name="Congestion Times" totalsRowFunction="custom" dataDxfId="96" totalsRowDxfId="95">
      <totalsRowFormula>AVERAGE(Tabella13[Congestion Times])</totalsRowFormula>
    </tableColumn>
    <tableColumn id="3" xr3:uid="{9F4F1631-37AF-4A2C-AC2D-38752C404BB7}" name="Total Congested Time" totalsRowFunction="custom" totalsRowDxfId="94">
      <totalsRowFormula>AVERAGE(Tabella13[Total Congested Time])</totalsRowFormula>
    </tableColumn>
    <tableColumn id="7" xr3:uid="{4BA02454-EC89-49B2-B4FA-651A5552C684}" name="Total Normal Time " totalsRowFunction="custom" totalsRowDxfId="93">
      <calculatedColumnFormula>N9-Tabella13[[#This Row],[Total Congested Time]]</calculatedColumnFormula>
      <totalsRowFormula>AVERAGE(Tabella13[[Total Normal Time ]])</totalsRowFormula>
    </tableColumn>
    <tableColumn id="4" xr3:uid="{A6D072DA-56C3-44AB-AC46-2BE5C7E92EAD}" name="Longest Congestion Period" totalsRowDxfId="92"/>
    <tableColumn id="8" xr3:uid="{1095664D-E794-4B52-A896-A1265D4B3A4D}" name="Mean messages queue" totalsRowFunction="custom" totalsRowDxfId="91">
      <totalsRowFormula>AVERAGE(Tabella13[Mean messages queue])</totalsRowFormula>
    </tableColumn>
    <tableColumn id="5" xr3:uid="{448E59A7-BFE8-4CED-A3C3-CED98D62F903}" name="TGT/ST (%)" totalsRowFunction="custom" dataDxfId="90" totalsRowDxfId="89">
      <calculatedColumnFormula>Tabella13[[#This Row],[Total Congested Time]]/N9*100</calculatedColumnFormula>
      <totalsRowFormula>AVERAGE(Tabella13[TGT/ST (%)])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1A7C1-D2F2-44D6-9648-4D7EB4FA71AC}" name="Tabella16" displayName="Tabella16" ref="D11:J22" totalsRowCount="1" headerRowDxfId="88" dataDxfId="87">
  <autoFilter ref="D11:J21" xr:uid="{7271A7C1-D2F2-44D6-9648-4D7EB4FA71AC}"/>
  <tableColumns count="7">
    <tableColumn id="1" xr3:uid="{5B37F6F4-7420-4D44-B72C-54C519D1655B}" name="N" totalsRowLabel="MEAN" dataDxfId="86" totalsRowDxfId="85"/>
    <tableColumn id="2" xr3:uid="{6D2BB020-2AEE-4EBD-885A-A6FF843F7F64}" name="Congestion Times" totalsRowFunction="custom" dataDxfId="84" totalsRowDxfId="83">
      <totalsRowFormula>AVERAGE(Tabella16[Congestion Times])</totalsRowFormula>
    </tableColumn>
    <tableColumn id="3" xr3:uid="{7CE21669-D9A0-47B9-9C5B-ABCC86BBD8EC}" name="Total Congested Time" totalsRowFunction="custom" dataDxfId="82" totalsRowDxfId="81">
      <totalsRowFormula>SUBTOTAL(109,Tabella16[Total Congested Time])/(10)</totalsRowFormula>
    </tableColumn>
    <tableColumn id="7" xr3:uid="{5DE5826D-5C8E-485C-8273-BDCA635C34FD}" name="Total Normal Time " totalsRowFunction="custom" dataDxfId="80" totalsRowDxfId="79">
      <calculatedColumnFormula>L12-Tabella16[[#This Row],[Total Congested Time]]</calculatedColumnFormula>
      <totalsRowFormula>AVERAGE(Tabella16[[Total Normal Time ]])</totalsRowFormula>
    </tableColumn>
    <tableColumn id="4" xr3:uid="{CF011E70-57C4-4C4F-B386-C0E414D09065}" name="Longest Congestion Period" dataDxfId="78" totalsRowDxfId="77"/>
    <tableColumn id="6" xr3:uid="{627571AC-B59F-4151-949B-3354FDE85DA6}" name="Mean messages queue" totalsRowFunction="custom" dataDxfId="76" totalsRowDxfId="75">
      <totalsRowFormula>AVERAGE(Tabella16[Mean messages queue])</totalsRowFormula>
    </tableColumn>
    <tableColumn id="5" xr3:uid="{C4098646-BD87-4F8E-A9A2-1EC20701F443}" name="TGT/ST (%)" totalsRowFunction="custom" dataDxfId="74" totalsRowDxfId="73">
      <calculatedColumnFormula>Tabella16[[#This Row],[Total Congested Time]]/L12*100</calculatedColumnFormula>
      <totalsRowFormula>AVERAGE(Tabella16[TGT/ST (%)])</totalsRow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CCFCD9-711D-43BE-BDF7-77894EDFD319}" name="Tabella137" displayName="Tabella137" ref="D30:J41" totalsRowCount="1" headerRowDxfId="72" dataDxfId="71">
  <autoFilter ref="D30:J40" xr:uid="{61CCFCD9-711D-43BE-BDF7-77894EDFD319}"/>
  <tableColumns count="7">
    <tableColumn id="1" xr3:uid="{B333291D-E274-4666-B781-0B7DBAA24701}" name="N" totalsRowLabel="MEAN" dataDxfId="70" totalsRowDxfId="69"/>
    <tableColumn id="2" xr3:uid="{1BC64F5D-6B57-4A65-8656-9B7616BE8343}" name="Congestion Times" totalsRowFunction="custom" dataDxfId="68" totalsRowDxfId="67">
      <totalsRowFormula>AVERAGE(Tabella137[Congestion Times])</totalsRowFormula>
    </tableColumn>
    <tableColumn id="3" xr3:uid="{00C0D2C9-4B52-493C-8AAA-E8B55EE52E75}" name="Total Congested Time" totalsRowFunction="custom" totalsRowDxfId="66">
      <totalsRowFormula>AVERAGE(Tabella137[Total Congested Time])</totalsRowFormula>
    </tableColumn>
    <tableColumn id="7" xr3:uid="{02F68BDF-6004-4CD4-BB4C-62336069F362}" name="Total Normal Time " totalsRowFunction="custom" totalsRowDxfId="65">
      <calculatedColumnFormula>L12-Tabella137[[#This Row],[Total Congested Time]]</calculatedColumnFormula>
      <totalsRowFormula>AVERAGE(Tabella137[[Total Normal Time ]])</totalsRowFormula>
    </tableColumn>
    <tableColumn id="4" xr3:uid="{BE813F74-AC19-43EE-AAD8-9A35F2840926}" name="Longest Congestion Period" totalsRowDxfId="64"/>
    <tableColumn id="8" xr3:uid="{0857BBEB-7A40-4D4F-83CA-C1735CD6197E}" name="Mean messages queue" totalsRowFunction="custom" totalsRowDxfId="63">
      <totalsRowFormula>AVERAGE(Tabella137[Mean messages queue])</totalsRowFormula>
    </tableColumn>
    <tableColumn id="5" xr3:uid="{4B4A7526-1E59-422B-A2D2-63E53343E2EB}" name="TGT/ST (%)" totalsRowFunction="custom" dataDxfId="62" totalsRowDxfId="61">
      <calculatedColumnFormula>Tabella137[[#This Row],[Total Congested Time]]/L12*100</calculatedColumnFormula>
      <totalsRowFormula>AVERAGE(Tabella137[TGT/ST (%)])</totalsRow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7CE2D-96B9-4C61-BBFC-55D26FBCA14E}" name="Tabella110" displayName="Tabella110" ref="C12:I23" totalsRowCount="1" headerRowDxfId="60" dataDxfId="59">
  <autoFilter ref="C12:I22" xr:uid="{5E07CE2D-96B9-4C61-BBFC-55D26FBCA14E}"/>
  <tableColumns count="7">
    <tableColumn id="1" xr3:uid="{470A96F2-9E90-487E-B9EF-BC4AA31AF3B0}" name="N" totalsRowLabel="MEAN" dataDxfId="58" totalsRowDxfId="15"/>
    <tableColumn id="2" xr3:uid="{3A0F7B62-C131-4434-8F15-7FD1FB95C497}" name="Congestion Times" totalsRowFunction="custom" dataDxfId="57" totalsRowDxfId="14">
      <totalsRowFormula>AVERAGE(Tabella110[Congestion Times])</totalsRowFormula>
    </tableColumn>
    <tableColumn id="3" xr3:uid="{B2B06B0F-3BE7-4B20-BD0F-2BD281AD7BE5}" name="Total Congested Time" totalsRowFunction="custom" dataDxfId="56" totalsRowDxfId="13">
      <totalsRowFormula>SUBTOTAL(109,Tabella110[Total Congested Time])/(10)</totalsRowFormula>
    </tableColumn>
    <tableColumn id="7" xr3:uid="{E9C01708-DC53-49CC-8F08-89B3942A5550}" name="Total Normal Time " totalsRowFunction="custom" dataDxfId="55" totalsRowDxfId="12">
      <calculatedColumnFormula>K13-Tabella110[[#This Row],[Total Congested Time]]</calculatedColumnFormula>
      <totalsRowFormula>AVERAGE(Tabella110[[Total Normal Time ]])</totalsRowFormula>
    </tableColumn>
    <tableColumn id="4" xr3:uid="{9B7E97CC-D516-45C4-A0D1-922FA1FBB8E3}" name="Longest Congestion Period" totalsRowFunction="custom" dataDxfId="54" totalsRowDxfId="11">
      <totalsRowFormula>AVERAGE(Tabella110[Longest Congestion Period])</totalsRowFormula>
    </tableColumn>
    <tableColumn id="6" xr3:uid="{95BBC2A0-15E7-4885-B568-F70F7AA5CF16}" name="Mean messages queue" totalsRowFunction="custom" dataDxfId="17" totalsRowDxfId="10">
      <totalsRowFormula>AVERAGE(Tabella110[Mean messages queue])</totalsRowFormula>
    </tableColumn>
    <tableColumn id="5" xr3:uid="{2CE42145-DD7E-4B03-8FEC-604AADDE19D5}" name="TGT/ST (%)" totalsRowFunction="custom" dataDxfId="16" totalsRowDxfId="9">
      <calculatedColumnFormula>Tabella110[[#This Row],[Total Congested Time]]/K13*100</calculatedColumnFormula>
      <totalsRowFormula>AVERAGE(Tabella110[TGT/ST (%)])</totalsRow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DCAFCD-27A6-499D-A184-3AB4E5316B85}" name="Tabella11011" displayName="Tabella11011" ref="C34:I45" totalsRowCount="1" headerRowDxfId="53" dataDxfId="52">
  <autoFilter ref="C34:I44" xr:uid="{9FDCAFCD-27A6-499D-A184-3AB4E5316B85}"/>
  <tableColumns count="7">
    <tableColumn id="1" xr3:uid="{4527C59A-6BAE-448E-B12E-71C921F14C9D}" name="N" totalsRowLabel="MEAN" dataDxfId="51" totalsRowDxfId="8"/>
    <tableColumn id="2" xr3:uid="{D8A8A09E-B46C-4F62-8165-8394ABAE1DD8}" name="Congestion Times" totalsRowFunction="custom" dataDxfId="50" totalsRowDxfId="7">
      <totalsRowFormula>AVERAGE(Tabella11011[Congestion Times])</totalsRowFormula>
    </tableColumn>
    <tableColumn id="3" xr3:uid="{645F7D16-DF38-4B25-ABA0-C108C6452898}" name="Total Congested Time" totalsRowFunction="custom" dataDxfId="49" totalsRowDxfId="6">
      <totalsRowFormula>SUBTOTAL(109,Tabella11011[Total Congested Time])/(10)</totalsRowFormula>
    </tableColumn>
    <tableColumn id="7" xr3:uid="{EC378E4B-E086-4351-AC1B-750863BE48CD}" name="Total Normal Time " totalsRowFunction="custom" dataDxfId="48" totalsRowDxfId="5">
      <calculatedColumnFormula>K13-Tabella11011[[#This Row],[Total Congested Time]]</calculatedColumnFormula>
      <totalsRowFormula>AVERAGE(Tabella11011[[Total Normal Time ]])</totalsRowFormula>
    </tableColumn>
    <tableColumn id="4" xr3:uid="{C901B2ED-F6DA-4A13-A7F6-C45E84048D73}" name="Longest Congestion Period" totalsRowFunction="custom" dataDxfId="47" totalsRowDxfId="4">
      <totalsRowFormula>AVERAGE(Tabella11011[Longest Congestion Period])</totalsRowFormula>
    </tableColumn>
    <tableColumn id="6" xr3:uid="{FE937618-A16F-45D2-8A95-22DA9ADF4DBA}" name="Mean messages queue" totalsRowFunction="custom" dataDxfId="2" totalsRowDxfId="3">
      <totalsRowFormula>AVERAGE(Tabella11011[Mean messages queue])</totalsRowFormula>
    </tableColumn>
    <tableColumn id="5" xr3:uid="{F6E9D76E-D658-4AD4-A71C-5017C919DCB8}" name="TGT/ST (%)" totalsRowFunction="custom" dataDxfId="1" totalsRowDxfId="0">
      <calculatedColumnFormula>Tabella11011[[#This Row],[Total Congested Time]]/K13*100</calculatedColumnFormula>
      <totalsRowFormula>AVERAGE(Tabella11011[TGT/ST (%)])</totalsRow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2FC862-AF44-4F85-A2F8-5F7C37AEFC96}" name="Tabella165" displayName="Tabella165" ref="D10:J21" totalsRowCount="1" headerRowDxfId="46" dataDxfId="45">
  <autoFilter ref="D10:J20" xr:uid="{5F2FC862-AF44-4F85-A2F8-5F7C37AEFC96}"/>
  <tableColumns count="7">
    <tableColumn id="1" xr3:uid="{8DB386C7-BC27-4582-B0D6-D0A78FB35F81}" name="N" totalsRowLabel="MEAN" dataDxfId="44" totalsRowDxfId="34"/>
    <tableColumn id="2" xr3:uid="{C639D270-8D72-4BB2-83A4-0821388BA916}" name="Congestion Times" totalsRowFunction="custom" dataDxfId="43" totalsRowDxfId="33">
      <totalsRowFormula>AVERAGE(Tabella165[Congestion Times])</totalsRowFormula>
    </tableColumn>
    <tableColumn id="3" xr3:uid="{F3252445-CEF0-4DB1-8B6A-1B12D69DA42A}" name="Total Congested Time" totalsRowFunction="custom" dataDxfId="42" totalsRowDxfId="32">
      <totalsRowFormula>SUBTOTAL(109,Tabella165[Total Congested Time])/(10)</totalsRowFormula>
    </tableColumn>
    <tableColumn id="7" xr3:uid="{D02C0C55-58EF-4FDB-9615-76599A444A11}" name="Total Normal Time " totalsRowFunction="custom" dataDxfId="41" totalsRowDxfId="31">
      <calculatedColumnFormula>L11-Tabella165[[#This Row],[Total Congested Time]]</calculatedColumnFormula>
      <totalsRowFormula>AVERAGE(Tabella165[[Total Normal Time ]])</totalsRowFormula>
    </tableColumn>
    <tableColumn id="4" xr3:uid="{690CD4B7-1706-4A34-B7ED-4DC0B1758FD2}" name="Longest Congestion Period" totalsRowFunction="custom" dataDxfId="40" totalsRowDxfId="29">
      <totalsRowFormula>AVERAGE(Tabella165[Longest Congestion Period])</totalsRowFormula>
    </tableColumn>
    <tableColumn id="6" xr3:uid="{177F6255-28D7-44D6-A973-965CCF0E3E02}" name="Mean queue messages" totalsRowFunction="custom" dataDxfId="20" totalsRowDxfId="30">
      <totalsRowFormula>AVERAGE(Tabella165[Mean queue messages])</totalsRowFormula>
    </tableColumn>
    <tableColumn id="5" xr3:uid="{44FB7848-2E52-4D70-B84A-6727DEB3B1CB}" name="TGT/ST (%)" totalsRowFunction="custom" dataDxfId="19" totalsRowDxfId="21">
      <calculatedColumnFormula>Tabella165[[#This Row],[Total Congested Time]]/L11*100</calculatedColumnFormula>
      <totalsRowFormula>AVERAGE(Tabella165[TGT/ST (%)])</totalsRow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81D1FA-E4E8-42EF-9C51-C9B94A27699E}" name="Tabella13712" displayName="Tabella13712" ref="D31:J42" totalsRowCount="1" headerRowDxfId="39" dataDxfId="38">
  <autoFilter ref="D31:J41" xr:uid="{6581D1FA-E4E8-42EF-9C51-C9B94A27699E}"/>
  <tableColumns count="7">
    <tableColumn id="1" xr3:uid="{B92E5CAA-2CB2-4FC6-BA1B-06D685CE94E3}" name="N" totalsRowLabel="MEAN" dataDxfId="37" totalsRowDxfId="28"/>
    <tableColumn id="2" xr3:uid="{93FAE0A5-6C08-4AD9-853F-E42A98ADB543}" name="Congestion Times" totalsRowFunction="custom" dataDxfId="36" totalsRowDxfId="27">
      <totalsRowFormula>AVERAGE(Tabella13712[Congestion Times])</totalsRowFormula>
    </tableColumn>
    <tableColumn id="3" xr3:uid="{DCD011F4-FFF6-46B6-8F12-6C68477A9FAE}" name="Total Congested Time" totalsRowFunction="custom" totalsRowDxfId="26">
      <totalsRowFormula>AVERAGE(Tabella13712[Total Congested Time])</totalsRowFormula>
    </tableColumn>
    <tableColumn id="7" xr3:uid="{496689CA-92AC-4A08-A488-A3918F5C0C6B}" name="Total Normal Time " totalsRowFunction="custom" dataDxfId="35" totalsRowDxfId="25">
      <calculatedColumnFormula>L11-Tabella13712[[#This Row],[Total Congested Time]]</calculatedColumnFormula>
      <totalsRowFormula>AVERAGE(Tabella13712[[Total Normal Time ]])</totalsRowFormula>
    </tableColumn>
    <tableColumn id="4" xr3:uid="{91AEAEA4-202B-45D6-B48C-0D6BDD57E40B}" name="Longest Congestion Period" totalsRowFunction="custom" totalsRowDxfId="24">
      <totalsRowFormula>AVERAGE(Tabella13712[Longest Congestion Period])</totalsRowFormula>
    </tableColumn>
    <tableColumn id="8" xr3:uid="{6BFFB0DC-4627-4517-AD5A-3CAEC3EC45FB}" name="Mean messages queue" totalsRowFunction="custom" totalsRowDxfId="23">
      <totalsRowFormula>AVERAGE(Tabella13712[Mean messages queue])</totalsRowFormula>
    </tableColumn>
    <tableColumn id="5" xr3:uid="{9C899B70-6B63-4614-B788-9360AC14CA82}" name="TGT/ST (%)" totalsRowFunction="custom" dataDxfId="18" totalsRowDxfId="22">
      <calculatedColumnFormula>Tabella13712[[#This Row],[Total Congested Time]]/L11*100</calculatedColumnFormula>
      <totalsRowFormula>AVERAGE(Tabella13712[TGT/ST (%)])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B189-8BC0-4AF3-9842-AA751E862102}">
  <dimension ref="B5:N38"/>
  <sheetViews>
    <sheetView topLeftCell="E2" zoomScale="67" workbookViewId="0">
      <selection activeCell="F5" sqref="F5:N19"/>
    </sheetView>
  </sheetViews>
  <sheetFormatPr defaultRowHeight="14.4" x14ac:dyDescent="0.3"/>
  <cols>
    <col min="2" max="2" width="9.109375" customWidth="1"/>
    <col min="3" max="3" width="8.88671875" customWidth="1"/>
    <col min="6" max="6" width="10.77734375" customWidth="1"/>
    <col min="7" max="7" width="26.109375" customWidth="1"/>
    <col min="8" max="8" width="20.109375" customWidth="1"/>
    <col min="9" max="9" width="20.44140625" customWidth="1"/>
    <col min="10" max="11" width="19.109375" customWidth="1"/>
    <col min="12" max="12" width="15.44140625" customWidth="1"/>
  </cols>
  <sheetData>
    <row r="5" spans="2:14" x14ac:dyDescent="0.3">
      <c r="B5" s="15"/>
      <c r="C5" s="15"/>
      <c r="F5" s="4" t="s">
        <v>1</v>
      </c>
      <c r="G5" s="4">
        <v>10</v>
      </c>
      <c r="H5" s="4" t="s">
        <v>6</v>
      </c>
      <c r="I5" s="4">
        <v>5</v>
      </c>
    </row>
    <row r="6" spans="2:14" x14ac:dyDescent="0.3">
      <c r="B6" s="2"/>
      <c r="C6" s="2"/>
      <c r="F6" s="4" t="s">
        <v>0</v>
      </c>
      <c r="G6" s="4">
        <v>3</v>
      </c>
      <c r="H6" s="4" t="s">
        <v>7</v>
      </c>
      <c r="I6" s="4">
        <v>10</v>
      </c>
    </row>
    <row r="7" spans="2:14" ht="28.8" x14ac:dyDescent="0.3">
      <c r="B7" s="2"/>
      <c r="C7" s="2"/>
      <c r="F7" s="1" t="s">
        <v>3</v>
      </c>
      <c r="G7" s="4" t="s">
        <v>4</v>
      </c>
      <c r="H7" s="4" t="s">
        <v>13</v>
      </c>
      <c r="I7" s="4" t="s">
        <v>14</v>
      </c>
    </row>
    <row r="8" spans="2:14" ht="28.8" x14ac:dyDescent="0.3">
      <c r="B8" s="1"/>
      <c r="C8" s="2"/>
      <c r="F8" s="5" t="s">
        <v>2</v>
      </c>
      <c r="G8" s="5" t="s">
        <v>9</v>
      </c>
      <c r="H8" s="3" t="s">
        <v>12</v>
      </c>
      <c r="I8" s="3" t="s">
        <v>11</v>
      </c>
      <c r="J8" s="3" t="s">
        <v>5</v>
      </c>
      <c r="K8" s="3" t="s">
        <v>15</v>
      </c>
      <c r="L8" s="5" t="s">
        <v>8</v>
      </c>
    </row>
    <row r="9" spans="2:14" x14ac:dyDescent="0.3">
      <c r="F9" s="6">
        <v>1</v>
      </c>
      <c r="G9" s="6">
        <v>18</v>
      </c>
      <c r="H9" s="9">
        <v>47.7</v>
      </c>
      <c r="I9" s="9">
        <f>N9-Tabella1[[#This Row],[Total Congested Time]]</f>
        <v>12.299999999999997</v>
      </c>
      <c r="J9" s="9">
        <v>6.0650000000000004</v>
      </c>
      <c r="K9" s="9">
        <v>4.9836</v>
      </c>
      <c r="L9" s="7">
        <f>Tabella1[[#This Row],[Total Congested Time]]/N9*100</f>
        <v>79.5</v>
      </c>
      <c r="N9">
        <v>60</v>
      </c>
    </row>
    <row r="10" spans="2:14" x14ac:dyDescent="0.3">
      <c r="F10" s="6">
        <v>2</v>
      </c>
      <c r="G10" s="6">
        <v>9</v>
      </c>
      <c r="H10" s="9">
        <v>33.435000000000002</v>
      </c>
      <c r="I10" s="9">
        <f>N10-Tabella1[[#This Row],[Total Congested Time]]</f>
        <v>26.564999999999998</v>
      </c>
      <c r="J10" s="9">
        <v>16.216000000000001</v>
      </c>
      <c r="K10" s="9">
        <v>5.55</v>
      </c>
      <c r="L10" s="7">
        <f>Tabella1[[#This Row],[Total Congested Time]]/N10*100</f>
        <v>55.725000000000001</v>
      </c>
      <c r="N10">
        <v>60</v>
      </c>
    </row>
    <row r="11" spans="2:14" x14ac:dyDescent="0.3">
      <c r="F11" s="6">
        <v>3</v>
      </c>
      <c r="G11" s="6">
        <v>1</v>
      </c>
      <c r="H11" s="9">
        <v>32.450000000000003</v>
      </c>
      <c r="I11" s="9">
        <f>N11-Tabella1[[#This Row],[Total Congested Time]]</f>
        <v>27.549999999999997</v>
      </c>
      <c r="J11" s="9">
        <v>32.450000000000003</v>
      </c>
      <c r="K11" s="9">
        <v>5.6833</v>
      </c>
      <c r="L11" s="7">
        <f>Tabella1[[#This Row],[Total Congested Time]]/N11*100</f>
        <v>54.083333333333336</v>
      </c>
      <c r="N11">
        <v>60</v>
      </c>
    </row>
    <row r="12" spans="2:14" x14ac:dyDescent="0.3">
      <c r="F12" s="6">
        <v>4</v>
      </c>
      <c r="G12" s="6">
        <v>13</v>
      </c>
      <c r="H12" s="9">
        <v>38.463000000000001</v>
      </c>
      <c r="I12" s="9">
        <f>N12-Tabella1[[#This Row],[Total Congested Time]]</f>
        <v>21.536999999999999</v>
      </c>
      <c r="J12" s="9">
        <v>13.192</v>
      </c>
      <c r="K12" s="9">
        <v>5.25</v>
      </c>
      <c r="L12" s="7">
        <f>Tabella1[[#This Row],[Total Congested Time]]/N12*100</f>
        <v>64.105000000000004</v>
      </c>
      <c r="N12">
        <v>60</v>
      </c>
    </row>
    <row r="13" spans="2:14" x14ac:dyDescent="0.3">
      <c r="F13" s="6">
        <v>5</v>
      </c>
      <c r="G13" s="6">
        <v>14</v>
      </c>
      <c r="H13" s="9">
        <v>43.177</v>
      </c>
      <c r="I13" s="9">
        <f>N13-Tabella1[[#This Row],[Total Congested Time]]</f>
        <v>16.823</v>
      </c>
      <c r="J13" s="9">
        <v>10.154</v>
      </c>
      <c r="K13" s="9">
        <v>5.7</v>
      </c>
      <c r="L13" s="7">
        <f>Tabella1[[#This Row],[Total Congested Time]]/N13*100</f>
        <v>71.961666666666673</v>
      </c>
      <c r="N13">
        <v>60</v>
      </c>
    </row>
    <row r="14" spans="2:14" x14ac:dyDescent="0.3">
      <c r="F14" s="6">
        <v>6</v>
      </c>
      <c r="G14" s="6">
        <v>15</v>
      </c>
      <c r="H14" s="9">
        <v>39.567</v>
      </c>
      <c r="I14" s="9">
        <f>N14-Tabella1[[#This Row],[Total Congested Time]]</f>
        <v>20.433</v>
      </c>
      <c r="J14" s="9">
        <v>39.567</v>
      </c>
      <c r="K14" s="9">
        <v>19.268999999999998</v>
      </c>
      <c r="L14" s="7">
        <f>Tabella1[[#This Row],[Total Congested Time]]/N14*100</f>
        <v>65.944999999999993</v>
      </c>
      <c r="N14">
        <v>60</v>
      </c>
    </row>
    <row r="15" spans="2:14" x14ac:dyDescent="0.3">
      <c r="F15" s="6">
        <v>7</v>
      </c>
      <c r="G15" s="6">
        <v>10</v>
      </c>
      <c r="H15" s="9">
        <v>29.399000000000001</v>
      </c>
      <c r="I15" s="9">
        <f>N15-Tabella1[[#This Row],[Total Congested Time]]</f>
        <v>30.600999999999999</v>
      </c>
      <c r="J15" s="9">
        <v>19.285</v>
      </c>
      <c r="K15" s="9">
        <v>6.0167000000000002</v>
      </c>
      <c r="L15" s="7">
        <f>Tabella1[[#This Row],[Total Congested Time]]/N15*100</f>
        <v>48.998333333333335</v>
      </c>
      <c r="N15">
        <v>60</v>
      </c>
    </row>
    <row r="16" spans="2:14" x14ac:dyDescent="0.3">
      <c r="F16" s="6">
        <v>8</v>
      </c>
      <c r="G16" s="6">
        <v>7</v>
      </c>
      <c r="H16" s="6">
        <v>18.25</v>
      </c>
      <c r="I16" s="6">
        <f>N16-Tabella1[[#This Row],[Total Congested Time]]</f>
        <v>41.75</v>
      </c>
      <c r="J16" s="9">
        <v>11.151999999999999</v>
      </c>
      <c r="K16" s="9">
        <v>4.5667</v>
      </c>
      <c r="L16" s="7">
        <f>Tabella1[[#This Row],[Total Congested Time]]/N16*100</f>
        <v>30.416666666666664</v>
      </c>
      <c r="N16">
        <v>60</v>
      </c>
    </row>
    <row r="17" spans="6:14" x14ac:dyDescent="0.3">
      <c r="F17" s="6">
        <v>9</v>
      </c>
      <c r="G17" s="6">
        <v>13</v>
      </c>
      <c r="H17" s="9">
        <v>46.256</v>
      </c>
      <c r="I17" s="9">
        <f>N17-Tabella1[[#This Row],[Total Congested Time]]</f>
        <v>13.744</v>
      </c>
      <c r="J17" s="9">
        <v>7.1</v>
      </c>
      <c r="K17" s="6">
        <v>5.3167</v>
      </c>
      <c r="L17" s="7">
        <f>Tabella1[[#This Row],[Total Congested Time]]/N17*100</f>
        <v>77.093333333333334</v>
      </c>
      <c r="N17">
        <v>60</v>
      </c>
    </row>
    <row r="18" spans="6:14" x14ac:dyDescent="0.3">
      <c r="F18" s="6">
        <v>10</v>
      </c>
      <c r="G18" s="6">
        <v>1</v>
      </c>
      <c r="H18" s="9">
        <v>29.393000000000001</v>
      </c>
      <c r="I18" s="9">
        <f>N18-Tabella1[[#This Row],[Total Congested Time]]</f>
        <v>30.606999999999999</v>
      </c>
      <c r="J18" s="9">
        <v>29.393000000000001</v>
      </c>
      <c r="K18" s="9">
        <v>5.15</v>
      </c>
      <c r="L18" s="7">
        <f>Tabella1[[#This Row],[Total Congested Time]]/N18*100</f>
        <v>48.988333333333337</v>
      </c>
      <c r="N18">
        <v>60</v>
      </c>
    </row>
    <row r="19" spans="6:14" x14ac:dyDescent="0.3">
      <c r="F19" s="6" t="s">
        <v>10</v>
      </c>
      <c r="G19" s="6">
        <f>AVERAGE(Tabella1[Congestion Times])</f>
        <v>10.1</v>
      </c>
      <c r="H19" s="6">
        <f>SUBTOTAL(109,Tabella1[Total Congested Time])/(10)</f>
        <v>35.809000000000005</v>
      </c>
      <c r="I19" s="6">
        <f>AVERAGE(Tabella1[[Total Normal Time ]])</f>
        <v>24.190999999999999</v>
      </c>
      <c r="J19" s="6"/>
      <c r="K19" s="6">
        <f>AVERAGE(Tabella1[Mean messages queue])</f>
        <v>6.7485999999999988</v>
      </c>
      <c r="L19" s="7">
        <f>AVERAGE(Tabella1[TGT/ST (%)])</f>
        <v>59.681666666666672</v>
      </c>
    </row>
    <row r="24" spans="6:14" x14ac:dyDescent="0.3">
      <c r="F24" s="4" t="s">
        <v>1</v>
      </c>
      <c r="G24" s="4">
        <v>5</v>
      </c>
      <c r="H24" s="4" t="s">
        <v>6</v>
      </c>
      <c r="I24" s="4">
        <v>5</v>
      </c>
    </row>
    <row r="25" spans="6:14" x14ac:dyDescent="0.3">
      <c r="F25" s="4" t="s">
        <v>0</v>
      </c>
      <c r="G25" s="4">
        <v>5</v>
      </c>
      <c r="H25" s="4" t="s">
        <v>7</v>
      </c>
      <c r="I25" s="4">
        <v>10</v>
      </c>
    </row>
    <row r="26" spans="6:14" ht="28.8" x14ac:dyDescent="0.3">
      <c r="F26" s="1" t="s">
        <v>3</v>
      </c>
      <c r="G26" s="4" t="s">
        <v>4</v>
      </c>
      <c r="H26" s="4" t="s">
        <v>13</v>
      </c>
      <c r="I26" s="4" t="s">
        <v>16</v>
      </c>
    </row>
    <row r="27" spans="6:14" ht="28.8" x14ac:dyDescent="0.3">
      <c r="F27" s="5" t="s">
        <v>2</v>
      </c>
      <c r="G27" s="5" t="s">
        <v>9</v>
      </c>
      <c r="H27" s="3" t="s">
        <v>12</v>
      </c>
      <c r="I27" s="3" t="s">
        <v>11</v>
      </c>
      <c r="J27" s="3" t="s">
        <v>5</v>
      </c>
      <c r="K27" s="3" t="s">
        <v>15</v>
      </c>
      <c r="L27" s="5" t="s">
        <v>8</v>
      </c>
    </row>
    <row r="28" spans="6:14" x14ac:dyDescent="0.3">
      <c r="F28" s="6">
        <v>1</v>
      </c>
      <c r="G28" s="6">
        <v>4</v>
      </c>
      <c r="H28" s="6">
        <v>9.1199999999999992</v>
      </c>
      <c r="I28" s="6">
        <f>N9-Tabella13[[#This Row],[Total Congested Time]]</f>
        <v>50.88</v>
      </c>
      <c r="J28" s="9">
        <v>6.0940000000000003</v>
      </c>
      <c r="K28" s="9">
        <v>3.2</v>
      </c>
      <c r="L28" s="7">
        <f>Tabella13[[#This Row],[Total Congested Time]]/N9*100</f>
        <v>15.2</v>
      </c>
    </row>
    <row r="29" spans="6:14" x14ac:dyDescent="0.3">
      <c r="F29" s="6">
        <v>2</v>
      </c>
      <c r="G29" s="6">
        <v>15</v>
      </c>
      <c r="H29" s="9">
        <v>23.821000000000002</v>
      </c>
      <c r="I29" s="9">
        <f>N10-Tabella13[[#This Row],[Total Congested Time]]</f>
        <v>36.179000000000002</v>
      </c>
      <c r="J29" s="9">
        <v>3.0310000000000001</v>
      </c>
      <c r="K29" s="9">
        <v>4.3330000000000002</v>
      </c>
      <c r="L29" s="7">
        <f>Tabella13[[#This Row],[Total Congested Time]]/N10*100</f>
        <v>39.701666666666668</v>
      </c>
    </row>
    <row r="30" spans="6:14" x14ac:dyDescent="0.3">
      <c r="F30" s="6">
        <v>3</v>
      </c>
      <c r="G30" s="6">
        <v>20</v>
      </c>
      <c r="H30" s="9">
        <v>28.869</v>
      </c>
      <c r="I30" s="9">
        <f>N11-Tabella13[[#This Row],[Total Congested Time]]</f>
        <v>31.131</v>
      </c>
      <c r="J30" s="9">
        <v>5.069</v>
      </c>
      <c r="K30" s="9">
        <v>4.45</v>
      </c>
      <c r="L30" s="7">
        <f>Tabella13[[#This Row],[Total Congested Time]]/N11*100</f>
        <v>48.115000000000002</v>
      </c>
    </row>
    <row r="31" spans="6:14" x14ac:dyDescent="0.3">
      <c r="F31" s="6">
        <v>4</v>
      </c>
      <c r="G31" s="6">
        <v>20</v>
      </c>
      <c r="H31" s="9">
        <v>29.367000000000001</v>
      </c>
      <c r="I31" s="9">
        <f>N12-Tabella13[[#This Row],[Total Congested Time]]</f>
        <v>30.632999999999999</v>
      </c>
      <c r="J31" s="9">
        <v>3.0419999999999998</v>
      </c>
      <c r="K31" s="9">
        <v>4.5667</v>
      </c>
      <c r="L31" s="7">
        <f>Tabella13[[#This Row],[Total Congested Time]]/N12*100</f>
        <v>48.945</v>
      </c>
    </row>
    <row r="32" spans="6:14" x14ac:dyDescent="0.3">
      <c r="F32" s="6">
        <v>5</v>
      </c>
      <c r="G32" s="6">
        <v>16</v>
      </c>
      <c r="H32" s="9">
        <v>22.79</v>
      </c>
      <c r="I32" s="9">
        <f>N13-Tabella13[[#This Row],[Total Congested Time]]</f>
        <v>37.21</v>
      </c>
      <c r="J32" s="9">
        <v>4.1070000000000002</v>
      </c>
      <c r="K32" s="9">
        <v>4.1833</v>
      </c>
      <c r="L32" s="7">
        <f>Tabella13[[#This Row],[Total Congested Time]]/N13*100</f>
        <v>37.983333333333327</v>
      </c>
    </row>
    <row r="33" spans="6:12" x14ac:dyDescent="0.3">
      <c r="F33" s="6">
        <v>6</v>
      </c>
      <c r="G33">
        <v>1</v>
      </c>
      <c r="H33" s="10">
        <v>11.167</v>
      </c>
      <c r="I33" s="9">
        <f>N14-Tabella13[[#This Row],[Total Congested Time]]</f>
        <v>48.832999999999998</v>
      </c>
      <c r="J33" s="9">
        <v>11.167</v>
      </c>
      <c r="K33" s="9">
        <v>2.0499999999999998</v>
      </c>
      <c r="L33" s="7">
        <f>Tabella13[[#This Row],[Total Congested Time]]/N14*100</f>
        <v>18.611666666666665</v>
      </c>
    </row>
    <row r="34" spans="6:12" x14ac:dyDescent="0.3">
      <c r="F34" s="6">
        <v>7</v>
      </c>
      <c r="G34" s="6">
        <v>26</v>
      </c>
      <c r="H34" s="9">
        <v>27.780999999999999</v>
      </c>
      <c r="I34" s="9">
        <f>N15-Tabella13[[#This Row],[Total Congested Time]]</f>
        <v>32.219000000000001</v>
      </c>
      <c r="J34" s="9">
        <v>2.0369999999999999</v>
      </c>
      <c r="K34" s="9">
        <v>4.4333</v>
      </c>
      <c r="L34" s="7">
        <f>Tabella13[[#This Row],[Total Congested Time]]/N15*100</f>
        <v>46.301666666666662</v>
      </c>
    </row>
    <row r="35" spans="6:12" x14ac:dyDescent="0.3">
      <c r="F35" s="6">
        <v>8</v>
      </c>
      <c r="G35" s="6">
        <v>23</v>
      </c>
      <c r="H35" s="9">
        <v>31.846</v>
      </c>
      <c r="I35" s="9">
        <f>N16-Tabella13[[#This Row],[Total Congested Time]]</f>
        <v>28.154</v>
      </c>
      <c r="J35" s="9">
        <v>4.1079999999999997</v>
      </c>
      <c r="K35" s="9">
        <v>4.6333000000000002</v>
      </c>
      <c r="L35" s="7">
        <f>Tabella13[[#This Row],[Total Congested Time]]/N16*100</f>
        <v>53.076666666666675</v>
      </c>
    </row>
    <row r="36" spans="6:12" x14ac:dyDescent="0.3">
      <c r="F36" s="6">
        <v>9</v>
      </c>
      <c r="G36" s="6">
        <v>7</v>
      </c>
      <c r="H36" s="9">
        <v>14.157999999999999</v>
      </c>
      <c r="I36" s="9">
        <f>N17-Tabella13[[#This Row],[Total Congested Time]]</f>
        <v>45.841999999999999</v>
      </c>
      <c r="J36" s="9">
        <v>8.0980000000000008</v>
      </c>
      <c r="K36" s="9">
        <v>3.883</v>
      </c>
      <c r="L36" s="7">
        <f>Tabella13[[#This Row],[Total Congested Time]]/N17*100</f>
        <v>23.596666666666664</v>
      </c>
    </row>
    <row r="37" spans="6:12" x14ac:dyDescent="0.3">
      <c r="F37" s="6">
        <v>10</v>
      </c>
      <c r="G37" s="6">
        <v>22</v>
      </c>
      <c r="H37" s="9">
        <v>24.898</v>
      </c>
      <c r="I37" s="9">
        <f>N18-Tabella13[[#This Row],[Total Congested Time]]</f>
        <v>35.102000000000004</v>
      </c>
      <c r="J37" s="9">
        <v>4.0629999999999997</v>
      </c>
      <c r="K37" s="9">
        <v>4.4329999999999998</v>
      </c>
      <c r="L37" s="7">
        <f>Tabella13[[#This Row],[Total Congested Time]]/N18*100</f>
        <v>41.496666666666663</v>
      </c>
    </row>
    <row r="38" spans="6:12" x14ac:dyDescent="0.3">
      <c r="F38" s="6" t="s">
        <v>10</v>
      </c>
      <c r="G38" s="9">
        <f>AVERAGE(Tabella13[Congestion Times])</f>
        <v>15.4</v>
      </c>
      <c r="H38" s="9">
        <f>AVERAGE(Tabella13[Total Congested Time])</f>
        <v>22.381700000000002</v>
      </c>
      <c r="I38" s="9">
        <f>AVERAGE(Tabella13[[Total Normal Time ]])</f>
        <v>37.618299999999998</v>
      </c>
      <c r="J38" s="9"/>
      <c r="K38" s="9">
        <f>AVERAGE(Tabella13[Mean messages queue])</f>
        <v>4.0165600000000001</v>
      </c>
      <c r="L38" s="7">
        <f>AVERAGE(Tabella13[TGT/ST (%)])</f>
        <v>37.302833333333332</v>
      </c>
    </row>
  </sheetData>
  <mergeCells count="1">
    <mergeCell ref="B5:C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6914-CEC9-4FD7-B836-1E10D1ACD52A}">
  <dimension ref="D8:L41"/>
  <sheetViews>
    <sheetView topLeftCell="C13" zoomScale="68" workbookViewId="0">
      <selection activeCell="D27" sqref="D27:J41"/>
    </sheetView>
  </sheetViews>
  <sheetFormatPr defaultRowHeight="14.4" x14ac:dyDescent="0.3"/>
  <cols>
    <col min="4" max="4" width="10.77734375" customWidth="1"/>
    <col min="5" max="5" width="26.109375" customWidth="1"/>
    <col min="6" max="6" width="20.109375" customWidth="1"/>
    <col min="7" max="7" width="20.44140625" customWidth="1"/>
    <col min="8" max="9" width="19.109375" customWidth="1"/>
    <col min="10" max="10" width="15.44140625" customWidth="1"/>
  </cols>
  <sheetData>
    <row r="8" spans="4:12" x14ac:dyDescent="0.3">
      <c r="D8" s="8" t="s">
        <v>1</v>
      </c>
      <c r="E8" s="8">
        <v>10</v>
      </c>
      <c r="F8" s="8" t="s">
        <v>6</v>
      </c>
      <c r="G8" s="8">
        <v>5</v>
      </c>
    </row>
    <row r="9" spans="4:12" x14ac:dyDescent="0.3">
      <c r="D9" s="8" t="s">
        <v>0</v>
      </c>
      <c r="E9" s="8">
        <v>3</v>
      </c>
      <c r="F9" s="8" t="s">
        <v>7</v>
      </c>
      <c r="G9" s="8">
        <v>10</v>
      </c>
    </row>
    <row r="10" spans="4:12" ht="28.8" x14ac:dyDescent="0.3">
      <c r="D10" s="1" t="s">
        <v>3</v>
      </c>
      <c r="E10" s="8" t="s">
        <v>4</v>
      </c>
      <c r="F10" s="8" t="s">
        <v>13</v>
      </c>
      <c r="G10" s="8" t="s">
        <v>17</v>
      </c>
    </row>
    <row r="11" spans="4:12" ht="28.8" x14ac:dyDescent="0.3">
      <c r="D11" s="5" t="s">
        <v>2</v>
      </c>
      <c r="E11" s="5" t="s">
        <v>9</v>
      </c>
      <c r="F11" s="3" t="s">
        <v>12</v>
      </c>
      <c r="G11" s="3" t="s">
        <v>11</v>
      </c>
      <c r="H11" s="3" t="s">
        <v>5</v>
      </c>
      <c r="I11" s="3" t="s">
        <v>15</v>
      </c>
      <c r="J11" s="5" t="s">
        <v>8</v>
      </c>
    </row>
    <row r="12" spans="4:12" x14ac:dyDescent="0.3">
      <c r="D12" s="6">
        <v>1</v>
      </c>
      <c r="E12" s="6">
        <v>7</v>
      </c>
      <c r="F12" s="9">
        <v>54.22</v>
      </c>
      <c r="G12" s="9">
        <f>L12-Tabella16[[#This Row],[Total Congested Time]]</f>
        <v>5.7800000000000011</v>
      </c>
      <c r="H12" s="9">
        <v>23.37</v>
      </c>
      <c r="I12" s="9">
        <v>6.6393000000000004</v>
      </c>
      <c r="J12" s="7">
        <f>Tabella16[[#This Row],[Total Congested Time]]/L12*100</f>
        <v>90.36666666666666</v>
      </c>
      <c r="L12">
        <v>60</v>
      </c>
    </row>
    <row r="13" spans="4:12" x14ac:dyDescent="0.3">
      <c r="D13" s="6">
        <v>2</v>
      </c>
      <c r="E13" s="6">
        <v>6</v>
      </c>
      <c r="F13" s="9">
        <v>54.603000000000002</v>
      </c>
      <c r="G13" s="9">
        <f>L13-Tabella16[[#This Row],[Total Congested Time]]</f>
        <v>5.3969999999999985</v>
      </c>
      <c r="H13" s="9">
        <v>30.417999999999999</v>
      </c>
      <c r="I13" s="9">
        <v>6.9333</v>
      </c>
      <c r="J13" s="7">
        <f>Tabella16[[#This Row],[Total Congested Time]]/L13*100</f>
        <v>91.004999999999995</v>
      </c>
      <c r="L13">
        <v>60</v>
      </c>
    </row>
    <row r="14" spans="4:12" x14ac:dyDescent="0.3">
      <c r="D14" s="6">
        <v>3</v>
      </c>
      <c r="E14" s="6">
        <v>8</v>
      </c>
      <c r="F14" s="9">
        <v>52.435000000000002</v>
      </c>
      <c r="G14" s="9">
        <f>L14-Tabella16[[#This Row],[Total Congested Time]]</f>
        <v>7.5649999999999977</v>
      </c>
      <c r="H14" s="9">
        <v>21.297000000000001</v>
      </c>
      <c r="I14" s="9">
        <v>6.6</v>
      </c>
      <c r="J14" s="7">
        <f>Tabella16[[#This Row],[Total Congested Time]]/L14*100</f>
        <v>87.391666666666666</v>
      </c>
      <c r="L14">
        <v>60</v>
      </c>
    </row>
    <row r="15" spans="4:12" x14ac:dyDescent="0.3">
      <c r="D15" s="6">
        <v>4</v>
      </c>
      <c r="E15" s="6">
        <v>13</v>
      </c>
      <c r="F15" s="9">
        <v>44.180999999999997</v>
      </c>
      <c r="G15" s="9">
        <f>L15-Tabella16[[#This Row],[Total Congested Time]]</f>
        <v>15.819000000000003</v>
      </c>
      <c r="H15" s="9">
        <v>9.1039999999999992</v>
      </c>
      <c r="I15" s="9">
        <v>5.5574000000000003</v>
      </c>
      <c r="J15" s="7">
        <f>Tabella16[[#This Row],[Total Congested Time]]/L15*100</f>
        <v>73.634999999999991</v>
      </c>
      <c r="L15">
        <v>60</v>
      </c>
    </row>
    <row r="16" spans="4:12" x14ac:dyDescent="0.3">
      <c r="D16" s="6">
        <v>5</v>
      </c>
      <c r="E16" s="6">
        <v>14</v>
      </c>
      <c r="F16" s="9">
        <v>46.27</v>
      </c>
      <c r="G16" s="9">
        <f>L16-Tabella16[[#This Row],[Total Congested Time]]</f>
        <v>13.729999999999997</v>
      </c>
      <c r="H16" s="9">
        <v>19.23</v>
      </c>
      <c r="I16" s="9">
        <v>6.0667</v>
      </c>
      <c r="J16" s="7">
        <f>Tabella16[[#This Row],[Total Congested Time]]/L16*100</f>
        <v>77.11666666666666</v>
      </c>
      <c r="L16">
        <v>60</v>
      </c>
    </row>
    <row r="17" spans="4:12" x14ac:dyDescent="0.3">
      <c r="D17" s="6">
        <v>6</v>
      </c>
      <c r="E17" s="6">
        <v>17</v>
      </c>
      <c r="F17" s="9">
        <v>39.305999999999997</v>
      </c>
      <c r="G17" s="9">
        <f>L17-Tabella16[[#This Row],[Total Congested Time]]</f>
        <v>20.694000000000003</v>
      </c>
      <c r="H17" s="9">
        <v>7.0979999999999999</v>
      </c>
      <c r="I17" s="9">
        <v>5.5833000000000004</v>
      </c>
      <c r="J17" s="7">
        <f>Tabella16[[#This Row],[Total Congested Time]]/L17*100</f>
        <v>65.509999999999991</v>
      </c>
      <c r="L17">
        <v>60</v>
      </c>
    </row>
    <row r="18" spans="4:12" x14ac:dyDescent="0.3">
      <c r="D18" s="6">
        <v>7</v>
      </c>
      <c r="E18" s="6">
        <v>16</v>
      </c>
      <c r="F18" s="9">
        <v>44.250999999999998</v>
      </c>
      <c r="G18" s="9">
        <f>L18-Tabella16[[#This Row],[Total Congested Time]]</f>
        <v>15.749000000000002</v>
      </c>
      <c r="H18" s="9">
        <v>13.201000000000001</v>
      </c>
      <c r="I18" s="9">
        <v>5.8497000000000003</v>
      </c>
      <c r="J18" s="7">
        <f>Tabella16[[#This Row],[Total Congested Time]]/L18*100</f>
        <v>73.751666666666665</v>
      </c>
      <c r="L18">
        <v>60</v>
      </c>
    </row>
    <row r="19" spans="4:12" x14ac:dyDescent="0.3">
      <c r="D19" s="6">
        <v>8</v>
      </c>
      <c r="E19" s="6">
        <v>7</v>
      </c>
      <c r="F19" s="9">
        <v>52.404000000000003</v>
      </c>
      <c r="G19" s="9">
        <f>L19-Tabella16[[#This Row],[Total Congested Time]]</f>
        <v>7.5959999999999965</v>
      </c>
      <c r="H19" s="9">
        <v>19.259</v>
      </c>
      <c r="I19" s="9">
        <v>6.8666999999999998</v>
      </c>
      <c r="J19" s="7">
        <f>Tabella16[[#This Row],[Total Congested Time]]/L19*100</f>
        <v>87.34</v>
      </c>
      <c r="L19">
        <v>60</v>
      </c>
    </row>
    <row r="20" spans="4:12" x14ac:dyDescent="0.3">
      <c r="D20" s="6">
        <v>9</v>
      </c>
      <c r="E20" s="6">
        <v>14</v>
      </c>
      <c r="F20" s="9">
        <v>47.395000000000003</v>
      </c>
      <c r="G20" s="9">
        <f>L20-Tabella16[[#This Row],[Total Congested Time]]</f>
        <v>12.604999999999997</v>
      </c>
      <c r="H20" s="9">
        <v>7.1440000000000001</v>
      </c>
      <c r="I20" s="9">
        <v>6.3333000000000004</v>
      </c>
      <c r="J20" s="7">
        <f>Tabella16[[#This Row],[Total Congested Time]]/L20*100</f>
        <v>78.991666666666674</v>
      </c>
      <c r="L20">
        <v>60</v>
      </c>
    </row>
    <row r="21" spans="4:12" x14ac:dyDescent="0.3">
      <c r="D21" s="6">
        <v>10</v>
      </c>
      <c r="E21" s="6">
        <v>9</v>
      </c>
      <c r="F21" s="9">
        <v>52.26</v>
      </c>
      <c r="G21" s="9">
        <f>L21-Tabella16[[#This Row],[Total Congested Time]]</f>
        <v>7.740000000000002</v>
      </c>
      <c r="H21" s="9">
        <v>23.277999999999999</v>
      </c>
      <c r="I21" s="9">
        <v>7.25</v>
      </c>
      <c r="J21" s="7">
        <f>Tabella16[[#This Row],[Total Congested Time]]/L21*100</f>
        <v>87.1</v>
      </c>
      <c r="L21">
        <v>60</v>
      </c>
    </row>
    <row r="22" spans="4:12" x14ac:dyDescent="0.3">
      <c r="D22" s="6" t="s">
        <v>10</v>
      </c>
      <c r="E22" s="9">
        <f>AVERAGE(Tabella16[Congestion Times])</f>
        <v>11.1</v>
      </c>
      <c r="F22" s="9">
        <f>SUBTOTAL(109,Tabella16[Total Congested Time])/(10)</f>
        <v>48.732500000000002</v>
      </c>
      <c r="G22" s="9">
        <f>AVERAGE(Tabella16[[Total Normal Time ]])</f>
        <v>11.267500000000002</v>
      </c>
      <c r="H22" s="6"/>
      <c r="I22" s="6">
        <f>AVERAGE(Tabella16[Mean messages queue])</f>
        <v>6.3679700000000006</v>
      </c>
      <c r="J22" s="7">
        <f>AVERAGE(Tabella16[TGT/ST (%)])</f>
        <v>81.220833333333331</v>
      </c>
    </row>
    <row r="27" spans="4:12" x14ac:dyDescent="0.3">
      <c r="D27" s="8" t="s">
        <v>1</v>
      </c>
      <c r="E27" s="8">
        <v>5</v>
      </c>
      <c r="F27" s="8" t="s">
        <v>6</v>
      </c>
      <c r="G27" s="8">
        <v>5</v>
      </c>
    </row>
    <row r="28" spans="4:12" x14ac:dyDescent="0.3">
      <c r="D28" s="8" t="s">
        <v>0</v>
      </c>
      <c r="E28" s="8">
        <v>5</v>
      </c>
      <c r="F28" s="8" t="s">
        <v>7</v>
      </c>
      <c r="G28" s="8">
        <v>10</v>
      </c>
    </row>
    <row r="29" spans="4:12" ht="28.8" x14ac:dyDescent="0.3">
      <c r="D29" s="1" t="s">
        <v>3</v>
      </c>
      <c r="E29" s="8" t="s">
        <v>4</v>
      </c>
      <c r="F29" s="8" t="s">
        <v>13</v>
      </c>
      <c r="G29" s="8" t="s">
        <v>17</v>
      </c>
    </row>
    <row r="30" spans="4:12" ht="28.8" x14ac:dyDescent="0.3">
      <c r="D30" s="5" t="s">
        <v>2</v>
      </c>
      <c r="E30" s="5" t="s">
        <v>9</v>
      </c>
      <c r="F30" s="3" t="s">
        <v>12</v>
      </c>
      <c r="G30" s="3" t="s">
        <v>11</v>
      </c>
      <c r="H30" s="3" t="s">
        <v>5</v>
      </c>
      <c r="I30" s="3" t="s">
        <v>15</v>
      </c>
      <c r="J30" s="5" t="s">
        <v>8</v>
      </c>
    </row>
    <row r="31" spans="4:12" x14ac:dyDescent="0.3">
      <c r="D31" s="6">
        <v>1</v>
      </c>
      <c r="E31" s="6">
        <v>5</v>
      </c>
      <c r="F31" s="9">
        <v>21.268999999999998</v>
      </c>
      <c r="G31" s="6">
        <f>L12-Tabella137[[#This Row],[Total Congested Time]]</f>
        <v>38.731000000000002</v>
      </c>
      <c r="H31" s="9">
        <v>17.233000000000001</v>
      </c>
      <c r="I31" s="9">
        <v>4.6500000000000004</v>
      </c>
      <c r="J31" s="7">
        <f>Tabella137[[#This Row],[Total Congested Time]]/L12*100</f>
        <v>35.448333333333331</v>
      </c>
    </row>
    <row r="32" spans="4:12" x14ac:dyDescent="0.3">
      <c r="D32" s="6">
        <v>2</v>
      </c>
      <c r="E32" s="6">
        <v>19</v>
      </c>
      <c r="F32" s="9">
        <v>19.11</v>
      </c>
      <c r="G32" s="9">
        <f>L13-Tabella137[[#This Row],[Total Congested Time]]</f>
        <v>40.89</v>
      </c>
      <c r="H32" s="9">
        <v>2.0310000000000001</v>
      </c>
      <c r="I32" s="9">
        <v>4.1166999999999998</v>
      </c>
      <c r="J32" s="7">
        <f>Tabella137[[#This Row],[Total Congested Time]]/L13*100</f>
        <v>31.85</v>
      </c>
    </row>
    <row r="33" spans="4:10" x14ac:dyDescent="0.3">
      <c r="D33" s="6">
        <v>3</v>
      </c>
      <c r="E33" s="6">
        <v>11</v>
      </c>
      <c r="F33" s="9">
        <v>15.18</v>
      </c>
      <c r="G33" s="9">
        <f>L14-Tabella137[[#This Row],[Total Congested Time]]</f>
        <v>44.82</v>
      </c>
      <c r="H33" s="9">
        <v>4.0579999999999998</v>
      </c>
      <c r="I33" s="9">
        <v>4.1333000000000002</v>
      </c>
      <c r="J33" s="7">
        <f>Tabella137[[#This Row],[Total Congested Time]]/L14*100</f>
        <v>25.3</v>
      </c>
    </row>
    <row r="34" spans="4:10" x14ac:dyDescent="0.3">
      <c r="D34" s="6">
        <v>4</v>
      </c>
      <c r="E34" s="6">
        <v>17</v>
      </c>
      <c r="F34" s="9">
        <v>29.388000000000002</v>
      </c>
      <c r="G34" s="9">
        <f>L15-Tabella137[[#This Row],[Total Congested Time]]</f>
        <v>30.611999999999998</v>
      </c>
      <c r="H34" s="9">
        <v>4.0590000000000002</v>
      </c>
      <c r="I34" s="9">
        <v>4.5833000000000004</v>
      </c>
      <c r="J34" s="7">
        <f>Tabella137[[#This Row],[Total Congested Time]]/L15*100</f>
        <v>48.980000000000004</v>
      </c>
    </row>
    <row r="35" spans="4:10" x14ac:dyDescent="0.3">
      <c r="D35" s="6">
        <v>5</v>
      </c>
      <c r="E35" s="6">
        <v>23</v>
      </c>
      <c r="F35" s="9">
        <v>28.797000000000001</v>
      </c>
      <c r="G35" s="9">
        <f>L16-Tabella137[[#This Row],[Total Congested Time]]</f>
        <v>31.202999999999999</v>
      </c>
      <c r="H35" s="9">
        <v>4.0599999999999996</v>
      </c>
      <c r="I35" s="9">
        <v>4.5833000000000004</v>
      </c>
      <c r="J35" s="7">
        <f>Tabella137[[#This Row],[Total Congested Time]]/L16*100</f>
        <v>47.994999999999997</v>
      </c>
    </row>
    <row r="36" spans="4:10" x14ac:dyDescent="0.3">
      <c r="D36" s="6">
        <v>6</v>
      </c>
      <c r="E36">
        <v>16</v>
      </c>
      <c r="F36" s="10">
        <v>28.349</v>
      </c>
      <c r="G36" s="9">
        <f>L17-Tabella137[[#This Row],[Total Congested Time]]</f>
        <v>31.651</v>
      </c>
      <c r="H36" s="9">
        <v>10.118</v>
      </c>
      <c r="I36" s="9">
        <v>4.75</v>
      </c>
      <c r="J36" s="7">
        <f>Tabella137[[#This Row],[Total Congested Time]]/L17*100</f>
        <v>47.248333333333328</v>
      </c>
    </row>
    <row r="37" spans="4:10" x14ac:dyDescent="0.3">
      <c r="D37" s="6">
        <v>7</v>
      </c>
      <c r="E37" s="6">
        <v>17</v>
      </c>
      <c r="F37" s="9">
        <v>24.315999999999999</v>
      </c>
      <c r="G37" s="9">
        <f>L18-Tabella137[[#This Row],[Total Congested Time]]</f>
        <v>35.683999999999997</v>
      </c>
      <c r="H37" s="9">
        <v>20.420000000000002</v>
      </c>
      <c r="I37" s="9">
        <v>4.2332999999999998</v>
      </c>
      <c r="J37" s="7">
        <f>Tabella137[[#This Row],[Total Congested Time]]/L18*100</f>
        <v>40.526666666666664</v>
      </c>
    </row>
    <row r="38" spans="4:10" x14ac:dyDescent="0.3">
      <c r="D38" s="6">
        <v>8</v>
      </c>
      <c r="E38" s="6">
        <v>18</v>
      </c>
      <c r="F38" s="9">
        <v>30.898</v>
      </c>
      <c r="G38" s="9">
        <f>L19-Tabella137[[#This Row],[Total Congested Time]]</f>
        <v>29.102</v>
      </c>
      <c r="H38" s="9">
        <v>11.157</v>
      </c>
      <c r="I38" s="9">
        <v>4.75</v>
      </c>
      <c r="J38" s="7">
        <f>Tabella137[[#This Row],[Total Congested Time]]/L19*100</f>
        <v>51.49666666666667</v>
      </c>
    </row>
    <row r="39" spans="4:10" x14ac:dyDescent="0.3">
      <c r="D39" s="6">
        <v>9</v>
      </c>
      <c r="E39" s="6">
        <v>17</v>
      </c>
      <c r="F39" s="9">
        <v>23.327000000000002</v>
      </c>
      <c r="G39" s="9">
        <f>L20-Tabella137[[#This Row],[Total Congested Time]]</f>
        <v>36.673000000000002</v>
      </c>
      <c r="H39" s="9">
        <v>30.097000000000001</v>
      </c>
      <c r="I39" s="9">
        <v>4.1111000000000004</v>
      </c>
      <c r="J39" s="7">
        <f>Tabella137[[#This Row],[Total Congested Time]]/L20*100</f>
        <v>38.878333333333337</v>
      </c>
    </row>
    <row r="40" spans="4:10" x14ac:dyDescent="0.3">
      <c r="D40" s="6">
        <v>10</v>
      </c>
      <c r="E40" s="6">
        <v>21</v>
      </c>
      <c r="F40" s="9">
        <v>31.904</v>
      </c>
      <c r="G40" s="9">
        <f>L21-Tabella137[[#This Row],[Total Congested Time]]</f>
        <v>28.096</v>
      </c>
      <c r="H40" s="12">
        <v>6.0803000000000003</v>
      </c>
      <c r="I40" s="9">
        <v>4.8</v>
      </c>
      <c r="J40" s="7">
        <f>Tabella137[[#This Row],[Total Congested Time]]/L21*100</f>
        <v>53.173333333333325</v>
      </c>
    </row>
    <row r="41" spans="4:10" x14ac:dyDescent="0.3">
      <c r="D41" s="6" t="s">
        <v>10</v>
      </c>
      <c r="E41" s="9">
        <f>AVERAGE(Tabella137[Congestion Times])</f>
        <v>16.399999999999999</v>
      </c>
      <c r="F41" s="9">
        <f>AVERAGE(Tabella137[Total Congested Time])</f>
        <v>25.253799999999998</v>
      </c>
      <c r="G41" s="9">
        <f>AVERAGE(Tabella137[[Total Normal Time ]])</f>
        <v>34.746200000000002</v>
      </c>
      <c r="H41" s="9"/>
      <c r="I41" s="9">
        <f>AVERAGE(Tabella137[Mean messages queue])</f>
        <v>4.4710999999999999</v>
      </c>
      <c r="J41" s="7">
        <f>AVERAGE(Tabella137[TGT/ST (%)])</f>
        <v>42.089666666666666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4468-62DB-4395-882B-11E0EECAAD70}">
  <dimension ref="C6:K45"/>
  <sheetViews>
    <sheetView tabSelected="1" topLeftCell="B23" zoomScale="85" workbookViewId="0">
      <selection activeCell="I45" sqref="I45"/>
    </sheetView>
  </sheetViews>
  <sheetFormatPr defaultRowHeight="14.4" x14ac:dyDescent="0.3"/>
  <cols>
    <col min="3" max="3" width="10.77734375" customWidth="1"/>
    <col min="4" max="4" width="26.109375" customWidth="1"/>
    <col min="5" max="5" width="20.109375" customWidth="1"/>
    <col min="6" max="6" width="20.44140625" customWidth="1"/>
    <col min="7" max="8" width="19.109375" customWidth="1"/>
    <col min="9" max="9" width="15.44140625" customWidth="1"/>
  </cols>
  <sheetData>
    <row r="6" spans="3:11" x14ac:dyDescent="0.3">
      <c r="C6" s="11"/>
      <c r="D6" s="11"/>
      <c r="E6" s="11"/>
      <c r="F6" s="11"/>
    </row>
    <row r="7" spans="3:11" x14ac:dyDescent="0.3">
      <c r="C7" s="11"/>
      <c r="D7" s="11"/>
      <c r="E7" s="11"/>
      <c r="F7" s="11"/>
    </row>
    <row r="8" spans="3:11" x14ac:dyDescent="0.3">
      <c r="C8" s="11"/>
      <c r="D8" s="11"/>
      <c r="E8" s="11"/>
      <c r="F8" s="11"/>
    </row>
    <row r="9" spans="3:11" x14ac:dyDescent="0.3">
      <c r="C9" s="13" t="s">
        <v>1</v>
      </c>
      <c r="D9" s="13">
        <v>5</v>
      </c>
      <c r="E9" s="13" t="s">
        <v>6</v>
      </c>
      <c r="F9" s="13">
        <v>5</v>
      </c>
    </row>
    <row r="10" spans="3:11" x14ac:dyDescent="0.3">
      <c r="C10" s="13" t="s">
        <v>0</v>
      </c>
      <c r="D10" s="13">
        <v>3</v>
      </c>
      <c r="E10" s="13" t="s">
        <v>7</v>
      </c>
      <c r="F10" s="13">
        <v>10</v>
      </c>
    </row>
    <row r="11" spans="3:11" ht="28.8" x14ac:dyDescent="0.3">
      <c r="C11" s="14" t="s">
        <v>3</v>
      </c>
      <c r="D11" s="13" t="s">
        <v>4</v>
      </c>
      <c r="E11" s="13" t="s">
        <v>13</v>
      </c>
      <c r="F11" s="13" t="s">
        <v>14</v>
      </c>
    </row>
    <row r="12" spans="3:11" ht="28.8" x14ac:dyDescent="0.3">
      <c r="C12" s="5" t="s">
        <v>2</v>
      </c>
      <c r="D12" s="5" t="s">
        <v>9</v>
      </c>
      <c r="E12" s="3" t="s">
        <v>12</v>
      </c>
      <c r="F12" s="3" t="s">
        <v>11</v>
      </c>
      <c r="G12" s="3" t="s">
        <v>5</v>
      </c>
      <c r="H12" s="3" t="s">
        <v>15</v>
      </c>
      <c r="I12" s="5" t="s">
        <v>8</v>
      </c>
    </row>
    <row r="13" spans="3:11" x14ac:dyDescent="0.3">
      <c r="C13" s="6">
        <v>1</v>
      </c>
      <c r="D13" s="6">
        <v>1</v>
      </c>
      <c r="E13" s="9">
        <v>3.0419999999999998</v>
      </c>
      <c r="F13" s="9">
        <f>K13-Tabella110[[#This Row],[Total Congested Time]]</f>
        <v>56.957999999999998</v>
      </c>
      <c r="G13" s="9">
        <v>3.0419999999999998</v>
      </c>
      <c r="H13" s="9">
        <v>2.8666999999999998</v>
      </c>
      <c r="I13" s="9">
        <f>Tabella110[[#This Row],[Total Congested Time]]/K13*100</f>
        <v>5.0699999999999994</v>
      </c>
      <c r="K13">
        <v>60</v>
      </c>
    </row>
    <row r="14" spans="3:11" x14ac:dyDescent="0.3">
      <c r="C14" s="6">
        <v>2</v>
      </c>
      <c r="D14" s="6">
        <v>4</v>
      </c>
      <c r="E14" s="9">
        <v>12.148999999999999</v>
      </c>
      <c r="F14" s="9">
        <f>K14-Tabella110[[#This Row],[Total Congested Time]]</f>
        <v>47.850999999999999</v>
      </c>
      <c r="G14" s="9">
        <v>3.0529999999999999</v>
      </c>
      <c r="H14" s="9">
        <v>3.0667</v>
      </c>
      <c r="I14" s="9">
        <f>Tabella110[[#This Row],[Total Congested Time]]/K14*100</f>
        <v>20.248333333333331</v>
      </c>
      <c r="K14">
        <v>60</v>
      </c>
    </row>
    <row r="15" spans="3:11" x14ac:dyDescent="0.3">
      <c r="C15" s="6">
        <v>3</v>
      </c>
      <c r="D15" s="6">
        <v>6</v>
      </c>
      <c r="E15" s="9">
        <v>18.198</v>
      </c>
      <c r="F15" s="9">
        <f>K15-Tabella110[[#This Row],[Total Congested Time]]</f>
        <v>41.802</v>
      </c>
      <c r="G15" s="9">
        <v>3.048</v>
      </c>
      <c r="H15" s="9">
        <v>3.55</v>
      </c>
      <c r="I15" s="9">
        <f>Tabella110[[#This Row],[Total Congested Time]]/K15*100</f>
        <v>30.330000000000002</v>
      </c>
      <c r="K15">
        <v>60</v>
      </c>
    </row>
    <row r="16" spans="3:11" x14ac:dyDescent="0.3">
      <c r="C16" s="6">
        <v>4</v>
      </c>
      <c r="D16" s="6">
        <v>6</v>
      </c>
      <c r="E16" s="9">
        <v>15.756</v>
      </c>
      <c r="F16" s="9">
        <f>K16-Tabella110[[#This Row],[Total Congested Time]]</f>
        <v>44.244</v>
      </c>
      <c r="G16" s="9">
        <v>3.0489999999999999</v>
      </c>
      <c r="H16" s="9">
        <v>3</v>
      </c>
      <c r="I16" s="9">
        <f>Tabella110[[#This Row],[Total Congested Time]]/K16*100</f>
        <v>26.26</v>
      </c>
      <c r="K16">
        <v>60</v>
      </c>
    </row>
    <row r="17" spans="3:11" x14ac:dyDescent="0.3">
      <c r="C17" s="6">
        <v>5</v>
      </c>
      <c r="D17" s="6">
        <v>4</v>
      </c>
      <c r="E17" s="9">
        <v>14.207000000000001</v>
      </c>
      <c r="F17" s="9">
        <f>K17-Tabella110[[#This Row],[Total Congested Time]]</f>
        <v>45.792999999999999</v>
      </c>
      <c r="G17" s="9">
        <v>5.0819999999999999</v>
      </c>
      <c r="H17" s="9">
        <v>2.3330000000000002</v>
      </c>
      <c r="I17" s="9">
        <f>Tabella110[[#This Row],[Total Congested Time]]/K17*100</f>
        <v>23.678333333333335</v>
      </c>
      <c r="K17">
        <v>60</v>
      </c>
    </row>
    <row r="18" spans="3:11" x14ac:dyDescent="0.3">
      <c r="C18" s="6">
        <v>6</v>
      </c>
      <c r="D18" s="6">
        <v>6</v>
      </c>
      <c r="E18" s="9">
        <v>22.396000000000001</v>
      </c>
      <c r="F18" s="9">
        <f>K18-Tabella110[[#This Row],[Total Congested Time]]</f>
        <v>37.603999999999999</v>
      </c>
      <c r="G18" s="9">
        <v>5.0679999999999996</v>
      </c>
      <c r="H18" s="9">
        <v>3.8</v>
      </c>
      <c r="I18" s="9">
        <f>Tabella110[[#This Row],[Total Congested Time]]/K18*100</f>
        <v>37.326666666666668</v>
      </c>
      <c r="K18">
        <v>60</v>
      </c>
    </row>
    <row r="19" spans="3:11" x14ac:dyDescent="0.3">
      <c r="C19" s="6">
        <v>7</v>
      </c>
      <c r="D19" s="6">
        <v>4</v>
      </c>
      <c r="E19" s="9">
        <v>14.185</v>
      </c>
      <c r="F19" s="9">
        <f>K19-Tabella110[[#This Row],[Total Congested Time]]</f>
        <v>45.814999999999998</v>
      </c>
      <c r="G19" s="9">
        <v>5.0910000000000002</v>
      </c>
      <c r="H19" s="9">
        <v>3.133</v>
      </c>
      <c r="I19" s="9">
        <f>Tabella110[[#This Row],[Total Congested Time]]/K19*100</f>
        <v>23.641666666666666</v>
      </c>
      <c r="K19">
        <v>60</v>
      </c>
    </row>
    <row r="20" spans="3:11" x14ac:dyDescent="0.3">
      <c r="C20" s="6">
        <v>8</v>
      </c>
      <c r="D20" s="6">
        <v>7</v>
      </c>
      <c r="E20" s="9">
        <v>19.556000000000001</v>
      </c>
      <c r="F20" s="6">
        <f>K20-Tabella110[[#This Row],[Total Congested Time]]</f>
        <v>40.444000000000003</v>
      </c>
      <c r="G20" s="9">
        <v>3.05</v>
      </c>
      <c r="H20" s="9">
        <v>2.9167000000000001</v>
      </c>
      <c r="I20" s="9">
        <f>Tabella110[[#This Row],[Total Congested Time]]/K20*100</f>
        <v>32.593333333333334</v>
      </c>
      <c r="K20">
        <v>60</v>
      </c>
    </row>
    <row r="21" spans="3:11" x14ac:dyDescent="0.3">
      <c r="C21" s="6">
        <v>9</v>
      </c>
      <c r="D21" s="6">
        <v>6</v>
      </c>
      <c r="E21" s="9">
        <v>23.306000000000001</v>
      </c>
      <c r="F21" s="9">
        <f>K21-Tabella110[[#This Row],[Total Congested Time]]</f>
        <v>36.694000000000003</v>
      </c>
      <c r="G21" s="9">
        <v>8.1470000000000002</v>
      </c>
      <c r="H21" s="6">
        <v>3.1</v>
      </c>
      <c r="I21" s="9">
        <f>Tabella110[[#This Row],[Total Congested Time]]/K21*100</f>
        <v>38.843333333333334</v>
      </c>
      <c r="K21">
        <v>60</v>
      </c>
    </row>
    <row r="22" spans="3:11" x14ac:dyDescent="0.3">
      <c r="C22" s="6">
        <v>10</v>
      </c>
      <c r="D22" s="6">
        <v>7</v>
      </c>
      <c r="E22" s="9">
        <v>19.876000000000001</v>
      </c>
      <c r="F22" s="9">
        <f>K22-Tabella110[[#This Row],[Total Congested Time]]</f>
        <v>40.123999999999995</v>
      </c>
      <c r="G22" s="9">
        <v>3.0489999999999999</v>
      </c>
      <c r="H22" s="9">
        <v>2.6833</v>
      </c>
      <c r="I22" s="9">
        <f>Tabella110[[#This Row],[Total Congested Time]]/K22*100</f>
        <v>33.126666666666672</v>
      </c>
      <c r="K22">
        <v>60</v>
      </c>
    </row>
    <row r="23" spans="3:11" x14ac:dyDescent="0.3">
      <c r="C23" s="6" t="s">
        <v>10</v>
      </c>
      <c r="D23" s="6">
        <f>AVERAGE(Tabella110[Congestion Times])</f>
        <v>5.0999999999999996</v>
      </c>
      <c r="E23" s="9">
        <f>SUBTOTAL(109,Tabella110[Total Congested Time])/(10)</f>
        <v>16.267099999999999</v>
      </c>
      <c r="F23" s="9">
        <f>AVERAGE(Tabella110[[Total Normal Time ]])</f>
        <v>43.732900000000008</v>
      </c>
      <c r="G23" s="9">
        <f>AVERAGE(Tabella110[Longest Congestion Period])</f>
        <v>4.1679000000000004</v>
      </c>
      <c r="H23" s="9">
        <f>AVERAGE(Tabella110[Mean messages queue])</f>
        <v>3.0449399999999995</v>
      </c>
      <c r="I23" s="9">
        <f>AVERAGE(Tabella110[TGT/ST (%)])</f>
        <v>27.111833333333333</v>
      </c>
    </row>
    <row r="30" spans="3:11" x14ac:dyDescent="0.3">
      <c r="C30" s="11"/>
      <c r="D30" s="11"/>
      <c r="E30" s="11"/>
      <c r="F30" s="11"/>
    </row>
    <row r="31" spans="3:11" x14ac:dyDescent="0.3">
      <c r="C31" s="13" t="s">
        <v>1</v>
      </c>
      <c r="D31" s="13">
        <v>10</v>
      </c>
      <c r="E31" s="13" t="s">
        <v>6</v>
      </c>
      <c r="F31" s="13">
        <v>5</v>
      </c>
    </row>
    <row r="32" spans="3:11" x14ac:dyDescent="0.3">
      <c r="C32" s="13" t="s">
        <v>0</v>
      </c>
      <c r="D32" s="13">
        <v>3</v>
      </c>
      <c r="E32" s="13" t="s">
        <v>7</v>
      </c>
      <c r="F32" s="13">
        <v>10</v>
      </c>
    </row>
    <row r="33" spans="3:9" ht="28.8" x14ac:dyDescent="0.3">
      <c r="C33" s="14" t="s">
        <v>3</v>
      </c>
      <c r="D33" s="13" t="s">
        <v>4</v>
      </c>
      <c r="E33" s="13" t="s">
        <v>13</v>
      </c>
      <c r="F33" s="13" t="s">
        <v>14</v>
      </c>
    </row>
    <row r="34" spans="3:9" ht="28.8" x14ac:dyDescent="0.3">
      <c r="C34" s="5" t="s">
        <v>2</v>
      </c>
      <c r="D34" s="5" t="s">
        <v>9</v>
      </c>
      <c r="E34" s="3" t="s">
        <v>12</v>
      </c>
      <c r="F34" s="3" t="s">
        <v>11</v>
      </c>
      <c r="G34" s="3" t="s">
        <v>5</v>
      </c>
      <c r="H34" s="3" t="s">
        <v>15</v>
      </c>
      <c r="I34" s="5" t="s">
        <v>8</v>
      </c>
    </row>
    <row r="35" spans="3:9" x14ac:dyDescent="0.3">
      <c r="C35" s="6">
        <v>1</v>
      </c>
      <c r="D35" s="6">
        <v>1</v>
      </c>
      <c r="E35" s="9">
        <v>32.453000000000003</v>
      </c>
      <c r="F35" s="9">
        <f>K13-Tabella11011[[#This Row],[Total Congested Time]]</f>
        <v>27.546999999999997</v>
      </c>
      <c r="G35" s="9">
        <v>32.450000000000003</v>
      </c>
      <c r="H35" s="9">
        <v>5.6669999999999998</v>
      </c>
      <c r="I35" s="9">
        <f>Tabella11011[[#This Row],[Total Congested Time]]/K13*100</f>
        <v>54.088333333333338</v>
      </c>
    </row>
    <row r="36" spans="3:9" x14ac:dyDescent="0.3">
      <c r="C36" s="6">
        <v>2</v>
      </c>
      <c r="D36" s="6">
        <v>3</v>
      </c>
      <c r="E36" s="9">
        <v>16.18</v>
      </c>
      <c r="F36" s="9">
        <f>K14-Tabella11011[[#This Row],[Total Congested Time]]</f>
        <v>43.82</v>
      </c>
      <c r="G36" s="9">
        <v>10.112</v>
      </c>
      <c r="H36" s="9">
        <v>3.9</v>
      </c>
      <c r="I36" s="9">
        <f>Tabella11011[[#This Row],[Total Congested Time]]/K14*100</f>
        <v>26.966666666666665</v>
      </c>
    </row>
    <row r="37" spans="3:9" x14ac:dyDescent="0.3">
      <c r="C37" s="6">
        <v>3</v>
      </c>
      <c r="D37" s="6">
        <v>4</v>
      </c>
      <c r="E37" s="9">
        <v>23.288</v>
      </c>
      <c r="F37" s="9">
        <f>K15-Tabella11011[[#This Row],[Total Congested Time]]</f>
        <v>36.712000000000003</v>
      </c>
      <c r="G37" s="9">
        <v>14.148999999999999</v>
      </c>
      <c r="H37" s="9">
        <v>4</v>
      </c>
      <c r="I37" s="9">
        <f>Tabella11011[[#This Row],[Total Congested Time]]/K15*100</f>
        <v>38.813333333333333</v>
      </c>
    </row>
    <row r="38" spans="3:9" x14ac:dyDescent="0.3">
      <c r="C38" s="6">
        <v>4</v>
      </c>
      <c r="D38" s="6">
        <v>1</v>
      </c>
      <c r="E38" s="9">
        <v>16.2</v>
      </c>
      <c r="F38" s="9">
        <f>K16-Tabella11011[[#This Row],[Total Congested Time]]</f>
        <v>43.8</v>
      </c>
      <c r="G38" s="9">
        <v>16.2</v>
      </c>
      <c r="H38" s="9">
        <v>3.7330000000000001</v>
      </c>
      <c r="I38" s="9">
        <f>Tabella11011[[#This Row],[Total Congested Time]]/K16*100</f>
        <v>26.999999999999996</v>
      </c>
    </row>
    <row r="39" spans="3:9" x14ac:dyDescent="0.3">
      <c r="C39" s="6">
        <v>5</v>
      </c>
      <c r="D39" s="6">
        <v>4</v>
      </c>
      <c r="E39" s="9">
        <v>29.367999999999999</v>
      </c>
      <c r="F39" s="9">
        <f>K17-Tabella11011[[#This Row],[Total Congested Time]]</f>
        <v>30.632000000000001</v>
      </c>
      <c r="G39" s="9">
        <v>19.23</v>
      </c>
      <c r="H39" s="9">
        <v>2.9491999999999998</v>
      </c>
      <c r="I39" s="9">
        <f>Tabella11011[[#This Row],[Total Congested Time]]/K17*100</f>
        <v>48.946666666666665</v>
      </c>
    </row>
    <row r="40" spans="3:9" x14ac:dyDescent="0.3">
      <c r="C40" s="6">
        <v>6</v>
      </c>
      <c r="D40" s="6">
        <v>3</v>
      </c>
      <c r="E40" s="9">
        <v>18.222999999999999</v>
      </c>
      <c r="F40" s="9">
        <f>K18-Tabella11011[[#This Row],[Total Congested Time]]</f>
        <v>41.777000000000001</v>
      </c>
      <c r="G40" s="9">
        <v>12.151</v>
      </c>
      <c r="H40" s="9">
        <v>3.7667000000000002</v>
      </c>
      <c r="I40" s="9">
        <f>Tabella11011[[#This Row],[Total Congested Time]]/K18*100</f>
        <v>30.371666666666663</v>
      </c>
    </row>
    <row r="41" spans="3:9" x14ac:dyDescent="0.3">
      <c r="C41" s="6">
        <v>7</v>
      </c>
      <c r="D41" s="6">
        <v>6</v>
      </c>
      <c r="E41" s="9">
        <v>22.254000000000001</v>
      </c>
      <c r="F41" s="9">
        <f>K19-Tabella11011[[#This Row],[Total Congested Time]]</f>
        <v>37.745999999999995</v>
      </c>
      <c r="G41" s="9">
        <v>5.07</v>
      </c>
      <c r="H41" s="9">
        <v>2.8666999999999998</v>
      </c>
      <c r="I41" s="9">
        <f>Tabella11011[[#This Row],[Total Congested Time]]/K19*100</f>
        <v>37.090000000000003</v>
      </c>
    </row>
    <row r="42" spans="3:9" x14ac:dyDescent="0.3">
      <c r="C42" s="6">
        <v>8</v>
      </c>
      <c r="D42" s="6">
        <v>3</v>
      </c>
      <c r="E42" s="9">
        <v>19.238</v>
      </c>
      <c r="F42" s="9">
        <f>K20-Tabella11011[[#This Row],[Total Congested Time]]</f>
        <v>40.762</v>
      </c>
      <c r="G42" s="9">
        <v>11.164999999999999</v>
      </c>
      <c r="H42" s="9">
        <v>4.0999999999999996</v>
      </c>
      <c r="I42" s="9">
        <f>Tabella11011[[#This Row],[Total Congested Time]]/K20*100</f>
        <v>32.063333333333333</v>
      </c>
    </row>
    <row r="43" spans="3:9" x14ac:dyDescent="0.3">
      <c r="C43" s="6">
        <v>9</v>
      </c>
      <c r="D43" s="6">
        <v>5</v>
      </c>
      <c r="E43" s="9">
        <v>28.331</v>
      </c>
      <c r="F43" s="9">
        <f>K21-Tabella11011[[#This Row],[Total Congested Time]]</f>
        <v>31.669</v>
      </c>
      <c r="G43" s="9">
        <v>16.167999999999999</v>
      </c>
      <c r="H43" s="9">
        <v>4.2</v>
      </c>
      <c r="I43" s="9">
        <f>Tabella11011[[#This Row],[Total Congested Time]]/K21*100</f>
        <v>47.218333333333334</v>
      </c>
    </row>
    <row r="44" spans="3:9" x14ac:dyDescent="0.3">
      <c r="C44" s="6">
        <v>10</v>
      </c>
      <c r="D44" s="6">
        <v>1</v>
      </c>
      <c r="E44" s="9">
        <v>11.144</v>
      </c>
      <c r="F44" s="9">
        <f>K22-Tabella11011[[#This Row],[Total Congested Time]]</f>
        <v>48.856000000000002</v>
      </c>
      <c r="G44" s="9">
        <v>11.14</v>
      </c>
      <c r="H44" s="9">
        <v>3.6</v>
      </c>
      <c r="I44" s="9">
        <f>Tabella11011[[#This Row],[Total Congested Time]]/K22*100</f>
        <v>18.573333333333334</v>
      </c>
    </row>
    <row r="45" spans="3:9" x14ac:dyDescent="0.3">
      <c r="C45" s="6" t="s">
        <v>10</v>
      </c>
      <c r="D45" s="9">
        <f>AVERAGE(Tabella11011[Congestion Times])</f>
        <v>3.1</v>
      </c>
      <c r="E45" s="9">
        <f>SUBTOTAL(109,Tabella11011[Total Congested Time])/(10)</f>
        <v>21.667899999999996</v>
      </c>
      <c r="F45" s="9">
        <f>AVERAGE(Tabella11011[[Total Normal Time ]])</f>
        <v>38.332099999999997</v>
      </c>
      <c r="G45" s="9">
        <f>AVERAGE(Tabella11011[Longest Congestion Period])</f>
        <v>14.783499999999998</v>
      </c>
      <c r="H45" s="9">
        <f>AVERAGE(Tabella11011[Mean messages queue])</f>
        <v>3.8782600000000009</v>
      </c>
      <c r="I45" s="9">
        <f>AVERAGE(Tabella11011[TGT/ST (%)])</f>
        <v>36.113166666666658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BAF4-A7C1-4C98-8938-E904DDD0E199}">
  <dimension ref="D4:L42"/>
  <sheetViews>
    <sheetView topLeftCell="C25" zoomScale="75" workbookViewId="0">
      <selection activeCell="J32" sqref="J32:J42"/>
    </sheetView>
  </sheetViews>
  <sheetFormatPr defaultRowHeight="14.4" x14ac:dyDescent="0.3"/>
  <cols>
    <col min="4" max="4" width="10.77734375" customWidth="1"/>
    <col min="5" max="5" width="26.109375" customWidth="1"/>
    <col min="6" max="6" width="20.109375" customWidth="1"/>
    <col min="7" max="7" width="20.44140625" customWidth="1"/>
    <col min="8" max="9" width="19.109375" customWidth="1"/>
    <col min="10" max="10" width="15.44140625" customWidth="1"/>
  </cols>
  <sheetData>
    <row r="4" spans="4:12" x14ac:dyDescent="0.3">
      <c r="G4" t="s">
        <v>19</v>
      </c>
    </row>
    <row r="7" spans="4:12" x14ac:dyDescent="0.3">
      <c r="D7" s="13" t="s">
        <v>1</v>
      </c>
      <c r="E7" s="13">
        <v>5</v>
      </c>
      <c r="F7" s="13" t="s">
        <v>6</v>
      </c>
      <c r="G7" s="13">
        <v>5</v>
      </c>
    </row>
    <row r="8" spans="4:12" x14ac:dyDescent="0.3">
      <c r="D8" s="13" t="s">
        <v>0</v>
      </c>
      <c r="E8" s="13">
        <v>3</v>
      </c>
      <c r="F8" s="13" t="s">
        <v>7</v>
      </c>
      <c r="G8" s="13">
        <v>10</v>
      </c>
    </row>
    <row r="9" spans="4:12" ht="28.8" x14ac:dyDescent="0.3">
      <c r="D9" s="14" t="s">
        <v>3</v>
      </c>
      <c r="E9" s="13" t="s">
        <v>4</v>
      </c>
      <c r="F9" s="13" t="s">
        <v>13</v>
      </c>
      <c r="G9" s="13" t="s">
        <v>17</v>
      </c>
    </row>
    <row r="10" spans="4:12" ht="28.8" x14ac:dyDescent="0.3">
      <c r="D10" s="5" t="s">
        <v>2</v>
      </c>
      <c r="E10" s="5" t="s">
        <v>9</v>
      </c>
      <c r="F10" s="3" t="s">
        <v>12</v>
      </c>
      <c r="G10" s="3" t="s">
        <v>11</v>
      </c>
      <c r="H10" s="3" t="s">
        <v>5</v>
      </c>
      <c r="I10" s="3" t="s">
        <v>18</v>
      </c>
      <c r="J10" s="5" t="s">
        <v>8</v>
      </c>
    </row>
    <row r="11" spans="4:12" x14ac:dyDescent="0.3">
      <c r="D11" s="6">
        <v>1</v>
      </c>
      <c r="E11" s="6">
        <v>6</v>
      </c>
      <c r="F11" s="9">
        <v>27.108000000000001</v>
      </c>
      <c r="G11" s="9">
        <f>L11-Tabella165[[#This Row],[Total Congested Time]]</f>
        <v>32.891999999999996</v>
      </c>
      <c r="H11" s="9">
        <v>8.1170000000000009</v>
      </c>
      <c r="I11" s="9">
        <v>3.8</v>
      </c>
      <c r="J11" s="9">
        <f>Tabella165[[#This Row],[Total Congested Time]]/L11*100</f>
        <v>45.180000000000007</v>
      </c>
      <c r="L11">
        <v>60</v>
      </c>
    </row>
    <row r="12" spans="4:12" x14ac:dyDescent="0.3">
      <c r="D12" s="6">
        <v>2</v>
      </c>
      <c r="E12" s="6">
        <v>0</v>
      </c>
      <c r="F12" s="9">
        <v>0</v>
      </c>
      <c r="G12" s="9">
        <f>L12-Tabella165[[#This Row],[Total Congested Time]]</f>
        <v>60</v>
      </c>
      <c r="H12" s="9">
        <v>0</v>
      </c>
      <c r="I12" s="9">
        <v>6.9333</v>
      </c>
      <c r="J12" s="9">
        <f>Tabella165[[#This Row],[Total Congested Time]]/L12*100</f>
        <v>0</v>
      </c>
      <c r="L12">
        <v>60</v>
      </c>
    </row>
    <row r="13" spans="4:12" x14ac:dyDescent="0.3">
      <c r="D13" s="6">
        <v>3</v>
      </c>
      <c r="E13" s="6">
        <v>2</v>
      </c>
      <c r="F13" s="9">
        <v>6.1360000000000001</v>
      </c>
      <c r="G13" s="9">
        <f>L13-Tabella165[[#This Row],[Total Congested Time]]</f>
        <v>53.863999999999997</v>
      </c>
      <c r="H13" s="9">
        <v>3.093</v>
      </c>
      <c r="I13" s="9">
        <v>2.4</v>
      </c>
      <c r="J13" s="9">
        <f>Tabella165[[#This Row],[Total Congested Time]]/L13*100</f>
        <v>10.226666666666667</v>
      </c>
      <c r="L13">
        <v>60</v>
      </c>
    </row>
    <row r="14" spans="4:12" x14ac:dyDescent="0.3">
      <c r="D14" s="6">
        <v>4</v>
      </c>
      <c r="E14" s="6">
        <v>5</v>
      </c>
      <c r="F14" s="9">
        <v>22.384</v>
      </c>
      <c r="G14" s="9">
        <f>L14-Tabella165[[#This Row],[Total Congested Time]]</f>
        <v>37.616</v>
      </c>
      <c r="H14" s="9">
        <v>10.205</v>
      </c>
      <c r="I14" s="9">
        <v>3.3833000000000002</v>
      </c>
      <c r="J14" s="9">
        <f>Tabella165[[#This Row],[Total Congested Time]]/L14*100</f>
        <v>37.306666666666665</v>
      </c>
      <c r="L14">
        <v>60</v>
      </c>
    </row>
    <row r="15" spans="4:12" x14ac:dyDescent="0.3">
      <c r="D15" s="6">
        <v>5</v>
      </c>
      <c r="E15" s="6">
        <v>4</v>
      </c>
      <c r="F15" s="9">
        <v>10.653</v>
      </c>
      <c r="G15" s="9">
        <f>L15-Tabella165[[#This Row],[Total Congested Time]]</f>
        <v>49.347000000000001</v>
      </c>
      <c r="H15" s="9">
        <v>3.048</v>
      </c>
      <c r="I15" s="9">
        <v>3.4</v>
      </c>
      <c r="J15" s="9">
        <f>Tabella165[[#This Row],[Total Congested Time]]/L15*100</f>
        <v>17.755000000000003</v>
      </c>
      <c r="L15">
        <v>60</v>
      </c>
    </row>
    <row r="16" spans="4:12" x14ac:dyDescent="0.3">
      <c r="D16" s="6">
        <v>6</v>
      </c>
      <c r="E16" s="6">
        <v>8</v>
      </c>
      <c r="F16" s="9">
        <v>27.34</v>
      </c>
      <c r="G16" s="9">
        <f>L16-Tabella165[[#This Row],[Total Congested Time]]</f>
        <v>32.659999999999997</v>
      </c>
      <c r="H16" s="9">
        <v>5.077</v>
      </c>
      <c r="I16" s="9">
        <v>2.8330000000000002</v>
      </c>
      <c r="J16" s="9">
        <f>Tabella165[[#This Row],[Total Congested Time]]/L16*100</f>
        <v>45.566666666666663</v>
      </c>
      <c r="L16">
        <v>60</v>
      </c>
    </row>
    <row r="17" spans="4:12" x14ac:dyDescent="0.3">
      <c r="D17" s="6">
        <v>7</v>
      </c>
      <c r="E17" s="6">
        <v>1</v>
      </c>
      <c r="F17" s="9">
        <v>3.044</v>
      </c>
      <c r="G17" s="9">
        <f>L17-Tabella165[[#This Row],[Total Congested Time]]</f>
        <v>56.956000000000003</v>
      </c>
      <c r="H17" s="9">
        <v>3.04</v>
      </c>
      <c r="I17" s="9">
        <v>0.66669999999999996</v>
      </c>
      <c r="J17" s="9">
        <f>Tabella165[[#This Row],[Total Congested Time]]/L17*100</f>
        <v>5.0733333333333333</v>
      </c>
      <c r="L17">
        <v>60</v>
      </c>
    </row>
    <row r="18" spans="4:12" x14ac:dyDescent="0.3">
      <c r="D18" s="6">
        <v>8</v>
      </c>
      <c r="E18" s="6">
        <v>4</v>
      </c>
      <c r="F18" s="9">
        <v>12.170999999999999</v>
      </c>
      <c r="G18" s="9">
        <f>L18-Tabella165[[#This Row],[Total Congested Time]]</f>
        <v>47.829000000000001</v>
      </c>
      <c r="H18" s="9">
        <v>3.0569999999999999</v>
      </c>
      <c r="I18" s="9">
        <v>2.2166999999999999</v>
      </c>
      <c r="J18" s="9">
        <f>Tabella165[[#This Row],[Total Congested Time]]/L18*100</f>
        <v>20.285</v>
      </c>
      <c r="L18">
        <v>60</v>
      </c>
    </row>
    <row r="19" spans="4:12" x14ac:dyDescent="0.3">
      <c r="D19" s="6">
        <v>9</v>
      </c>
      <c r="E19" s="6">
        <v>0</v>
      </c>
      <c r="F19" s="9">
        <v>0</v>
      </c>
      <c r="G19" s="9">
        <f>L19-Tabella165[[#This Row],[Total Congested Time]]</f>
        <v>60</v>
      </c>
      <c r="H19" s="9">
        <v>0</v>
      </c>
      <c r="I19" s="9">
        <v>1.3</v>
      </c>
      <c r="J19" s="9">
        <f>Tabella165[[#This Row],[Total Congested Time]]/L19*100</f>
        <v>0</v>
      </c>
      <c r="L19">
        <v>60</v>
      </c>
    </row>
    <row r="20" spans="4:12" x14ac:dyDescent="0.3">
      <c r="D20" s="6">
        <v>10</v>
      </c>
      <c r="E20" s="6">
        <v>5</v>
      </c>
      <c r="F20" s="9">
        <v>15.194000000000001</v>
      </c>
      <c r="G20" s="9">
        <f>L20-Tabella165[[#This Row],[Total Congested Time]]</f>
        <v>44.805999999999997</v>
      </c>
      <c r="H20" s="9">
        <v>3.0510000000000002</v>
      </c>
      <c r="I20" s="9">
        <v>2.6166999999999998</v>
      </c>
      <c r="J20" s="9">
        <f>Tabella165[[#This Row],[Total Congested Time]]/L20*100</f>
        <v>25.323333333333338</v>
      </c>
      <c r="L20">
        <v>60</v>
      </c>
    </row>
    <row r="21" spans="4:12" x14ac:dyDescent="0.3">
      <c r="D21" s="6" t="s">
        <v>10</v>
      </c>
      <c r="E21" s="9">
        <f>AVERAGE(Tabella165[Congestion Times])</f>
        <v>3.5</v>
      </c>
      <c r="F21" s="9">
        <f>SUBTOTAL(109,Tabella165[Total Congested Time])/(10)</f>
        <v>12.403000000000002</v>
      </c>
      <c r="G21" s="9">
        <f>AVERAGE(Tabella165[[Total Normal Time ]])</f>
        <v>47.597000000000001</v>
      </c>
      <c r="H21" s="9">
        <f>AVERAGE(Tabella165[Longest Congestion Period])</f>
        <v>3.8688000000000002</v>
      </c>
      <c r="I21" s="6">
        <f>AVERAGE(Tabella165[Mean queue messages])</f>
        <v>2.9549700000000003</v>
      </c>
      <c r="J21" s="9">
        <f>AVERAGE(Tabella165[TGT/ST (%)])</f>
        <v>20.671666666666663</v>
      </c>
    </row>
    <row r="25" spans="4:12" x14ac:dyDescent="0.3">
      <c r="E25" t="s">
        <v>20</v>
      </c>
    </row>
    <row r="28" spans="4:12" x14ac:dyDescent="0.3">
      <c r="D28" s="11" t="s">
        <v>1</v>
      </c>
      <c r="E28" s="11">
        <v>10</v>
      </c>
      <c r="F28" s="11" t="s">
        <v>6</v>
      </c>
      <c r="G28" s="11">
        <v>5</v>
      </c>
    </row>
    <row r="29" spans="4:12" x14ac:dyDescent="0.3">
      <c r="D29" s="11" t="s">
        <v>0</v>
      </c>
      <c r="E29" s="11">
        <v>5</v>
      </c>
      <c r="F29" s="11" t="s">
        <v>7</v>
      </c>
      <c r="G29" s="11">
        <v>10</v>
      </c>
    </row>
    <row r="30" spans="4:12" ht="28.8" x14ac:dyDescent="0.3">
      <c r="D30" s="1" t="s">
        <v>3</v>
      </c>
      <c r="E30" s="11" t="s">
        <v>4</v>
      </c>
      <c r="F30" s="11" t="s">
        <v>13</v>
      </c>
      <c r="G30" s="11" t="s">
        <v>17</v>
      </c>
    </row>
    <row r="31" spans="4:12" ht="28.8" x14ac:dyDescent="0.3">
      <c r="D31" s="5" t="s">
        <v>2</v>
      </c>
      <c r="E31" s="5" t="s">
        <v>9</v>
      </c>
      <c r="F31" s="3" t="s">
        <v>12</v>
      </c>
      <c r="G31" s="3" t="s">
        <v>11</v>
      </c>
      <c r="H31" s="3" t="s">
        <v>5</v>
      </c>
      <c r="I31" s="3" t="s">
        <v>15</v>
      </c>
      <c r="J31" s="5" t="s">
        <v>8</v>
      </c>
    </row>
    <row r="32" spans="4:12" x14ac:dyDescent="0.3">
      <c r="D32" s="6">
        <v>1</v>
      </c>
      <c r="E32" s="6">
        <v>5</v>
      </c>
      <c r="F32" s="9">
        <v>30.366</v>
      </c>
      <c r="G32" s="9">
        <f>L11-Tabella13712[[#This Row],[Total Congested Time]]</f>
        <v>29.634</v>
      </c>
      <c r="H32" s="9">
        <v>16.201000000000001</v>
      </c>
      <c r="I32" s="9">
        <v>4.5999999999999996</v>
      </c>
      <c r="J32" s="9">
        <f>Tabella13712[[#This Row],[Total Congested Time]]/L11*100</f>
        <v>50.61</v>
      </c>
    </row>
    <row r="33" spans="4:10" x14ac:dyDescent="0.3">
      <c r="D33" s="6">
        <v>2</v>
      </c>
      <c r="E33" s="6">
        <v>6</v>
      </c>
      <c r="F33" s="9">
        <v>42.530999999999999</v>
      </c>
      <c r="G33" s="9">
        <f>L12-Tabella13712[[#This Row],[Total Congested Time]]</f>
        <v>17.469000000000001</v>
      </c>
      <c r="H33" s="9">
        <v>27.349</v>
      </c>
      <c r="I33" s="9">
        <v>6.55</v>
      </c>
      <c r="J33" s="9">
        <f>Tabella13712[[#This Row],[Total Congested Time]]/L12*100</f>
        <v>70.884999999999991</v>
      </c>
    </row>
    <row r="34" spans="4:10" x14ac:dyDescent="0.3">
      <c r="D34" s="6">
        <v>3</v>
      </c>
      <c r="E34" s="6">
        <v>6</v>
      </c>
      <c r="F34" s="9">
        <v>27.344000000000001</v>
      </c>
      <c r="G34" s="9">
        <f>L13-Tabella13712[[#This Row],[Total Congested Time]]</f>
        <v>32.655999999999999</v>
      </c>
      <c r="H34" s="9">
        <v>12.16</v>
      </c>
      <c r="I34" s="9">
        <v>3.48</v>
      </c>
      <c r="J34" s="9">
        <f>Tabella13712[[#This Row],[Total Congested Time]]/L13*100</f>
        <v>45.573333333333338</v>
      </c>
    </row>
    <row r="35" spans="4:10" x14ac:dyDescent="0.3">
      <c r="D35" s="6">
        <v>4</v>
      </c>
      <c r="E35" s="6">
        <v>5</v>
      </c>
      <c r="F35" s="9">
        <v>18.251000000000001</v>
      </c>
      <c r="G35" s="9">
        <f>L14-Tabella13712[[#This Row],[Total Congested Time]]</f>
        <v>41.748999999999995</v>
      </c>
      <c r="H35" s="9">
        <v>6.0810000000000004</v>
      </c>
      <c r="I35" s="9">
        <v>3.6166999999999998</v>
      </c>
      <c r="J35" s="9">
        <f>Tabella13712[[#This Row],[Total Congested Time]]/L14*100</f>
        <v>30.418333333333337</v>
      </c>
    </row>
    <row r="36" spans="4:10" x14ac:dyDescent="0.3">
      <c r="D36" s="6">
        <v>5</v>
      </c>
      <c r="E36" s="6">
        <v>6</v>
      </c>
      <c r="F36" s="9">
        <v>38.43</v>
      </c>
      <c r="G36" s="9">
        <f>L15-Tabella13712[[#This Row],[Total Congested Time]]</f>
        <v>21.57</v>
      </c>
      <c r="H36" s="9">
        <v>22.282</v>
      </c>
      <c r="I36" s="9">
        <v>5.35</v>
      </c>
      <c r="J36" s="9">
        <f>Tabella13712[[#This Row],[Total Congested Time]]/L15*100</f>
        <v>64.05</v>
      </c>
    </row>
    <row r="37" spans="4:10" x14ac:dyDescent="0.3">
      <c r="D37" s="6">
        <v>6</v>
      </c>
      <c r="E37">
        <v>4</v>
      </c>
      <c r="F37" s="10">
        <v>20.268000000000001</v>
      </c>
      <c r="G37" s="9">
        <f>L16-Tabella13712[[#This Row],[Total Congested Time]]</f>
        <v>39.731999999999999</v>
      </c>
      <c r="H37" s="9">
        <v>10.148999999999999</v>
      </c>
      <c r="I37" s="9">
        <v>3.2</v>
      </c>
      <c r="J37" s="9">
        <f>Tabella13712[[#This Row],[Total Congested Time]]/L16*100</f>
        <v>33.78</v>
      </c>
    </row>
    <row r="38" spans="4:10" x14ac:dyDescent="0.3">
      <c r="D38" s="6">
        <v>7</v>
      </c>
      <c r="E38" s="6">
        <v>5</v>
      </c>
      <c r="F38" s="9">
        <v>27.946999999999999</v>
      </c>
      <c r="G38" s="9">
        <f>L17-Tabella13712[[#This Row],[Total Congested Time]]</f>
        <v>32.052999999999997</v>
      </c>
      <c r="H38" s="9">
        <v>16.25</v>
      </c>
      <c r="I38" s="9">
        <v>4.633</v>
      </c>
      <c r="J38" s="9">
        <f>Tabella13712[[#This Row],[Total Congested Time]]/L17*100</f>
        <v>46.578333333333333</v>
      </c>
    </row>
    <row r="39" spans="4:10" x14ac:dyDescent="0.3">
      <c r="D39" s="6">
        <v>8</v>
      </c>
      <c r="E39" s="6">
        <v>4</v>
      </c>
      <c r="F39" s="9">
        <v>25.286999999999999</v>
      </c>
      <c r="G39" s="9">
        <f>L18-Tabella13712[[#This Row],[Total Congested Time]]</f>
        <v>34.713000000000001</v>
      </c>
      <c r="H39" s="9">
        <v>15.178000000000001</v>
      </c>
      <c r="I39" s="9">
        <v>3.4666999999999999</v>
      </c>
      <c r="J39" s="9">
        <f>Tabella13712[[#This Row],[Total Congested Time]]/L18*100</f>
        <v>42.144999999999996</v>
      </c>
    </row>
    <row r="40" spans="4:10" x14ac:dyDescent="0.3">
      <c r="D40" s="6">
        <v>9</v>
      </c>
      <c r="E40" s="6">
        <v>5</v>
      </c>
      <c r="F40" s="9">
        <v>21.256</v>
      </c>
      <c r="G40" s="9">
        <f>L19-Tabella13712[[#This Row],[Total Congested Time]]</f>
        <v>38.744</v>
      </c>
      <c r="H40" s="9">
        <v>9.1240000000000006</v>
      </c>
      <c r="I40" s="9">
        <v>3.0667</v>
      </c>
      <c r="J40" s="9">
        <f>Tabella13712[[#This Row],[Total Congested Time]]/L19*100</f>
        <v>35.426666666666669</v>
      </c>
    </row>
    <row r="41" spans="4:10" x14ac:dyDescent="0.3">
      <c r="D41" s="6">
        <v>10</v>
      </c>
      <c r="E41" s="6">
        <v>4</v>
      </c>
      <c r="F41" s="9">
        <v>33.454999999999998</v>
      </c>
      <c r="G41" s="9">
        <f>L20-Tabella13712[[#This Row],[Total Congested Time]]</f>
        <v>26.545000000000002</v>
      </c>
      <c r="H41" s="9">
        <v>21.3</v>
      </c>
      <c r="I41" s="9">
        <v>4.8167</v>
      </c>
      <c r="J41" s="9">
        <f>Tabella13712[[#This Row],[Total Congested Time]]/L20*100</f>
        <v>55.758333333333333</v>
      </c>
    </row>
    <row r="42" spans="4:10" x14ac:dyDescent="0.3">
      <c r="D42" s="6" t="s">
        <v>10</v>
      </c>
      <c r="E42" s="9">
        <f>AVERAGE(Tabella13712[Congestion Times])</f>
        <v>5</v>
      </c>
      <c r="F42" s="9">
        <f>AVERAGE(Tabella13712[Total Congested Time])</f>
        <v>28.513500000000001</v>
      </c>
      <c r="G42" s="9">
        <f>AVERAGE(Tabella13712[[Total Normal Time ]])</f>
        <v>31.486499999999999</v>
      </c>
      <c r="H42" s="9">
        <f>AVERAGE(Tabella13712[Longest Congestion Period])</f>
        <v>15.607400000000002</v>
      </c>
      <c r="I42" s="9">
        <f>AVERAGE(Tabella13712[Mean messages queue])</f>
        <v>4.2779799999999994</v>
      </c>
      <c r="J42" s="9">
        <f>AVERAGE(Tabella13712[TGT/ST (%)])</f>
        <v>47.522500000000001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AGGREGABLE</vt:lpstr>
      <vt:lpstr>DROP</vt:lpstr>
      <vt:lpstr>AGGREGABLE2</vt:lpstr>
      <vt:lpstr>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Assunta De Caro</dc:creator>
  <cp:lastModifiedBy>Assunta De Caro</cp:lastModifiedBy>
  <dcterms:created xsi:type="dcterms:W3CDTF">2021-06-22T18:38:46Z</dcterms:created>
  <dcterms:modified xsi:type="dcterms:W3CDTF">2021-06-27T18:42:11Z</dcterms:modified>
</cp:coreProperties>
</file>