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kj62.CLRC\Documents\GitHub\PAdantic\PAdantic\Importers\"/>
    </mc:Choice>
  </mc:AlternateContent>
  <xr:revisionPtr revIDLastSave="0" documentId="8_{05E4725C-D871-4DDB-B7EB-6B77D2A5890F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Table" sheetId="1" r:id="rId1"/>
    <sheet name="Specs" sheetId="2" r:id="rId2"/>
    <sheet name="Measurements" sheetId="5" r:id="rId3"/>
    <sheet name="Revision" sheetId="3" r:id="rId4"/>
  </sheets>
  <definedNames>
    <definedName name="_xlnm._FilterDatabase" localSheetId="0" hidden="1">Table!$A$3:$AI$277</definedName>
    <definedName name="c_">Table!$V$1</definedName>
    <definedName name="_xlnm.Print_Area" localSheetId="1">Specs!$A$1:$R$21</definedName>
    <definedName name="_xlnm.Print_Area" localSheetId="0">Table!$A$1:$L$182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1" i="1" l="1"/>
  <c r="X131" i="1"/>
  <c r="T131" i="1"/>
  <c r="Z128" i="1" l="1"/>
  <c r="X128" i="1"/>
  <c r="T128" i="1"/>
  <c r="Z127" i="1" l="1"/>
  <c r="X127" i="1"/>
  <c r="T127" i="1"/>
  <c r="Z121" i="1" l="1"/>
  <c r="X121" i="1"/>
  <c r="T121" i="1"/>
  <c r="Z120" i="1" l="1"/>
  <c r="X120" i="1"/>
  <c r="T120" i="1"/>
  <c r="Z118" i="1" l="1"/>
  <c r="X118" i="1"/>
  <c r="T118" i="1"/>
  <c r="T31" i="1" l="1"/>
  <c r="T30" i="1"/>
  <c r="AI30" i="1" l="1"/>
  <c r="AH30" i="1"/>
  <c r="AG30" i="1"/>
  <c r="AF30" i="1"/>
  <c r="AC30" i="1"/>
  <c r="S30" i="1"/>
  <c r="Q30" i="1"/>
  <c r="P30" i="1"/>
  <c r="N30" i="1"/>
  <c r="M30" i="1"/>
  <c r="L30" i="1"/>
  <c r="AE30" i="1" s="1"/>
  <c r="L31" i="1"/>
  <c r="O30" i="1" l="1"/>
  <c r="I3" i="2"/>
  <c r="I5" i="2"/>
  <c r="I6" i="2"/>
  <c r="I10" i="2"/>
  <c r="I11" i="2"/>
  <c r="I12" i="2"/>
  <c r="I13" i="2"/>
  <c r="I14" i="2"/>
  <c r="I15" i="2"/>
  <c r="I17" i="2"/>
  <c r="I18" i="2"/>
  <c r="I19" i="2"/>
  <c r="I21" i="2"/>
  <c r="I22" i="2"/>
  <c r="I23" i="2"/>
  <c r="I24" i="2"/>
  <c r="I25" i="2"/>
  <c r="I26" i="2"/>
  <c r="I27" i="2"/>
  <c r="I28" i="2"/>
  <c r="I29" i="2"/>
  <c r="I2" i="2"/>
  <c r="N138" i="1" l="1"/>
  <c r="M138" i="1"/>
  <c r="N137" i="1"/>
  <c r="M137" i="1"/>
  <c r="N130" i="1"/>
  <c r="M130" i="1"/>
  <c r="N129" i="1"/>
  <c r="M129" i="1"/>
  <c r="N123" i="1"/>
  <c r="M123" i="1"/>
  <c r="N122" i="1"/>
  <c r="M122" i="1"/>
  <c r="N115" i="1"/>
  <c r="M115" i="1"/>
  <c r="N114" i="1"/>
  <c r="M114" i="1"/>
  <c r="H16" i="2"/>
  <c r="G16" i="2"/>
  <c r="I16" i="2" s="1"/>
  <c r="E16" i="2"/>
  <c r="C16" i="2"/>
  <c r="J16" i="2"/>
  <c r="N116" i="1"/>
  <c r="M116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28" i="1"/>
  <c r="M128" i="1"/>
  <c r="N127" i="1"/>
  <c r="M127" i="1"/>
  <c r="M126" i="1"/>
  <c r="N125" i="1"/>
  <c r="M125" i="1"/>
  <c r="N124" i="1"/>
  <c r="M124" i="1"/>
  <c r="N121" i="1"/>
  <c r="M121" i="1"/>
  <c r="N120" i="1"/>
  <c r="M120" i="1"/>
  <c r="M119" i="1"/>
  <c r="N118" i="1"/>
  <c r="M118" i="1"/>
  <c r="N117" i="1"/>
  <c r="M117" i="1"/>
  <c r="N126" i="1"/>
  <c r="N119" i="1"/>
  <c r="P132" i="1" l="1"/>
  <c r="Q132" i="1"/>
  <c r="S132" i="1"/>
  <c r="AC132" i="1"/>
  <c r="AE132" i="1"/>
  <c r="AF132" i="1"/>
  <c r="AG132" i="1"/>
  <c r="AH132" i="1"/>
  <c r="AI132" i="1"/>
  <c r="P117" i="1"/>
  <c r="Q117" i="1"/>
  <c r="S117" i="1"/>
  <c r="AC117" i="1"/>
  <c r="AE117" i="1"/>
  <c r="AF117" i="1"/>
  <c r="AG117" i="1"/>
  <c r="AH117" i="1"/>
  <c r="AI117" i="1"/>
  <c r="O132" i="1" l="1"/>
  <c r="O117" i="1"/>
  <c r="J15" i="2"/>
  <c r="AH31" i="1" l="1"/>
  <c r="AH43" i="1"/>
  <c r="AH44" i="1"/>
  <c r="AH47" i="1"/>
  <c r="AH48" i="1"/>
  <c r="AH61" i="1"/>
  <c r="AH62" i="1"/>
  <c r="AH63" i="1"/>
  <c r="AH64" i="1"/>
  <c r="AH66" i="1"/>
  <c r="AH67" i="1"/>
  <c r="AH68" i="1"/>
  <c r="AH69" i="1"/>
  <c r="AH72" i="1"/>
  <c r="AH73" i="1"/>
  <c r="AH74" i="1"/>
  <c r="AH85" i="1"/>
  <c r="AH86" i="1"/>
  <c r="AH91" i="1"/>
  <c r="AH92" i="1"/>
  <c r="AH93" i="1"/>
  <c r="AH96" i="1"/>
  <c r="AH97" i="1"/>
  <c r="AH10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D11" i="1"/>
  <c r="AH11" i="1" s="1"/>
  <c r="AD10" i="1"/>
  <c r="AH10" i="1" s="1"/>
  <c r="AG4" i="1" l="1"/>
  <c r="AG5" i="1"/>
  <c r="AD108" i="1" l="1"/>
  <c r="AH108" i="1" s="1"/>
  <c r="AD109" i="1"/>
  <c r="AH109" i="1" s="1"/>
  <c r="AD105" i="1" l="1"/>
  <c r="AH105" i="1" s="1"/>
  <c r="AD104" i="1"/>
  <c r="AH104" i="1" s="1"/>
  <c r="AD101" i="1"/>
  <c r="AH101" i="1" s="1"/>
  <c r="AD99" i="1"/>
  <c r="AH99" i="1" s="1"/>
  <c r="AD98" i="1"/>
  <c r="AH98" i="1" s="1"/>
  <c r="AD95" i="1"/>
  <c r="AH95" i="1" s="1"/>
  <c r="AD94" i="1"/>
  <c r="AH94" i="1" s="1"/>
  <c r="AD90" i="1"/>
  <c r="AH90" i="1" s="1"/>
  <c r="AD89" i="1"/>
  <c r="AH89" i="1" s="1"/>
  <c r="AD88" i="1"/>
  <c r="AH88" i="1" s="1"/>
  <c r="AD87" i="1"/>
  <c r="AH87" i="1" s="1"/>
  <c r="AD84" i="1"/>
  <c r="AH84" i="1" s="1"/>
  <c r="AD83" i="1"/>
  <c r="AH83" i="1" s="1"/>
  <c r="AD82" i="1"/>
  <c r="AH82" i="1" s="1"/>
  <c r="AD81" i="1"/>
  <c r="AH81" i="1" s="1"/>
  <c r="AD80" i="1"/>
  <c r="AH80" i="1" s="1"/>
  <c r="AD79" i="1"/>
  <c r="AH79" i="1" s="1"/>
  <c r="AD76" i="1"/>
  <c r="AH76" i="1" s="1"/>
  <c r="AD75" i="1"/>
  <c r="AH75" i="1" s="1"/>
  <c r="AD71" i="1"/>
  <c r="AH71" i="1" s="1"/>
  <c r="AD70" i="1"/>
  <c r="AH70" i="1" s="1"/>
  <c r="AD65" i="1"/>
  <c r="AH65" i="1" s="1"/>
  <c r="AD59" i="1"/>
  <c r="AH59" i="1" s="1"/>
  <c r="AD58" i="1"/>
  <c r="AH58" i="1" s="1"/>
  <c r="AD55" i="1"/>
  <c r="AH55" i="1" s="1"/>
  <c r="AD54" i="1"/>
  <c r="AH54" i="1" s="1"/>
  <c r="AD51" i="1"/>
  <c r="AH51" i="1" s="1"/>
  <c r="AD50" i="1"/>
  <c r="AH50" i="1" s="1"/>
  <c r="AD46" i="1"/>
  <c r="AH46" i="1" s="1"/>
  <c r="AD45" i="1"/>
  <c r="AH45" i="1" s="1"/>
  <c r="AD42" i="1"/>
  <c r="AH42" i="1" s="1"/>
  <c r="AD41" i="1"/>
  <c r="AH41" i="1" s="1"/>
  <c r="AD36" i="1"/>
  <c r="AH36" i="1" s="1"/>
  <c r="AD35" i="1"/>
  <c r="AH35" i="1" s="1"/>
  <c r="AD34" i="1"/>
  <c r="AH34" i="1" s="1"/>
  <c r="AD33" i="1"/>
  <c r="AH33" i="1" s="1"/>
  <c r="AD28" i="1"/>
  <c r="AH28" i="1" s="1"/>
  <c r="AD24" i="1"/>
  <c r="AH24" i="1" s="1"/>
  <c r="AD23" i="1"/>
  <c r="AH23" i="1" s="1"/>
  <c r="AD22" i="1"/>
  <c r="AH22" i="1" s="1"/>
  <c r="AD19" i="1"/>
  <c r="AH19" i="1" s="1"/>
  <c r="AD18" i="1"/>
  <c r="AH18" i="1" s="1"/>
  <c r="AD17" i="1"/>
  <c r="AH17" i="1" s="1"/>
  <c r="AD16" i="1"/>
  <c r="AH16" i="1" s="1"/>
  <c r="AD13" i="1"/>
  <c r="AH13" i="1" s="1"/>
  <c r="AD12" i="1"/>
  <c r="AH12" i="1" s="1"/>
  <c r="AD9" i="1"/>
  <c r="AH9" i="1" s="1"/>
  <c r="AD8" i="1"/>
  <c r="AH8" i="1" s="1"/>
  <c r="AD7" i="1"/>
  <c r="AH7" i="1" s="1"/>
  <c r="AD6" i="1"/>
  <c r="AH6" i="1" s="1"/>
  <c r="AC33" i="1"/>
  <c r="AG33" i="1"/>
  <c r="AF33" i="1" l="1"/>
  <c r="L177" i="1"/>
  <c r="AE177" i="1" s="1"/>
  <c r="M177" i="1"/>
  <c r="N177" i="1"/>
  <c r="P177" i="1"/>
  <c r="Q177" i="1"/>
  <c r="S177" i="1"/>
  <c r="AC177" i="1"/>
  <c r="AF177" i="1"/>
  <c r="AG177" i="1"/>
  <c r="L172" i="1"/>
  <c r="AE172" i="1" s="1"/>
  <c r="M172" i="1"/>
  <c r="N172" i="1"/>
  <c r="P172" i="1"/>
  <c r="Q172" i="1"/>
  <c r="S172" i="1"/>
  <c r="AC172" i="1"/>
  <c r="AF172" i="1"/>
  <c r="AG172" i="1"/>
  <c r="L168" i="1"/>
  <c r="AE168" i="1" s="1"/>
  <c r="M168" i="1"/>
  <c r="N168" i="1"/>
  <c r="P168" i="1"/>
  <c r="Q168" i="1"/>
  <c r="S168" i="1"/>
  <c r="AC168" i="1"/>
  <c r="AF168" i="1"/>
  <c r="AG168" i="1"/>
  <c r="L165" i="1"/>
  <c r="AE165" i="1" s="1"/>
  <c r="M165" i="1"/>
  <c r="N165" i="1"/>
  <c r="P165" i="1"/>
  <c r="Q165" i="1"/>
  <c r="S165" i="1"/>
  <c r="AC165" i="1"/>
  <c r="AF165" i="1"/>
  <c r="AG165" i="1"/>
  <c r="L162" i="1"/>
  <c r="AE162" i="1" s="1"/>
  <c r="M162" i="1"/>
  <c r="N162" i="1"/>
  <c r="P162" i="1"/>
  <c r="Q162" i="1"/>
  <c r="S162" i="1"/>
  <c r="AC162" i="1"/>
  <c r="AF162" i="1"/>
  <c r="AG162" i="1"/>
  <c r="L159" i="1"/>
  <c r="AE159" i="1" s="1"/>
  <c r="M159" i="1"/>
  <c r="N159" i="1"/>
  <c r="P159" i="1"/>
  <c r="Q159" i="1"/>
  <c r="S159" i="1"/>
  <c r="AC159" i="1"/>
  <c r="AF159" i="1"/>
  <c r="AG159" i="1"/>
  <c r="L156" i="1"/>
  <c r="AE156" i="1" s="1"/>
  <c r="M156" i="1"/>
  <c r="N156" i="1"/>
  <c r="P156" i="1"/>
  <c r="Q156" i="1"/>
  <c r="S156" i="1"/>
  <c r="AC156" i="1"/>
  <c r="AF156" i="1"/>
  <c r="AG156" i="1"/>
  <c r="L153" i="1"/>
  <c r="AE153" i="1" s="1"/>
  <c r="M153" i="1"/>
  <c r="N153" i="1"/>
  <c r="P153" i="1"/>
  <c r="Q153" i="1"/>
  <c r="S153" i="1"/>
  <c r="AC153" i="1"/>
  <c r="AF153" i="1"/>
  <c r="AG153" i="1"/>
  <c r="L150" i="1"/>
  <c r="AE150" i="1" s="1"/>
  <c r="M150" i="1"/>
  <c r="N150" i="1"/>
  <c r="P150" i="1"/>
  <c r="Q150" i="1"/>
  <c r="S150" i="1"/>
  <c r="AC150" i="1"/>
  <c r="AF150" i="1"/>
  <c r="AG150" i="1"/>
  <c r="L147" i="1"/>
  <c r="AE147" i="1" s="1"/>
  <c r="M147" i="1"/>
  <c r="N147" i="1"/>
  <c r="P147" i="1"/>
  <c r="Q147" i="1"/>
  <c r="S147" i="1"/>
  <c r="AC147" i="1"/>
  <c r="AF147" i="1"/>
  <c r="AG147" i="1"/>
  <c r="L144" i="1"/>
  <c r="AE144" i="1" s="1"/>
  <c r="M144" i="1"/>
  <c r="N144" i="1"/>
  <c r="P144" i="1"/>
  <c r="Q144" i="1"/>
  <c r="S144" i="1"/>
  <c r="AC144" i="1"/>
  <c r="AF144" i="1"/>
  <c r="AG144" i="1"/>
  <c r="L142" i="1"/>
  <c r="AE142" i="1" s="1"/>
  <c r="M142" i="1"/>
  <c r="N142" i="1"/>
  <c r="P142" i="1"/>
  <c r="Q142" i="1"/>
  <c r="S142" i="1"/>
  <c r="AC142" i="1"/>
  <c r="AF142" i="1"/>
  <c r="AG142" i="1"/>
  <c r="L138" i="1"/>
  <c r="AE138" i="1" s="1"/>
  <c r="P138" i="1"/>
  <c r="Q138" i="1"/>
  <c r="S138" i="1"/>
  <c r="AC138" i="1"/>
  <c r="AF138" i="1"/>
  <c r="AG138" i="1"/>
  <c r="L130" i="1"/>
  <c r="AE130" i="1" s="1"/>
  <c r="P130" i="1"/>
  <c r="Q130" i="1"/>
  <c r="S130" i="1"/>
  <c r="AC130" i="1"/>
  <c r="AF130" i="1"/>
  <c r="AG130" i="1"/>
  <c r="L123" i="1"/>
  <c r="AE123" i="1" s="1"/>
  <c r="P123" i="1"/>
  <c r="Q123" i="1"/>
  <c r="S123" i="1"/>
  <c r="AC123" i="1"/>
  <c r="AF123" i="1"/>
  <c r="AG123" i="1"/>
  <c r="L115" i="1"/>
  <c r="AE115" i="1" s="1"/>
  <c r="P115" i="1"/>
  <c r="Q115" i="1"/>
  <c r="S115" i="1"/>
  <c r="AC115" i="1"/>
  <c r="AF115" i="1"/>
  <c r="AG115" i="1"/>
  <c r="L109" i="1"/>
  <c r="AE109" i="1" s="1"/>
  <c r="M109" i="1"/>
  <c r="N109" i="1"/>
  <c r="P109" i="1"/>
  <c r="Q109" i="1"/>
  <c r="S109" i="1"/>
  <c r="AC109" i="1"/>
  <c r="AF109" i="1"/>
  <c r="AG109" i="1"/>
  <c r="L105" i="1"/>
  <c r="AE105" i="1" s="1"/>
  <c r="M105" i="1"/>
  <c r="N105" i="1"/>
  <c r="P105" i="1"/>
  <c r="Q105" i="1"/>
  <c r="S105" i="1"/>
  <c r="AC105" i="1"/>
  <c r="AF105" i="1"/>
  <c r="AG105" i="1"/>
  <c r="L99" i="1"/>
  <c r="AE99" i="1" s="1"/>
  <c r="M99" i="1"/>
  <c r="N99" i="1"/>
  <c r="P99" i="1"/>
  <c r="Q99" i="1"/>
  <c r="S99" i="1"/>
  <c r="AC99" i="1"/>
  <c r="AF99" i="1"/>
  <c r="AG99" i="1"/>
  <c r="L95" i="1"/>
  <c r="AE95" i="1" s="1"/>
  <c r="M95" i="1"/>
  <c r="N95" i="1"/>
  <c r="P95" i="1"/>
  <c r="Q95" i="1"/>
  <c r="S95" i="1"/>
  <c r="AC95" i="1"/>
  <c r="AF95" i="1"/>
  <c r="AG95" i="1"/>
  <c r="L90" i="1"/>
  <c r="AE90" i="1" s="1"/>
  <c r="M90" i="1"/>
  <c r="N90" i="1"/>
  <c r="P90" i="1"/>
  <c r="Q90" i="1"/>
  <c r="S90" i="1"/>
  <c r="AC90" i="1"/>
  <c r="AF90" i="1"/>
  <c r="AG90" i="1"/>
  <c r="L88" i="1"/>
  <c r="AE88" i="1" s="1"/>
  <c r="M88" i="1"/>
  <c r="N88" i="1"/>
  <c r="P88" i="1"/>
  <c r="Q88" i="1"/>
  <c r="S88" i="1"/>
  <c r="AC88" i="1"/>
  <c r="AF88" i="1"/>
  <c r="AG88" i="1"/>
  <c r="L84" i="1"/>
  <c r="AE84" i="1" s="1"/>
  <c r="M84" i="1"/>
  <c r="N84" i="1"/>
  <c r="P84" i="1"/>
  <c r="Q84" i="1"/>
  <c r="S84" i="1"/>
  <c r="AC84" i="1"/>
  <c r="AF84" i="1"/>
  <c r="AG84" i="1"/>
  <c r="L82" i="1"/>
  <c r="AE82" i="1" s="1"/>
  <c r="M82" i="1"/>
  <c r="N82" i="1"/>
  <c r="P82" i="1"/>
  <c r="Q82" i="1"/>
  <c r="S82" i="1"/>
  <c r="AC82" i="1"/>
  <c r="AF82" i="1"/>
  <c r="AG82" i="1"/>
  <c r="L80" i="1"/>
  <c r="AE80" i="1" s="1"/>
  <c r="M80" i="1"/>
  <c r="N80" i="1"/>
  <c r="P80" i="1"/>
  <c r="Q80" i="1"/>
  <c r="S80" i="1"/>
  <c r="AC80" i="1"/>
  <c r="AF80" i="1"/>
  <c r="AG80" i="1"/>
  <c r="L76" i="1"/>
  <c r="AE76" i="1" s="1"/>
  <c r="M76" i="1"/>
  <c r="N76" i="1"/>
  <c r="P76" i="1"/>
  <c r="Q76" i="1"/>
  <c r="S76" i="1"/>
  <c r="AC76" i="1"/>
  <c r="AF76" i="1"/>
  <c r="AG76" i="1"/>
  <c r="L71" i="1"/>
  <c r="AE71" i="1" s="1"/>
  <c r="M71" i="1"/>
  <c r="N71" i="1"/>
  <c r="P71" i="1"/>
  <c r="Q71" i="1"/>
  <c r="S71" i="1"/>
  <c r="AC71" i="1"/>
  <c r="AF71" i="1"/>
  <c r="AG71" i="1"/>
  <c r="L59" i="1"/>
  <c r="AE59" i="1" s="1"/>
  <c r="M59" i="1"/>
  <c r="N59" i="1"/>
  <c r="P59" i="1"/>
  <c r="Q59" i="1"/>
  <c r="S59" i="1"/>
  <c r="AC59" i="1"/>
  <c r="AF59" i="1"/>
  <c r="AG59" i="1"/>
  <c r="L55" i="1"/>
  <c r="AE55" i="1" s="1"/>
  <c r="M55" i="1"/>
  <c r="N55" i="1"/>
  <c r="P55" i="1"/>
  <c r="Q55" i="1"/>
  <c r="S55" i="1"/>
  <c r="AC55" i="1"/>
  <c r="AF55" i="1"/>
  <c r="AG55" i="1"/>
  <c r="L51" i="1"/>
  <c r="AE51" i="1" s="1"/>
  <c r="M51" i="1"/>
  <c r="N51" i="1"/>
  <c r="P51" i="1"/>
  <c r="Q51" i="1"/>
  <c r="S51" i="1"/>
  <c r="AC51" i="1"/>
  <c r="AF51" i="1"/>
  <c r="AG51" i="1"/>
  <c r="L46" i="1"/>
  <c r="AE46" i="1" s="1"/>
  <c r="M46" i="1"/>
  <c r="N46" i="1"/>
  <c r="P46" i="1"/>
  <c r="Q46" i="1"/>
  <c r="S46" i="1"/>
  <c r="AC46" i="1"/>
  <c r="AF46" i="1"/>
  <c r="AG46" i="1"/>
  <c r="L42" i="1"/>
  <c r="AE42" i="1" s="1"/>
  <c r="M42" i="1"/>
  <c r="N42" i="1"/>
  <c r="P42" i="1"/>
  <c r="Q42" i="1"/>
  <c r="S42" i="1"/>
  <c r="AC42" i="1"/>
  <c r="AF42" i="1"/>
  <c r="AG42" i="1"/>
  <c r="L36" i="1"/>
  <c r="AE36" i="1" s="1"/>
  <c r="M36" i="1"/>
  <c r="N36" i="1"/>
  <c r="P36" i="1"/>
  <c r="Q36" i="1"/>
  <c r="S36" i="1"/>
  <c r="AC36" i="1"/>
  <c r="AF36" i="1"/>
  <c r="AG36" i="1"/>
  <c r="AG34" i="1"/>
  <c r="AF34" i="1"/>
  <c r="AC34" i="1"/>
  <c r="S34" i="1"/>
  <c r="Q34" i="1"/>
  <c r="P34" i="1"/>
  <c r="N34" i="1"/>
  <c r="M34" i="1"/>
  <c r="L34" i="1"/>
  <c r="AE34" i="1" s="1"/>
  <c r="O177" i="1" l="1"/>
  <c r="O168" i="1"/>
  <c r="O172" i="1"/>
  <c r="O162" i="1"/>
  <c r="O165" i="1"/>
  <c r="O156" i="1"/>
  <c r="O159" i="1"/>
  <c r="O150" i="1"/>
  <c r="O147" i="1"/>
  <c r="O153" i="1"/>
  <c r="O144" i="1"/>
  <c r="O142" i="1"/>
  <c r="O138" i="1"/>
  <c r="O130" i="1"/>
  <c r="O115" i="1"/>
  <c r="O123" i="1"/>
  <c r="O95" i="1"/>
  <c r="O109" i="1"/>
  <c r="O99" i="1"/>
  <c r="O105" i="1"/>
  <c r="O90" i="1"/>
  <c r="O88" i="1"/>
  <c r="O84" i="1"/>
  <c r="O59" i="1"/>
  <c r="O82" i="1"/>
  <c r="O80" i="1"/>
  <c r="O76" i="1"/>
  <c r="O71" i="1"/>
  <c r="O55" i="1"/>
  <c r="O51" i="1"/>
  <c r="O42" i="1"/>
  <c r="O46" i="1"/>
  <c r="O36" i="1"/>
  <c r="O34" i="1"/>
  <c r="AG164" i="1" l="1"/>
  <c r="AF164" i="1"/>
  <c r="AC164" i="1"/>
  <c r="S164" i="1"/>
  <c r="Q164" i="1"/>
  <c r="P164" i="1"/>
  <c r="N164" i="1"/>
  <c r="M164" i="1"/>
  <c r="L164" i="1"/>
  <c r="AE164" i="1" s="1"/>
  <c r="AG158" i="1"/>
  <c r="AF158" i="1"/>
  <c r="AC158" i="1"/>
  <c r="S158" i="1"/>
  <c r="Q158" i="1"/>
  <c r="P158" i="1"/>
  <c r="N158" i="1"/>
  <c r="M158" i="1"/>
  <c r="L158" i="1"/>
  <c r="AE158" i="1" s="1"/>
  <c r="AG143" i="1"/>
  <c r="AF143" i="1"/>
  <c r="AC143" i="1"/>
  <c r="S143" i="1"/>
  <c r="Q143" i="1"/>
  <c r="P143" i="1"/>
  <c r="N143" i="1"/>
  <c r="M143" i="1"/>
  <c r="L143" i="1"/>
  <c r="AE143" i="1" s="1"/>
  <c r="O158" i="1" l="1"/>
  <c r="O164" i="1"/>
  <c r="O143" i="1"/>
  <c r="AG25" i="1" l="1"/>
  <c r="AC21" i="1" l="1"/>
  <c r="AG21" i="1"/>
  <c r="AD21" i="1" l="1"/>
  <c r="AG20" i="1"/>
  <c r="AC20" i="1"/>
  <c r="AF21" i="1" l="1"/>
  <c r="AH21" i="1"/>
  <c r="AD20" i="1"/>
  <c r="AH20" i="1" s="1"/>
  <c r="AF20" i="1" l="1"/>
  <c r="AC15" i="1"/>
  <c r="AG15" i="1"/>
  <c r="AD15" i="1" l="1"/>
  <c r="AG29" i="1"/>
  <c r="AC29" i="1"/>
  <c r="AD29" i="1" s="1"/>
  <c r="AH29" i="1" s="1"/>
  <c r="AF15" i="1" l="1"/>
  <c r="AH15" i="1"/>
  <c r="AF29" i="1"/>
  <c r="AF6" i="1" l="1"/>
  <c r="AF7" i="1"/>
  <c r="AF8" i="1"/>
  <c r="AF9" i="1"/>
  <c r="AF12" i="1"/>
  <c r="AF13" i="1"/>
  <c r="AF16" i="1"/>
  <c r="AF17" i="1"/>
  <c r="AF18" i="1"/>
  <c r="AF19" i="1"/>
  <c r="AF23" i="1"/>
  <c r="AF24" i="1"/>
  <c r="AF28" i="1"/>
  <c r="AF31" i="1"/>
  <c r="AF35" i="1"/>
  <c r="AF41" i="1"/>
  <c r="AF43" i="1"/>
  <c r="AF44" i="1"/>
  <c r="AF45" i="1"/>
  <c r="AF47" i="1"/>
  <c r="AF48" i="1"/>
  <c r="AF50" i="1"/>
  <c r="AF54" i="1"/>
  <c r="AF58" i="1"/>
  <c r="AF61" i="1"/>
  <c r="AF62" i="1"/>
  <c r="AF63" i="1"/>
  <c r="AF64" i="1"/>
  <c r="AF65" i="1"/>
  <c r="AF66" i="1"/>
  <c r="AF67" i="1"/>
  <c r="AF68" i="1"/>
  <c r="AF69" i="1"/>
  <c r="AF70" i="1"/>
  <c r="AF72" i="1"/>
  <c r="AF73" i="1"/>
  <c r="AF74" i="1"/>
  <c r="AF75" i="1"/>
  <c r="AF79" i="1"/>
  <c r="AF81" i="1"/>
  <c r="AF83" i="1"/>
  <c r="AF85" i="1"/>
  <c r="AF86" i="1"/>
  <c r="AF87" i="1"/>
  <c r="AF89" i="1"/>
  <c r="AF91" i="1"/>
  <c r="AF92" i="1"/>
  <c r="AF93" i="1"/>
  <c r="AF94" i="1"/>
  <c r="AF96" i="1"/>
  <c r="AF97" i="1"/>
  <c r="AF98" i="1"/>
  <c r="AF100" i="1"/>
  <c r="AF101" i="1"/>
  <c r="AF104" i="1"/>
  <c r="AF108" i="1"/>
  <c r="AF111" i="1"/>
  <c r="AF112" i="1"/>
  <c r="AF113" i="1"/>
  <c r="AF114" i="1"/>
  <c r="AF116" i="1"/>
  <c r="AF118" i="1"/>
  <c r="AF119" i="1"/>
  <c r="AF120" i="1"/>
  <c r="AF121" i="1"/>
  <c r="AF122" i="1"/>
  <c r="AF124" i="1"/>
  <c r="AF125" i="1"/>
  <c r="AF126" i="1"/>
  <c r="AF127" i="1"/>
  <c r="AF128" i="1"/>
  <c r="AF129" i="1"/>
  <c r="AF131" i="1"/>
  <c r="AF133" i="1"/>
  <c r="AF134" i="1"/>
  <c r="AF135" i="1"/>
  <c r="AF136" i="1"/>
  <c r="AF137" i="1"/>
  <c r="AF139" i="1"/>
  <c r="AF140" i="1"/>
  <c r="AF141" i="1"/>
  <c r="AF145" i="1"/>
  <c r="AF146" i="1"/>
  <c r="AF148" i="1"/>
  <c r="AF149" i="1"/>
  <c r="AF151" i="1"/>
  <c r="AF152" i="1"/>
  <c r="AF154" i="1"/>
  <c r="AF155" i="1"/>
  <c r="AF157" i="1"/>
  <c r="AF160" i="1"/>
  <c r="AF161" i="1"/>
  <c r="AF163" i="1"/>
  <c r="AF166" i="1"/>
  <c r="AF167" i="1"/>
  <c r="AF169" i="1"/>
  <c r="AF170" i="1"/>
  <c r="AF171" i="1"/>
  <c r="AF173" i="1"/>
  <c r="AF174" i="1"/>
  <c r="AF175" i="1"/>
  <c r="AF176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C5" i="1"/>
  <c r="AD5" i="1" s="1"/>
  <c r="AH5" i="1" s="1"/>
  <c r="AC6" i="1"/>
  <c r="AC7" i="1"/>
  <c r="AC8" i="1"/>
  <c r="AC9" i="1"/>
  <c r="AC10" i="1"/>
  <c r="AC11" i="1"/>
  <c r="AC12" i="1"/>
  <c r="AC13" i="1"/>
  <c r="AC14" i="1"/>
  <c r="AD14" i="1" s="1"/>
  <c r="AH14" i="1" s="1"/>
  <c r="AC16" i="1"/>
  <c r="AC17" i="1"/>
  <c r="AC18" i="1"/>
  <c r="AC19" i="1"/>
  <c r="AC22" i="1"/>
  <c r="AF22" i="1" s="1"/>
  <c r="AC23" i="1"/>
  <c r="AC24" i="1"/>
  <c r="AC25" i="1"/>
  <c r="AD25" i="1" s="1"/>
  <c r="AH25" i="1" s="1"/>
  <c r="AC26" i="1"/>
  <c r="AC27" i="1"/>
  <c r="AC28" i="1"/>
  <c r="AC31" i="1"/>
  <c r="AC32" i="1"/>
  <c r="AD32" i="1" s="1"/>
  <c r="AH32" i="1" s="1"/>
  <c r="AC35" i="1"/>
  <c r="AC37" i="1"/>
  <c r="AD37" i="1" s="1"/>
  <c r="AH37" i="1" s="1"/>
  <c r="AC38" i="1"/>
  <c r="AD38" i="1" s="1"/>
  <c r="AH38" i="1" s="1"/>
  <c r="AC39" i="1"/>
  <c r="AD39" i="1" s="1"/>
  <c r="AH39" i="1" s="1"/>
  <c r="AC40" i="1"/>
  <c r="AD40" i="1" s="1"/>
  <c r="AH40" i="1" s="1"/>
  <c r="AC41" i="1"/>
  <c r="AC43" i="1"/>
  <c r="AC44" i="1"/>
  <c r="AC45" i="1"/>
  <c r="AC47" i="1"/>
  <c r="AC48" i="1"/>
  <c r="AC49" i="1"/>
  <c r="AD49" i="1" s="1"/>
  <c r="AH49" i="1" s="1"/>
  <c r="AC50" i="1"/>
  <c r="AC52" i="1"/>
  <c r="AD52" i="1" s="1"/>
  <c r="AH52" i="1" s="1"/>
  <c r="AC53" i="1"/>
  <c r="AD53" i="1" s="1"/>
  <c r="AH53" i="1" s="1"/>
  <c r="AC54" i="1"/>
  <c r="AC56" i="1"/>
  <c r="AD56" i="1" s="1"/>
  <c r="AH56" i="1" s="1"/>
  <c r="AC57" i="1"/>
  <c r="AD57" i="1" s="1"/>
  <c r="AH57" i="1" s="1"/>
  <c r="AC58" i="1"/>
  <c r="AC60" i="1"/>
  <c r="AD60" i="1" s="1"/>
  <c r="AH60" i="1" s="1"/>
  <c r="AC61" i="1"/>
  <c r="AC62" i="1"/>
  <c r="AC63" i="1"/>
  <c r="AC64" i="1"/>
  <c r="AC65" i="1"/>
  <c r="AC66" i="1"/>
  <c r="AC67" i="1"/>
  <c r="AC68" i="1"/>
  <c r="AC69" i="1"/>
  <c r="AC70" i="1"/>
  <c r="AC72" i="1"/>
  <c r="AC73" i="1"/>
  <c r="AC74" i="1"/>
  <c r="AC75" i="1"/>
  <c r="AC77" i="1"/>
  <c r="AD77" i="1" s="1"/>
  <c r="AH77" i="1" s="1"/>
  <c r="AC78" i="1"/>
  <c r="AC79" i="1"/>
  <c r="AC81" i="1"/>
  <c r="AC83" i="1"/>
  <c r="AC85" i="1"/>
  <c r="AC86" i="1"/>
  <c r="AC87" i="1"/>
  <c r="AC89" i="1"/>
  <c r="AC91" i="1"/>
  <c r="AC92" i="1"/>
  <c r="AC93" i="1"/>
  <c r="AC94" i="1"/>
  <c r="AC96" i="1"/>
  <c r="AC97" i="1"/>
  <c r="AC98" i="1"/>
  <c r="AC100" i="1"/>
  <c r="AC101" i="1"/>
  <c r="AC102" i="1"/>
  <c r="AC103" i="1"/>
  <c r="AC104" i="1"/>
  <c r="AC106" i="1"/>
  <c r="AD106" i="1" s="1"/>
  <c r="AH106" i="1" s="1"/>
  <c r="AC107" i="1"/>
  <c r="AD107" i="1" s="1"/>
  <c r="AH107" i="1" s="1"/>
  <c r="AC108" i="1"/>
  <c r="AC110" i="1"/>
  <c r="AD110" i="1" s="1"/>
  <c r="AH110" i="1" s="1"/>
  <c r="AC111" i="1"/>
  <c r="AC112" i="1"/>
  <c r="AC113" i="1"/>
  <c r="AC114" i="1"/>
  <c r="AC116" i="1"/>
  <c r="AC118" i="1"/>
  <c r="AC119" i="1"/>
  <c r="AC120" i="1"/>
  <c r="AC121" i="1"/>
  <c r="AC122" i="1"/>
  <c r="AC124" i="1"/>
  <c r="AC125" i="1"/>
  <c r="AC126" i="1"/>
  <c r="AC127" i="1"/>
  <c r="AC128" i="1"/>
  <c r="AC129" i="1"/>
  <c r="AC131" i="1"/>
  <c r="AC133" i="1"/>
  <c r="AC134" i="1"/>
  <c r="AC135" i="1"/>
  <c r="AC136" i="1"/>
  <c r="AC137" i="1"/>
  <c r="AC139" i="1"/>
  <c r="AC140" i="1"/>
  <c r="AC141" i="1"/>
  <c r="AC145" i="1"/>
  <c r="AC146" i="1"/>
  <c r="AC148" i="1"/>
  <c r="AC149" i="1"/>
  <c r="AC151" i="1"/>
  <c r="AC152" i="1"/>
  <c r="AC154" i="1"/>
  <c r="AC155" i="1"/>
  <c r="AC157" i="1"/>
  <c r="AC160" i="1"/>
  <c r="AC161" i="1"/>
  <c r="AC163" i="1"/>
  <c r="AC166" i="1"/>
  <c r="AC167" i="1"/>
  <c r="AC169" i="1"/>
  <c r="AC170" i="1"/>
  <c r="AC171" i="1"/>
  <c r="AC173" i="1"/>
  <c r="AC174" i="1"/>
  <c r="AC175" i="1"/>
  <c r="AC176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4" i="1"/>
  <c r="AD4" i="1" s="1"/>
  <c r="AH4" i="1" s="1"/>
  <c r="AG6" i="1"/>
  <c r="AG7" i="1"/>
  <c r="AG8" i="1"/>
  <c r="AG9" i="1"/>
  <c r="AG10" i="1"/>
  <c r="AG11" i="1"/>
  <c r="AG12" i="1"/>
  <c r="AG13" i="1"/>
  <c r="AG14" i="1"/>
  <c r="AG16" i="1"/>
  <c r="AG17" i="1"/>
  <c r="AG18" i="1"/>
  <c r="AG19" i="1"/>
  <c r="AG22" i="1"/>
  <c r="AG23" i="1"/>
  <c r="AG24" i="1"/>
  <c r="AG26" i="1"/>
  <c r="AG27" i="1"/>
  <c r="AG28" i="1"/>
  <c r="AG31" i="1"/>
  <c r="AG32" i="1"/>
  <c r="AG35" i="1"/>
  <c r="AG37" i="1"/>
  <c r="AG38" i="1"/>
  <c r="AG39" i="1"/>
  <c r="AG40" i="1"/>
  <c r="AG41" i="1"/>
  <c r="AG43" i="1"/>
  <c r="AG44" i="1"/>
  <c r="AG45" i="1"/>
  <c r="AG47" i="1"/>
  <c r="AG48" i="1"/>
  <c r="AG49" i="1"/>
  <c r="AG50" i="1"/>
  <c r="AG52" i="1"/>
  <c r="AG53" i="1"/>
  <c r="AG54" i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2" i="1"/>
  <c r="AG73" i="1"/>
  <c r="AG74" i="1"/>
  <c r="AG75" i="1"/>
  <c r="AG77" i="1"/>
  <c r="AG78" i="1"/>
  <c r="AG79" i="1"/>
  <c r="AG81" i="1"/>
  <c r="AG83" i="1"/>
  <c r="AG85" i="1"/>
  <c r="AG86" i="1"/>
  <c r="AG87" i="1"/>
  <c r="AG89" i="1"/>
  <c r="AG91" i="1"/>
  <c r="AG92" i="1"/>
  <c r="AG93" i="1"/>
  <c r="AG94" i="1"/>
  <c r="AG96" i="1"/>
  <c r="AG97" i="1"/>
  <c r="AG98" i="1"/>
  <c r="AG100" i="1"/>
  <c r="AG101" i="1"/>
  <c r="AG102" i="1"/>
  <c r="AG103" i="1"/>
  <c r="AG104" i="1"/>
  <c r="AG106" i="1"/>
  <c r="AG107" i="1"/>
  <c r="AG108" i="1"/>
  <c r="AG110" i="1"/>
  <c r="AG111" i="1"/>
  <c r="AG112" i="1"/>
  <c r="AG113" i="1"/>
  <c r="AG114" i="1"/>
  <c r="AG116" i="1"/>
  <c r="AG118" i="1"/>
  <c r="AG119" i="1"/>
  <c r="AG120" i="1"/>
  <c r="AG121" i="1"/>
  <c r="AG122" i="1"/>
  <c r="AG124" i="1"/>
  <c r="AG125" i="1"/>
  <c r="AG126" i="1"/>
  <c r="AG127" i="1"/>
  <c r="AG128" i="1"/>
  <c r="AG129" i="1"/>
  <c r="AG131" i="1"/>
  <c r="AG133" i="1"/>
  <c r="AG134" i="1"/>
  <c r="AG135" i="1"/>
  <c r="AG136" i="1"/>
  <c r="AG137" i="1"/>
  <c r="AG139" i="1"/>
  <c r="AG140" i="1"/>
  <c r="AG141" i="1"/>
  <c r="AG145" i="1"/>
  <c r="AG146" i="1"/>
  <c r="AG148" i="1"/>
  <c r="AG149" i="1"/>
  <c r="AG151" i="1"/>
  <c r="AG152" i="1"/>
  <c r="AG154" i="1"/>
  <c r="AG155" i="1"/>
  <c r="AG157" i="1"/>
  <c r="AG160" i="1"/>
  <c r="AG161" i="1"/>
  <c r="AG163" i="1"/>
  <c r="AG166" i="1"/>
  <c r="AG167" i="1"/>
  <c r="AG169" i="1"/>
  <c r="AG170" i="1"/>
  <c r="AG171" i="1"/>
  <c r="AG173" i="1"/>
  <c r="AG174" i="1"/>
  <c r="AG175" i="1"/>
  <c r="AG176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F106" i="1" l="1"/>
  <c r="AF110" i="1"/>
  <c r="AF107" i="1"/>
  <c r="AD103" i="1"/>
  <c r="AD102" i="1"/>
  <c r="AD27" i="1"/>
  <c r="AD78" i="1"/>
  <c r="AH78" i="1" s="1"/>
  <c r="AD26" i="1"/>
  <c r="AF39" i="1"/>
  <c r="AF57" i="1"/>
  <c r="AF14" i="1"/>
  <c r="AF49" i="1"/>
  <c r="AF37" i="1"/>
  <c r="AF38" i="1"/>
  <c r="AF25" i="1"/>
  <c r="AF53" i="1"/>
  <c r="AF32" i="1"/>
  <c r="AF77" i="1"/>
  <c r="AF27" i="1" l="1"/>
  <c r="AH27" i="1"/>
  <c r="AF102" i="1"/>
  <c r="AH102" i="1"/>
  <c r="AF26" i="1"/>
  <c r="AH26" i="1"/>
  <c r="AF103" i="1"/>
  <c r="AH103" i="1"/>
  <c r="AF78" i="1"/>
  <c r="AF56" i="1"/>
  <c r="AF40" i="1"/>
  <c r="AF52" i="1"/>
  <c r="AF60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73" i="1"/>
  <c r="AE274" i="1"/>
  <c r="AE275" i="1"/>
  <c r="AE276" i="1"/>
  <c r="S24" i="1" l="1"/>
  <c r="Q24" i="1"/>
  <c r="P24" i="1"/>
  <c r="N24" i="1"/>
  <c r="M24" i="1"/>
  <c r="L24" i="1"/>
  <c r="AE24" i="1" s="1"/>
  <c r="K24" i="1"/>
  <c r="S17" i="1"/>
  <c r="Q17" i="1"/>
  <c r="P17" i="1"/>
  <c r="N17" i="1"/>
  <c r="M17" i="1"/>
  <c r="L17" i="1"/>
  <c r="AE17" i="1" s="1"/>
  <c r="K17" i="1"/>
  <c r="S19" i="1"/>
  <c r="Q19" i="1"/>
  <c r="P19" i="1"/>
  <c r="N19" i="1"/>
  <c r="M19" i="1"/>
  <c r="L19" i="1"/>
  <c r="AE19" i="1" s="1"/>
  <c r="K19" i="1"/>
  <c r="S13" i="1"/>
  <c r="Q13" i="1"/>
  <c r="P13" i="1"/>
  <c r="N13" i="1"/>
  <c r="M13" i="1"/>
  <c r="L13" i="1"/>
  <c r="AE13" i="1" s="1"/>
  <c r="K13" i="1"/>
  <c r="K9" i="1"/>
  <c r="L9" i="1"/>
  <c r="AE9" i="1" s="1"/>
  <c r="N9" i="1"/>
  <c r="P9" i="1"/>
  <c r="Q9" i="1"/>
  <c r="S9" i="1"/>
  <c r="K7" i="1"/>
  <c r="L7" i="1"/>
  <c r="AE7" i="1" s="1"/>
  <c r="N7" i="1"/>
  <c r="P7" i="1"/>
  <c r="Q7" i="1"/>
  <c r="S7" i="1"/>
  <c r="O24" i="1" l="1"/>
  <c r="O13" i="1"/>
  <c r="O17" i="1"/>
  <c r="O19" i="1"/>
  <c r="Q23" i="2" l="1"/>
  <c r="Q22" i="2"/>
  <c r="C28" i="2" l="1"/>
  <c r="C27" i="2"/>
  <c r="C26" i="2"/>
  <c r="C25" i="2"/>
  <c r="C24" i="2"/>
  <c r="M140" i="1"/>
  <c r="N140" i="1"/>
  <c r="P140" i="1"/>
  <c r="Q140" i="1"/>
  <c r="M141" i="1"/>
  <c r="N141" i="1"/>
  <c r="P141" i="1"/>
  <c r="Q141" i="1"/>
  <c r="S141" i="1"/>
  <c r="M145" i="1"/>
  <c r="N145" i="1"/>
  <c r="P145" i="1"/>
  <c r="Q145" i="1"/>
  <c r="S145" i="1"/>
  <c r="M146" i="1"/>
  <c r="N146" i="1"/>
  <c r="P146" i="1"/>
  <c r="Q146" i="1"/>
  <c r="S146" i="1"/>
  <c r="M148" i="1"/>
  <c r="N148" i="1"/>
  <c r="P148" i="1"/>
  <c r="Q148" i="1"/>
  <c r="S148" i="1"/>
  <c r="M149" i="1"/>
  <c r="N149" i="1"/>
  <c r="P149" i="1"/>
  <c r="Q149" i="1"/>
  <c r="S149" i="1"/>
  <c r="M151" i="1"/>
  <c r="N151" i="1"/>
  <c r="P151" i="1"/>
  <c r="Q151" i="1"/>
  <c r="S151" i="1"/>
  <c r="M152" i="1"/>
  <c r="N152" i="1"/>
  <c r="P152" i="1"/>
  <c r="Q152" i="1"/>
  <c r="S152" i="1"/>
  <c r="M154" i="1"/>
  <c r="N154" i="1"/>
  <c r="P154" i="1"/>
  <c r="Q154" i="1"/>
  <c r="S154" i="1"/>
  <c r="M155" i="1"/>
  <c r="N155" i="1"/>
  <c r="P155" i="1"/>
  <c r="Q155" i="1"/>
  <c r="S155" i="1"/>
  <c r="M157" i="1"/>
  <c r="N157" i="1"/>
  <c r="P157" i="1"/>
  <c r="Q157" i="1"/>
  <c r="S157" i="1"/>
  <c r="M160" i="1"/>
  <c r="N160" i="1"/>
  <c r="P160" i="1"/>
  <c r="Q160" i="1"/>
  <c r="S160" i="1"/>
  <c r="M161" i="1"/>
  <c r="N161" i="1"/>
  <c r="P161" i="1"/>
  <c r="Q161" i="1"/>
  <c r="S161" i="1"/>
  <c r="M163" i="1"/>
  <c r="N163" i="1"/>
  <c r="P163" i="1"/>
  <c r="Q163" i="1"/>
  <c r="M166" i="1"/>
  <c r="N166" i="1"/>
  <c r="P166" i="1"/>
  <c r="Q166" i="1"/>
  <c r="M167" i="1"/>
  <c r="N167" i="1"/>
  <c r="P167" i="1"/>
  <c r="Q167" i="1"/>
  <c r="S167" i="1"/>
  <c r="M169" i="1"/>
  <c r="N169" i="1"/>
  <c r="P169" i="1"/>
  <c r="Q169" i="1"/>
  <c r="M170" i="1"/>
  <c r="N170" i="1"/>
  <c r="P170" i="1"/>
  <c r="Q170" i="1"/>
  <c r="M171" i="1"/>
  <c r="N171" i="1"/>
  <c r="P171" i="1"/>
  <c r="Q171" i="1"/>
  <c r="S171" i="1"/>
  <c r="M173" i="1"/>
  <c r="N173" i="1"/>
  <c r="P173" i="1"/>
  <c r="Q173" i="1"/>
  <c r="S173" i="1"/>
  <c r="M174" i="1"/>
  <c r="N174" i="1"/>
  <c r="P174" i="1"/>
  <c r="Q174" i="1"/>
  <c r="S174" i="1"/>
  <c r="L112" i="1"/>
  <c r="AE112" i="1" s="1"/>
  <c r="L113" i="1"/>
  <c r="AE113" i="1" s="1"/>
  <c r="L114" i="1"/>
  <c r="AE114" i="1" s="1"/>
  <c r="L116" i="1"/>
  <c r="AE116" i="1" s="1"/>
  <c r="L118" i="1"/>
  <c r="AE118" i="1" s="1"/>
  <c r="L119" i="1"/>
  <c r="AE119" i="1" s="1"/>
  <c r="L120" i="1"/>
  <c r="AE120" i="1" s="1"/>
  <c r="L121" i="1"/>
  <c r="AE121" i="1" s="1"/>
  <c r="L122" i="1"/>
  <c r="AE122" i="1" s="1"/>
  <c r="L124" i="1"/>
  <c r="AE124" i="1" s="1"/>
  <c r="L125" i="1"/>
  <c r="AE125" i="1" s="1"/>
  <c r="L126" i="1"/>
  <c r="AE126" i="1" s="1"/>
  <c r="L127" i="1"/>
  <c r="AE127" i="1" s="1"/>
  <c r="L128" i="1"/>
  <c r="AE128" i="1" s="1"/>
  <c r="L129" i="1"/>
  <c r="AE129" i="1" s="1"/>
  <c r="L131" i="1"/>
  <c r="AE131" i="1" s="1"/>
  <c r="L133" i="1"/>
  <c r="AE133" i="1" s="1"/>
  <c r="L134" i="1"/>
  <c r="AE134" i="1" s="1"/>
  <c r="L135" i="1"/>
  <c r="AE135" i="1" s="1"/>
  <c r="L136" i="1"/>
  <c r="AE136" i="1" s="1"/>
  <c r="L137" i="1"/>
  <c r="AE137" i="1" s="1"/>
  <c r="L139" i="1"/>
  <c r="AE139" i="1" s="1"/>
  <c r="L140" i="1"/>
  <c r="AE140" i="1" s="1"/>
  <c r="L141" i="1"/>
  <c r="AE141" i="1" s="1"/>
  <c r="L145" i="1"/>
  <c r="AE145" i="1" s="1"/>
  <c r="L146" i="1"/>
  <c r="AE146" i="1" s="1"/>
  <c r="L148" i="1"/>
  <c r="AE148" i="1" s="1"/>
  <c r="L149" i="1"/>
  <c r="AE149" i="1" s="1"/>
  <c r="L151" i="1"/>
  <c r="AE151" i="1" s="1"/>
  <c r="L152" i="1"/>
  <c r="AE152" i="1" s="1"/>
  <c r="L154" i="1"/>
  <c r="AE154" i="1" s="1"/>
  <c r="L155" i="1"/>
  <c r="AE155" i="1" s="1"/>
  <c r="L157" i="1"/>
  <c r="AE157" i="1" s="1"/>
  <c r="L160" i="1"/>
  <c r="AE160" i="1" s="1"/>
  <c r="L161" i="1"/>
  <c r="AE161" i="1" s="1"/>
  <c r="L163" i="1"/>
  <c r="AE163" i="1" s="1"/>
  <c r="L166" i="1"/>
  <c r="AE166" i="1" s="1"/>
  <c r="L167" i="1"/>
  <c r="AE167" i="1" s="1"/>
  <c r="L169" i="1"/>
  <c r="AE169" i="1" s="1"/>
  <c r="L170" i="1"/>
  <c r="AE170" i="1" s="1"/>
  <c r="L171" i="1"/>
  <c r="AE171" i="1" s="1"/>
  <c r="L173" i="1"/>
  <c r="AE173" i="1" s="1"/>
  <c r="L174" i="1"/>
  <c r="AE174" i="1" s="1"/>
  <c r="O141" i="1" l="1"/>
  <c r="O154" i="1"/>
  <c r="O169" i="1"/>
  <c r="O145" i="1"/>
  <c r="O167" i="1"/>
  <c r="O161" i="1"/>
  <c r="O149" i="1"/>
  <c r="O166" i="1"/>
  <c r="O171" i="1"/>
  <c r="O157" i="1"/>
  <c r="O146" i="1"/>
  <c r="O140" i="1"/>
  <c r="O174" i="1"/>
  <c r="O148" i="1"/>
  <c r="O163" i="1"/>
  <c r="O151" i="1"/>
  <c r="O173" i="1"/>
  <c r="O155" i="1"/>
  <c r="O170" i="1"/>
  <c r="O152" i="1"/>
  <c r="O160" i="1"/>
  <c r="S277" i="1"/>
  <c r="Q277" i="1"/>
  <c r="P277" i="1"/>
  <c r="N277" i="1"/>
  <c r="M277" i="1"/>
  <c r="L277" i="1"/>
  <c r="AE277" i="1" s="1"/>
  <c r="S272" i="1"/>
  <c r="Q272" i="1"/>
  <c r="P272" i="1"/>
  <c r="N272" i="1"/>
  <c r="M272" i="1"/>
  <c r="L272" i="1"/>
  <c r="AE272" i="1" s="1"/>
  <c r="L261" i="1"/>
  <c r="AE261" i="1" s="1"/>
  <c r="M261" i="1"/>
  <c r="N261" i="1"/>
  <c r="P261" i="1"/>
  <c r="Q261" i="1"/>
  <c r="S261" i="1"/>
  <c r="O277" i="1" l="1"/>
  <c r="O272" i="1"/>
  <c r="O261" i="1"/>
  <c r="P133" i="1" l="1"/>
  <c r="Q133" i="1"/>
  <c r="P134" i="1"/>
  <c r="Q134" i="1"/>
  <c r="S134" i="1"/>
  <c r="P135" i="1"/>
  <c r="Q135" i="1"/>
  <c r="P136" i="1"/>
  <c r="Q136" i="1"/>
  <c r="P137" i="1"/>
  <c r="Q137" i="1"/>
  <c r="S137" i="1"/>
  <c r="M139" i="1"/>
  <c r="N139" i="1"/>
  <c r="P139" i="1"/>
  <c r="Q139" i="1"/>
  <c r="M112" i="1"/>
  <c r="N112" i="1"/>
  <c r="P112" i="1"/>
  <c r="Q112" i="1"/>
  <c r="M113" i="1"/>
  <c r="N113" i="1"/>
  <c r="P113" i="1"/>
  <c r="Q113" i="1"/>
  <c r="P114" i="1"/>
  <c r="Q114" i="1"/>
  <c r="S114" i="1"/>
  <c r="P116" i="1"/>
  <c r="Q116" i="1"/>
  <c r="P118" i="1"/>
  <c r="Q118" i="1"/>
  <c r="P119" i="1"/>
  <c r="Q119" i="1"/>
  <c r="S119" i="1"/>
  <c r="P120" i="1"/>
  <c r="Q120" i="1"/>
  <c r="P121" i="1"/>
  <c r="Q121" i="1"/>
  <c r="P122" i="1"/>
  <c r="Q122" i="1"/>
  <c r="S122" i="1"/>
  <c r="P124" i="1"/>
  <c r="Q124" i="1"/>
  <c r="P125" i="1"/>
  <c r="Q125" i="1"/>
  <c r="P126" i="1"/>
  <c r="Q126" i="1"/>
  <c r="S126" i="1"/>
  <c r="P127" i="1"/>
  <c r="Q127" i="1"/>
  <c r="P128" i="1"/>
  <c r="Q128" i="1"/>
  <c r="P129" i="1"/>
  <c r="Q129" i="1"/>
  <c r="S129" i="1"/>
  <c r="P131" i="1"/>
  <c r="Q131" i="1"/>
  <c r="M111" i="1"/>
  <c r="N111" i="1"/>
  <c r="P111" i="1"/>
  <c r="Q111" i="1"/>
  <c r="S111" i="1"/>
  <c r="L111" i="1"/>
  <c r="AE111" i="1" s="1"/>
  <c r="O136" i="1" l="1"/>
  <c r="O134" i="1"/>
  <c r="O133" i="1"/>
  <c r="O139" i="1"/>
  <c r="O137" i="1"/>
  <c r="O135" i="1"/>
  <c r="O131" i="1"/>
  <c r="O121" i="1"/>
  <c r="O116" i="1"/>
  <c r="O113" i="1"/>
  <c r="O112" i="1"/>
  <c r="O126" i="1"/>
  <c r="O124" i="1"/>
  <c r="O122" i="1"/>
  <c r="O128" i="1"/>
  <c r="O127" i="1"/>
  <c r="O119" i="1"/>
  <c r="O118" i="1"/>
  <c r="O129" i="1"/>
  <c r="O125" i="1"/>
  <c r="O120" i="1"/>
  <c r="O114" i="1"/>
  <c r="O111" i="1"/>
  <c r="L262" i="1"/>
  <c r="AE262" i="1" s="1"/>
  <c r="L264" i="1"/>
  <c r="AE264" i="1" s="1"/>
  <c r="L263" i="1"/>
  <c r="AE263" i="1" s="1"/>
  <c r="L266" i="1"/>
  <c r="AE266" i="1" s="1"/>
  <c r="L267" i="1"/>
  <c r="AE267" i="1" s="1"/>
  <c r="L265" i="1"/>
  <c r="AE265" i="1" s="1"/>
  <c r="L268" i="1"/>
  <c r="AE268" i="1" s="1"/>
  <c r="L269" i="1"/>
  <c r="AE269" i="1" s="1"/>
  <c r="L270" i="1"/>
  <c r="AE270" i="1" s="1"/>
  <c r="L271" i="1"/>
  <c r="AE271" i="1" s="1"/>
  <c r="L104" i="1"/>
  <c r="AE104" i="1" s="1"/>
  <c r="L106" i="1"/>
  <c r="AE106" i="1" s="1"/>
  <c r="L107" i="1"/>
  <c r="AE107" i="1" s="1"/>
  <c r="L108" i="1"/>
  <c r="AE108" i="1" s="1"/>
  <c r="L110" i="1"/>
  <c r="AE110" i="1" s="1"/>
  <c r="L175" i="1"/>
  <c r="AE175" i="1" s="1"/>
  <c r="L176" i="1"/>
  <c r="AE176" i="1" s="1"/>
  <c r="Q271" i="1"/>
  <c r="P271" i="1"/>
  <c r="N271" i="1"/>
  <c r="M271" i="1"/>
  <c r="Q270" i="1"/>
  <c r="P270" i="1"/>
  <c r="N270" i="1"/>
  <c r="M270" i="1"/>
  <c r="Q268" i="1"/>
  <c r="P268" i="1"/>
  <c r="N268" i="1"/>
  <c r="M268" i="1"/>
  <c r="Q267" i="1"/>
  <c r="P267" i="1"/>
  <c r="N267" i="1"/>
  <c r="M267" i="1"/>
  <c r="Q266" i="1"/>
  <c r="P266" i="1"/>
  <c r="N266" i="1"/>
  <c r="M266" i="1"/>
  <c r="Q263" i="1"/>
  <c r="P263" i="1"/>
  <c r="N263" i="1"/>
  <c r="M263" i="1"/>
  <c r="Q262" i="1"/>
  <c r="P262" i="1"/>
  <c r="N262" i="1"/>
  <c r="M262" i="1"/>
  <c r="Q175" i="1"/>
  <c r="P175" i="1"/>
  <c r="N175" i="1"/>
  <c r="M175" i="1"/>
  <c r="Q110" i="1"/>
  <c r="P110" i="1"/>
  <c r="N110" i="1"/>
  <c r="M110" i="1"/>
  <c r="Q107" i="1"/>
  <c r="P107" i="1"/>
  <c r="N107" i="1"/>
  <c r="M107" i="1"/>
  <c r="Q103" i="1"/>
  <c r="P103" i="1"/>
  <c r="N103" i="1"/>
  <c r="M103" i="1"/>
  <c r="Q102" i="1"/>
  <c r="P102" i="1"/>
  <c r="N102" i="1"/>
  <c r="M102" i="1"/>
  <c r="S101" i="1"/>
  <c r="Q101" i="1"/>
  <c r="P101" i="1"/>
  <c r="N101" i="1"/>
  <c r="M101" i="1"/>
  <c r="S100" i="1"/>
  <c r="Q100" i="1"/>
  <c r="P100" i="1"/>
  <c r="N100" i="1"/>
  <c r="M100" i="1"/>
  <c r="S74" i="1"/>
  <c r="Q74" i="1"/>
  <c r="P74" i="1"/>
  <c r="N74" i="1"/>
  <c r="M74" i="1"/>
  <c r="Q60" i="1"/>
  <c r="P60" i="1"/>
  <c r="N60" i="1"/>
  <c r="M60" i="1"/>
  <c r="Q57" i="1"/>
  <c r="P57" i="1"/>
  <c r="N57" i="1"/>
  <c r="M57" i="1"/>
  <c r="M32" i="1"/>
  <c r="N32" i="1"/>
  <c r="P32" i="1"/>
  <c r="Q32" i="1"/>
  <c r="M45" i="1"/>
  <c r="N45" i="1"/>
  <c r="P45" i="1"/>
  <c r="Q45" i="1"/>
  <c r="S45" i="1"/>
  <c r="O32" i="1" l="1"/>
  <c r="O57" i="1"/>
  <c r="O100" i="1"/>
  <c r="O102" i="1"/>
  <c r="O107" i="1"/>
  <c r="O175" i="1"/>
  <c r="O268" i="1"/>
  <c r="O45" i="1"/>
  <c r="O60" i="1"/>
  <c r="O74" i="1"/>
  <c r="O101" i="1"/>
  <c r="O103" i="1"/>
  <c r="O110" i="1"/>
  <c r="O262" i="1"/>
  <c r="O263" i="1"/>
  <c r="O266" i="1"/>
  <c r="O267" i="1"/>
  <c r="O270" i="1"/>
  <c r="O271" i="1"/>
  <c r="I1" i="1"/>
  <c r="H4" i="2"/>
  <c r="I4" i="2" s="1"/>
  <c r="L16" i="2" l="1"/>
  <c r="M16" i="2" s="1"/>
  <c r="K16" i="2"/>
  <c r="K29" i="2"/>
  <c r="L29" i="2"/>
  <c r="M29" i="2" s="1"/>
  <c r="K14" i="2"/>
  <c r="L5" i="2"/>
  <c r="M5" i="2" s="1"/>
  <c r="L18" i="2"/>
  <c r="M18" i="2" s="1"/>
  <c r="L31" i="2"/>
  <c r="L6" i="2"/>
  <c r="M6" i="2" s="1"/>
  <c r="L19" i="2"/>
  <c r="M19" i="2" s="1"/>
  <c r="L32" i="2"/>
  <c r="L7" i="2"/>
  <c r="L20" i="2"/>
  <c r="L33" i="2"/>
  <c r="L8" i="2"/>
  <c r="L21" i="2"/>
  <c r="M21" i="2" s="1"/>
  <c r="L34" i="2"/>
  <c r="L9" i="2"/>
  <c r="L22" i="2"/>
  <c r="M22" i="2" s="1"/>
  <c r="L35" i="2"/>
  <c r="L24" i="2"/>
  <c r="M24" i="2" s="1"/>
  <c r="L12" i="2"/>
  <c r="M12" i="2" s="1"/>
  <c r="L30" i="2"/>
  <c r="L10" i="2"/>
  <c r="M10" i="2" s="1"/>
  <c r="L23" i="2"/>
  <c r="M23" i="2" s="1"/>
  <c r="L2" i="2"/>
  <c r="M2" i="2" s="1"/>
  <c r="L11" i="2"/>
  <c r="M11" i="2" s="1"/>
  <c r="L25" i="2"/>
  <c r="M25" i="2" s="1"/>
  <c r="L13" i="2"/>
  <c r="M13" i="2" s="1"/>
  <c r="L26" i="2"/>
  <c r="M26" i="2" s="1"/>
  <c r="L14" i="2"/>
  <c r="M14" i="2" s="1"/>
  <c r="L27" i="2"/>
  <c r="M27" i="2" s="1"/>
  <c r="L3" i="2"/>
  <c r="M3" i="2" s="1"/>
  <c r="L15" i="2"/>
  <c r="M15" i="2" s="1"/>
  <c r="L28" i="2"/>
  <c r="M28" i="2" s="1"/>
  <c r="L4" i="2"/>
  <c r="M4" i="2" s="1"/>
  <c r="L17" i="2"/>
  <c r="M17" i="2" s="1"/>
  <c r="K26" i="2"/>
  <c r="K27" i="2"/>
  <c r="K28" i="2"/>
  <c r="K25" i="2"/>
  <c r="K23" i="2"/>
  <c r="K1" i="1"/>
  <c r="K22" i="2"/>
  <c r="K30" i="2"/>
  <c r="K32" i="2"/>
  <c r="K34" i="2"/>
  <c r="K24" i="2"/>
  <c r="K31" i="2"/>
  <c r="K33" i="2"/>
  <c r="K35" i="2"/>
  <c r="K2" i="2"/>
  <c r="K3" i="2"/>
  <c r="K4" i="2"/>
  <c r="T1" i="1" l="1"/>
  <c r="K10" i="1"/>
  <c r="L10" i="1"/>
  <c r="AE10" i="1" s="1"/>
  <c r="M10" i="1"/>
  <c r="N10" i="1"/>
  <c r="P10" i="1"/>
  <c r="Q10" i="1"/>
  <c r="S10" i="1"/>
  <c r="K11" i="1"/>
  <c r="L11" i="1"/>
  <c r="AE11" i="1" s="1"/>
  <c r="M11" i="1"/>
  <c r="N11" i="1"/>
  <c r="P11" i="1"/>
  <c r="Q11" i="1"/>
  <c r="S11" i="1"/>
  <c r="K5" i="1"/>
  <c r="L5" i="1"/>
  <c r="AE5" i="1" s="1"/>
  <c r="M5" i="1"/>
  <c r="N5" i="1"/>
  <c r="P5" i="1"/>
  <c r="Q5" i="1"/>
  <c r="S5" i="1"/>
  <c r="S4" i="1"/>
  <c r="Q4" i="1"/>
  <c r="P4" i="1"/>
  <c r="N4" i="1"/>
  <c r="M4" i="1"/>
  <c r="L4" i="1"/>
  <c r="AE4" i="1" s="1"/>
  <c r="K4" i="1"/>
  <c r="E21" i="2"/>
  <c r="R14" i="2"/>
  <c r="Q6" i="1"/>
  <c r="S6" i="1"/>
  <c r="Q8" i="1"/>
  <c r="S8" i="1"/>
  <c r="S170" i="1" l="1"/>
  <c r="S140" i="1"/>
  <c r="S163" i="1"/>
  <c r="S166" i="1"/>
  <c r="S169" i="1"/>
  <c r="S125" i="1"/>
  <c r="S135" i="1"/>
  <c r="S113" i="1"/>
  <c r="S128" i="1"/>
  <c r="S139" i="1"/>
  <c r="S133" i="1"/>
  <c r="S120" i="1"/>
  <c r="S124" i="1"/>
  <c r="S118" i="1"/>
  <c r="S136" i="1"/>
  <c r="S127" i="1"/>
  <c r="S116" i="1"/>
  <c r="S121" i="1"/>
  <c r="S112" i="1"/>
  <c r="S131" i="1"/>
  <c r="S263" i="1"/>
  <c r="S268" i="1"/>
  <c r="S103" i="1"/>
  <c r="S267" i="1"/>
  <c r="S60" i="1"/>
  <c r="S262" i="1"/>
  <c r="S271" i="1"/>
  <c r="S110" i="1"/>
  <c r="S270" i="1"/>
  <c r="S32" i="1"/>
  <c r="S102" i="1"/>
  <c r="S266" i="1"/>
  <c r="S57" i="1"/>
  <c r="S107" i="1"/>
  <c r="S175" i="1"/>
  <c r="O11" i="1"/>
  <c r="O10" i="1"/>
  <c r="O5" i="1"/>
  <c r="O4" i="1"/>
  <c r="S98" i="1"/>
  <c r="Q98" i="1"/>
  <c r="P98" i="1"/>
  <c r="N98" i="1"/>
  <c r="M98" i="1"/>
  <c r="L98" i="1"/>
  <c r="AE98" i="1" s="1"/>
  <c r="S269" i="1"/>
  <c r="Q269" i="1"/>
  <c r="P269" i="1"/>
  <c r="N269" i="1"/>
  <c r="M269" i="1"/>
  <c r="S265" i="1"/>
  <c r="Q265" i="1"/>
  <c r="P265" i="1"/>
  <c r="N265" i="1"/>
  <c r="M265" i="1"/>
  <c r="S264" i="1"/>
  <c r="Q264" i="1"/>
  <c r="P264" i="1"/>
  <c r="N264" i="1"/>
  <c r="M264" i="1"/>
  <c r="S176" i="1"/>
  <c r="Q176" i="1"/>
  <c r="P176" i="1"/>
  <c r="N176" i="1"/>
  <c r="M176" i="1"/>
  <c r="S108" i="1"/>
  <c r="Q108" i="1"/>
  <c r="P108" i="1"/>
  <c r="N108" i="1"/>
  <c r="M108" i="1"/>
  <c r="S104" i="1"/>
  <c r="Q104" i="1"/>
  <c r="P104" i="1"/>
  <c r="N104" i="1"/>
  <c r="M104" i="1"/>
  <c r="S94" i="1"/>
  <c r="Q94" i="1"/>
  <c r="P94" i="1"/>
  <c r="N94" i="1"/>
  <c r="M94" i="1"/>
  <c r="S89" i="1"/>
  <c r="Q89" i="1"/>
  <c r="P89" i="1"/>
  <c r="N89" i="1"/>
  <c r="M89" i="1"/>
  <c r="S87" i="1"/>
  <c r="Q87" i="1"/>
  <c r="P87" i="1"/>
  <c r="N87" i="1"/>
  <c r="M87" i="1"/>
  <c r="S83" i="1"/>
  <c r="Q83" i="1"/>
  <c r="P83" i="1"/>
  <c r="N83" i="1"/>
  <c r="M83" i="1"/>
  <c r="S81" i="1"/>
  <c r="Q81" i="1"/>
  <c r="P81" i="1"/>
  <c r="N81" i="1"/>
  <c r="M81" i="1"/>
  <c r="S79" i="1"/>
  <c r="Q79" i="1"/>
  <c r="P79" i="1"/>
  <c r="N79" i="1"/>
  <c r="M79" i="1"/>
  <c r="S75" i="1"/>
  <c r="Q75" i="1"/>
  <c r="P75" i="1"/>
  <c r="N75" i="1"/>
  <c r="M75" i="1"/>
  <c r="S70" i="1"/>
  <c r="Q70" i="1"/>
  <c r="P70" i="1"/>
  <c r="N70" i="1"/>
  <c r="M70" i="1"/>
  <c r="S65" i="1"/>
  <c r="Q65" i="1"/>
  <c r="P65" i="1"/>
  <c r="N65" i="1"/>
  <c r="M65" i="1"/>
  <c r="S58" i="1"/>
  <c r="Q58" i="1"/>
  <c r="P58" i="1"/>
  <c r="N58" i="1"/>
  <c r="M58" i="1"/>
  <c r="S54" i="1"/>
  <c r="Q54" i="1"/>
  <c r="P54" i="1"/>
  <c r="N54" i="1"/>
  <c r="M54" i="1"/>
  <c r="S50" i="1"/>
  <c r="Q50" i="1"/>
  <c r="P50" i="1"/>
  <c r="N50" i="1"/>
  <c r="M50" i="1"/>
  <c r="S41" i="1"/>
  <c r="Q41" i="1"/>
  <c r="P41" i="1"/>
  <c r="N41" i="1"/>
  <c r="M41" i="1"/>
  <c r="S35" i="1"/>
  <c r="Q35" i="1"/>
  <c r="P35" i="1"/>
  <c r="N35" i="1"/>
  <c r="M35" i="1"/>
  <c r="S33" i="1"/>
  <c r="Q33" i="1"/>
  <c r="P33" i="1"/>
  <c r="N33" i="1"/>
  <c r="M33" i="1"/>
  <c r="S31" i="1"/>
  <c r="Q31" i="1"/>
  <c r="P31" i="1"/>
  <c r="N31" i="1"/>
  <c r="M31" i="1"/>
  <c r="O98" i="1" l="1"/>
  <c r="O31" i="1"/>
  <c r="O35" i="1"/>
  <c r="O54" i="1"/>
  <c r="O65" i="1"/>
  <c r="O81" i="1"/>
  <c r="O87" i="1"/>
  <c r="O94" i="1"/>
  <c r="O108" i="1"/>
  <c r="O75" i="1"/>
  <c r="O33" i="1"/>
  <c r="O41" i="1"/>
  <c r="O50" i="1"/>
  <c r="O58" i="1"/>
  <c r="O70" i="1"/>
  <c r="O79" i="1"/>
  <c r="O83" i="1"/>
  <c r="O89" i="1"/>
  <c r="O104" i="1"/>
  <c r="O176" i="1"/>
  <c r="O264" i="1"/>
  <c r="O269" i="1"/>
  <c r="O265" i="1"/>
  <c r="S106" i="1"/>
  <c r="Q106" i="1"/>
  <c r="P106" i="1"/>
  <c r="S97" i="1"/>
  <c r="Q97" i="1"/>
  <c r="P97" i="1"/>
  <c r="S96" i="1"/>
  <c r="Q96" i="1"/>
  <c r="P96" i="1"/>
  <c r="S93" i="1"/>
  <c r="Q93" i="1"/>
  <c r="P93" i="1"/>
  <c r="S92" i="1"/>
  <c r="Q92" i="1"/>
  <c r="P92" i="1"/>
  <c r="S91" i="1"/>
  <c r="Q91" i="1"/>
  <c r="P91" i="1"/>
  <c r="S86" i="1"/>
  <c r="Q86" i="1"/>
  <c r="P86" i="1"/>
  <c r="S85" i="1"/>
  <c r="Q85" i="1"/>
  <c r="P85" i="1"/>
  <c r="S78" i="1"/>
  <c r="Q78" i="1"/>
  <c r="P78" i="1"/>
  <c r="N78" i="1"/>
  <c r="M78" i="1"/>
  <c r="S77" i="1"/>
  <c r="Q77" i="1"/>
  <c r="P77" i="1"/>
  <c r="N77" i="1"/>
  <c r="M77" i="1"/>
  <c r="S73" i="1"/>
  <c r="Q73" i="1"/>
  <c r="P73" i="1"/>
  <c r="S72" i="1"/>
  <c r="Q72" i="1"/>
  <c r="P72" i="1"/>
  <c r="O78" i="1" l="1"/>
  <c r="O77" i="1"/>
  <c r="K13" i="2"/>
  <c r="S68" i="1" l="1"/>
  <c r="Q68" i="1"/>
  <c r="P68" i="1"/>
  <c r="N68" i="1"/>
  <c r="M68" i="1"/>
  <c r="S66" i="1"/>
  <c r="Q66" i="1"/>
  <c r="P66" i="1"/>
  <c r="N66" i="1"/>
  <c r="M66" i="1"/>
  <c r="S63" i="1"/>
  <c r="Q63" i="1"/>
  <c r="P63" i="1"/>
  <c r="N63" i="1"/>
  <c r="M63" i="1"/>
  <c r="S61" i="1"/>
  <c r="Q61" i="1"/>
  <c r="P61" i="1"/>
  <c r="N61" i="1"/>
  <c r="M61" i="1"/>
  <c r="N69" i="1"/>
  <c r="M69" i="1"/>
  <c r="L69" i="1"/>
  <c r="AE69" i="1" s="1"/>
  <c r="K69" i="1"/>
  <c r="N67" i="1"/>
  <c r="M67" i="1"/>
  <c r="L67" i="1"/>
  <c r="AE67" i="1" s="1"/>
  <c r="K67" i="1"/>
  <c r="N64" i="1"/>
  <c r="M64" i="1"/>
  <c r="L64" i="1"/>
  <c r="AE64" i="1" s="1"/>
  <c r="K64" i="1"/>
  <c r="N62" i="1"/>
  <c r="M62" i="1"/>
  <c r="K62" i="1"/>
  <c r="L62" i="1"/>
  <c r="AE62" i="1" s="1"/>
  <c r="K28" i="1"/>
  <c r="O66" i="1" l="1"/>
  <c r="O68" i="1"/>
  <c r="O61" i="1"/>
  <c r="O63" i="1"/>
  <c r="O67" i="1"/>
  <c r="O69" i="1"/>
  <c r="O64" i="1"/>
  <c r="O62" i="1"/>
  <c r="G20" i="2"/>
  <c r="N106" i="1" l="1"/>
  <c r="N96" i="1"/>
  <c r="N92" i="1"/>
  <c r="N86" i="1"/>
  <c r="N73" i="1"/>
  <c r="N97" i="1"/>
  <c r="N93" i="1"/>
  <c r="N91" i="1"/>
  <c r="N85" i="1"/>
  <c r="N72" i="1"/>
  <c r="N52" i="1"/>
  <c r="M52" i="1"/>
  <c r="P52" i="1"/>
  <c r="Q52" i="1"/>
  <c r="S52" i="1"/>
  <c r="N53" i="1"/>
  <c r="M53" i="1"/>
  <c r="P53" i="1"/>
  <c r="Q53" i="1"/>
  <c r="S53" i="1"/>
  <c r="N56" i="1"/>
  <c r="M56" i="1"/>
  <c r="P56" i="1"/>
  <c r="Q56" i="1"/>
  <c r="S56" i="1"/>
  <c r="S49" i="1"/>
  <c r="Q49" i="1"/>
  <c r="P49" i="1"/>
  <c r="M49" i="1"/>
  <c r="N49" i="1"/>
  <c r="N38" i="1"/>
  <c r="M38" i="1"/>
  <c r="P38" i="1"/>
  <c r="Q38" i="1"/>
  <c r="S38" i="1"/>
  <c r="N39" i="1"/>
  <c r="M39" i="1"/>
  <c r="P39" i="1"/>
  <c r="Q39" i="1"/>
  <c r="S39" i="1"/>
  <c r="N40" i="1"/>
  <c r="M40" i="1"/>
  <c r="P40" i="1"/>
  <c r="Q40" i="1"/>
  <c r="S40" i="1"/>
  <c r="S37" i="1"/>
  <c r="Q37" i="1"/>
  <c r="P37" i="1"/>
  <c r="M37" i="1"/>
  <c r="N37" i="1"/>
  <c r="K56" i="1"/>
  <c r="K53" i="1"/>
  <c r="K52" i="1"/>
  <c r="K49" i="1"/>
  <c r="K38" i="1"/>
  <c r="K39" i="1"/>
  <c r="K40" i="1"/>
  <c r="K37" i="1"/>
  <c r="H20" i="2"/>
  <c r="I20" i="2" s="1"/>
  <c r="M20" i="2" s="1"/>
  <c r="L28" i="1"/>
  <c r="AE28" i="1" s="1"/>
  <c r="L29" i="1"/>
  <c r="AE29" i="1" s="1"/>
  <c r="AE31" i="1"/>
  <c r="L32" i="1"/>
  <c r="AE32" i="1" s="1"/>
  <c r="L33" i="1"/>
  <c r="AE33" i="1" s="1"/>
  <c r="L35" i="1"/>
  <c r="AE35" i="1" s="1"/>
  <c r="L37" i="1"/>
  <c r="AE37" i="1" s="1"/>
  <c r="L38" i="1"/>
  <c r="AE38" i="1" s="1"/>
  <c r="L39" i="1"/>
  <c r="AE39" i="1" s="1"/>
  <c r="L40" i="1"/>
  <c r="AE40" i="1" s="1"/>
  <c r="L41" i="1"/>
  <c r="AE41" i="1" s="1"/>
  <c r="L43" i="1"/>
  <c r="AE43" i="1" s="1"/>
  <c r="L44" i="1"/>
  <c r="AE44" i="1" s="1"/>
  <c r="L45" i="1"/>
  <c r="AE45" i="1" s="1"/>
  <c r="L47" i="1"/>
  <c r="AE47" i="1" s="1"/>
  <c r="L48" i="1"/>
  <c r="AE48" i="1" s="1"/>
  <c r="L49" i="1"/>
  <c r="AE49" i="1" s="1"/>
  <c r="L50" i="1"/>
  <c r="AE50" i="1" s="1"/>
  <c r="L52" i="1"/>
  <c r="AE52" i="1" s="1"/>
  <c r="L53" i="1"/>
  <c r="AE53" i="1" s="1"/>
  <c r="L54" i="1"/>
  <c r="AE54" i="1" s="1"/>
  <c r="L56" i="1"/>
  <c r="AE56" i="1" s="1"/>
  <c r="L57" i="1"/>
  <c r="AE57" i="1" s="1"/>
  <c r="L58" i="1"/>
  <c r="AE58" i="1" s="1"/>
  <c r="L60" i="1"/>
  <c r="AE60" i="1" s="1"/>
  <c r="L61" i="1"/>
  <c r="AE61" i="1" s="1"/>
  <c r="L63" i="1"/>
  <c r="AE63" i="1" s="1"/>
  <c r="L65" i="1"/>
  <c r="AE65" i="1" s="1"/>
  <c r="L66" i="1"/>
  <c r="AE66" i="1" s="1"/>
  <c r="L68" i="1"/>
  <c r="AE68" i="1" s="1"/>
  <c r="L70" i="1"/>
  <c r="AE70" i="1" s="1"/>
  <c r="L72" i="1"/>
  <c r="AE72" i="1" s="1"/>
  <c r="L73" i="1"/>
  <c r="AE73" i="1" s="1"/>
  <c r="L74" i="1"/>
  <c r="AE74" i="1" s="1"/>
  <c r="L75" i="1"/>
  <c r="AE75" i="1" s="1"/>
  <c r="L77" i="1"/>
  <c r="AE77" i="1" s="1"/>
  <c r="L78" i="1"/>
  <c r="AE78" i="1" s="1"/>
  <c r="L79" i="1"/>
  <c r="AE79" i="1" s="1"/>
  <c r="L81" i="1"/>
  <c r="AE81" i="1" s="1"/>
  <c r="L83" i="1"/>
  <c r="AE83" i="1" s="1"/>
  <c r="L85" i="1"/>
  <c r="AE85" i="1" s="1"/>
  <c r="L86" i="1"/>
  <c r="AE86" i="1" s="1"/>
  <c r="L87" i="1"/>
  <c r="AE87" i="1" s="1"/>
  <c r="L89" i="1"/>
  <c r="AE89" i="1" s="1"/>
  <c r="L91" i="1"/>
  <c r="AE91" i="1" s="1"/>
  <c r="L92" i="1"/>
  <c r="AE92" i="1" s="1"/>
  <c r="L93" i="1"/>
  <c r="AE93" i="1" s="1"/>
  <c r="L94" i="1"/>
  <c r="AE94" i="1" s="1"/>
  <c r="L96" i="1"/>
  <c r="AE96" i="1" s="1"/>
  <c r="L97" i="1"/>
  <c r="AE97" i="1" s="1"/>
  <c r="L100" i="1"/>
  <c r="AE100" i="1" s="1"/>
  <c r="L101" i="1"/>
  <c r="AE101" i="1" s="1"/>
  <c r="L102" i="1"/>
  <c r="AE102" i="1" s="1"/>
  <c r="L103" i="1"/>
  <c r="AE103" i="1" s="1"/>
  <c r="K97" i="1"/>
  <c r="K96" i="1"/>
  <c r="K93" i="1"/>
  <c r="K92" i="1"/>
  <c r="K91" i="1"/>
  <c r="K86" i="1"/>
  <c r="K85" i="1"/>
  <c r="K78" i="1"/>
  <c r="K77" i="1"/>
  <c r="K73" i="1"/>
  <c r="K72" i="1"/>
  <c r="K63" i="1"/>
  <c r="K66" i="1"/>
  <c r="K68" i="1"/>
  <c r="K61" i="1"/>
  <c r="K60" i="1"/>
  <c r="K57" i="1"/>
  <c r="M97" i="1" l="1"/>
  <c r="O97" i="1" s="1"/>
  <c r="M93" i="1"/>
  <c r="O93" i="1" s="1"/>
  <c r="M91" i="1"/>
  <c r="O91" i="1" s="1"/>
  <c r="M85" i="1"/>
  <c r="O85" i="1" s="1"/>
  <c r="M72" i="1"/>
  <c r="O72" i="1" s="1"/>
  <c r="M106" i="1"/>
  <c r="O106" i="1" s="1"/>
  <c r="M96" i="1"/>
  <c r="O96" i="1" s="1"/>
  <c r="M92" i="1"/>
  <c r="O92" i="1" s="1"/>
  <c r="M86" i="1"/>
  <c r="O86" i="1" s="1"/>
  <c r="M73" i="1"/>
  <c r="O73" i="1" s="1"/>
  <c r="O37" i="1"/>
  <c r="O40" i="1"/>
  <c r="O38" i="1"/>
  <c r="O49" i="1"/>
  <c r="O52" i="1"/>
  <c r="O39" i="1"/>
  <c r="O53" i="1"/>
  <c r="O56" i="1"/>
  <c r="K21" i="2"/>
  <c r="K20" i="2"/>
  <c r="K19" i="2"/>
  <c r="K12" i="2"/>
  <c r="K15" i="2"/>
  <c r="K17" i="2"/>
  <c r="K18" i="2"/>
  <c r="S18" i="1" l="1"/>
  <c r="Q18" i="1"/>
  <c r="P18" i="1"/>
  <c r="M18" i="1"/>
  <c r="N18" i="1"/>
  <c r="L18" i="1"/>
  <c r="AE18" i="1" s="1"/>
  <c r="K18" i="1"/>
  <c r="O18" i="1" l="1"/>
  <c r="I14" i="5"/>
  <c r="I13" i="5"/>
  <c r="I12" i="5"/>
  <c r="I11" i="5"/>
  <c r="I10" i="5"/>
  <c r="I9" i="5"/>
  <c r="I8" i="5"/>
  <c r="I7" i="5"/>
  <c r="I6" i="5"/>
  <c r="I5" i="5"/>
  <c r="T4" i="5"/>
  <c r="T3" i="5"/>
  <c r="J3" i="5" l="1"/>
  <c r="K14" i="5" l="1"/>
  <c r="K11" i="5"/>
  <c r="K12" i="5"/>
  <c r="K6" i="5"/>
  <c r="K7" i="5"/>
  <c r="K8" i="5"/>
  <c r="K9" i="5"/>
  <c r="K16" i="5"/>
  <c r="K15" i="5"/>
  <c r="K13" i="5"/>
  <c r="K10" i="5"/>
  <c r="K5" i="5"/>
  <c r="K4" i="5"/>
  <c r="K3" i="5"/>
  <c r="S28" i="1" l="1"/>
  <c r="S27" i="1"/>
  <c r="S26" i="1"/>
  <c r="S25" i="1"/>
  <c r="S23" i="1"/>
  <c r="S29" i="1"/>
  <c r="S22" i="1"/>
  <c r="S21" i="1"/>
  <c r="S20" i="1"/>
  <c r="S16" i="1"/>
  <c r="S12" i="1"/>
  <c r="S15" i="1"/>
  <c r="S14" i="1"/>
  <c r="Q28" i="1"/>
  <c r="Q27" i="1"/>
  <c r="Q26" i="1"/>
  <c r="Q25" i="1"/>
  <c r="Q23" i="1"/>
  <c r="Q29" i="1"/>
  <c r="Q22" i="1"/>
  <c r="Q21" i="1"/>
  <c r="Q20" i="1"/>
  <c r="Q16" i="1"/>
  <c r="Q12" i="1"/>
  <c r="Q15" i="1"/>
  <c r="Q14" i="1"/>
  <c r="P28" i="1"/>
  <c r="P27" i="1"/>
  <c r="P26" i="1"/>
  <c r="P25" i="1"/>
  <c r="P23" i="1"/>
  <c r="P29" i="1"/>
  <c r="P22" i="1"/>
  <c r="P21" i="1"/>
  <c r="P20" i="1"/>
  <c r="P16" i="1"/>
  <c r="P12" i="1"/>
  <c r="P15" i="1"/>
  <c r="P14" i="1"/>
  <c r="P8" i="1"/>
  <c r="P6" i="1"/>
  <c r="M23" i="1"/>
  <c r="M22" i="1"/>
  <c r="M16" i="1"/>
  <c r="M12" i="1"/>
  <c r="N28" i="1"/>
  <c r="N27" i="1"/>
  <c r="N26" i="1"/>
  <c r="N25" i="1"/>
  <c r="N23" i="1"/>
  <c r="N29" i="1"/>
  <c r="N22" i="1"/>
  <c r="N21" i="1"/>
  <c r="N20" i="1"/>
  <c r="N16" i="1"/>
  <c r="N12" i="1"/>
  <c r="N15" i="1"/>
  <c r="N14" i="1"/>
  <c r="N8" i="1"/>
  <c r="N6" i="1"/>
  <c r="K8" i="1"/>
  <c r="K14" i="1"/>
  <c r="K15" i="1"/>
  <c r="K12" i="1"/>
  <c r="K16" i="1"/>
  <c r="K20" i="1"/>
  <c r="K21" i="1"/>
  <c r="K22" i="1"/>
  <c r="K23" i="1"/>
  <c r="K25" i="1"/>
  <c r="K26" i="1"/>
  <c r="K27" i="1"/>
  <c r="K6" i="1"/>
  <c r="H9" i="2"/>
  <c r="I9" i="2" s="1"/>
  <c r="M9" i="2" s="1"/>
  <c r="M8" i="1" l="1"/>
  <c r="M7" i="1"/>
  <c r="O7" i="1" s="1"/>
  <c r="M9" i="1"/>
  <c r="O9" i="1" s="1"/>
  <c r="M6" i="1"/>
  <c r="H8" i="2"/>
  <c r="I8" i="2" s="1"/>
  <c r="M8" i="2" s="1"/>
  <c r="H7" i="2"/>
  <c r="K6" i="2"/>
  <c r="K7" i="2"/>
  <c r="K8" i="2"/>
  <c r="K9" i="2"/>
  <c r="K10" i="2"/>
  <c r="K11" i="2"/>
  <c r="K5" i="2"/>
  <c r="M28" i="1" l="1"/>
  <c r="O28" i="1" s="1"/>
  <c r="I7" i="2"/>
  <c r="M7" i="2" s="1"/>
  <c r="M27" i="1"/>
  <c r="O27" i="1" s="1"/>
  <c r="M25" i="1"/>
  <c r="O25" i="1" s="1"/>
  <c r="M26" i="1"/>
  <c r="O26" i="1" s="1"/>
  <c r="M29" i="1"/>
  <c r="O29" i="1" s="1"/>
  <c r="M21" i="1"/>
  <c r="O21" i="1" s="1"/>
  <c r="M15" i="1"/>
  <c r="O15" i="1" s="1"/>
  <c r="M20" i="1"/>
  <c r="O20" i="1" s="1"/>
  <c r="M14" i="1"/>
  <c r="O14" i="1" s="1"/>
  <c r="O8" i="1"/>
  <c r="O16" i="1"/>
  <c r="O12" i="1"/>
  <c r="O6" i="1"/>
  <c r="O22" i="1"/>
  <c r="O23" i="1"/>
  <c r="L22" i="1"/>
  <c r="AE22" i="1" s="1"/>
  <c r="L27" i="1"/>
  <c r="AE27" i="1" s="1"/>
  <c r="L26" i="1"/>
  <c r="AE26" i="1" s="1"/>
  <c r="L25" i="1"/>
  <c r="AE25" i="1" s="1"/>
  <c r="L23" i="1"/>
  <c r="AE23" i="1" s="1"/>
  <c r="L21" i="1" l="1"/>
  <c r="AE21" i="1" s="1"/>
  <c r="L15" i="1"/>
  <c r="AE15" i="1" s="1"/>
  <c r="L20" i="1"/>
  <c r="AE20" i="1" s="1"/>
  <c r="L14" i="1"/>
  <c r="AE14" i="1" s="1"/>
  <c r="L6" i="1" l="1"/>
  <c r="AE6" i="1" s="1"/>
  <c r="L16" i="1"/>
  <c r="AE16" i="1" s="1"/>
  <c r="L8" i="1"/>
  <c r="AE8" i="1" s="1"/>
  <c r="L12" i="1"/>
  <c r="AE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Shepherd, Ben (STFC,DL,AST)</author>
  </authors>
  <commentList>
    <comment ref="J1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Quad #19385 was damaged Sep 2021 (left powered for ~1hr without cooling), and replaced with spare</t>
        </r>
      </text>
    </comment>
    <comment ref="M1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Tested and running at higher current than specified to give 5mrad correction in FEBE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Shepherd, Ben (STFC,DL,AST)</author>
    <author>Ben Shepherd</author>
  </authors>
  <commentList>
    <comment ref="L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with a serial number</t>
        </r>
      </text>
    </comment>
    <comment ref="E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Ben Shepherd:</t>
        </r>
        <r>
          <rPr>
            <sz val="9"/>
            <color indexed="81"/>
            <rFont val="Tahoma"/>
            <family val="2"/>
          </rPr>
          <t xml:space="preserve">
spec values</t>
        </r>
      </text>
    </comment>
    <comment ref="J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Two separate orders, for Phase 2 (PR16003) and FEBE (PR19069). One magnet damaged in Sep 2021 (#19385), probably beyond repair</t>
        </r>
      </text>
    </comment>
    <comment ref="O15" authorId="0" shapeId="0" xr:uid="{FD17C291-85EA-4A8E-AC65-6CEE24417587}">
      <text>
        <r>
          <rPr>
            <b/>
            <sz val="9"/>
            <color indexed="81"/>
            <rFont val="Tahoma"/>
            <family val="2"/>
          </rPr>
          <t>Shepherd, Ben (STFC,DL,AST):</t>
        </r>
        <r>
          <rPr>
            <sz val="9"/>
            <color indexed="81"/>
            <rFont val="Tahoma"/>
            <family val="2"/>
          </rPr>
          <t xml:space="preserve">
Scanditronix provided a one-off 4L for S02-HVCOR-04</t>
        </r>
      </text>
    </comment>
  </commentList>
</comments>
</file>

<file path=xl/sharedStrings.xml><?xml version="1.0" encoding="utf-8"?>
<sst xmlns="http://schemas.openxmlformats.org/spreadsheetml/2006/main" count="2065" uniqueCount="312">
  <si>
    <t>type</t>
  </si>
  <si>
    <t>number</t>
  </si>
  <si>
    <t>region</t>
  </si>
  <si>
    <t>magnet type</t>
  </si>
  <si>
    <t>Corrector Type 1</t>
  </si>
  <si>
    <t>Quadrupole Type 1</t>
  </si>
  <si>
    <t>Corrector Type 2</t>
  </si>
  <si>
    <t>Corrector Type 3</t>
  </si>
  <si>
    <t>Quadrupole Type 2</t>
  </si>
  <si>
    <t>Dipole Type 2</t>
  </si>
  <si>
    <t>Dipole Type 1</t>
  </si>
  <si>
    <t>units</t>
  </si>
  <si>
    <t>current [A]</t>
  </si>
  <si>
    <t>voltage [V]</t>
  </si>
  <si>
    <t>Magnet type</t>
  </si>
  <si>
    <t>Integrated strength</t>
  </si>
  <si>
    <t>Units</t>
  </si>
  <si>
    <t>T.mm</t>
  </si>
  <si>
    <t>T</t>
  </si>
  <si>
    <t>Quantity</t>
  </si>
  <si>
    <t>Current [A]</t>
  </si>
  <si>
    <t>Voltage [V]</t>
  </si>
  <si>
    <t>Drawing number</t>
  </si>
  <si>
    <t>Manufacturer</t>
  </si>
  <si>
    <t>Danfysik</t>
  </si>
  <si>
    <t>Strength</t>
  </si>
  <si>
    <t>T/m</t>
  </si>
  <si>
    <t>spec values</t>
  </si>
  <si>
    <t>integrated strength</t>
  </si>
  <si>
    <t>BDF</t>
  </si>
  <si>
    <t>Added in water flow data from Danfysik quotation</t>
  </si>
  <si>
    <t>Rev</t>
  </si>
  <si>
    <t>Author</t>
  </si>
  <si>
    <t>Notes</t>
  </si>
  <si>
    <t>Date</t>
  </si>
  <si>
    <t>Revision of table</t>
  </si>
  <si>
    <t>7103021124.B</t>
  </si>
  <si>
    <t>7103021223.B</t>
  </si>
  <si>
    <t>7103021097.C</t>
  </si>
  <si>
    <t>7103021131.C</t>
  </si>
  <si>
    <t>7103021331.D</t>
  </si>
  <si>
    <t>7103021169.E</t>
  </si>
  <si>
    <t>7103021339.D</t>
  </si>
  <si>
    <t>CLARA Magnet Table</t>
  </si>
  <si>
    <t>version</t>
  </si>
  <si>
    <t>Load [kW]</t>
  </si>
  <si>
    <t>Pressure drop [Bar]</t>
  </si>
  <si>
    <t>Flow [l/min]</t>
  </si>
  <si>
    <t>Inlet temp [°C]</t>
  </si>
  <si>
    <t>Temp rise [°C]</t>
  </si>
  <si>
    <t>Serial number</t>
  </si>
  <si>
    <t>Lookup text</t>
  </si>
  <si>
    <t>Magnetic length [mm]</t>
  </si>
  <si>
    <t>Current to reach nominal field [A]</t>
  </si>
  <si>
    <t>Nominal Current [A]</t>
  </si>
  <si>
    <t>Nominal Voltage [V]</t>
  </si>
  <si>
    <t>Quadratic fit to field vs current</t>
  </si>
  <si>
    <t>a2 [T/A²]</t>
  </si>
  <si>
    <t>a1 [T/A]</t>
  </si>
  <si>
    <t>a0 [T]</t>
  </si>
  <si>
    <t>Nominal values</t>
  </si>
  <si>
    <t>Reference</t>
  </si>
  <si>
    <t>Excitation curve</t>
  </si>
  <si>
    <t>BJAS</t>
  </si>
  <si>
    <t>Updated whole table based on CLARA V10 layout</t>
  </si>
  <si>
    <t>CLA</t>
  </si>
  <si>
    <t>S01</t>
  </si>
  <si>
    <t>MAG</t>
  </si>
  <si>
    <t>VCOR</t>
  </si>
  <si>
    <t>S02</t>
  </si>
  <si>
    <t>QUAD</t>
  </si>
  <si>
    <t>C2V</t>
  </si>
  <si>
    <t>DIP</t>
  </si>
  <si>
    <t>HVCOR</t>
  </si>
  <si>
    <t>UND</t>
  </si>
  <si>
    <t>H1</t>
  </si>
  <si>
    <t>H2</t>
  </si>
  <si>
    <t>D</t>
  </si>
  <si>
    <t>K</t>
  </si>
  <si>
    <t>machine</t>
  </si>
  <si>
    <t>component</t>
  </si>
  <si>
    <t>S03</t>
  </si>
  <si>
    <t>S04</t>
  </si>
  <si>
    <t>S05</t>
  </si>
  <si>
    <t>VBC</t>
  </si>
  <si>
    <t>S06</t>
  </si>
  <si>
    <t>S07</t>
  </si>
  <si>
    <t>FMS</t>
  </si>
  <si>
    <t>MU1</t>
  </si>
  <si>
    <t>MU2</t>
  </si>
  <si>
    <t>PFD</t>
  </si>
  <si>
    <t>SP2</t>
  </si>
  <si>
    <t>SP3</t>
  </si>
  <si>
    <t>SP4</t>
  </si>
  <si>
    <t>Quadrupole Type 3</t>
  </si>
  <si>
    <t>Dipole Type 3</t>
  </si>
  <si>
    <t>Location(s)</t>
  </si>
  <si>
    <t>C2V start</t>
  </si>
  <si>
    <t>C2V end</t>
  </si>
  <si>
    <t>Antec</t>
  </si>
  <si>
    <t>256-14320</t>
  </si>
  <si>
    <t>Quantity ordered</t>
  </si>
  <si>
    <t>Quantity listed</t>
  </si>
  <si>
    <t>Dipole Type 4</t>
  </si>
  <si>
    <t>Laser Heater</t>
  </si>
  <si>
    <t>Quadrupole Type QFA</t>
  </si>
  <si>
    <t>Dipole Type 5</t>
  </si>
  <si>
    <t>SP2, SP3</t>
  </si>
  <si>
    <t>Added actual required strengths for quads and correctors, S02-S07
Quad strengths based on conversation with PHW
Corrector strengths based on 3mrad, energies from &lt;\\fed.cclrc.ac.uk\org\NLab\ASTeC\Projects\CLARA\Layouts\CLARA V10 layout\CLARA V10 Short 240 Mode\clara_qen.png&gt;
For calculation, see &lt;\\fed.cclrc.ac.uk\org\NLab\ASTeC\Projects\CLARA\Magnets\Corrector calculations.xlsx&gt; (+10% numbers)</t>
  </si>
  <si>
    <t>1.50022.41.080</t>
  </si>
  <si>
    <t>Scanditronix</t>
  </si>
  <si>
    <t>VBC (dipole trim coils)</t>
  </si>
  <si>
    <t>HCOR</t>
  </si>
  <si>
    <t>S07, PFD</t>
  </si>
  <si>
    <t>S05: use QFA instead of Type 3
Added magnets to end of S07 (after SP3) and PFD</t>
  </si>
  <si>
    <t>S06, S07-Q1-8</t>
  </si>
  <si>
    <t>On BDF's request, changed S04, S05 quads from QFA back to Type 3 due to space constraints
QFAs now in S06, S07 (up to Q08)</t>
  </si>
  <si>
    <t>Saving under new name? Don't forget to update any references in the VELA/CLARA wiki</t>
  </si>
  <si>
    <t>Corrector Type 4L</t>
  </si>
  <si>
    <t>Corrector Type 5L</t>
  </si>
  <si>
    <t>Corrector Type 6S</t>
  </si>
  <si>
    <t>Inductance [mH]</t>
  </si>
  <si>
    <t>Aperture [mm]</t>
  </si>
  <si>
    <t>Yoke type</t>
  </si>
  <si>
    <t>Laminated</t>
  </si>
  <si>
    <t>Solid</t>
  </si>
  <si>
    <t>7103034422.A</t>
  </si>
  <si>
    <t>7103034482.A</t>
  </si>
  <si>
    <t>7103034097.B</t>
  </si>
  <si>
    <t>Air-cooled</t>
  </si>
  <si>
    <t>Danfysik correctors now in three different types (4L, 5L, 6S)
Inserted S07-HVCOR-05 just before SP3-DIP-01</t>
  </si>
  <si>
    <t>Trello</t>
  </si>
  <si>
    <t>Front end magnets</t>
  </si>
  <si>
    <t>VBC dipoles</t>
  </si>
  <si>
    <t>Phase 2 quadrupoles</t>
  </si>
  <si>
    <t>SP3 quads and correctors</t>
  </si>
  <si>
    <t>VBC, SP3</t>
  </si>
  <si>
    <t>Phase 2 correctors</t>
  </si>
  <si>
    <t>Laser heater dipoles</t>
  </si>
  <si>
    <t>SwissFEL QFA Quadrupoles</t>
  </si>
  <si>
    <t>Spectrometer dipoles</t>
  </si>
  <si>
    <t>7103033269.C</t>
  </si>
  <si>
    <t>BEMA-083001-0</t>
  </si>
  <si>
    <t>module</t>
  </si>
  <si>
    <t>GUN</t>
  </si>
  <si>
    <t>SOL</t>
  </si>
  <si>
    <t>Bucking Solenoid</t>
  </si>
  <si>
    <t>Gun Solenoid</t>
  </si>
  <si>
    <t>Linac Solenoid</t>
  </si>
  <si>
    <t>Retrofit in phase 2</t>
  </si>
  <si>
    <t>Group by:</t>
  </si>
  <si>
    <t>TBD and/or late fit in phase2</t>
  </si>
  <si>
    <t>End of Phase 2</t>
  </si>
  <si>
    <t>serial number</t>
  </si>
  <si>
    <t>Added solenoids
Added module number and serial number</t>
  </si>
  <si>
    <t>Gun</t>
  </si>
  <si>
    <t>Linac 1</t>
  </si>
  <si>
    <t>7103026680.A</t>
  </si>
  <si>
    <t>Bucking solenoid, HRRG</t>
  </si>
  <si>
    <t>See Strathclyde solenoid info.doc</t>
  </si>
  <si>
    <t>SEF</t>
  </si>
  <si>
    <t>50022.41.043A</t>
  </si>
  <si>
    <t>Efremov Institute</t>
  </si>
  <si>
    <t>SwissFEL Linac Solenoids</t>
  </si>
  <si>
    <t>Not specified yet but likely to be very small dipoles</t>
  </si>
  <si>
    <t>Serial numbers for quads installed on M5 and M6</t>
  </si>
  <si>
    <t>Dipole Type 6</t>
  </si>
  <si>
    <t>Quadrupole Type 4</t>
  </si>
  <si>
    <t>Modulator undulators</t>
  </si>
  <si>
    <t>Modulator Undulator 1</t>
  </si>
  <si>
    <t>Modulator Undulator 2</t>
  </si>
  <si>
    <t>Updated whole table based on CLARA V12 layout</t>
  </si>
  <si>
    <t>PMD</t>
  </si>
  <si>
    <t>FRS-R01</t>
  </si>
  <si>
    <t>FRS-R02</t>
  </si>
  <si>
    <t>FRS-R03</t>
  </si>
  <si>
    <t>FRS-R04</t>
  </si>
  <si>
    <t>FRS-R05</t>
  </si>
  <si>
    <t>FRS-R06</t>
  </si>
  <si>
    <t>FRS-R07</t>
  </si>
  <si>
    <t>FRS-R08</t>
  </si>
  <si>
    <t>FRS-R09</t>
  </si>
  <si>
    <t>FRS-R10</t>
  </si>
  <si>
    <t>FRS-R11</t>
  </si>
  <si>
    <t>FRS-R12</t>
  </si>
  <si>
    <t>FRS-R13</t>
  </si>
  <si>
    <t>FRS-R14</t>
  </si>
  <si>
    <t>FRS-R15</t>
  </si>
  <si>
    <t>FRS-R16</t>
  </si>
  <si>
    <t>FRS-R17</t>
  </si>
  <si>
    <t>FEL Modulator Section</t>
  </si>
  <si>
    <t>Quadrupole Type 5</t>
  </si>
  <si>
    <t>FEL Radiator Section</t>
  </si>
  <si>
    <t>Radiator Undulator</t>
  </si>
  <si>
    <t>Phase Shifter Type 1</t>
  </si>
  <si>
    <t>Phase Shifter Type 2</t>
  </si>
  <si>
    <t>FRX</t>
  </si>
  <si>
    <t>FAB-R01</t>
  </si>
  <si>
    <t>FAB-R02</t>
  </si>
  <si>
    <t>FAB-R03</t>
  </si>
  <si>
    <t>FAB-R04</t>
  </si>
  <si>
    <t>FAX</t>
  </si>
  <si>
    <t>1822-21088-02</t>
  </si>
  <si>
    <t>1822-21088-01</t>
  </si>
  <si>
    <t>Filled in serial numbers installed in modules 7, 8, 10, 11, SP2, SP3</t>
  </si>
  <si>
    <t>Serial numbers for M3 quad, M4 correctors</t>
  </si>
  <si>
    <t>Columns for excitation curve data</t>
  </si>
  <si>
    <t>specified values</t>
  </si>
  <si>
    <t>nominal ratings</t>
  </si>
  <si>
    <t>cooling information</t>
  </si>
  <si>
    <t>max current [A]</t>
  </si>
  <si>
    <t>magnetic length [mm]</t>
  </si>
  <si>
    <t>slope [units/A]</t>
  </si>
  <si>
    <t>Added excitation data for S02-Q1-5</t>
  </si>
  <si>
    <t>Corrector Type 8Q</t>
  </si>
  <si>
    <t>Corrector Type 9</t>
  </si>
  <si>
    <t>Dipole Type 7</t>
  </si>
  <si>
    <t>Corrector Type 10</t>
  </si>
  <si>
    <t>Corrector Type 7D</t>
  </si>
  <si>
    <t>S03-S06, SP2, FEBE, PFD</t>
  </si>
  <si>
    <t>S02-S05, S07-Q9-11, SP2, SP3, FEBE, PFD</t>
  </si>
  <si>
    <t>FEBE dogleg</t>
  </si>
  <si>
    <t>FEBE spectrometer</t>
  </si>
  <si>
    <t>FEBE laser exit</t>
  </si>
  <si>
    <t>FEBE around IP</t>
  </si>
  <si>
    <t>FEBE around IP (integrated with quads)</t>
  </si>
  <si>
    <t>Quadrupole Type 6</t>
  </si>
  <si>
    <t>FEBE type 3 quads</t>
  </si>
  <si>
    <t>FEBE dipole magnets</t>
  </si>
  <si>
    <t>FEBE hutch magnets</t>
  </si>
  <si>
    <t>Phase shifters</t>
  </si>
  <si>
    <t>Inter-undulator quads</t>
  </si>
  <si>
    <t>Radiator undulators</t>
  </si>
  <si>
    <t>Agreed to run FEBE Type 4L correctors at higher current of 13A to give 5mrad correction</t>
  </si>
  <si>
    <t>Updated data for Type 4L correctors in FEBE</t>
  </si>
  <si>
    <t>Tesla</t>
  </si>
  <si>
    <t>Added excitation data for C2V quads and Phase 1 correctors. Split correctors HVCOR -&gt; VCOR, HCOR</t>
  </si>
  <si>
    <t>Changed excitation parameters for quads</t>
  </si>
  <si>
    <t>a [units/A²]</t>
  </si>
  <si>
    <t>I0 [A]</t>
  </si>
  <si>
    <t>d [units]</t>
  </si>
  <si>
    <t>strength</t>
  </si>
  <si>
    <t>K or angle</t>
  </si>
  <si>
    <t>sign</t>
  </si>
  <si>
    <t>c</t>
  </si>
  <si>
    <t>Mm/s</t>
  </si>
  <si>
    <t>f [units/A³]</t>
  </si>
  <si>
    <r>
      <rPr>
        <b/>
        <sz val="11"/>
        <color theme="1"/>
        <rFont val="Calibri"/>
        <family val="2"/>
        <scheme val="minor"/>
      </rPr>
      <t>excitation curves</t>
    </r>
    <r>
      <rPr>
        <sz val="11"/>
        <color theme="1"/>
        <rFont val="Calibri"/>
        <family val="2"/>
        <scheme val="minor"/>
      </rPr>
      <t xml:space="preserve">: linear for I&lt;max, fI³+a(I-I0)²+d above max; see </t>
    </r>
    <r>
      <rPr>
        <sz val="11"/>
        <color rgb="FFFF0000"/>
        <rFont val="Calibri"/>
        <family val="2"/>
        <scheme val="minor"/>
      </rPr>
      <t>Parametrisation of Magnet Excitation Curves.docx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units = T for quads, T.mm for dipoles and correctors</t>
    </r>
  </si>
  <si>
    <t>FEA</t>
  </si>
  <si>
    <t>FEH</t>
  </si>
  <si>
    <t>FED</t>
  </si>
  <si>
    <t>Correct layout for FEBE</t>
  </si>
  <si>
    <t>Was a QFA but Type 3 installed instead. OK as have spares</t>
  </si>
  <si>
    <t>Changed from 4L to 6S due to lack of space</t>
  </si>
  <si>
    <t>In M12, changed a quad from QFA to Type 3, and a corrector from 4L to 6S</t>
  </si>
  <si>
    <t>Put in all coefficients for Type 4L, 5L, 6S correctors. Split corrector lines from HVCOR -&gt; VCOR, HCOR</t>
  </si>
  <si>
    <t>Retrofit in phase 2. Lack of space means maybe need to replace with new Type 2 corrector</t>
  </si>
  <si>
    <t>F1</t>
  </si>
  <si>
    <t>F4</t>
  </si>
  <si>
    <t>F2</t>
  </si>
  <si>
    <t>F3</t>
  </si>
  <si>
    <t>F5</t>
  </si>
  <si>
    <t>Filled in module numbers for FEBE arc, and serial numbers of quads from modules F1-F5</t>
  </si>
  <si>
    <t>Filled in serial numbers for Type 6 dipoles</t>
  </si>
  <si>
    <t>FEBE dump</t>
  </si>
  <si>
    <t>Last FEBE corrector is Type 10 now, not Type 9</t>
  </si>
  <si>
    <t>Serial number for S07-MAG-HVCOR-07</t>
  </si>
  <si>
    <t>momentum [MeV/c]</t>
  </si>
  <si>
    <t>Quantity installed</t>
  </si>
  <si>
    <t>New serial number for FEA-MAG-QUAD-01 replacement due to damage</t>
  </si>
  <si>
    <t>SEXT</t>
  </si>
  <si>
    <t>Sextupole Type 1</t>
  </si>
  <si>
    <t>T/m²</t>
  </si>
  <si>
    <t>FEBE arc sextupoles</t>
  </si>
  <si>
    <t>Budgetary quote received from Danfysik with approx ratings</t>
  </si>
  <si>
    <t>Added two sextupoles in FEBE arc</t>
  </si>
  <si>
    <t>F6</t>
  </si>
  <si>
    <t>F5B</t>
  </si>
  <si>
    <t>F7</t>
  </si>
  <si>
    <t>F8</t>
  </si>
  <si>
    <t>Module numbers for FEH and FED magnets</t>
  </si>
  <si>
    <t>CL7-01</t>
  </si>
  <si>
    <t>CL7-02</t>
  </si>
  <si>
    <t>QW4-09</t>
  </si>
  <si>
    <t>QW4-04</t>
  </si>
  <si>
    <t>QW4-07</t>
  </si>
  <si>
    <t>QW4-05</t>
  </si>
  <si>
    <t>QW4-06</t>
  </si>
  <si>
    <t>QW4-03</t>
  </si>
  <si>
    <t>QW4-01</t>
  </si>
  <si>
    <t>QW4-02</t>
  </si>
  <si>
    <t>CS7-01</t>
  </si>
  <si>
    <t>QW4-08</t>
  </si>
  <si>
    <t>Serial numbers for modules F6-F8</t>
  </si>
  <si>
    <t>Corrector Type 4L+</t>
  </si>
  <si>
    <t>Set higher-rated correctors as a different magnet type (4L+) to avoid confusion</t>
  </si>
  <si>
    <t>Power [kW]</t>
  </si>
  <si>
    <t>Total power [kW]</t>
  </si>
  <si>
    <t>AGH</t>
  </si>
  <si>
    <t>Added excitation curve conversion constants for VBC dipoles and SP2 and SP3 dipoles</t>
  </si>
  <si>
    <t>Added excitation curve constants for SwissFEL QFA quads, FEBE arc dipoles</t>
  </si>
  <si>
    <t>Added excitation curve constants for FEBE type 3 quads</t>
  </si>
  <si>
    <t>S02-S06, SP2, FEBE, PFD</t>
  </si>
  <si>
    <t>Danfysik/Scanditronix</t>
  </si>
  <si>
    <t>2386-26708-01</t>
  </si>
  <si>
    <t>Info about S02-HVCOR-04</t>
  </si>
  <si>
    <t>Added slope constants for VBC HCOR and S07-HVCOR-07</t>
  </si>
  <si>
    <t>L01</t>
  </si>
  <si>
    <t>Slope constants added for S02-HVCOR-04</t>
  </si>
  <si>
    <t>Slope constants added for FEBE hutch quads and integrated correctors</t>
  </si>
  <si>
    <t>Nominal currents for FEH quads and correctors</t>
  </si>
  <si>
    <t>Measured magnetic lengths and curve constants for FEA quads. Missing FEA-QUAD-03 magnetic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</si>
</sst>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0"/>
    <numFmt numFmtId="166" formatCode="[$-F800]dddd\,\ mmmm\ dd\,\ yyyy"/>
    <numFmt numFmtId="167" formatCode="0.000"/>
    <numFmt numFmtId="168" formatCode="0.0000"/>
    <numFmt numFmtId="169" formatCode="000"/>
    <numFmt numFmtId="179" formatCode="0.00000000000E+00"/>
    <numFmt numFmtId="185" formatCode="0.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16" fillId="0" borderId="0"/>
    <xf numFmtId="0" fontId="17" fillId="0" borderId="0"/>
  </cellStyleXfs>
  <cellXfs count="8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 applyAlignment="1">
      <alignment horizontal="centerContinuous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2" xfId="1" applyAlignment="1">
      <alignment horizontal="centerContinuous"/>
    </xf>
    <xf numFmtId="0" fontId="3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Continuous"/>
    </xf>
    <xf numFmtId="0" fontId="7" fillId="0" borderId="0" xfId="2"/>
    <xf numFmtId="165" fontId="6" fillId="0" borderId="2" xfId="1" applyNumberFormat="1" applyAlignment="1">
      <alignment horizontal="right"/>
    </xf>
    <xf numFmtId="165" fontId="0" fillId="0" borderId="0" xfId="0" applyNumberFormat="1"/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2" borderId="0" xfId="0" applyFill="1"/>
    <xf numFmtId="0" fontId="7" fillId="0" borderId="1" xfId="2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6" fillId="3" borderId="2" xfId="1" applyFill="1" applyAlignment="1">
      <alignment horizontal="centerContinuous"/>
    </xf>
    <xf numFmtId="0" fontId="6" fillId="3" borderId="2" xfId="1" applyFill="1" applyAlignment="1">
      <alignment horizontal="right"/>
    </xf>
    <xf numFmtId="165" fontId="6" fillId="0" borderId="2" xfId="1" applyNumberFormat="1" applyAlignment="1">
      <alignment horizontal="left"/>
    </xf>
    <xf numFmtId="0" fontId="13" fillId="0" borderId="1" xfId="0" applyFont="1" applyBorder="1" applyAlignment="1">
      <alignment wrapText="1"/>
    </xf>
    <xf numFmtId="0" fontId="10" fillId="0" borderId="0" xfId="0" applyFont="1" applyAlignment="1">
      <alignment horizontal="centerContinuous"/>
    </xf>
    <xf numFmtId="0" fontId="0" fillId="4" borderId="0" xfId="0" applyFill="1"/>
    <xf numFmtId="0" fontId="1" fillId="0" borderId="0" xfId="0" applyFont="1" applyAlignment="1">
      <alignment horizontal="left" textRotation="90" wrapText="1"/>
    </xf>
    <xf numFmtId="0" fontId="1" fillId="0" borderId="0" xfId="0" applyFont="1" applyAlignment="1">
      <alignment horizontal="left" textRotation="90"/>
    </xf>
    <xf numFmtId="165" fontId="1" fillId="0" borderId="0" xfId="0" applyNumberFormat="1" applyFont="1" applyAlignment="1">
      <alignment horizontal="left" textRotation="90"/>
    </xf>
    <xf numFmtId="165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centerContinuous" wrapText="1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167" fontId="1" fillId="5" borderId="0" xfId="0" applyNumberFormat="1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10" fillId="0" borderId="0" xfId="2" applyFont="1"/>
    <xf numFmtId="167" fontId="10" fillId="0" borderId="0" xfId="0" applyNumberFormat="1" applyFont="1"/>
    <xf numFmtId="167" fontId="11" fillId="0" borderId="0" xfId="0" applyNumberFormat="1" applyFont="1"/>
    <xf numFmtId="11" fontId="1" fillId="5" borderId="0" xfId="0" applyNumberFormat="1" applyFont="1" applyFill="1" applyAlignment="1">
      <alignment horizontal="right" wrapText="1"/>
    </xf>
    <xf numFmtId="11" fontId="12" fillId="0" borderId="0" xfId="0" applyNumberFormat="1" applyFont="1"/>
    <xf numFmtId="165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horizontal="centerContinuous" wrapText="1"/>
    </xf>
    <xf numFmtId="167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textRotation="90" wrapText="1"/>
    </xf>
    <xf numFmtId="165" fontId="1" fillId="0" borderId="0" xfId="0" applyNumberFormat="1" applyFont="1" applyAlignment="1">
      <alignment horizontal="left" vertical="top" textRotation="90" wrapText="1"/>
    </xf>
    <xf numFmtId="2" fontId="1" fillId="0" borderId="0" xfId="0" applyNumberFormat="1" applyFont="1" applyAlignment="1">
      <alignment horizontal="left" textRotation="90" wrapText="1"/>
    </xf>
    <xf numFmtId="2" fontId="11" fillId="0" borderId="0" xfId="0" applyNumberFormat="1" applyFont="1"/>
    <xf numFmtId="168" fontId="1" fillId="5" borderId="0" xfId="0" applyNumberFormat="1" applyFont="1" applyFill="1" applyAlignment="1">
      <alignment horizontal="right" wrapText="1"/>
    </xf>
    <xf numFmtId="168" fontId="0" fillId="0" borderId="0" xfId="0" applyNumberFormat="1"/>
    <xf numFmtId="11" fontId="1" fillId="0" borderId="0" xfId="0" applyNumberFormat="1" applyFont="1" applyAlignment="1">
      <alignment wrapText="1"/>
    </xf>
    <xf numFmtId="1" fontId="1" fillId="5" borderId="0" xfId="0" applyNumberFormat="1" applyFont="1" applyFill="1" applyAlignment="1">
      <alignment horizontal="right" wrapText="1"/>
    </xf>
    <xf numFmtId="0" fontId="6" fillId="0" borderId="2" xfId="1" applyAlignment="1">
      <alignment horizontal="left"/>
    </xf>
    <xf numFmtId="2" fontId="0" fillId="0" borderId="0" xfId="0" applyNumberFormat="1" applyAlignment="1">
      <alignment vertical="top"/>
    </xf>
    <xf numFmtId="2" fontId="6" fillId="0" borderId="2" xfId="1" applyNumberFormat="1" applyAlignment="1">
      <alignment horizontal="left"/>
    </xf>
    <xf numFmtId="165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6" fontId="6" fillId="0" borderId="2" xfId="1" applyNumberFormat="1" applyAlignment="1">
      <alignment horizontal="center"/>
    </xf>
    <xf numFmtId="0" fontId="6" fillId="3" borderId="2" xfId="1" applyFill="1" applyAlignment="1">
      <alignment horizontal="right"/>
    </xf>
    <xf numFmtId="167" fontId="0" fillId="0" borderId="1" xfId="0" applyNumberFormat="1" applyBorder="1" applyAlignment="1">
      <alignment horizontal="center" wrapText="1"/>
    </xf>
    <xf numFmtId="179" fontId="0" fillId="0" borderId="0" xfId="0" applyNumberFormat="1"/>
    <xf numFmtId="185" fontId="0" fillId="0" borderId="0" xfId="0" applyNumberFormat="1"/>
  </cellXfs>
  <cellStyles count="5">
    <cellStyle name="Heading 1" xfId="1" builtinId="16"/>
    <cellStyle name="Hyperlink" xfId="2" builtinId="8"/>
    <cellStyle name="Normal" xfId="0" builtinId="0"/>
    <cellStyle name="Normal 2" xfId="3" xr:uid="{00000000-0005-0000-0000-000003000000}"/>
    <cellStyle name="Normal 2 2" xfId="4" xr:uid="{A4B3D984-21D3-40CD-A69A-4A57456E6735}"/>
  </cellStyles>
  <dxfs count="7">
    <dxf>
      <fill>
        <patternFill>
          <bgColor rgb="FFFFC000"/>
        </patternFill>
      </fill>
    </dxf>
    <dxf>
      <font>
        <color rgb="FFA20000"/>
      </font>
    </dxf>
    <dxf>
      <font>
        <color rgb="FF967200"/>
      </font>
    </dxf>
    <dxf>
      <font>
        <color rgb="FF00467A"/>
      </font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A5427"/>
      <color rgb="FFA3282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75" name="AutoShape 3" descr="blob:https://mail.google.com/2976c1aa-672e-43c1-9e3b-617a4e70345e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78155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3076" name="AutoShape 4" descr="blob:https://mail.google.com/2976c1aa-672e-43c1-9e3b-617a4e70345e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.com/c/0YlM5cMI/5-phase-2-correctors" TargetMode="External"/><Relationship Id="rId18" Type="http://schemas.openxmlformats.org/officeDocument/2006/relationships/hyperlink" Target="https://trello.com/c/S68A7HjW/3-bucking-solenoid-hrrg" TargetMode="External"/><Relationship Id="rId26" Type="http://schemas.openxmlformats.org/officeDocument/2006/relationships/hyperlink" Target="https://trello.com/c/gQhwNPAT/32-febe-hutch-magnets" TargetMode="External"/><Relationship Id="rId3" Type="http://schemas.openxmlformats.org/officeDocument/2006/relationships/hyperlink" Target="https://trello.com/c/qsIYnwHi/1-front-end-magnets" TargetMode="External"/><Relationship Id="rId21" Type="http://schemas.openxmlformats.org/officeDocument/2006/relationships/hyperlink" Target="https://trello.com/c/gQhwNPAT/32-febe-hutch-magnets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trello.com/c/qsIYnwHi/1-front-end-magnets" TargetMode="External"/><Relationship Id="rId12" Type="http://schemas.openxmlformats.org/officeDocument/2006/relationships/hyperlink" Target="https://trello.com/c/uKI10cRF/16-sp3-quads-and-correctors" TargetMode="External"/><Relationship Id="rId17" Type="http://schemas.openxmlformats.org/officeDocument/2006/relationships/hyperlink" Target="https://trello.com/c/zUr9GY1q/6-spectrometer-dipoles" TargetMode="External"/><Relationship Id="rId25" Type="http://schemas.openxmlformats.org/officeDocument/2006/relationships/hyperlink" Target="https://trello.com/c/0m6sk2sl/33-febe-dipole-magnet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trello.com/c/qsIYnwHi/1-front-end-magnets" TargetMode="External"/><Relationship Id="rId16" Type="http://schemas.openxmlformats.org/officeDocument/2006/relationships/hyperlink" Target="https://trello.com/c/WMmGVlIs/10-swissfel-qfa-quadrupoles" TargetMode="External"/><Relationship Id="rId20" Type="http://schemas.openxmlformats.org/officeDocument/2006/relationships/hyperlink" Target="https://trello.com/c/0m6sk2sl/33-febe-dipole-magnets" TargetMode="External"/><Relationship Id="rId29" Type="http://schemas.openxmlformats.org/officeDocument/2006/relationships/hyperlink" Target="https://trello.com/c/mJ6RkC8C/14-inter-undulator-quads" TargetMode="External"/><Relationship Id="rId1" Type="http://schemas.openxmlformats.org/officeDocument/2006/relationships/hyperlink" Target="https://trello.com/b/t6va6HSj/clara-wp2-magnets-and-undulators" TargetMode="External"/><Relationship Id="rId6" Type="http://schemas.openxmlformats.org/officeDocument/2006/relationships/hyperlink" Target="https://trello.com/c/qsIYnwHi/1-front-end-magnets" TargetMode="External"/><Relationship Id="rId11" Type="http://schemas.openxmlformats.org/officeDocument/2006/relationships/hyperlink" Target="https://trello.com/c/pzb2nO9G/19-phase-2-quadrupoles" TargetMode="External"/><Relationship Id="rId24" Type="http://schemas.openxmlformats.org/officeDocument/2006/relationships/hyperlink" Target="https://trello.com/c/MutUp8Cw/31-febe-type-3-quads" TargetMode="External"/><Relationship Id="rId32" Type="http://schemas.openxmlformats.org/officeDocument/2006/relationships/hyperlink" Target="https://trello.com/c/0YlM5cMI/5-phase-2-correctors" TargetMode="External"/><Relationship Id="rId5" Type="http://schemas.openxmlformats.org/officeDocument/2006/relationships/hyperlink" Target="https://trello.com/c/qsIYnwHi/1-front-end-magnets" TargetMode="External"/><Relationship Id="rId15" Type="http://schemas.openxmlformats.org/officeDocument/2006/relationships/hyperlink" Target="https://trello.com/c/LqMrJbT9/7-laser-heater-dipoles" TargetMode="External"/><Relationship Id="rId23" Type="http://schemas.openxmlformats.org/officeDocument/2006/relationships/hyperlink" Target="https://trello.com/c/UbITO1KA/8-modulator-undulators" TargetMode="External"/><Relationship Id="rId28" Type="http://schemas.openxmlformats.org/officeDocument/2006/relationships/hyperlink" Target="https://trello.com/c/fNlYrxz7/13-phase-shifters" TargetMode="External"/><Relationship Id="rId36" Type="http://schemas.openxmlformats.org/officeDocument/2006/relationships/comments" Target="../comments2.xml"/><Relationship Id="rId10" Type="http://schemas.openxmlformats.org/officeDocument/2006/relationships/hyperlink" Target="https://trello.com/c/g0CqkzOn/4-vbc-dipoles" TargetMode="External"/><Relationship Id="rId19" Type="http://schemas.openxmlformats.org/officeDocument/2006/relationships/hyperlink" Target="https://trello.com/c/obFpsrUg/11-swissfel-linac-solenoids" TargetMode="External"/><Relationship Id="rId31" Type="http://schemas.openxmlformats.org/officeDocument/2006/relationships/hyperlink" Target="https://trello.com/c/D4OX7YKF/35-febe-sextupoles" TargetMode="External"/><Relationship Id="rId4" Type="http://schemas.openxmlformats.org/officeDocument/2006/relationships/hyperlink" Target="https://trello.com/c/qsIYnwHi/1-front-end-magnets" TargetMode="External"/><Relationship Id="rId9" Type="http://schemas.openxmlformats.org/officeDocument/2006/relationships/hyperlink" Target="https://trello.com/c/g0CqkzOn/4-vbc-dipoles" TargetMode="External"/><Relationship Id="rId14" Type="http://schemas.openxmlformats.org/officeDocument/2006/relationships/hyperlink" Target="https://trello.com/c/0YlM5cMI/5-phase-2-correctors" TargetMode="External"/><Relationship Id="rId22" Type="http://schemas.openxmlformats.org/officeDocument/2006/relationships/hyperlink" Target="https://trello.com/c/UbITO1KA/8-modulator-undulators" TargetMode="External"/><Relationship Id="rId27" Type="http://schemas.openxmlformats.org/officeDocument/2006/relationships/hyperlink" Target="https://trello.com/c/fNlYrxz7/13-phase-shifters" TargetMode="External"/><Relationship Id="rId30" Type="http://schemas.openxmlformats.org/officeDocument/2006/relationships/hyperlink" Target="https://trello.com/c/MBLXmY7i/9-radiator-undulators" TargetMode="External"/><Relationship Id="rId35" Type="http://schemas.openxmlformats.org/officeDocument/2006/relationships/vmlDrawing" Target="../drawings/vmlDrawing2.vml"/><Relationship Id="rId8" Type="http://schemas.openxmlformats.org/officeDocument/2006/relationships/hyperlink" Target="https://trello.com/c/qsIYnwHi/1-front-end-magne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\\fed.cclrc.ac.uk\org\NLab\ASTeC-TDL\Projects\tdl-1168%20CLARA\mag%20-%20magnets%20(WP2)\Front%20end\Measurements\Dipoles\Type%202\Excitation%20curve.xlsx" TargetMode="External"/><Relationship Id="rId1" Type="http://schemas.openxmlformats.org/officeDocument/2006/relationships/hyperlink" Target="file:///\\fed.cclrc.ac.uk\org\NLab\ASTeC-TDL\Projects\tdl-1168%20CLARA\mag%20-%20magnets%20(WP2)\Front%20end\Measurements\Dipoles\Type%201\13256_lo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ojects.astec.ac.uk/VELAManual2/index.php?title=Magn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AK533"/>
  <sheetViews>
    <sheetView tabSelected="1" zoomScaleNormal="100" workbookViewId="0">
      <pane ySplit="3" topLeftCell="A112" activePane="bottomLeft" state="frozenSplit"/>
      <selection activeCell="I1" sqref="I1"/>
      <selection pane="bottomLeft" activeCell="AA170" sqref="AA170"/>
    </sheetView>
  </sheetViews>
  <sheetFormatPr defaultRowHeight="15" x14ac:dyDescent="0.25"/>
  <cols>
    <col min="1" max="1" width="11.28515625" customWidth="1"/>
    <col min="2" max="2" width="5.7109375" bestFit="1" customWidth="1"/>
    <col min="3" max="3" width="4.42578125" customWidth="1"/>
    <col min="4" max="4" width="5.85546875" customWidth="1"/>
    <col min="5" max="5" width="5" customWidth="1"/>
    <col min="6" max="6" width="6.85546875" customWidth="1"/>
    <col min="7" max="7" width="3.42578125" style="22" customWidth="1"/>
    <col min="8" max="8" width="3.42578125" style="22" hidden="1" customWidth="1"/>
    <col min="9" max="9" width="20.7109375" bestFit="1" customWidth="1"/>
    <col min="10" max="10" width="13.28515625" style="22" customWidth="1"/>
    <col min="11" max="11" width="8.28515625" style="28" customWidth="1"/>
    <col min="12" max="13" width="8.28515625" style="5" customWidth="1"/>
    <col min="14" max="14" width="8.42578125" style="5" customWidth="1"/>
    <col min="15" max="15" width="5.5703125" style="5" customWidth="1"/>
    <col min="16" max="16" width="10" style="5" customWidth="1"/>
    <col min="17" max="17" width="7.28515625" style="5" bestFit="1" customWidth="1"/>
    <col min="18" max="18" width="5.5703125" style="5" customWidth="1"/>
    <col min="19" max="19" width="6.7109375" style="5" customWidth="1"/>
    <col min="20" max="20" width="15.42578125" style="14" customWidth="1"/>
    <col min="21" max="21" width="2.28515625" style="14" customWidth="1"/>
    <col min="22" max="22" width="17.28515625" customWidth="1"/>
    <col min="23" max="23" width="9.28515625" style="14" customWidth="1"/>
    <col min="24" max="24" width="22.28515625" style="14" customWidth="1"/>
    <col min="25" max="25" width="8.28515625" style="55" customWidth="1"/>
    <col min="26" max="26" width="12" bestFit="1" customWidth="1"/>
    <col min="27" max="27" width="8.85546875" style="54" customWidth="1"/>
    <col min="28" max="28" width="7.140625" style="57" customWidth="1"/>
    <col min="29" max="29" width="4.28515625" bestFit="1" customWidth="1"/>
    <col min="30" max="30" width="10" style="54" customWidth="1"/>
    <col min="31" max="31" width="7.7109375" bestFit="1" customWidth="1"/>
    <col min="32" max="32" width="7.28515625" style="57" bestFit="1" customWidth="1"/>
    <col min="34" max="34" width="8.85546875" style="57" customWidth="1"/>
    <col min="35" max="35" width="5.140625" bestFit="1" customWidth="1"/>
    <col min="36" max="36" width="79.7109375" bestFit="1" customWidth="1"/>
  </cols>
  <sheetData>
    <row r="1" spans="1:37" ht="20.25" thickBot="1" x14ac:dyDescent="0.35">
      <c r="A1" s="77" t="s">
        <v>43</v>
      </c>
      <c r="B1" s="11"/>
      <c r="C1" s="11"/>
      <c r="D1" s="11"/>
      <c r="E1" s="11"/>
      <c r="F1" s="11"/>
      <c r="G1" s="21" t="s">
        <v>44</v>
      </c>
      <c r="H1" s="21"/>
      <c r="I1" s="79">
        <f>MAX(Revision!A:A)</f>
        <v>6.25</v>
      </c>
      <c r="J1" s="41"/>
      <c r="K1" s="82">
        <f>VLOOKUP(I1,Revision!A:B,2,FALSE)</f>
        <v>45607</v>
      </c>
      <c r="L1" s="82"/>
      <c r="M1" s="82"/>
      <c r="N1" s="39"/>
      <c r="O1" s="40" t="s">
        <v>150</v>
      </c>
      <c r="P1" s="83" t="s">
        <v>143</v>
      </c>
      <c r="Q1" s="83"/>
      <c r="R1" s="83"/>
      <c r="S1" s="40"/>
      <c r="T1" s="62">
        <f>MATCH(P1,A3:D3,0)</f>
        <v>2</v>
      </c>
      <c r="U1" s="8" t="s">
        <v>244</v>
      </c>
      <c r="V1" s="67">
        <v>299.79245800000001</v>
      </c>
      <c r="W1" s="75" t="s">
        <v>245</v>
      </c>
      <c r="X1">
        <v>1000</v>
      </c>
    </row>
    <row r="2" spans="1:37" s="1" customFormat="1" ht="44.45" customHeight="1" thickTop="1" x14ac:dyDescent="0.25">
      <c r="A2" s="6"/>
      <c r="B2" s="45"/>
      <c r="C2" s="46"/>
      <c r="D2" s="46"/>
      <c r="E2" s="46"/>
      <c r="F2" s="23"/>
      <c r="G2" s="47"/>
      <c r="H2" s="24"/>
      <c r="J2" s="48"/>
      <c r="K2" s="49" t="s">
        <v>207</v>
      </c>
      <c r="L2" s="17"/>
      <c r="M2" s="50" t="s">
        <v>208</v>
      </c>
      <c r="N2" s="50"/>
      <c r="O2" s="10"/>
      <c r="P2" s="51" t="s">
        <v>209</v>
      </c>
      <c r="Q2" s="51"/>
      <c r="R2" s="51"/>
      <c r="S2" s="51"/>
      <c r="T2" s="84" t="s">
        <v>247</v>
      </c>
      <c r="U2" s="84"/>
      <c r="V2" s="84"/>
      <c r="W2" s="84"/>
      <c r="X2" s="84"/>
      <c r="Y2" s="84"/>
      <c r="Z2" s="84"/>
      <c r="AA2" s="84"/>
      <c r="AB2" s="49"/>
      <c r="AC2" s="50"/>
      <c r="AD2" s="65"/>
      <c r="AE2" s="50"/>
      <c r="AF2" s="49"/>
      <c r="AG2" s="50"/>
      <c r="AH2" s="49"/>
      <c r="AI2" s="50"/>
      <c r="AJ2" s="50"/>
      <c r="AK2" s="17"/>
    </row>
    <row r="3" spans="1:37" s="6" customFormat="1" ht="54.75" customHeight="1" x14ac:dyDescent="0.25">
      <c r="A3" s="68" t="s">
        <v>267</v>
      </c>
      <c r="B3" s="69" t="s">
        <v>143</v>
      </c>
      <c r="C3" s="69" t="s">
        <v>79</v>
      </c>
      <c r="D3" s="69" t="s">
        <v>2</v>
      </c>
      <c r="E3" s="45" t="s">
        <v>80</v>
      </c>
      <c r="F3" s="68" t="s">
        <v>0</v>
      </c>
      <c r="G3" s="70" t="s">
        <v>1</v>
      </c>
      <c r="H3" s="63"/>
      <c r="I3" s="6" t="s">
        <v>3</v>
      </c>
      <c r="J3" s="48" t="s">
        <v>153</v>
      </c>
      <c r="K3" s="71" t="s">
        <v>28</v>
      </c>
      <c r="L3" s="9" t="s">
        <v>11</v>
      </c>
      <c r="M3" s="9" t="s">
        <v>13</v>
      </c>
      <c r="N3" s="9" t="s">
        <v>12</v>
      </c>
      <c r="O3" s="10" t="s">
        <v>45</v>
      </c>
      <c r="P3" s="12" t="s">
        <v>46</v>
      </c>
      <c r="Q3" s="12" t="s">
        <v>47</v>
      </c>
      <c r="R3" s="12" t="s">
        <v>48</v>
      </c>
      <c r="S3" s="12" t="s">
        <v>49</v>
      </c>
      <c r="T3" s="73" t="s">
        <v>212</v>
      </c>
      <c r="U3" s="61"/>
      <c r="V3" s="52" t="s">
        <v>210</v>
      </c>
      <c r="W3" s="61" t="s">
        <v>246</v>
      </c>
      <c r="X3" s="61" t="s">
        <v>238</v>
      </c>
      <c r="Y3" s="76" t="s">
        <v>239</v>
      </c>
      <c r="Z3" s="53" t="s">
        <v>240</v>
      </c>
      <c r="AA3" s="52" t="s">
        <v>211</v>
      </c>
      <c r="AB3" s="64" t="s">
        <v>12</v>
      </c>
      <c r="AC3" s="6" t="s">
        <v>243</v>
      </c>
      <c r="AD3" s="66" t="s">
        <v>28</v>
      </c>
      <c r="AE3" s="6" t="s">
        <v>11</v>
      </c>
      <c r="AF3" s="64" t="s">
        <v>242</v>
      </c>
      <c r="AG3" s="6" t="s">
        <v>11</v>
      </c>
      <c r="AH3" s="64" t="s">
        <v>241</v>
      </c>
      <c r="AI3" s="6" t="s">
        <v>11</v>
      </c>
    </row>
    <row r="4" spans="1:37" hidden="1" x14ac:dyDescent="0.25">
      <c r="A4">
        <v>0</v>
      </c>
      <c r="B4" s="38">
        <v>1</v>
      </c>
      <c r="C4" t="s">
        <v>65</v>
      </c>
      <c r="D4" t="s">
        <v>144</v>
      </c>
      <c r="E4" t="s">
        <v>67</v>
      </c>
      <c r="F4" t="s">
        <v>145</v>
      </c>
      <c r="G4" s="22">
        <v>1</v>
      </c>
      <c r="I4" t="s">
        <v>146</v>
      </c>
      <c r="J4" s="80">
        <v>1</v>
      </c>
      <c r="K4" s="28">
        <f>VLOOKUP(Table!$I4,Specs!$A:$R,MATCH(Table!K$3,Specs!$A$1:$R$1,0),FALSE)</f>
        <v>0</v>
      </c>
      <c r="L4" s="5" t="str">
        <f>IF(F4="QUAD","T","T.mm")</f>
        <v>T.mm</v>
      </c>
      <c r="M4" s="5">
        <f>VLOOKUP(Table!$I4,Specs!$A:$R,MATCH(Table!M$3,Specs!$A$1:$R$1,0),FALSE)</f>
        <v>8.4</v>
      </c>
      <c r="N4" s="5">
        <f>VLOOKUP(Table!$I4,Specs!$A:$R,MATCH(Table!N$3,Specs!$A$1:$R$1,0),FALSE)</f>
        <v>348</v>
      </c>
      <c r="O4" s="13">
        <f t="shared" ref="O4" si="0">(N4*M4)/1000</f>
        <v>2.9232000000000005</v>
      </c>
      <c r="P4" s="19">
        <f>VLOOKUP(Table!$I4,Specs!$A:$R,MATCH(Table!P$3,Specs!$A$1:$R$1,0),FALSE)</f>
        <v>3</v>
      </c>
      <c r="Q4" s="19">
        <f>VLOOKUP(Table!$I4,Specs!$A:$R,MATCH(Table!Q$3,Specs!$A$1:$R$1,0),FALSE)</f>
        <v>4.5999999999999996</v>
      </c>
      <c r="R4" s="19">
        <v>25</v>
      </c>
      <c r="S4" s="19">
        <f>VLOOKUP(Table!$I4,Specs!$A:$R,MATCH(Table!S$3,Specs!$A$1:$R$1,0),FALSE)</f>
        <v>9.1999999999999993</v>
      </c>
      <c r="T4" s="74">
        <v>1.8235296499166668E-2</v>
      </c>
      <c r="V4" s="57">
        <v>208.39440575992705</v>
      </c>
      <c r="X4" s="14">
        <v>-1.1292871923076935E-5</v>
      </c>
      <c r="Y4" s="55">
        <v>1015.7752307342597</v>
      </c>
      <c r="Z4">
        <v>11.161548143374288</v>
      </c>
      <c r="AA4" s="55">
        <v>44.38966248440105</v>
      </c>
      <c r="AB4" s="57">
        <v>-350</v>
      </c>
      <c r="AC4">
        <f>SIGN(AB4)</f>
        <v>-1</v>
      </c>
      <c r="AD4" s="54">
        <f>IF(OR(V4=0,ABS(AB4)&lt;V4),T4*AB4,AC4*W4*AB4^3+AC4*X4*(AB4-AC4*Y4)^2+AC4*Z4)</f>
        <v>-6.1559074771185687</v>
      </c>
      <c r="AE4" t="str">
        <f t="shared" ref="AE4:AE77" si="1">L4</f>
        <v>T.mm</v>
      </c>
      <c r="AG4" s="56" t="str">
        <f t="shared" ref="AG4:AG78" si="2">IF(F4="DIP","°",IF(F4="QUAD","m⁻²",IF(RIGHT(F4,3)="COR","mrad","")))</f>
        <v/>
      </c>
      <c r="AH4" s="26">
        <f>1000*AD4/AA4</f>
        <v>-138.67885297127035</v>
      </c>
      <c r="AI4" t="str">
        <f t="shared" ref="AI4:AI68" si="3">IF(F4="QUAD","T/m","mT")</f>
        <v>mT</v>
      </c>
    </row>
    <row r="5" spans="1:37" hidden="1" x14ac:dyDescent="0.25">
      <c r="A5">
        <v>0</v>
      </c>
      <c r="B5" s="38">
        <v>1</v>
      </c>
      <c r="C5" t="s">
        <v>65</v>
      </c>
      <c r="D5" t="s">
        <v>144</v>
      </c>
      <c r="E5" t="s">
        <v>67</v>
      </c>
      <c r="F5" t="s">
        <v>145</v>
      </c>
      <c r="G5" s="22">
        <v>2</v>
      </c>
      <c r="I5" t="s">
        <v>147</v>
      </c>
      <c r="J5" s="80">
        <v>1</v>
      </c>
      <c r="K5" s="28">
        <f>VLOOKUP(Table!$I5,Specs!$A:$R,MATCH(Table!K$3,Specs!$A$1:$R$1,0),FALSE)</f>
        <v>0</v>
      </c>
      <c r="L5" s="5" t="str">
        <f>IF(F5="QUAD","T","T.mm")</f>
        <v>T.mm</v>
      </c>
      <c r="M5" s="5">
        <f>VLOOKUP(Table!$I5,Specs!$A:$R,MATCH(Table!M$3,Specs!$A$1:$R$1,0),FALSE)</f>
        <v>37.4</v>
      </c>
      <c r="N5" s="5">
        <f>VLOOKUP(Table!$I5,Specs!$A:$R,MATCH(Table!N$3,Specs!$A$1:$R$1,0),FALSE)</f>
        <v>400.14</v>
      </c>
      <c r="O5" s="13">
        <f t="shared" ref="O5" si="4">(N5*M5)/1000</f>
        <v>14.965235999999999</v>
      </c>
      <c r="P5" s="19">
        <f>VLOOKUP(Table!$I5,Specs!$A:$R,MATCH(Table!P$3,Specs!$A$1:$R$1,0),FALSE)</f>
        <v>4.9800000000000004</v>
      </c>
      <c r="Q5" s="19">
        <f>VLOOKUP(Table!$I5,Specs!$A:$R,MATCH(Table!Q$3,Specs!$A$1:$R$1,0),FALSE)</f>
        <v>9.93</v>
      </c>
      <c r="R5" s="19">
        <v>25</v>
      </c>
      <c r="S5" s="19">
        <f>VLOOKUP(Table!$I5,Specs!$A:$R,MATCH(Table!S$3,Specs!$A$1:$R$1,0),FALSE)</f>
        <v>20</v>
      </c>
      <c r="T5" s="74">
        <v>0.1654881962902098</v>
      </c>
      <c r="V5" s="57">
        <v>272.74608673022931</v>
      </c>
      <c r="X5" s="14">
        <v>-1.3106166937228988E-5</v>
      </c>
      <c r="Y5" s="55">
        <v>6586.1173829605923</v>
      </c>
      <c r="Z5">
        <v>567.53047209997203</v>
      </c>
      <c r="AA5" s="55">
        <v>137.50520163229947</v>
      </c>
      <c r="AB5" s="57">
        <v>350</v>
      </c>
      <c r="AC5">
        <f t="shared" ref="AC5:AC78" si="5">SIGN(AB5)</f>
        <v>1</v>
      </c>
      <c r="AD5" s="54">
        <f>IF(OR(V5=0,ABS(AB5)&lt;V5),T5*AB5,AC5*W5*AB5^3+AC5*X5*(AB5-AC5*Y5)^2+AC5*Z5)</f>
        <v>57.842648907048385</v>
      </c>
      <c r="AE5" t="str">
        <f t="shared" si="1"/>
        <v>T.mm</v>
      </c>
      <c r="AG5" s="56" t="str">
        <f t="shared" si="2"/>
        <v/>
      </c>
      <c r="AH5" s="26">
        <f t="shared" ref="AH5:AH69" si="6">1000*AD5/AA5</f>
        <v>420.65789672251469</v>
      </c>
      <c r="AI5" t="str">
        <f t="shared" si="3"/>
        <v>mT</v>
      </c>
    </row>
    <row r="6" spans="1:37" hidden="1" x14ac:dyDescent="0.25">
      <c r="A6">
        <v>6</v>
      </c>
      <c r="B6" s="38">
        <v>1</v>
      </c>
      <c r="C6" t="s">
        <v>65</v>
      </c>
      <c r="D6" t="s">
        <v>66</v>
      </c>
      <c r="E6" t="s">
        <v>67</v>
      </c>
      <c r="F6" t="s">
        <v>68</v>
      </c>
      <c r="G6" s="22">
        <v>1</v>
      </c>
      <c r="I6" t="s">
        <v>4</v>
      </c>
      <c r="J6" s="80">
        <v>13258</v>
      </c>
      <c r="K6" s="28">
        <f>VLOOKUP(Table!$I6,Specs!$A:$R,MATCH(Table!K$3,Specs!$A$1:$R$1,0),FALSE)</f>
        <v>0.109</v>
      </c>
      <c r="L6" s="5" t="str">
        <f>IF(F6="QUAD","T","T.mm")</f>
        <v>T.mm</v>
      </c>
      <c r="M6" s="5">
        <f>VLOOKUP(Table!$I6,Specs!$A:$R,MATCH(Table!M$3,Specs!$A$1:$R$1,0),FALSE)</f>
        <v>0.16</v>
      </c>
      <c r="N6" s="5">
        <f>VLOOKUP(Table!$I6,Specs!$A:$R,MATCH(Table!N$3,Specs!$A$1:$R$1,0),FALSE)</f>
        <v>5.5</v>
      </c>
      <c r="O6" s="13">
        <f t="shared" ref="O6:O30" si="7">(N6*M6)/1000</f>
        <v>8.8000000000000003E-4</v>
      </c>
      <c r="P6" s="19" t="str">
        <f>VLOOKUP(Table!$I6,Specs!$A:$R,MATCH(Table!P$3,Specs!$A$1:$R$1,0),FALSE)</f>
        <v>Air-cooled</v>
      </c>
      <c r="Q6" s="19">
        <f>VLOOKUP(Table!$I6,Specs!$A:$R,MATCH(Table!Q$3,Specs!$A$1:$R$1,0),FALSE)</f>
        <v>0</v>
      </c>
      <c r="R6" s="19">
        <v>25</v>
      </c>
      <c r="S6" s="19">
        <f>VLOOKUP(Table!$I6,Specs!$A:$R,MATCH(Table!S$3,Specs!$A$1:$R$1,0),FALSE)</f>
        <v>0</v>
      </c>
      <c r="T6" s="74">
        <v>2.3797566838095221E-2</v>
      </c>
      <c r="V6" s="57"/>
      <c r="AA6" s="55">
        <v>128.65094998970264</v>
      </c>
      <c r="AB6" s="57">
        <v>1</v>
      </c>
      <c r="AC6">
        <f t="shared" si="5"/>
        <v>1</v>
      </c>
      <c r="AD6" s="54">
        <f>IF(OR(V6=0,ABS(AB6)&lt;V6),T6*AB6,AC6*W6*AB6^3+AC6*X6*(AB6-AC6*Y6)^2+AC6*Z6)</f>
        <v>2.3797566838095221E-2</v>
      </c>
      <c r="AE6" t="str">
        <f t="shared" si="1"/>
        <v>T.mm</v>
      </c>
      <c r="AF6" s="57">
        <f t="shared" ref="AF6:AF77" si="8">IF(F6="DIP",360/(2000*PI()),IF(F6="QUAD",1000/AA6,IF(RIGHT(F6,3)="COR",1,0)))*c_*AD6/A6</f>
        <v>1.189055176135309</v>
      </c>
      <c r="AG6" s="56" t="str">
        <f t="shared" si="2"/>
        <v>mrad</v>
      </c>
      <c r="AH6" s="26">
        <f t="shared" si="6"/>
        <v>0.18497777777777782</v>
      </c>
      <c r="AI6" t="str">
        <f t="shared" si="3"/>
        <v>mT</v>
      </c>
    </row>
    <row r="7" spans="1:37" hidden="1" x14ac:dyDescent="0.25">
      <c r="A7">
        <v>6</v>
      </c>
      <c r="B7" s="38">
        <v>1</v>
      </c>
      <c r="C7" t="s">
        <v>65</v>
      </c>
      <c r="D7" t="s">
        <v>66</v>
      </c>
      <c r="E7" t="s">
        <v>67</v>
      </c>
      <c r="F7" t="s">
        <v>112</v>
      </c>
      <c r="G7" s="22">
        <v>1</v>
      </c>
      <c r="I7" t="s">
        <v>4</v>
      </c>
      <c r="J7" s="80">
        <v>13258</v>
      </c>
      <c r="K7" s="28">
        <f>VLOOKUP(Table!$I7,Specs!$A:$R,MATCH(Table!K$3,Specs!$A$1:$R$1,0),FALSE)</f>
        <v>0.109</v>
      </c>
      <c r="L7" s="5" t="str">
        <f>IF(F7="QUAD","T","T.mm")</f>
        <v>T.mm</v>
      </c>
      <c r="M7" s="5">
        <f>VLOOKUP(Table!$I7,Specs!$A:$R,MATCH(Table!M$3,Specs!$A$1:$R$1,0),FALSE)</f>
        <v>0.16</v>
      </c>
      <c r="N7" s="5">
        <f>VLOOKUP(Table!$I7,Specs!$A:$R,MATCH(Table!N$3,Specs!$A$1:$R$1,0),FALSE)</f>
        <v>5.5</v>
      </c>
      <c r="O7" s="13">
        <f t="shared" ref="O7" si="9">(N7*M7)/1000</f>
        <v>8.8000000000000003E-4</v>
      </c>
      <c r="P7" s="19" t="str">
        <f>VLOOKUP(Table!$I7,Specs!$A:$R,MATCH(Table!P$3,Specs!$A$1:$R$1,0),FALSE)</f>
        <v>Air-cooled</v>
      </c>
      <c r="Q7" s="19">
        <f>VLOOKUP(Table!$I7,Specs!$A:$R,MATCH(Table!Q$3,Specs!$A$1:$R$1,0),FALSE)</f>
        <v>0</v>
      </c>
      <c r="R7" s="19">
        <v>25</v>
      </c>
      <c r="S7" s="19">
        <f>VLOOKUP(Table!$I7,Specs!$A:$R,MATCH(Table!S$3,Specs!$A$1:$R$1,0),FALSE)</f>
        <v>0</v>
      </c>
      <c r="T7" s="74">
        <v>2.4492875161904761E-2</v>
      </c>
      <c r="V7" s="57"/>
      <c r="AA7" s="55">
        <v>131.24531217147231</v>
      </c>
      <c r="AB7" s="57">
        <v>1</v>
      </c>
      <c r="AC7">
        <f t="shared" si="5"/>
        <v>1</v>
      </c>
      <c r="AD7" s="54">
        <f t="shared" ref="AD7:AD11" si="10">IF(OR(V7=0,ABS(AB7)&lt;V7),T7*AB7,AC7*W7*AB7^3+AC7*X7*(AB7-AC7*Y7)^2+AC7*Z7)</f>
        <v>2.4492875161904761E-2</v>
      </c>
      <c r="AE7" t="str">
        <f t="shared" si="1"/>
        <v>T.mm</v>
      </c>
      <c r="AF7" s="57">
        <f t="shared" si="8"/>
        <v>1.2237965413790961</v>
      </c>
      <c r="AG7" s="56" t="str">
        <f t="shared" si="2"/>
        <v>mrad</v>
      </c>
      <c r="AH7" s="26">
        <f t="shared" si="6"/>
        <v>0.1866190476190476</v>
      </c>
      <c r="AI7" t="str">
        <f t="shared" si="3"/>
        <v>mT</v>
      </c>
    </row>
    <row r="8" spans="1:37" hidden="1" x14ac:dyDescent="0.25">
      <c r="A8">
        <v>6</v>
      </c>
      <c r="B8" s="38">
        <v>1</v>
      </c>
      <c r="C8" t="s">
        <v>65</v>
      </c>
      <c r="D8" t="s">
        <v>66</v>
      </c>
      <c r="E8" t="s">
        <v>67</v>
      </c>
      <c r="F8" t="s">
        <v>68</v>
      </c>
      <c r="G8" s="22">
        <v>2</v>
      </c>
      <c r="I8" t="s">
        <v>4</v>
      </c>
      <c r="J8" s="80">
        <v>13259</v>
      </c>
      <c r="K8" s="28">
        <f>VLOOKUP(Table!$I8,Specs!$A:$R,MATCH(Table!K$3,Specs!$A$1:$R$1,0),FALSE)</f>
        <v>0.109</v>
      </c>
      <c r="L8" s="5" t="str">
        <f t="shared" ref="L8:L22" si="11">IF(F8="QUAD","T","T.mm")</f>
        <v>T.mm</v>
      </c>
      <c r="M8" s="5">
        <f>VLOOKUP(Table!$I8,Specs!$A:$R,MATCH(Table!M$3,Specs!$A$1:$R$1,0),FALSE)</f>
        <v>0.16</v>
      </c>
      <c r="N8" s="5">
        <f>VLOOKUP(Table!$I8,Specs!$A:$R,MATCH(Table!N$3,Specs!$A$1:$R$1,0),FALSE)</f>
        <v>5.5</v>
      </c>
      <c r="O8" s="13">
        <f t="shared" si="7"/>
        <v>8.8000000000000003E-4</v>
      </c>
      <c r="P8" s="19" t="str">
        <f>VLOOKUP(Table!$I8,Specs!$A:$R,MATCH(Table!P$3,Specs!$A$1:$R$1,0),FALSE)</f>
        <v>Air-cooled</v>
      </c>
      <c r="Q8" s="19">
        <f>VLOOKUP(Table!$I8,Specs!$A:$R,MATCH(Table!Q$3,Specs!$A$1:$R$1,0),FALSE)</f>
        <v>0</v>
      </c>
      <c r="R8" s="19">
        <v>25</v>
      </c>
      <c r="S8" s="19">
        <f>VLOOKUP(Table!$I8,Specs!$A:$R,MATCH(Table!S$3,Specs!$A$1:$R$1,0),FALSE)</f>
        <v>0</v>
      </c>
      <c r="T8" s="74">
        <v>2.3404255319148935E-2</v>
      </c>
      <c r="V8" s="57"/>
      <c r="AA8" s="55">
        <v>125</v>
      </c>
      <c r="AB8" s="57">
        <v>1</v>
      </c>
      <c r="AC8">
        <f t="shared" si="5"/>
        <v>1</v>
      </c>
      <c r="AD8" s="54">
        <f t="shared" si="10"/>
        <v>2.3404255319148935E-2</v>
      </c>
      <c r="AE8" t="str">
        <f t="shared" si="1"/>
        <v>T.mm</v>
      </c>
      <c r="AF8" s="57">
        <f t="shared" si="8"/>
        <v>1.1694032049645389</v>
      </c>
      <c r="AG8" s="56" t="str">
        <f t="shared" si="2"/>
        <v>mrad</v>
      </c>
      <c r="AH8" s="26">
        <f t="shared" si="6"/>
        <v>0.18723404255319148</v>
      </c>
      <c r="AI8" t="str">
        <f t="shared" si="3"/>
        <v>mT</v>
      </c>
    </row>
    <row r="9" spans="1:37" hidden="1" x14ac:dyDescent="0.25">
      <c r="A9">
        <v>6</v>
      </c>
      <c r="B9" s="38">
        <v>1</v>
      </c>
      <c r="C9" t="s">
        <v>65</v>
      </c>
      <c r="D9" t="s">
        <v>66</v>
      </c>
      <c r="E9" t="s">
        <v>67</v>
      </c>
      <c r="F9" t="s">
        <v>112</v>
      </c>
      <c r="G9" s="22">
        <v>2</v>
      </c>
      <c r="I9" t="s">
        <v>4</v>
      </c>
      <c r="J9" s="80">
        <v>13259</v>
      </c>
      <c r="K9" s="28">
        <f>VLOOKUP(Table!$I9,Specs!$A:$R,MATCH(Table!K$3,Specs!$A$1:$R$1,0),FALSE)</f>
        <v>0.109</v>
      </c>
      <c r="L9" s="5" t="str">
        <f t="shared" ref="L9" si="12">IF(F9="QUAD","T","T.mm")</f>
        <v>T.mm</v>
      </c>
      <c r="M9" s="5">
        <f>VLOOKUP(Table!$I9,Specs!$A:$R,MATCH(Table!M$3,Specs!$A$1:$R$1,0),FALSE)</f>
        <v>0.16</v>
      </c>
      <c r="N9" s="5">
        <f>VLOOKUP(Table!$I9,Specs!$A:$R,MATCH(Table!N$3,Specs!$A$1:$R$1,0),FALSE)</f>
        <v>5.5</v>
      </c>
      <c r="O9" s="13">
        <f t="shared" ref="O9" si="13">(N9*M9)/1000</f>
        <v>8.8000000000000003E-4</v>
      </c>
      <c r="P9" s="19" t="str">
        <f>VLOOKUP(Table!$I9,Specs!$A:$R,MATCH(Table!P$3,Specs!$A$1:$R$1,0),FALSE)</f>
        <v>Air-cooled</v>
      </c>
      <c r="Q9" s="19">
        <f>VLOOKUP(Table!$I9,Specs!$A:$R,MATCH(Table!Q$3,Specs!$A$1:$R$1,0),FALSE)</f>
        <v>0</v>
      </c>
      <c r="R9" s="19">
        <v>25</v>
      </c>
      <c r="S9" s="19">
        <f>VLOOKUP(Table!$I9,Specs!$A:$R,MATCH(Table!S$3,Specs!$A$1:$R$1,0),FALSE)</f>
        <v>0</v>
      </c>
      <c r="T9" s="74">
        <v>2.3404255319148935E-2</v>
      </c>
      <c r="V9" s="57"/>
      <c r="AA9" s="55">
        <v>125</v>
      </c>
      <c r="AB9" s="57">
        <v>1</v>
      </c>
      <c r="AC9">
        <f t="shared" si="5"/>
        <v>1</v>
      </c>
      <c r="AD9" s="54">
        <f t="shared" si="10"/>
        <v>2.3404255319148935E-2</v>
      </c>
      <c r="AE9" t="str">
        <f t="shared" si="1"/>
        <v>T.mm</v>
      </c>
      <c r="AF9" s="57">
        <f t="shared" si="8"/>
        <v>1.1694032049645389</v>
      </c>
      <c r="AG9" s="56" t="str">
        <f t="shared" si="2"/>
        <v>mrad</v>
      </c>
      <c r="AH9" s="26">
        <f t="shared" si="6"/>
        <v>0.18723404255319148</v>
      </c>
      <c r="AI9" t="str">
        <f t="shared" si="3"/>
        <v>mT</v>
      </c>
    </row>
    <row r="10" spans="1:37" hidden="1" x14ac:dyDescent="0.25">
      <c r="A10">
        <v>6</v>
      </c>
      <c r="B10" s="38">
        <v>1</v>
      </c>
      <c r="C10" t="s">
        <v>65</v>
      </c>
      <c r="D10" t="s">
        <v>307</v>
      </c>
      <c r="E10" t="s">
        <v>67</v>
      </c>
      <c r="F10" t="s">
        <v>145</v>
      </c>
      <c r="G10" s="22">
        <v>1</v>
      </c>
      <c r="I10" t="s">
        <v>148</v>
      </c>
      <c r="J10" s="80">
        <v>8</v>
      </c>
      <c r="K10" s="28">
        <f>VLOOKUP(Table!$I10,Specs!$A:$R,MATCH(Table!K$3,Specs!$A$1:$R$1,0),FALSE)</f>
        <v>0</v>
      </c>
      <c r="L10" s="5" t="str">
        <f t="shared" ref="L10:L11" si="14">IF(F10="QUAD","T","T.mm")</f>
        <v>T.mm</v>
      </c>
      <c r="M10" s="5">
        <f>VLOOKUP(Table!$I10,Specs!$A:$R,MATCH(Table!M$3,Specs!$A$1:$R$1,0),FALSE)</f>
        <v>28.199999999999996</v>
      </c>
      <c r="N10" s="5">
        <f>VLOOKUP(Table!$I10,Specs!$A:$R,MATCH(Table!N$3,Specs!$A$1:$R$1,0),FALSE)</f>
        <v>200</v>
      </c>
      <c r="O10" s="13">
        <f t="shared" ref="O10:O11" si="15">(N10*M10)/1000</f>
        <v>5.6399999999999988</v>
      </c>
      <c r="P10" s="19">
        <f>VLOOKUP(Table!$I10,Specs!$A:$R,MATCH(Table!P$3,Specs!$A$1:$R$1,0),FALSE)</f>
        <v>0</v>
      </c>
      <c r="Q10" s="19">
        <f>VLOOKUP(Table!$I10,Specs!$A:$R,MATCH(Table!Q$3,Specs!$A$1:$R$1,0),FALSE)</f>
        <v>4.0999999999999996</v>
      </c>
      <c r="R10" s="19">
        <v>25</v>
      </c>
      <c r="S10" s="19">
        <f>VLOOKUP(Table!$I10,Specs!$A:$R,MATCH(Table!S$3,Specs!$A$1:$R$1,0),FALSE)</f>
        <v>0</v>
      </c>
      <c r="T10" s="74">
        <v>3.7469902465863035E-2</v>
      </c>
      <c r="V10" s="57"/>
      <c r="AA10" s="55">
        <v>73.66423064820637</v>
      </c>
      <c r="AB10" s="57">
        <v>200</v>
      </c>
      <c r="AC10">
        <f t="shared" si="5"/>
        <v>1</v>
      </c>
      <c r="AD10" s="54">
        <f t="shared" si="10"/>
        <v>7.4939804931726073</v>
      </c>
      <c r="AE10" t="str">
        <f t="shared" si="1"/>
        <v>T.mm</v>
      </c>
      <c r="AG10" s="56" t="str">
        <f t="shared" si="2"/>
        <v/>
      </c>
      <c r="AH10" s="26">
        <f t="shared" si="6"/>
        <v>101.73160606212177</v>
      </c>
      <c r="AI10" t="str">
        <f t="shared" si="3"/>
        <v>mT</v>
      </c>
    </row>
    <row r="11" spans="1:37" hidden="1" x14ac:dyDescent="0.25">
      <c r="A11">
        <v>6</v>
      </c>
      <c r="B11" s="38">
        <v>1</v>
      </c>
      <c r="C11" t="s">
        <v>65</v>
      </c>
      <c r="D11" t="s">
        <v>307</v>
      </c>
      <c r="E11" t="s">
        <v>67</v>
      </c>
      <c r="F11" t="s">
        <v>145</v>
      </c>
      <c r="G11" s="22">
        <v>2</v>
      </c>
      <c r="I11" t="s">
        <v>148</v>
      </c>
      <c r="J11" s="80">
        <v>9</v>
      </c>
      <c r="K11" s="28">
        <f>VLOOKUP(Table!$I11,Specs!$A:$R,MATCH(Table!K$3,Specs!$A$1:$R$1,0),FALSE)</f>
        <v>0</v>
      </c>
      <c r="L11" s="5" t="str">
        <f t="shared" si="14"/>
        <v>T.mm</v>
      </c>
      <c r="M11" s="5">
        <f>VLOOKUP(Table!$I11,Specs!$A:$R,MATCH(Table!M$3,Specs!$A$1:$R$1,0),FALSE)</f>
        <v>28.199999999999996</v>
      </c>
      <c r="N11" s="5">
        <f>VLOOKUP(Table!$I11,Specs!$A:$R,MATCH(Table!N$3,Specs!$A$1:$R$1,0),FALSE)</f>
        <v>200</v>
      </c>
      <c r="O11" s="13">
        <f t="shared" si="15"/>
        <v>5.6399999999999988</v>
      </c>
      <c r="P11" s="19">
        <f>VLOOKUP(Table!$I11,Specs!$A:$R,MATCH(Table!P$3,Specs!$A$1:$R$1,0),FALSE)</f>
        <v>0</v>
      </c>
      <c r="Q11" s="19">
        <f>VLOOKUP(Table!$I11,Specs!$A:$R,MATCH(Table!Q$3,Specs!$A$1:$R$1,0),FALSE)</f>
        <v>4.0999999999999996</v>
      </c>
      <c r="R11" s="19">
        <v>25</v>
      </c>
      <c r="S11" s="19">
        <f>VLOOKUP(Table!$I11,Specs!$A:$R,MATCH(Table!S$3,Specs!$A$1:$R$1,0),FALSE)</f>
        <v>0</v>
      </c>
      <c r="T11" s="74">
        <v>3.733862801980696E-2</v>
      </c>
      <c r="V11" s="57"/>
      <c r="AA11" s="55">
        <v>72.798399726949199</v>
      </c>
      <c r="AB11" s="57">
        <v>200</v>
      </c>
      <c r="AC11">
        <f t="shared" si="5"/>
        <v>1</v>
      </c>
      <c r="AD11" s="54">
        <f t="shared" si="10"/>
        <v>7.4677256039613917</v>
      </c>
      <c r="AE11" t="str">
        <f t="shared" si="1"/>
        <v>T.mm</v>
      </c>
      <c r="AG11" s="56" t="str">
        <f t="shared" si="2"/>
        <v/>
      </c>
      <c r="AH11" s="26">
        <f t="shared" si="6"/>
        <v>102.58090331616066</v>
      </c>
      <c r="AI11" t="str">
        <f t="shared" si="3"/>
        <v>mT</v>
      </c>
    </row>
    <row r="12" spans="1:37" hidden="1" x14ac:dyDescent="0.25">
      <c r="A12">
        <v>30</v>
      </c>
      <c r="B12" s="38">
        <v>1</v>
      </c>
      <c r="C12" t="s">
        <v>65</v>
      </c>
      <c r="D12" t="s">
        <v>69</v>
      </c>
      <c r="E12" t="s">
        <v>67</v>
      </c>
      <c r="F12" t="s">
        <v>68</v>
      </c>
      <c r="G12" s="22">
        <v>1</v>
      </c>
      <c r="I12" t="s">
        <v>6</v>
      </c>
      <c r="J12" s="80">
        <v>13260</v>
      </c>
      <c r="K12" s="28">
        <f>VLOOKUP(Table!$I12,Specs!$A:$R,MATCH(Table!K$3,Specs!$A$1:$R$1,0),FALSE)</f>
        <v>3.0259999999999998</v>
      </c>
      <c r="L12" s="5" t="str">
        <f>IF(F12="QUAD","T","T.mm")</f>
        <v>T.mm</v>
      </c>
      <c r="M12" s="5">
        <f>VLOOKUP(Table!$I12,Specs!$A:$R,MATCH(Table!M$3,Specs!$A$1:$R$1,0),FALSE)</f>
        <v>2.0299999999999998</v>
      </c>
      <c r="N12" s="5">
        <f>VLOOKUP(Table!$I12,Specs!$A:$R,MATCH(Table!N$3,Specs!$A$1:$R$1,0),FALSE)</f>
        <v>10</v>
      </c>
      <c r="O12" s="13">
        <f t="shared" si="7"/>
        <v>2.0299999999999999E-2</v>
      </c>
      <c r="P12" s="19" t="str">
        <f>VLOOKUP(Table!$I12,Specs!$A:$R,MATCH(Table!P$3,Specs!$A$1:$R$1,0),FALSE)</f>
        <v>Air-cooled</v>
      </c>
      <c r="Q12" s="19">
        <f>VLOOKUP(Table!$I12,Specs!$A:$R,MATCH(Table!Q$3,Specs!$A$1:$R$1,0),FALSE)</f>
        <v>0</v>
      </c>
      <c r="R12" s="19">
        <v>25</v>
      </c>
      <c r="S12" s="19">
        <f>VLOOKUP(Table!$I12,Specs!$A:$R,MATCH(Table!S$3,Specs!$A$1:$R$1,0),FALSE)</f>
        <v>0</v>
      </c>
      <c r="T12" s="74">
        <v>0.30111838106573707</v>
      </c>
      <c r="V12" s="57"/>
      <c r="AA12" s="55">
        <v>162.71877216626737</v>
      </c>
      <c r="AB12" s="57">
        <v>1</v>
      </c>
      <c r="AC12">
        <f t="shared" si="5"/>
        <v>1</v>
      </c>
      <c r="AD12" s="54">
        <f t="shared" ref="AD12:AD29" si="16">IF(OR(V12=0,ABS(AB12)&lt;V12),T12*AB12,AC12*W12*AB12^3+AC12*X12*(AB12-AC12*Y12)^2+AC12*Z12)</f>
        <v>0.30111838106573707</v>
      </c>
      <c r="AE12" t="str">
        <f t="shared" si="1"/>
        <v>T.mm</v>
      </c>
      <c r="AF12" s="57">
        <f t="shared" si="8"/>
        <v>3.0091006536225993</v>
      </c>
      <c r="AG12" s="56" t="str">
        <f t="shared" si="2"/>
        <v>mrad</v>
      </c>
      <c r="AH12" s="26">
        <f t="shared" si="6"/>
        <v>1.850544820717132</v>
      </c>
      <c r="AI12" t="str">
        <f t="shared" si="3"/>
        <v>mT</v>
      </c>
      <c r="AJ12" t="s">
        <v>149</v>
      </c>
    </row>
    <row r="13" spans="1:37" hidden="1" x14ac:dyDescent="0.25">
      <c r="A13">
        <v>30</v>
      </c>
      <c r="B13" s="38">
        <v>1</v>
      </c>
      <c r="C13" t="s">
        <v>65</v>
      </c>
      <c r="D13" t="s">
        <v>69</v>
      </c>
      <c r="E13" t="s">
        <v>67</v>
      </c>
      <c r="F13" t="s">
        <v>112</v>
      </c>
      <c r="G13" s="22">
        <v>1</v>
      </c>
      <c r="I13" t="s">
        <v>6</v>
      </c>
      <c r="J13" s="80">
        <v>13260</v>
      </c>
      <c r="K13" s="28">
        <f>VLOOKUP(Table!$I13,Specs!$A:$R,MATCH(Table!K$3,Specs!$A$1:$R$1,0),FALSE)</f>
        <v>3.0259999999999998</v>
      </c>
      <c r="L13" s="5" t="str">
        <f>IF(F13="QUAD","T","T.mm")</f>
        <v>T.mm</v>
      </c>
      <c r="M13" s="5">
        <f>VLOOKUP(Table!$I13,Specs!$A:$R,MATCH(Table!M$3,Specs!$A$1:$R$1,0),FALSE)</f>
        <v>2.0299999999999998</v>
      </c>
      <c r="N13" s="5">
        <f>VLOOKUP(Table!$I13,Specs!$A:$R,MATCH(Table!N$3,Specs!$A$1:$R$1,0),FALSE)</f>
        <v>10</v>
      </c>
      <c r="O13" s="13">
        <f t="shared" ref="O13" si="17">(N13*M13)/1000</f>
        <v>2.0299999999999999E-2</v>
      </c>
      <c r="P13" s="19" t="str">
        <f>VLOOKUP(Table!$I13,Specs!$A:$R,MATCH(Table!P$3,Specs!$A$1:$R$1,0),FALSE)</f>
        <v>Air-cooled</v>
      </c>
      <c r="Q13" s="19">
        <f>VLOOKUP(Table!$I13,Specs!$A:$R,MATCH(Table!Q$3,Specs!$A$1:$R$1,0),FALSE)</f>
        <v>0</v>
      </c>
      <c r="R13" s="19">
        <v>25</v>
      </c>
      <c r="S13" s="19">
        <f>VLOOKUP(Table!$I13,Specs!$A:$R,MATCH(Table!S$3,Specs!$A$1:$R$1,0),FALSE)</f>
        <v>0</v>
      </c>
      <c r="T13" s="74">
        <v>0.29764240518924318</v>
      </c>
      <c r="V13" s="57"/>
      <c r="AA13" s="55">
        <v>161.67658448292471</v>
      </c>
      <c r="AB13" s="57">
        <v>1</v>
      </c>
      <c r="AC13">
        <f t="shared" si="5"/>
        <v>1</v>
      </c>
      <c r="AD13" s="54">
        <f t="shared" si="16"/>
        <v>0.29764240518924318</v>
      </c>
      <c r="AE13" t="str">
        <f t="shared" si="1"/>
        <v>T.mm</v>
      </c>
      <c r="AF13" s="57">
        <f t="shared" si="8"/>
        <v>2.9743649418905056</v>
      </c>
      <c r="AG13" s="56" t="str">
        <f t="shared" si="2"/>
        <v>mrad</v>
      </c>
      <c r="AH13" s="26">
        <f t="shared" si="6"/>
        <v>1.8409741035856577</v>
      </c>
      <c r="AI13" t="str">
        <f t="shared" si="3"/>
        <v>mT</v>
      </c>
      <c r="AJ13" t="s">
        <v>149</v>
      </c>
    </row>
    <row r="14" spans="1:37" hidden="1" x14ac:dyDescent="0.25">
      <c r="A14">
        <v>30</v>
      </c>
      <c r="B14" s="38">
        <v>1</v>
      </c>
      <c r="C14" t="s">
        <v>65</v>
      </c>
      <c r="D14" t="s">
        <v>69</v>
      </c>
      <c r="E14" t="s">
        <v>67</v>
      </c>
      <c r="F14" t="s">
        <v>70</v>
      </c>
      <c r="G14" s="22">
        <v>1</v>
      </c>
      <c r="I14" t="s">
        <v>5</v>
      </c>
      <c r="J14" s="80">
        <v>13248</v>
      </c>
      <c r="K14" s="28">
        <f>VLOOKUP(Table!$I14,Specs!$A:$R,MATCH(Table!K$3,Specs!$A$1:$R$1,0),FALSE)</f>
        <v>1.2</v>
      </c>
      <c r="L14" s="5" t="str">
        <f t="shared" si="11"/>
        <v>T</v>
      </c>
      <c r="M14" s="5">
        <f>VLOOKUP(Table!$I14,Specs!$A:$R,MATCH(Table!M$3,Specs!$A$1:$R$1,0),FALSE)</f>
        <v>29.2</v>
      </c>
      <c r="N14" s="5">
        <f>VLOOKUP(Table!$I14,Specs!$A:$R,MATCH(Table!N$3,Specs!$A$1:$R$1,0),FALSE)</f>
        <v>52.8</v>
      </c>
      <c r="O14" s="13">
        <f t="shared" si="7"/>
        <v>1.54176</v>
      </c>
      <c r="P14" s="19">
        <f>VLOOKUP(Table!$I14,Specs!$A:$R,MATCH(Table!P$3,Specs!$A$1:$R$1,0),FALSE)</f>
        <v>5</v>
      </c>
      <c r="Q14" s="19">
        <f>VLOOKUP(Table!$I14,Specs!$A:$R,MATCH(Table!Q$3,Specs!$A$1:$R$1,0),FALSE)</f>
        <v>2.1</v>
      </c>
      <c r="R14" s="19">
        <v>25</v>
      </c>
      <c r="S14" s="19">
        <f>VLOOKUP(Table!$I14,Specs!$A:$R,MATCH(Table!S$3,Specs!$A$1:$R$1,0),FALSE)</f>
        <v>2.6</v>
      </c>
      <c r="T14" s="74">
        <v>2.5500836847330708E-2</v>
      </c>
      <c r="V14" s="57">
        <v>15.575435287034225</v>
      </c>
      <c r="W14" s="14">
        <v>0</v>
      </c>
      <c r="X14" s="14">
        <v>-1.3755963213967208E-5</v>
      </c>
      <c r="Y14" s="55">
        <v>942.47660718891393</v>
      </c>
      <c r="Z14">
        <v>12.215564413215553</v>
      </c>
      <c r="AA14" s="55">
        <v>128.68477053001592</v>
      </c>
      <c r="AB14" s="57">
        <v>48</v>
      </c>
      <c r="AC14">
        <f t="shared" si="5"/>
        <v>1</v>
      </c>
      <c r="AD14" s="54">
        <f t="shared" si="16"/>
        <v>1.2095778037762326</v>
      </c>
      <c r="AE14" t="str">
        <f t="shared" si="1"/>
        <v>T</v>
      </c>
      <c r="AF14" s="57">
        <f t="shared" si="8"/>
        <v>93.93038545348206</v>
      </c>
      <c r="AG14" s="56" t="str">
        <f t="shared" si="2"/>
        <v>m⁻²</v>
      </c>
      <c r="AH14" s="26">
        <f t="shared" si="6"/>
        <v>9.3995412106213188</v>
      </c>
      <c r="AI14" t="str">
        <f t="shared" si="3"/>
        <v>T/m</v>
      </c>
    </row>
    <row r="15" spans="1:37" hidden="1" x14ac:dyDescent="0.25">
      <c r="A15">
        <v>30</v>
      </c>
      <c r="B15" s="38">
        <v>2</v>
      </c>
      <c r="C15" t="s">
        <v>65</v>
      </c>
      <c r="D15" t="s">
        <v>69</v>
      </c>
      <c r="E15" t="s">
        <v>67</v>
      </c>
      <c r="F15" t="s">
        <v>70</v>
      </c>
      <c r="G15" s="22">
        <v>2</v>
      </c>
      <c r="I15" t="s">
        <v>5</v>
      </c>
      <c r="J15" s="80">
        <v>13250</v>
      </c>
      <c r="K15" s="28">
        <f>VLOOKUP(Table!$I15,Specs!$A:$R,MATCH(Table!K$3,Specs!$A$1:$R$1,0),FALSE)</f>
        <v>1.2</v>
      </c>
      <c r="L15" s="5" t="str">
        <f t="shared" si="11"/>
        <v>T</v>
      </c>
      <c r="M15" s="5">
        <f>VLOOKUP(Table!$I15,Specs!$A:$R,MATCH(Table!M$3,Specs!$A$1:$R$1,0),FALSE)</f>
        <v>29.2</v>
      </c>
      <c r="N15" s="5">
        <f>VLOOKUP(Table!$I15,Specs!$A:$R,MATCH(Table!N$3,Specs!$A$1:$R$1,0),FALSE)</f>
        <v>52.8</v>
      </c>
      <c r="O15" s="13">
        <f t="shared" si="7"/>
        <v>1.54176</v>
      </c>
      <c r="P15" s="19">
        <f>VLOOKUP(Table!$I15,Specs!$A:$R,MATCH(Table!P$3,Specs!$A$1:$R$1,0),FALSE)</f>
        <v>5</v>
      </c>
      <c r="Q15" s="19">
        <f>VLOOKUP(Table!$I15,Specs!$A:$R,MATCH(Table!Q$3,Specs!$A$1:$R$1,0),FALSE)</f>
        <v>2.1</v>
      </c>
      <c r="R15" s="19">
        <v>25</v>
      </c>
      <c r="S15" s="19">
        <f>VLOOKUP(Table!$I15,Specs!$A:$R,MATCH(Table!S$3,Specs!$A$1:$R$1,0),FALSE)</f>
        <v>2.6</v>
      </c>
      <c r="T15" s="74">
        <v>2.5139656777227282E-2</v>
      </c>
      <c r="V15" s="57">
        <v>12.998349154251741</v>
      </c>
      <c r="W15" s="14">
        <v>0</v>
      </c>
      <c r="X15" s="14">
        <v>-1.2528113625923465E-5</v>
      </c>
      <c r="Y15" s="55">
        <v>1016.3280413917056</v>
      </c>
      <c r="Z15">
        <v>12.938456085033785</v>
      </c>
      <c r="AA15" s="55">
        <v>126.81728724881934</v>
      </c>
      <c r="AB15" s="57">
        <v>48</v>
      </c>
      <c r="AC15">
        <f t="shared" ref="AC15" si="18">SIGN(AB15)</f>
        <v>1</v>
      </c>
      <c r="AD15" s="54">
        <f t="shared" si="16"/>
        <v>1.1913551383421908</v>
      </c>
      <c r="AE15" t="str">
        <f t="shared" ref="AE15" si="19">L15</f>
        <v>T</v>
      </c>
      <c r="AF15" s="57">
        <f t="shared" ref="AF15" si="20">IF(F15="DIP",360/(2000*PI()),IF(F15="QUAD",1000/AA15,IF(RIGHT(F15,3)="COR",1,0)))*c_*AD15/A15</f>
        <v>93.877654753745077</v>
      </c>
      <c r="AG15" s="56" t="str">
        <f t="shared" ref="AG15" si="21">IF(F15="DIP","°",IF(F15="QUAD","m⁻²",IF(RIGHT(F15,3)="COR","mrad","")))</f>
        <v>m⁻²</v>
      </c>
      <c r="AH15" s="26">
        <f t="shared" si="6"/>
        <v>9.3942644901772425</v>
      </c>
      <c r="AI15" t="str">
        <f t="shared" si="3"/>
        <v>T/m</v>
      </c>
    </row>
    <row r="16" spans="1:37" hidden="1" x14ac:dyDescent="0.25">
      <c r="A16">
        <v>30</v>
      </c>
      <c r="B16" s="38">
        <v>2</v>
      </c>
      <c r="C16" t="s">
        <v>65</v>
      </c>
      <c r="D16" t="s">
        <v>69</v>
      </c>
      <c r="E16" t="s">
        <v>67</v>
      </c>
      <c r="F16" t="s">
        <v>68</v>
      </c>
      <c r="G16" s="22">
        <v>2</v>
      </c>
      <c r="I16" t="s">
        <v>6</v>
      </c>
      <c r="J16" s="80">
        <v>13262</v>
      </c>
      <c r="K16" s="28">
        <f>VLOOKUP(Table!$I16,Specs!$A:$R,MATCH(Table!K$3,Specs!$A$1:$R$1,0),FALSE)</f>
        <v>3.0259999999999998</v>
      </c>
      <c r="L16" s="5" t="str">
        <f t="shared" si="11"/>
        <v>T.mm</v>
      </c>
      <c r="M16" s="5">
        <f>VLOOKUP(Table!$I16,Specs!$A:$R,MATCH(Table!M$3,Specs!$A$1:$R$1,0),FALSE)</f>
        <v>2.0299999999999998</v>
      </c>
      <c r="N16" s="5">
        <f>VLOOKUP(Table!$I16,Specs!$A:$R,MATCH(Table!N$3,Specs!$A$1:$R$1,0),FALSE)</f>
        <v>10</v>
      </c>
      <c r="O16" s="13">
        <f t="shared" si="7"/>
        <v>2.0299999999999999E-2</v>
      </c>
      <c r="P16" s="19" t="str">
        <f>VLOOKUP(Table!$I16,Specs!$A:$R,MATCH(Table!P$3,Specs!$A$1:$R$1,0),FALSE)</f>
        <v>Air-cooled</v>
      </c>
      <c r="Q16" s="19">
        <f>VLOOKUP(Table!$I16,Specs!$A:$R,MATCH(Table!Q$3,Specs!$A$1:$R$1,0),FALSE)</f>
        <v>0</v>
      </c>
      <c r="R16" s="19">
        <v>25</v>
      </c>
      <c r="S16" s="19">
        <f>VLOOKUP(Table!$I16,Specs!$A:$R,MATCH(Table!S$3,Specs!$A$1:$R$1,0),FALSE)</f>
        <v>0</v>
      </c>
      <c r="T16" s="74">
        <v>0.30111838106573707</v>
      </c>
      <c r="V16" s="57"/>
      <c r="AA16" s="55">
        <v>162.71877216626737</v>
      </c>
      <c r="AB16" s="57">
        <v>1</v>
      </c>
      <c r="AC16">
        <f t="shared" si="5"/>
        <v>1</v>
      </c>
      <c r="AD16" s="54">
        <f t="shared" si="16"/>
        <v>0.30111838106573707</v>
      </c>
      <c r="AE16" t="str">
        <f t="shared" si="1"/>
        <v>T.mm</v>
      </c>
      <c r="AF16" s="57">
        <f t="shared" si="8"/>
        <v>3.0091006536225993</v>
      </c>
      <c r="AG16" s="56" t="str">
        <f t="shared" si="2"/>
        <v>mrad</v>
      </c>
      <c r="AH16" s="26">
        <f t="shared" si="6"/>
        <v>1.850544820717132</v>
      </c>
      <c r="AI16" t="str">
        <f t="shared" si="3"/>
        <v>mT</v>
      </c>
    </row>
    <row r="17" spans="1:36" hidden="1" x14ac:dyDescent="0.25">
      <c r="A17">
        <v>30</v>
      </c>
      <c r="B17" s="38">
        <v>2</v>
      </c>
      <c r="C17" t="s">
        <v>65</v>
      </c>
      <c r="D17" t="s">
        <v>69</v>
      </c>
      <c r="E17" t="s">
        <v>67</v>
      </c>
      <c r="F17" t="s">
        <v>112</v>
      </c>
      <c r="G17" s="22">
        <v>2</v>
      </c>
      <c r="I17" t="s">
        <v>6</v>
      </c>
      <c r="J17" s="80">
        <v>13262</v>
      </c>
      <c r="K17" s="28">
        <f>VLOOKUP(Table!$I17,Specs!$A:$R,MATCH(Table!K$3,Specs!$A$1:$R$1,0),FALSE)</f>
        <v>3.0259999999999998</v>
      </c>
      <c r="L17" s="5" t="str">
        <f t="shared" ref="L17" si="22">IF(F17="QUAD","T","T.mm")</f>
        <v>T.mm</v>
      </c>
      <c r="M17" s="5">
        <f>VLOOKUP(Table!$I17,Specs!$A:$R,MATCH(Table!M$3,Specs!$A$1:$R$1,0),FALSE)</f>
        <v>2.0299999999999998</v>
      </c>
      <c r="N17" s="5">
        <f>VLOOKUP(Table!$I17,Specs!$A:$R,MATCH(Table!N$3,Specs!$A$1:$R$1,0),FALSE)</f>
        <v>10</v>
      </c>
      <c r="O17" s="13">
        <f t="shared" ref="O17" si="23">(N17*M17)/1000</f>
        <v>2.0299999999999999E-2</v>
      </c>
      <c r="P17" s="19" t="str">
        <f>VLOOKUP(Table!$I17,Specs!$A:$R,MATCH(Table!P$3,Specs!$A$1:$R$1,0),FALSE)</f>
        <v>Air-cooled</v>
      </c>
      <c r="Q17" s="19">
        <f>VLOOKUP(Table!$I17,Specs!$A:$R,MATCH(Table!Q$3,Specs!$A$1:$R$1,0),FALSE)</f>
        <v>0</v>
      </c>
      <c r="R17" s="19">
        <v>25</v>
      </c>
      <c r="S17" s="19">
        <f>VLOOKUP(Table!$I17,Specs!$A:$R,MATCH(Table!S$3,Specs!$A$1:$R$1,0),FALSE)</f>
        <v>0</v>
      </c>
      <c r="T17" s="74">
        <v>0.29764240518924318</v>
      </c>
      <c r="V17" s="57"/>
      <c r="AA17" s="55">
        <v>161.67658448292471</v>
      </c>
      <c r="AB17" s="57">
        <v>1</v>
      </c>
      <c r="AC17">
        <f t="shared" si="5"/>
        <v>1</v>
      </c>
      <c r="AD17" s="54">
        <f t="shared" si="16"/>
        <v>0.29764240518924318</v>
      </c>
      <c r="AE17" t="str">
        <f t="shared" si="1"/>
        <v>T.mm</v>
      </c>
      <c r="AF17" s="57">
        <f t="shared" si="8"/>
        <v>2.9743649418905056</v>
      </c>
      <c r="AG17" s="56" t="str">
        <f t="shared" si="2"/>
        <v>mrad</v>
      </c>
      <c r="AH17" s="26">
        <f t="shared" si="6"/>
        <v>1.8409741035856577</v>
      </c>
      <c r="AI17" t="str">
        <f t="shared" si="3"/>
        <v>mT</v>
      </c>
    </row>
    <row r="18" spans="1:36" hidden="1" x14ac:dyDescent="0.25">
      <c r="A18">
        <v>30</v>
      </c>
      <c r="B18" s="38">
        <v>2</v>
      </c>
      <c r="C18" t="s">
        <v>65</v>
      </c>
      <c r="D18" t="s">
        <v>69</v>
      </c>
      <c r="E18" t="s">
        <v>67</v>
      </c>
      <c r="F18" t="s">
        <v>68</v>
      </c>
      <c r="G18" s="22">
        <v>3</v>
      </c>
      <c r="I18" t="s">
        <v>6</v>
      </c>
      <c r="J18" s="80">
        <v>13261</v>
      </c>
      <c r="K18" s="28">
        <f>VLOOKUP(Table!$I18,Specs!$A:$R,MATCH(Table!K$3,Specs!$A$1:$R$1,0),FALSE)</f>
        <v>3.0259999999999998</v>
      </c>
      <c r="L18" s="5" t="str">
        <f t="shared" ref="L18" si="24">IF(F18="QUAD","T","T.mm")</f>
        <v>T.mm</v>
      </c>
      <c r="M18" s="5">
        <f>VLOOKUP(Table!$I18,Specs!$A:$R,MATCH(Table!M$3,Specs!$A$1:$R$1,0),FALSE)</f>
        <v>2.0299999999999998</v>
      </c>
      <c r="N18" s="5">
        <f>VLOOKUP(Table!$I18,Specs!$A:$R,MATCH(Table!N$3,Specs!$A$1:$R$1,0),FALSE)</f>
        <v>10</v>
      </c>
      <c r="O18" s="13">
        <f t="shared" si="7"/>
        <v>2.0299999999999999E-2</v>
      </c>
      <c r="P18" s="19" t="str">
        <f>VLOOKUP(Table!$I18,Specs!$A:$R,MATCH(Table!P$3,Specs!$A$1:$R$1,0),FALSE)</f>
        <v>Air-cooled</v>
      </c>
      <c r="Q18" s="19">
        <f>VLOOKUP(Table!$I18,Specs!$A:$R,MATCH(Table!Q$3,Specs!$A$1:$R$1,0),FALSE)</f>
        <v>0</v>
      </c>
      <c r="R18" s="19">
        <v>25</v>
      </c>
      <c r="S18" s="19">
        <f>VLOOKUP(Table!$I18,Specs!$A:$R,MATCH(Table!S$3,Specs!$A$1:$R$1,0),FALSE)</f>
        <v>0</v>
      </c>
      <c r="T18" s="74">
        <v>0.30111838106573707</v>
      </c>
      <c r="V18" s="57"/>
      <c r="AA18" s="55">
        <v>162.71877216626737</v>
      </c>
      <c r="AB18" s="57">
        <v>1</v>
      </c>
      <c r="AC18">
        <f t="shared" si="5"/>
        <v>1</v>
      </c>
      <c r="AD18" s="54">
        <f t="shared" si="16"/>
        <v>0.30111838106573707</v>
      </c>
      <c r="AE18" t="str">
        <f t="shared" si="1"/>
        <v>T.mm</v>
      </c>
      <c r="AF18" s="57">
        <f t="shared" si="8"/>
        <v>3.0091006536225993</v>
      </c>
      <c r="AG18" s="56" t="str">
        <f t="shared" si="2"/>
        <v>mrad</v>
      </c>
      <c r="AH18" s="26">
        <f t="shared" si="6"/>
        <v>1.850544820717132</v>
      </c>
      <c r="AI18" t="str">
        <f t="shared" si="3"/>
        <v>mT</v>
      </c>
    </row>
    <row r="19" spans="1:36" hidden="1" x14ac:dyDescent="0.25">
      <c r="A19">
        <v>30</v>
      </c>
      <c r="B19" s="38">
        <v>2</v>
      </c>
      <c r="C19" t="s">
        <v>65</v>
      </c>
      <c r="D19" t="s">
        <v>69</v>
      </c>
      <c r="E19" t="s">
        <v>67</v>
      </c>
      <c r="F19" t="s">
        <v>112</v>
      </c>
      <c r="G19" s="22">
        <v>3</v>
      </c>
      <c r="I19" t="s">
        <v>6</v>
      </c>
      <c r="J19" s="80">
        <v>13261</v>
      </c>
      <c r="K19" s="28">
        <f>VLOOKUP(Table!$I19,Specs!$A:$R,MATCH(Table!K$3,Specs!$A$1:$R$1,0),FALSE)</f>
        <v>3.0259999999999998</v>
      </c>
      <c r="L19" s="5" t="str">
        <f t="shared" ref="L19" si="25">IF(F19="QUAD","T","T.mm")</f>
        <v>T.mm</v>
      </c>
      <c r="M19" s="5">
        <f>VLOOKUP(Table!$I19,Specs!$A:$R,MATCH(Table!M$3,Specs!$A$1:$R$1,0),FALSE)</f>
        <v>2.0299999999999998</v>
      </c>
      <c r="N19" s="5">
        <f>VLOOKUP(Table!$I19,Specs!$A:$R,MATCH(Table!N$3,Specs!$A$1:$R$1,0),FALSE)</f>
        <v>10</v>
      </c>
      <c r="O19" s="13">
        <f t="shared" ref="O19" si="26">(N19*M19)/1000</f>
        <v>2.0299999999999999E-2</v>
      </c>
      <c r="P19" s="19" t="str">
        <f>VLOOKUP(Table!$I19,Specs!$A:$R,MATCH(Table!P$3,Specs!$A$1:$R$1,0),FALSE)</f>
        <v>Air-cooled</v>
      </c>
      <c r="Q19" s="19">
        <f>VLOOKUP(Table!$I19,Specs!$A:$R,MATCH(Table!Q$3,Specs!$A$1:$R$1,0),FALSE)</f>
        <v>0</v>
      </c>
      <c r="R19" s="19">
        <v>25</v>
      </c>
      <c r="S19" s="19">
        <f>VLOOKUP(Table!$I19,Specs!$A:$R,MATCH(Table!S$3,Specs!$A$1:$R$1,0),FALSE)</f>
        <v>0</v>
      </c>
      <c r="T19" s="74">
        <v>0.29764240518924318</v>
      </c>
      <c r="V19" s="57"/>
      <c r="AA19" s="55">
        <v>161.67658448292471</v>
      </c>
      <c r="AB19" s="57">
        <v>1</v>
      </c>
      <c r="AC19">
        <f t="shared" si="5"/>
        <v>1</v>
      </c>
      <c r="AD19" s="54">
        <f t="shared" si="16"/>
        <v>0.29764240518924318</v>
      </c>
      <c r="AE19" t="str">
        <f t="shared" si="1"/>
        <v>T.mm</v>
      </c>
      <c r="AF19" s="57">
        <f t="shared" si="8"/>
        <v>2.9743649418905056</v>
      </c>
      <c r="AG19" s="56" t="str">
        <f t="shared" si="2"/>
        <v>mrad</v>
      </c>
      <c r="AH19" s="26">
        <f t="shared" si="6"/>
        <v>1.8409741035856577</v>
      </c>
      <c r="AI19" t="str">
        <f t="shared" si="3"/>
        <v>mT</v>
      </c>
    </row>
    <row r="20" spans="1:36" hidden="1" x14ac:dyDescent="0.25">
      <c r="A20">
        <v>30</v>
      </c>
      <c r="B20" s="38">
        <v>2</v>
      </c>
      <c r="C20" t="s">
        <v>65</v>
      </c>
      <c r="D20" t="s">
        <v>69</v>
      </c>
      <c r="E20" t="s">
        <v>67</v>
      </c>
      <c r="F20" t="s">
        <v>70</v>
      </c>
      <c r="G20" s="22">
        <v>3</v>
      </c>
      <c r="I20" t="s">
        <v>5</v>
      </c>
      <c r="J20" s="80">
        <v>13251</v>
      </c>
      <c r="K20" s="28">
        <f>VLOOKUP(Table!$I20,Specs!$A:$R,MATCH(Table!K$3,Specs!$A$1:$R$1,0),FALSE)</f>
        <v>1.2</v>
      </c>
      <c r="L20" s="5" t="str">
        <f t="shared" si="11"/>
        <v>T</v>
      </c>
      <c r="M20" s="5">
        <f>VLOOKUP(Table!$I20,Specs!$A:$R,MATCH(Table!M$3,Specs!$A$1:$R$1,0),FALSE)</f>
        <v>29.2</v>
      </c>
      <c r="N20" s="5">
        <f>VLOOKUP(Table!$I20,Specs!$A:$R,MATCH(Table!N$3,Specs!$A$1:$R$1,0),FALSE)</f>
        <v>52.8</v>
      </c>
      <c r="O20" s="13">
        <f t="shared" si="7"/>
        <v>1.54176</v>
      </c>
      <c r="P20" s="19">
        <f>VLOOKUP(Table!$I20,Specs!$A:$R,MATCH(Table!P$3,Specs!$A$1:$R$1,0),FALSE)</f>
        <v>5</v>
      </c>
      <c r="Q20" s="19">
        <f>VLOOKUP(Table!$I20,Specs!$A:$R,MATCH(Table!Q$3,Specs!$A$1:$R$1,0),FALSE)</f>
        <v>2.1</v>
      </c>
      <c r="R20" s="19">
        <v>25</v>
      </c>
      <c r="S20" s="19">
        <f>VLOOKUP(Table!$I20,Specs!$A:$R,MATCH(Table!S$3,Specs!$A$1:$R$1,0),FALSE)</f>
        <v>2.6</v>
      </c>
      <c r="T20" s="74">
        <v>2.5223848791038787E-2</v>
      </c>
      <c r="V20" s="57">
        <v>12.681313132212836</v>
      </c>
      <c r="W20" s="14">
        <v>0</v>
      </c>
      <c r="X20" s="14">
        <v>-1.2308831954862775E-5</v>
      </c>
      <c r="Y20" s="55">
        <v>1037.3052938452549</v>
      </c>
      <c r="Z20">
        <v>13.242351703507756</v>
      </c>
      <c r="AA20" s="55">
        <v>127.24199482912586</v>
      </c>
      <c r="AB20" s="57">
        <v>48</v>
      </c>
      <c r="AC20">
        <f t="shared" si="5"/>
        <v>1</v>
      </c>
      <c r="AD20" s="54">
        <f t="shared" si="16"/>
        <v>1.1953905863068073</v>
      </c>
      <c r="AE20" t="str">
        <f t="shared" si="1"/>
        <v>T</v>
      </c>
      <c r="AF20" s="57">
        <f t="shared" si="8"/>
        <v>93.881238559181455</v>
      </c>
      <c r="AG20" s="56" t="str">
        <f t="shared" si="2"/>
        <v>m⁻²</v>
      </c>
      <c r="AH20" s="26">
        <f t="shared" si="6"/>
        <v>9.3946231188225671</v>
      </c>
      <c r="AI20" t="str">
        <f t="shared" si="3"/>
        <v>T/m</v>
      </c>
    </row>
    <row r="21" spans="1:36" hidden="1" x14ac:dyDescent="0.25">
      <c r="A21">
        <v>30</v>
      </c>
      <c r="B21" s="38">
        <v>2</v>
      </c>
      <c r="C21" t="s">
        <v>65</v>
      </c>
      <c r="D21" t="s">
        <v>69</v>
      </c>
      <c r="E21" t="s">
        <v>67</v>
      </c>
      <c r="F21" t="s">
        <v>70</v>
      </c>
      <c r="G21" s="22">
        <v>4</v>
      </c>
      <c r="I21" t="s">
        <v>5</v>
      </c>
      <c r="J21" s="80">
        <v>13252</v>
      </c>
      <c r="K21" s="28">
        <f>VLOOKUP(Table!$I21,Specs!$A:$R,MATCH(Table!K$3,Specs!$A$1:$R$1,0),FALSE)</f>
        <v>1.2</v>
      </c>
      <c r="L21" s="5" t="str">
        <f t="shared" si="11"/>
        <v>T</v>
      </c>
      <c r="M21" s="5">
        <f>VLOOKUP(Table!$I21,Specs!$A:$R,MATCH(Table!M$3,Specs!$A$1:$R$1,0),FALSE)</f>
        <v>29.2</v>
      </c>
      <c r="N21" s="5">
        <f>VLOOKUP(Table!$I21,Specs!$A:$R,MATCH(Table!N$3,Specs!$A$1:$R$1,0),FALSE)</f>
        <v>52.8</v>
      </c>
      <c r="O21" s="13">
        <f t="shared" si="7"/>
        <v>1.54176</v>
      </c>
      <c r="P21" s="19">
        <f>VLOOKUP(Table!$I21,Specs!$A:$R,MATCH(Table!P$3,Specs!$A$1:$R$1,0),FALSE)</f>
        <v>5</v>
      </c>
      <c r="Q21" s="19">
        <f>VLOOKUP(Table!$I21,Specs!$A:$R,MATCH(Table!Q$3,Specs!$A$1:$R$1,0),FALSE)</f>
        <v>2.1</v>
      </c>
      <c r="R21" s="19">
        <v>25</v>
      </c>
      <c r="S21" s="19">
        <f>VLOOKUP(Table!$I21,Specs!$A:$R,MATCH(Table!S$3,Specs!$A$1:$R$1,0),FALSE)</f>
        <v>2.6</v>
      </c>
      <c r="T21" s="74">
        <v>2.5146922213548865E-2</v>
      </c>
      <c r="V21" s="57">
        <v>19.105643125676067</v>
      </c>
      <c r="W21" s="14">
        <v>0</v>
      </c>
      <c r="X21" s="14">
        <v>-1.3241133469346397E-5</v>
      </c>
      <c r="Y21" s="55">
        <v>968.68153373068776</v>
      </c>
      <c r="Z21">
        <v>12.419903649974009</v>
      </c>
      <c r="AA21" s="55">
        <v>127.42166493675779</v>
      </c>
      <c r="AB21" s="57">
        <v>48</v>
      </c>
      <c r="AC21">
        <f t="shared" ref="AC21" si="27">SIGN(AB21)</f>
        <v>1</v>
      </c>
      <c r="AD21" s="54">
        <f t="shared" si="16"/>
        <v>1.1959974576395282</v>
      </c>
      <c r="AE21" t="str">
        <f t="shared" ref="AE21" si="28">L21</f>
        <v>T</v>
      </c>
      <c r="AF21" s="57">
        <f t="shared" ref="AF21" si="29">IF(F21="DIP",360/(2000*PI()),IF(F21="QUAD",1000/AA21,IF(RIGHT(F21,3)="COR",1,0)))*c_*AD21/A21</f>
        <v>93.796455980873148</v>
      </c>
      <c r="AG21" s="56" t="str">
        <f t="shared" ref="AG21" si="30">IF(F21="DIP","°",IF(F21="QUAD","m⁻²",IF(RIGHT(F21,3)="COR","mrad","")))</f>
        <v>m⁻²</v>
      </c>
      <c r="AH21" s="26">
        <f t="shared" si="6"/>
        <v>9.3861389916159723</v>
      </c>
      <c r="AI21" t="str">
        <f t="shared" si="3"/>
        <v>T/m</v>
      </c>
    </row>
    <row r="22" spans="1:36" hidden="1" x14ac:dyDescent="0.25">
      <c r="A22">
        <v>30</v>
      </c>
      <c r="B22" s="38">
        <v>2</v>
      </c>
      <c r="C22" t="s">
        <v>65</v>
      </c>
      <c r="D22" t="s">
        <v>71</v>
      </c>
      <c r="E22" t="s">
        <v>67</v>
      </c>
      <c r="F22" t="s">
        <v>72</v>
      </c>
      <c r="G22" s="22">
        <v>1</v>
      </c>
      <c r="I22" t="s">
        <v>10</v>
      </c>
      <c r="J22" s="80">
        <v>13256</v>
      </c>
      <c r="K22" s="28">
        <f>VLOOKUP(Table!$I22,Specs!$A:$R,MATCH(Table!K$3,Specs!$A$1:$R$1,0),FALSE)</f>
        <v>158</v>
      </c>
      <c r="L22" s="5" t="str">
        <f t="shared" si="11"/>
        <v>T.mm</v>
      </c>
      <c r="M22" s="5">
        <f>VLOOKUP(Table!$I22,Specs!$A:$R,MATCH(Table!M$3,Specs!$A$1:$R$1,0),FALSE)</f>
        <v>12.7</v>
      </c>
      <c r="N22" s="5">
        <f>VLOOKUP(Table!$I22,Specs!$A:$R,MATCH(Table!N$3,Specs!$A$1:$R$1,0),FALSE)</f>
        <v>115.2</v>
      </c>
      <c r="O22" s="13">
        <f t="shared" si="7"/>
        <v>1.4630399999999999</v>
      </c>
      <c r="P22" s="19">
        <f>VLOOKUP(Table!$I22,Specs!$A:$R,MATCH(Table!P$3,Specs!$A$1:$R$1,0),FALSE)</f>
        <v>3</v>
      </c>
      <c r="Q22" s="19">
        <f>VLOOKUP(Table!$I22,Specs!$A:$R,MATCH(Table!Q$3,Specs!$A$1:$R$1,0),FALSE)</f>
        <v>5.5</v>
      </c>
      <c r="R22" s="19">
        <v>25</v>
      </c>
      <c r="S22" s="19">
        <f>VLOOKUP(Table!$I22,Specs!$A:$R,MATCH(Table!S$3,Specs!$A$1:$R$1,0),FALSE)</f>
        <v>4</v>
      </c>
      <c r="T22" s="74">
        <v>1.3981523057584739</v>
      </c>
      <c r="V22" s="57">
        <v>72.771586838099509</v>
      </c>
      <c r="W22" s="14">
        <v>0</v>
      </c>
      <c r="X22" s="14">
        <v>-1.513260004623848E-3</v>
      </c>
      <c r="Y22" s="55">
        <v>541.14003757268358</v>
      </c>
      <c r="Z22">
        <v>433.70810442582558</v>
      </c>
      <c r="AA22" s="55">
        <v>399.21600000000001</v>
      </c>
      <c r="AB22" s="57">
        <v>56.211952609083369</v>
      </c>
      <c r="AC22">
        <f t="shared" si="5"/>
        <v>1</v>
      </c>
      <c r="AD22" s="54">
        <f t="shared" si="16"/>
        <v>78.592871151575977</v>
      </c>
      <c r="AE22" t="str">
        <f t="shared" si="1"/>
        <v>T.mm</v>
      </c>
      <c r="AF22" s="57">
        <f t="shared" si="8"/>
        <v>44.999245838352572</v>
      </c>
      <c r="AG22" s="56" t="str">
        <f t="shared" si="2"/>
        <v>°</v>
      </c>
      <c r="AH22" s="26">
        <f t="shared" si="6"/>
        <v>196.86803923584219</v>
      </c>
      <c r="AI22" t="str">
        <f t="shared" si="3"/>
        <v>mT</v>
      </c>
    </row>
    <row r="23" spans="1:36" hidden="1" x14ac:dyDescent="0.25">
      <c r="A23">
        <v>30</v>
      </c>
      <c r="B23" s="38" t="s">
        <v>71</v>
      </c>
      <c r="C23" t="s">
        <v>65</v>
      </c>
      <c r="D23" t="s">
        <v>71</v>
      </c>
      <c r="E23" t="s">
        <v>67</v>
      </c>
      <c r="F23" t="s">
        <v>68</v>
      </c>
      <c r="G23" s="22">
        <v>1</v>
      </c>
      <c r="I23" t="s">
        <v>7</v>
      </c>
      <c r="J23" s="80">
        <v>13263</v>
      </c>
      <c r="K23" s="28">
        <f>VLOOKUP(Table!$I23,Specs!$A:$R,MATCH(Table!K$3,Specs!$A$1:$R$1,0),FALSE)</f>
        <v>1.276</v>
      </c>
      <c r="L23" s="5" t="str">
        <f>IF(F23="QUAD","T","T.mm")</f>
        <v>T.mm</v>
      </c>
      <c r="M23" s="5">
        <f>VLOOKUP(Table!$I23,Specs!$A:$R,MATCH(Table!M$3,Specs!$A$1:$R$1,0),FALSE)</f>
        <v>0.94</v>
      </c>
      <c r="N23" s="5">
        <f>VLOOKUP(Table!$I23,Specs!$A:$R,MATCH(Table!N$3,Specs!$A$1:$R$1,0),FALSE)</f>
        <v>9.9</v>
      </c>
      <c r="O23" s="13">
        <f t="shared" si="7"/>
        <v>9.3059999999999983E-3</v>
      </c>
      <c r="P23" s="19" t="str">
        <f>VLOOKUP(Table!$I23,Specs!$A:$R,MATCH(Table!P$3,Specs!$A$1:$R$1,0),FALSE)</f>
        <v>Air-cooled</v>
      </c>
      <c r="Q23" s="19">
        <f>VLOOKUP(Table!$I23,Specs!$A:$R,MATCH(Table!Q$3,Specs!$A$1:$R$1,0),FALSE)</f>
        <v>0</v>
      </c>
      <c r="R23" s="19">
        <v>25</v>
      </c>
      <c r="S23" s="19">
        <f>VLOOKUP(Table!$I23,Specs!$A:$R,MATCH(Table!S$3,Specs!$A$1:$R$1,0),FALSE)</f>
        <v>0</v>
      </c>
      <c r="T23" s="74">
        <v>0.14502350134444444</v>
      </c>
      <c r="V23" s="57"/>
      <c r="AA23" s="55">
        <v>140.27203551391804</v>
      </c>
      <c r="AB23" s="57">
        <v>1</v>
      </c>
      <c r="AC23">
        <f t="shared" si="5"/>
        <v>1</v>
      </c>
      <c r="AD23" s="54">
        <f t="shared" si="16"/>
        <v>0.14502350134444444</v>
      </c>
      <c r="AE23" t="str">
        <f t="shared" si="1"/>
        <v>T.mm</v>
      </c>
      <c r="AF23" s="57">
        <f t="shared" si="8"/>
        <v>1.4492317311939102</v>
      </c>
      <c r="AG23" s="56" t="str">
        <f t="shared" si="2"/>
        <v>mrad</v>
      </c>
      <c r="AH23" s="26">
        <f t="shared" si="6"/>
        <v>1.0338732222222222</v>
      </c>
      <c r="AI23" t="str">
        <f t="shared" si="3"/>
        <v>mT</v>
      </c>
    </row>
    <row r="24" spans="1:36" hidden="1" x14ac:dyDescent="0.25">
      <c r="A24">
        <v>30</v>
      </c>
      <c r="B24" s="38" t="s">
        <v>71</v>
      </c>
      <c r="C24" t="s">
        <v>65</v>
      </c>
      <c r="D24" t="s">
        <v>71</v>
      </c>
      <c r="E24" t="s">
        <v>67</v>
      </c>
      <c r="F24" t="s">
        <v>112</v>
      </c>
      <c r="G24" s="22">
        <v>1</v>
      </c>
      <c r="I24" t="s">
        <v>7</v>
      </c>
      <c r="J24" s="80">
        <v>13263</v>
      </c>
      <c r="K24" s="28">
        <f>VLOOKUP(Table!$I24,Specs!$A:$R,MATCH(Table!K$3,Specs!$A$1:$R$1,0),FALSE)</f>
        <v>1.276</v>
      </c>
      <c r="L24" s="5" t="str">
        <f>IF(F24="QUAD","T","T.mm")</f>
        <v>T.mm</v>
      </c>
      <c r="M24" s="5">
        <f>VLOOKUP(Table!$I24,Specs!$A:$R,MATCH(Table!M$3,Specs!$A$1:$R$1,0),FALSE)</f>
        <v>0.94</v>
      </c>
      <c r="N24" s="5">
        <f>VLOOKUP(Table!$I24,Specs!$A:$R,MATCH(Table!N$3,Specs!$A$1:$R$1,0),FALSE)</f>
        <v>9.9</v>
      </c>
      <c r="O24" s="13">
        <f t="shared" ref="O24" si="31">(N24*M24)/1000</f>
        <v>9.3059999999999983E-3</v>
      </c>
      <c r="P24" s="19" t="str">
        <f>VLOOKUP(Table!$I24,Specs!$A:$R,MATCH(Table!P$3,Specs!$A$1:$R$1,0),FALSE)</f>
        <v>Air-cooled</v>
      </c>
      <c r="Q24" s="19">
        <f>VLOOKUP(Table!$I24,Specs!$A:$R,MATCH(Table!Q$3,Specs!$A$1:$R$1,0),FALSE)</f>
        <v>0</v>
      </c>
      <c r="R24" s="19">
        <v>25</v>
      </c>
      <c r="S24" s="19">
        <f>VLOOKUP(Table!$I24,Specs!$A:$R,MATCH(Table!S$3,Specs!$A$1:$R$1,0),FALSE)</f>
        <v>0</v>
      </c>
      <c r="T24" s="74">
        <v>0.14206013362555547</v>
      </c>
      <c r="V24" s="57"/>
      <c r="AA24" s="55">
        <v>137.79711945186421</v>
      </c>
      <c r="AB24" s="57">
        <v>1</v>
      </c>
      <c r="AC24">
        <f t="shared" si="5"/>
        <v>1</v>
      </c>
      <c r="AD24" s="54">
        <f t="shared" si="16"/>
        <v>0.14206013362555547</v>
      </c>
      <c r="AE24" t="str">
        <f t="shared" si="1"/>
        <v>T.mm</v>
      </c>
      <c r="AF24" s="57">
        <f t="shared" si="8"/>
        <v>1.4196185547804576</v>
      </c>
      <c r="AG24" s="56" t="str">
        <f t="shared" si="2"/>
        <v>mrad</v>
      </c>
      <c r="AH24" s="26">
        <f t="shared" si="6"/>
        <v>1.0309368888888888</v>
      </c>
      <c r="AI24" t="str">
        <f t="shared" si="3"/>
        <v>mT</v>
      </c>
    </row>
    <row r="25" spans="1:36" hidden="1" x14ac:dyDescent="0.25">
      <c r="A25">
        <v>30</v>
      </c>
      <c r="B25" s="38" t="s">
        <v>71</v>
      </c>
      <c r="C25" t="s">
        <v>65</v>
      </c>
      <c r="D25" t="s">
        <v>71</v>
      </c>
      <c r="E25" t="s">
        <v>67</v>
      </c>
      <c r="F25" t="s">
        <v>70</v>
      </c>
      <c r="G25" s="22">
        <v>1</v>
      </c>
      <c r="H25" s="22" t="s">
        <v>78</v>
      </c>
      <c r="I25" t="s">
        <v>8</v>
      </c>
      <c r="J25" s="80">
        <v>13255</v>
      </c>
      <c r="K25" s="28">
        <f>VLOOKUP(Table!$I25,Specs!$A:$R,MATCH(Table!K$3,Specs!$A$1:$R$1,0),FALSE)</f>
        <v>2.9</v>
      </c>
      <c r="L25" s="5" t="str">
        <f>IF(F25="QUAD","T","T.mm")</f>
        <v>T</v>
      </c>
      <c r="M25" s="5">
        <f>VLOOKUP(Table!$I25,Specs!$A:$R,MATCH(Table!M$3,Specs!$A$1:$R$1,0),FALSE)</f>
        <v>43.2</v>
      </c>
      <c r="N25" s="5">
        <f>VLOOKUP(Table!$I25,Specs!$A:$R,MATCH(Table!N$3,Specs!$A$1:$R$1,0),FALSE)</f>
        <v>185.8</v>
      </c>
      <c r="O25" s="13">
        <f t="shared" si="7"/>
        <v>8.0265600000000017</v>
      </c>
      <c r="P25" s="19">
        <f>VLOOKUP(Table!$I25,Specs!$A:$R,MATCH(Table!P$3,Specs!$A$1:$R$1,0),FALSE)</f>
        <v>5</v>
      </c>
      <c r="Q25" s="19">
        <f>VLOOKUP(Table!$I25,Specs!$A:$R,MATCH(Table!Q$3,Specs!$A$1:$R$1,0),FALSE)</f>
        <v>6.2</v>
      </c>
      <c r="R25" s="19">
        <v>25</v>
      </c>
      <c r="S25" s="19">
        <f>VLOOKUP(Table!$I25,Specs!$A:$R,MATCH(Table!S$3,Specs!$A$1:$R$1,0),FALSE)</f>
        <v>4.5999999999999996</v>
      </c>
      <c r="T25" s="74">
        <v>1.6294375933627502E-2</v>
      </c>
      <c r="V25" s="57">
        <v>107.995495949144</v>
      </c>
      <c r="W25" s="14">
        <v>-5.9002049246200064E-7</v>
      </c>
      <c r="X25" s="14">
        <v>2.4278977899762656E-4</v>
      </c>
      <c r="Y25" s="55">
        <v>35.763724362927611</v>
      </c>
      <c r="Z25">
        <v>1.2361437262737129</v>
      </c>
      <c r="AA25" s="55">
        <v>121.56727252539314</v>
      </c>
      <c r="AB25" s="57">
        <v>186</v>
      </c>
      <c r="AC25">
        <f t="shared" si="5"/>
        <v>1</v>
      </c>
      <c r="AD25" s="54">
        <f t="shared" si="16"/>
        <v>2.9194399946155469</v>
      </c>
      <c r="AE25" t="str">
        <f t="shared" si="1"/>
        <v>T</v>
      </c>
      <c r="AF25" s="57">
        <f t="shared" si="8"/>
        <v>239.98402250531234</v>
      </c>
      <c r="AG25" s="56" t="str">
        <f t="shared" si="2"/>
        <v>m⁻²</v>
      </c>
      <c r="AH25" s="26">
        <f t="shared" si="6"/>
        <v>24.015015998699241</v>
      </c>
      <c r="AI25" t="str">
        <f t="shared" si="3"/>
        <v>T/m</v>
      </c>
    </row>
    <row r="26" spans="1:36" hidden="1" x14ac:dyDescent="0.25">
      <c r="A26">
        <v>30</v>
      </c>
      <c r="B26" s="38" t="s">
        <v>71</v>
      </c>
      <c r="C26" t="s">
        <v>65</v>
      </c>
      <c r="D26" t="s">
        <v>71</v>
      </c>
      <c r="E26" t="s">
        <v>67</v>
      </c>
      <c r="F26" t="s">
        <v>70</v>
      </c>
      <c r="G26" s="22">
        <v>2</v>
      </c>
      <c r="H26" s="22" t="s">
        <v>78</v>
      </c>
      <c r="I26" t="s">
        <v>8</v>
      </c>
      <c r="J26" s="80">
        <v>13254</v>
      </c>
      <c r="K26" s="28">
        <f>VLOOKUP(Table!$I26,Specs!$A:$R,MATCH(Table!K$3,Specs!$A$1:$R$1,0),FALSE)</f>
        <v>2.9</v>
      </c>
      <c r="L26" s="5" t="str">
        <f>IF(F26="QUAD","T","T.mm")</f>
        <v>T</v>
      </c>
      <c r="M26" s="5">
        <f>VLOOKUP(Table!$I26,Specs!$A:$R,MATCH(Table!M$3,Specs!$A$1:$R$1,0),FALSE)</f>
        <v>43.2</v>
      </c>
      <c r="N26" s="5">
        <f>VLOOKUP(Table!$I26,Specs!$A:$R,MATCH(Table!N$3,Specs!$A$1:$R$1,0),FALSE)</f>
        <v>185.8</v>
      </c>
      <c r="O26" s="13">
        <f t="shared" si="7"/>
        <v>8.0265600000000017</v>
      </c>
      <c r="P26" s="19">
        <f>VLOOKUP(Table!$I26,Specs!$A:$R,MATCH(Table!P$3,Specs!$A$1:$R$1,0),FALSE)</f>
        <v>5</v>
      </c>
      <c r="Q26" s="19">
        <f>VLOOKUP(Table!$I26,Specs!$A:$R,MATCH(Table!Q$3,Specs!$A$1:$R$1,0),FALSE)</f>
        <v>6.2</v>
      </c>
      <c r="R26" s="19">
        <v>25</v>
      </c>
      <c r="S26" s="19">
        <f>VLOOKUP(Table!$I26,Specs!$A:$R,MATCH(Table!S$3,Specs!$A$1:$R$1,0),FALSE)</f>
        <v>4.5999999999999996</v>
      </c>
      <c r="T26" s="74">
        <v>1.6277134059657781E-2</v>
      </c>
      <c r="V26" s="57">
        <v>108.659229314258</v>
      </c>
      <c r="W26" s="14">
        <v>-5.8274710561412677E-7</v>
      </c>
      <c r="X26" s="14">
        <v>2.3933307297089692E-4</v>
      </c>
      <c r="Y26" s="55">
        <v>35.16234321373377</v>
      </c>
      <c r="Z26">
        <v>1.2234517080450789</v>
      </c>
      <c r="AA26" s="55">
        <v>121.51190061007559</v>
      </c>
      <c r="AB26" s="57">
        <v>186</v>
      </c>
      <c r="AC26">
        <f t="shared" si="5"/>
        <v>1</v>
      </c>
      <c r="AD26" s="54">
        <f t="shared" si="16"/>
        <v>2.9188637652441987</v>
      </c>
      <c r="AE26" t="str">
        <f t="shared" si="1"/>
        <v>T</v>
      </c>
      <c r="AF26" s="57">
        <f t="shared" si="8"/>
        <v>240.04599230097554</v>
      </c>
      <c r="AG26" s="56" t="str">
        <f t="shared" si="2"/>
        <v>m⁻²</v>
      </c>
      <c r="AH26" s="26">
        <f t="shared" si="6"/>
        <v>24.021217268345243</v>
      </c>
      <c r="AI26" t="str">
        <f t="shared" si="3"/>
        <v>T/m</v>
      </c>
    </row>
    <row r="27" spans="1:36" hidden="1" x14ac:dyDescent="0.25">
      <c r="A27">
        <v>30</v>
      </c>
      <c r="B27" s="38" t="s">
        <v>71</v>
      </c>
      <c r="C27" t="s">
        <v>65</v>
      </c>
      <c r="D27" t="s">
        <v>71</v>
      </c>
      <c r="E27" t="s">
        <v>67</v>
      </c>
      <c r="F27" t="s">
        <v>70</v>
      </c>
      <c r="G27" s="22">
        <v>3</v>
      </c>
      <c r="H27" s="22" t="s">
        <v>78</v>
      </c>
      <c r="I27" t="s">
        <v>8</v>
      </c>
      <c r="J27" s="80">
        <v>13253</v>
      </c>
      <c r="K27" s="28">
        <f>VLOOKUP(Table!$I27,Specs!$A:$R,MATCH(Table!K$3,Specs!$A$1:$R$1,0),FALSE)</f>
        <v>2.9</v>
      </c>
      <c r="L27" s="5" t="str">
        <f>IF(F27="QUAD","T","T.mm")</f>
        <v>T</v>
      </c>
      <c r="M27" s="5">
        <f>VLOOKUP(Table!$I27,Specs!$A:$R,MATCH(Table!M$3,Specs!$A$1:$R$1,0),FALSE)</f>
        <v>43.2</v>
      </c>
      <c r="N27" s="5">
        <f>VLOOKUP(Table!$I27,Specs!$A:$R,MATCH(Table!N$3,Specs!$A$1:$R$1,0),FALSE)</f>
        <v>185.8</v>
      </c>
      <c r="O27" s="13">
        <f t="shared" si="7"/>
        <v>8.0265600000000017</v>
      </c>
      <c r="P27" s="19">
        <f>VLOOKUP(Table!$I27,Specs!$A:$R,MATCH(Table!P$3,Specs!$A$1:$R$1,0),FALSE)</f>
        <v>5</v>
      </c>
      <c r="Q27" s="19">
        <f>VLOOKUP(Table!$I27,Specs!$A:$R,MATCH(Table!Q$3,Specs!$A$1:$R$1,0),FALSE)</f>
        <v>6.2</v>
      </c>
      <c r="R27" s="19">
        <v>25</v>
      </c>
      <c r="S27" s="19">
        <f>VLOOKUP(Table!$I27,Specs!$A:$R,MATCH(Table!S$3,Specs!$A$1:$R$1,0),FALSE)</f>
        <v>4.5999999999999996</v>
      </c>
      <c r="T27" s="74">
        <v>1.628838332068358E-2</v>
      </c>
      <c r="V27" s="57">
        <v>107.710147957427</v>
      </c>
      <c r="W27" s="14">
        <v>-5.8559325815782072E-7</v>
      </c>
      <c r="X27" s="14">
        <v>2.4069379170826106E-4</v>
      </c>
      <c r="Y27" s="55">
        <v>35.38118700932737</v>
      </c>
      <c r="Z27">
        <v>1.2269951581248499</v>
      </c>
      <c r="AA27" s="55">
        <v>121.55074982839577</v>
      </c>
      <c r="AB27" s="57">
        <v>186</v>
      </c>
      <c r="AC27">
        <f t="shared" si="5"/>
        <v>1</v>
      </c>
      <c r="AD27" s="54">
        <f t="shared" si="16"/>
        <v>2.9191726830268259</v>
      </c>
      <c r="AE27" t="str">
        <f t="shared" si="1"/>
        <v>T</v>
      </c>
      <c r="AF27" s="57">
        <f t="shared" si="8"/>
        <v>239.99466757893032</v>
      </c>
      <c r="AG27" s="56" t="str">
        <f t="shared" si="2"/>
        <v>m⁻²</v>
      </c>
      <c r="AH27" s="26">
        <f t="shared" si="6"/>
        <v>24.016081243004152</v>
      </c>
      <c r="AI27" t="str">
        <f t="shared" si="3"/>
        <v>T/m</v>
      </c>
    </row>
    <row r="28" spans="1:36" hidden="1" x14ac:dyDescent="0.25">
      <c r="A28">
        <v>30</v>
      </c>
      <c r="B28" s="38" t="s">
        <v>71</v>
      </c>
      <c r="C28" t="s">
        <v>65</v>
      </c>
      <c r="D28" t="s">
        <v>71</v>
      </c>
      <c r="E28" t="s">
        <v>67</v>
      </c>
      <c r="F28" t="s">
        <v>72</v>
      </c>
      <c r="G28" s="22">
        <v>2</v>
      </c>
      <c r="H28" s="22" t="s">
        <v>77</v>
      </c>
      <c r="I28" t="s">
        <v>9</v>
      </c>
      <c r="J28" s="80">
        <v>13257</v>
      </c>
      <c r="K28" s="28">
        <f>VLOOKUP(Table!$I28,Specs!$A:$R,MATCH(Table!K$3,Specs!$A$1:$R$1,0),FALSE)</f>
        <v>158</v>
      </c>
      <c r="L28" s="5" t="str">
        <f t="shared" ref="L28:L111" si="32">IF(F28="QUAD","T","T.mm")</f>
        <v>T.mm</v>
      </c>
      <c r="M28" s="5">
        <f>VLOOKUP(Table!$I28,Specs!$A:$R,MATCH(Table!M$3,Specs!$A$1:$R$1,0),FALSE)</f>
        <v>28.87</v>
      </c>
      <c r="N28" s="5">
        <f>VLOOKUP(Table!$I28,Specs!$A:$R,MATCH(Table!N$3,Specs!$A$1:$R$1,0),FALSE)</f>
        <v>180.04</v>
      </c>
      <c r="O28" s="13">
        <f t="shared" si="7"/>
        <v>5.1977547999999993</v>
      </c>
      <c r="P28" s="19">
        <f>VLOOKUP(Table!$I28,Specs!$A:$R,MATCH(Table!P$3,Specs!$A$1:$R$1,0),FALSE)</f>
        <v>3</v>
      </c>
      <c r="Q28" s="19">
        <f>VLOOKUP(Table!$I28,Specs!$A:$R,MATCH(Table!Q$3,Specs!$A$1:$R$1,0),FALSE)</f>
        <v>9.83</v>
      </c>
      <c r="R28" s="19">
        <v>25</v>
      </c>
      <c r="S28" s="19">
        <f>VLOOKUP(Table!$I28,Specs!$A:$R,MATCH(Table!S$3,Specs!$A$1:$R$1,0),FALSE)</f>
        <v>7.9</v>
      </c>
      <c r="T28" s="74">
        <v>0.9019177277706808</v>
      </c>
      <c r="V28" s="57">
        <v>126.86232259341756</v>
      </c>
      <c r="W28" s="14">
        <v>0</v>
      </c>
      <c r="X28" s="14">
        <v>-4.5817234082808441E-4</v>
      </c>
      <c r="Y28" s="55">
        <v>1111.1182972563433</v>
      </c>
      <c r="Z28">
        <v>558.27833383951759</v>
      </c>
      <c r="AA28" s="55">
        <v>397.75200000000001</v>
      </c>
      <c r="AB28" s="57">
        <v>87.141194704591953</v>
      </c>
      <c r="AC28">
        <f t="shared" si="5"/>
        <v>1</v>
      </c>
      <c r="AD28" s="54">
        <f t="shared" si="16"/>
        <v>78.59418832318805</v>
      </c>
      <c r="AE28" t="str">
        <f t="shared" si="1"/>
        <v>T.mm</v>
      </c>
      <c r="AF28" s="57">
        <f t="shared" si="8"/>
        <v>44.999999999999993</v>
      </c>
      <c r="AG28" s="56" t="str">
        <f t="shared" si="2"/>
        <v>°</v>
      </c>
      <c r="AH28" s="26">
        <f t="shared" si="6"/>
        <v>197.59596010375321</v>
      </c>
      <c r="AI28" t="str">
        <f t="shared" si="3"/>
        <v>mT</v>
      </c>
    </row>
    <row r="29" spans="1:36" hidden="1" x14ac:dyDescent="0.25">
      <c r="A29">
        <v>30</v>
      </c>
      <c r="B29" s="38">
        <v>2</v>
      </c>
      <c r="C29" t="s">
        <v>65</v>
      </c>
      <c r="D29" t="s">
        <v>69</v>
      </c>
      <c r="E29" t="s">
        <v>67</v>
      </c>
      <c r="F29" t="s">
        <v>70</v>
      </c>
      <c r="G29" s="22">
        <v>5</v>
      </c>
      <c r="I29" t="s">
        <v>5</v>
      </c>
      <c r="J29" s="80">
        <v>13249</v>
      </c>
      <c r="K29" s="28">
        <v>1.2</v>
      </c>
      <c r="L29" s="5" t="str">
        <f t="shared" si="32"/>
        <v>T</v>
      </c>
      <c r="M29" s="5">
        <f>VLOOKUP(Table!$I29,Specs!$A:$R,MATCH(Table!M$3,Specs!$A$1:$R$1,0),FALSE)</f>
        <v>29.2</v>
      </c>
      <c r="N29" s="5">
        <f>VLOOKUP(Table!$I29,Specs!$A:$R,MATCH(Table!N$3,Specs!$A$1:$R$1,0),FALSE)</f>
        <v>52.8</v>
      </c>
      <c r="O29" s="13">
        <f t="shared" si="7"/>
        <v>1.54176</v>
      </c>
      <c r="P29" s="19">
        <f>VLOOKUP(Table!$I29,Specs!$A:$R,MATCH(Table!P$3,Specs!$A$1:$R$1,0),FALSE)</f>
        <v>5</v>
      </c>
      <c r="Q29" s="19">
        <f>VLOOKUP(Table!$I29,Specs!$A:$R,MATCH(Table!Q$3,Specs!$A$1:$R$1,0),FALSE)</f>
        <v>2.1</v>
      </c>
      <c r="R29" s="19">
        <v>25</v>
      </c>
      <c r="S29" s="19">
        <f>VLOOKUP(Table!$I29,Specs!$A:$R,MATCH(Table!S$3,Specs!$A$1:$R$1,0),FALSE)</f>
        <v>2.6</v>
      </c>
      <c r="T29" s="74">
        <v>2.5095788576045081E-2</v>
      </c>
      <c r="V29" s="57">
        <v>19.105643125676067</v>
      </c>
      <c r="W29" s="14">
        <v>0</v>
      </c>
      <c r="X29" s="14">
        <v>-1.3214209008642575E-5</v>
      </c>
      <c r="Y29" s="55">
        <v>968.68153373068776</v>
      </c>
      <c r="Z29">
        <v>12.394649074257879</v>
      </c>
      <c r="AA29" s="55">
        <v>127.16256630155804</v>
      </c>
      <c r="AB29" s="57">
        <v>48</v>
      </c>
      <c r="AC29">
        <f t="shared" ref="AC29:AC30" si="33">SIGN(AB29)</f>
        <v>1</v>
      </c>
      <c r="AD29" s="54">
        <f t="shared" si="16"/>
        <v>1.1935655218370069</v>
      </c>
      <c r="AE29" t="str">
        <f t="shared" ref="AE29:AE30" si="34">L29</f>
        <v>T</v>
      </c>
      <c r="AF29" s="57">
        <f t="shared" ref="AF29:AF30" si="35">IF(F29="DIP",360/(2000*PI()),IF(F29="QUAD",1000/AA29,IF(RIGHT(F29,3)="COR",1,0)))*c_*AD29/A29</f>
        <v>93.796455980873276</v>
      </c>
      <c r="AG29" s="56" t="str">
        <f t="shared" ref="AG29:AG30" si="36">IF(F29="DIP","°",IF(F29="QUAD","m⁻²",IF(RIGHT(F29,3)="COR","mrad","")))</f>
        <v>m⁻²</v>
      </c>
      <c r="AH29" s="26">
        <f t="shared" si="6"/>
        <v>9.3861389916159848</v>
      </c>
      <c r="AI29" t="str">
        <f t="shared" si="3"/>
        <v>T/m</v>
      </c>
    </row>
    <row r="30" spans="1:36" hidden="1" x14ac:dyDescent="0.25">
      <c r="A30">
        <v>30</v>
      </c>
      <c r="B30" s="38">
        <v>2</v>
      </c>
      <c r="C30" t="s">
        <v>65</v>
      </c>
      <c r="D30" t="s">
        <v>69</v>
      </c>
      <c r="E30" t="s">
        <v>67</v>
      </c>
      <c r="F30" t="s">
        <v>68</v>
      </c>
      <c r="G30" s="22">
        <v>4</v>
      </c>
      <c r="I30" t="s">
        <v>118</v>
      </c>
      <c r="J30" s="80" t="s">
        <v>304</v>
      </c>
      <c r="K30" s="28">
        <v>0.38526689582141282</v>
      </c>
      <c r="L30" s="5" t="str">
        <f t="shared" ref="L30" si="37">IF(F30="QUAD","T","T.mm")</f>
        <v>T.mm</v>
      </c>
      <c r="M30" s="5">
        <f>VLOOKUP(Table!$I30,Specs!$A:$R,MATCH(Table!M$3,Specs!$A$1:$R$1,0),FALSE)</f>
        <v>3.2</v>
      </c>
      <c r="N30" s="5">
        <f>VLOOKUP(Table!$I30,Specs!$A:$R,MATCH(Table!N$3,Specs!$A$1:$R$1,0),FALSE)</f>
        <v>10</v>
      </c>
      <c r="O30" s="13">
        <f t="shared" si="7"/>
        <v>3.2000000000000001E-2</v>
      </c>
      <c r="P30" s="19">
        <f>VLOOKUP(Table!$I30,Specs!$A:$R,MATCH(Table!P$3,Specs!$A$1:$R$1,0),FALSE)</f>
        <v>0.1</v>
      </c>
      <c r="Q30" s="19">
        <f>VLOOKUP(Table!$I30,Specs!$A:$R,MATCH(Table!Q$3,Specs!$A$1:$R$1,0),FALSE)</f>
        <v>0.5</v>
      </c>
      <c r="R30" s="19">
        <v>25</v>
      </c>
      <c r="S30" s="19">
        <f>VLOOKUP(Table!$I30,Specs!$A:$R,MATCH(Table!S$3,Specs!$A$1:$R$1,0),FALSE)</f>
        <v>2</v>
      </c>
      <c r="T30" s="74">
        <f>3.058/9.086</f>
        <v>0.33656174334140432</v>
      </c>
      <c r="V30" s="57"/>
      <c r="AA30" s="55"/>
      <c r="AC30">
        <f t="shared" si="33"/>
        <v>0</v>
      </c>
      <c r="AE30" t="str">
        <f t="shared" si="34"/>
        <v>T.mm</v>
      </c>
      <c r="AF30" s="57">
        <f t="shared" si="35"/>
        <v>0</v>
      </c>
      <c r="AG30" s="56" t="str">
        <f t="shared" si="36"/>
        <v>mrad</v>
      </c>
      <c r="AH30" s="26" t="e">
        <f t="shared" ref="AH30" si="38">1000*AD30/AA30</f>
        <v>#DIV/0!</v>
      </c>
      <c r="AI30" t="str">
        <f t="shared" ref="AI30" si="39">IF(F30="QUAD","T/m","mT")</f>
        <v>mT</v>
      </c>
      <c r="AJ30" t="s">
        <v>256</v>
      </c>
    </row>
    <row r="31" spans="1:36" hidden="1" x14ac:dyDescent="0.25">
      <c r="A31">
        <v>30</v>
      </c>
      <c r="B31" s="38">
        <v>2</v>
      </c>
      <c r="C31" t="s">
        <v>65</v>
      </c>
      <c r="D31" t="s">
        <v>69</v>
      </c>
      <c r="E31" t="s">
        <v>67</v>
      </c>
      <c r="F31" t="s">
        <v>112</v>
      </c>
      <c r="G31" s="22">
        <v>4</v>
      </c>
      <c r="I31" t="s">
        <v>118</v>
      </c>
      <c r="J31" s="80" t="s">
        <v>304</v>
      </c>
      <c r="K31" s="28">
        <v>0.38526689582141282</v>
      </c>
      <c r="L31" s="5" t="str">
        <f t="shared" si="32"/>
        <v>T.mm</v>
      </c>
      <c r="M31" s="5">
        <f>VLOOKUP(Table!$I31,Specs!$A:$R,MATCH(Table!M$3,Specs!$A$1:$R$1,0),FALSE)</f>
        <v>3.2</v>
      </c>
      <c r="N31" s="5">
        <f>VLOOKUP(Table!$I31,Specs!$A:$R,MATCH(Table!N$3,Specs!$A$1:$R$1,0),FALSE)</f>
        <v>10</v>
      </c>
      <c r="O31" s="13">
        <f t="shared" ref="O31" si="40">(N31*M31)/1000</f>
        <v>3.2000000000000001E-2</v>
      </c>
      <c r="P31" s="19">
        <f>VLOOKUP(Table!$I31,Specs!$A:$R,MATCH(Table!P$3,Specs!$A$1:$R$1,0),FALSE)</f>
        <v>0.1</v>
      </c>
      <c r="Q31" s="19">
        <f>VLOOKUP(Table!$I31,Specs!$A:$R,MATCH(Table!Q$3,Specs!$A$1:$R$1,0),FALSE)</f>
        <v>0.5</v>
      </c>
      <c r="R31" s="19">
        <v>25</v>
      </c>
      <c r="S31" s="19">
        <f>VLOOKUP(Table!$I31,Specs!$A:$R,MATCH(Table!S$3,Specs!$A$1:$R$1,0),FALSE)</f>
        <v>2</v>
      </c>
      <c r="T31" s="74">
        <f>3.057/9.087</f>
        <v>0.33641465830307032</v>
      </c>
      <c r="V31" s="57"/>
      <c r="AA31" s="55"/>
      <c r="AC31">
        <f t="shared" si="5"/>
        <v>0</v>
      </c>
      <c r="AE31" t="str">
        <f t="shared" si="1"/>
        <v>T.mm</v>
      </c>
      <c r="AF31" s="57">
        <f t="shared" si="8"/>
        <v>0</v>
      </c>
      <c r="AG31" s="56" t="str">
        <f t="shared" si="2"/>
        <v>mrad</v>
      </c>
      <c r="AH31" s="26" t="e">
        <f t="shared" si="6"/>
        <v>#DIV/0!</v>
      </c>
      <c r="AI31" t="str">
        <f t="shared" si="3"/>
        <v>mT</v>
      </c>
      <c r="AJ31" t="s">
        <v>256</v>
      </c>
    </row>
    <row r="32" spans="1:36" hidden="1" x14ac:dyDescent="0.25">
      <c r="A32">
        <v>110</v>
      </c>
      <c r="B32" s="38">
        <v>3</v>
      </c>
      <c r="C32" t="s">
        <v>65</v>
      </c>
      <c r="D32" t="s">
        <v>81</v>
      </c>
      <c r="E32" t="s">
        <v>67</v>
      </c>
      <c r="F32" t="s">
        <v>70</v>
      </c>
      <c r="G32" s="22">
        <v>1</v>
      </c>
      <c r="H32" s="22" t="s">
        <v>78</v>
      </c>
      <c r="I32" t="s">
        <v>94</v>
      </c>
      <c r="J32" s="80">
        <v>16618</v>
      </c>
      <c r="K32" s="28">
        <v>0.75</v>
      </c>
      <c r="L32" s="5" t="str">
        <f t="shared" si="32"/>
        <v>T</v>
      </c>
      <c r="M32" s="5">
        <f>VLOOKUP(Table!$I32,Specs!$A:$R,MATCH(Table!M$3,Specs!$A$1:$R$1,0),FALSE)</f>
        <v>7.97</v>
      </c>
      <c r="N32" s="5">
        <f>VLOOKUP(Table!$I32,Specs!$A:$R,MATCH(Table!N$3,Specs!$A$1:$R$1,0),FALSE)</f>
        <v>93.1</v>
      </c>
      <c r="O32" s="13">
        <f t="shared" ref="O32" si="41">(N32*M32)/1000</f>
        <v>0.74200699999999997</v>
      </c>
      <c r="P32" s="19">
        <f>VLOOKUP(Table!$I32,Specs!$A:$R,MATCH(Table!P$3,Specs!$A$1:$R$1,0),FALSE)</f>
        <v>4</v>
      </c>
      <c r="Q32" s="19">
        <f>VLOOKUP(Table!$I32,Specs!$A:$R,MATCH(Table!Q$3,Specs!$A$1:$R$1,0),FALSE)</f>
        <v>1.2</v>
      </c>
      <c r="R32" s="19">
        <v>25</v>
      </c>
      <c r="S32" s="19">
        <f>VLOOKUP(Table!$I32,Specs!$A:$R,MATCH(Table!S$3,Specs!$A$1:$R$1,0),FALSE)</f>
        <v>9.2000000000000028</v>
      </c>
      <c r="T32" s="74">
        <v>3.3111450279363984E-2</v>
      </c>
      <c r="V32" s="57">
        <v>35.154911588461687</v>
      </c>
      <c r="W32" s="14">
        <v>0</v>
      </c>
      <c r="X32" s="14">
        <v>-2.4398312784310421E-5</v>
      </c>
      <c r="Y32" s="55">
        <v>713.71515819405147</v>
      </c>
      <c r="Z32">
        <v>12.398087040653762</v>
      </c>
      <c r="AA32" s="55">
        <v>177.38735530891071</v>
      </c>
      <c r="AB32" s="57">
        <v>93.5</v>
      </c>
      <c r="AC32">
        <f t="shared" si="5"/>
        <v>1</v>
      </c>
      <c r="AD32" s="54">
        <f t="shared" ref="AD32:AD42" si="42">IF(OR(V32=0,ABS(AB32)&lt;V32),T32*AB32,AC32*W32*AB32^3+AC32*X32*(AB32-AC32*Y32)^2+AC32*Z32)</f>
        <v>3.0128651007160059</v>
      </c>
      <c r="AE32" t="str">
        <f t="shared" si="1"/>
        <v>T</v>
      </c>
      <c r="AF32" s="57">
        <f t="shared" si="8"/>
        <v>46.289772437844974</v>
      </c>
      <c r="AG32" s="56" t="str">
        <f t="shared" si="2"/>
        <v>m⁻²</v>
      </c>
      <c r="AH32" s="26">
        <f t="shared" si="6"/>
        <v>16.984666666173926</v>
      </c>
      <c r="AI32" t="str">
        <f t="shared" si="3"/>
        <v>T/m</v>
      </c>
    </row>
    <row r="33" spans="1:36" hidden="1" x14ac:dyDescent="0.25">
      <c r="A33">
        <v>110</v>
      </c>
      <c r="B33" s="38">
        <v>4</v>
      </c>
      <c r="C33" t="s">
        <v>65</v>
      </c>
      <c r="D33" t="s">
        <v>81</v>
      </c>
      <c r="E33" t="s">
        <v>67</v>
      </c>
      <c r="F33" t="s">
        <v>112</v>
      </c>
      <c r="G33" s="22">
        <v>1</v>
      </c>
      <c r="I33" t="s">
        <v>118</v>
      </c>
      <c r="J33" s="80">
        <v>16637</v>
      </c>
      <c r="K33" s="28">
        <v>1.2108388154387262</v>
      </c>
      <c r="L33" s="5" t="str">
        <f t="shared" si="32"/>
        <v>T.mm</v>
      </c>
      <c r="M33" s="5">
        <f>VLOOKUP(Table!$I33,Specs!$A:$R,MATCH(Table!M$3,Specs!$A$1:$R$1,0),FALSE)</f>
        <v>3.2</v>
      </c>
      <c r="N33" s="5">
        <f>VLOOKUP(Table!$I33,Specs!$A:$R,MATCH(Table!N$3,Specs!$A$1:$R$1,0),FALSE)</f>
        <v>10</v>
      </c>
      <c r="O33" s="13">
        <f t="shared" ref="O33:O35" si="43">(N33*M33)/1000</f>
        <v>3.2000000000000001E-2</v>
      </c>
      <c r="P33" s="19">
        <f>VLOOKUP(Table!$I33,Specs!$A:$R,MATCH(Table!P$3,Specs!$A$1:$R$1,0),FALSE)</f>
        <v>0.1</v>
      </c>
      <c r="Q33" s="19">
        <f>VLOOKUP(Table!$I33,Specs!$A:$R,MATCH(Table!Q$3,Specs!$A$1:$R$1,0),FALSE)</f>
        <v>0.5</v>
      </c>
      <c r="R33" s="19">
        <v>25</v>
      </c>
      <c r="S33" s="19">
        <f>VLOOKUP(Table!$I33,Specs!$A:$R,MATCH(Table!S$3,Specs!$A$1:$R$1,0),FALSE)</f>
        <v>2</v>
      </c>
      <c r="T33" s="74">
        <v>0.31726818181818184</v>
      </c>
      <c r="V33" s="57"/>
      <c r="AA33" s="55">
        <v>150.9433962264151</v>
      </c>
      <c r="AB33" s="57">
        <v>93.5</v>
      </c>
      <c r="AC33">
        <f t="shared" ref="AC33" si="44">SIGN(AB33)</f>
        <v>1</v>
      </c>
      <c r="AD33" s="54">
        <f t="shared" si="42"/>
        <v>29.664575000000003</v>
      </c>
      <c r="AE33" t="str">
        <f t="shared" ref="AE33" si="45">L33</f>
        <v>T.mm</v>
      </c>
      <c r="AF33" s="57">
        <f t="shared" ref="AF33" si="46">IF(F33="DIP",360/(2000*PI()),IF(F33="QUAD",1000/AA33,IF(RIGHT(F33,3)="COR",1,0)))*c_*AD33/A33</f>
        <v>80.847416861594098</v>
      </c>
      <c r="AG33" s="56" t="str">
        <f t="shared" ref="AG33" si="47">IF(F33="DIP","°",IF(F33="QUAD","m⁻²",IF(RIGHT(F33,3)="COR","mrad","")))</f>
        <v>mrad</v>
      </c>
      <c r="AH33" s="26">
        <f t="shared" si="6"/>
        <v>196.527809375</v>
      </c>
      <c r="AI33" t="str">
        <f t="shared" si="3"/>
        <v>mT</v>
      </c>
    </row>
    <row r="34" spans="1:36" hidden="1" x14ac:dyDescent="0.25">
      <c r="A34">
        <v>110</v>
      </c>
      <c r="B34" s="38">
        <v>4</v>
      </c>
      <c r="C34" t="s">
        <v>65</v>
      </c>
      <c r="D34" t="s">
        <v>81</v>
      </c>
      <c r="E34" t="s">
        <v>67</v>
      </c>
      <c r="F34" t="s">
        <v>68</v>
      </c>
      <c r="G34" s="22">
        <v>1</v>
      </c>
      <c r="I34" t="s">
        <v>118</v>
      </c>
      <c r="J34" s="80">
        <v>16637</v>
      </c>
      <c r="K34" s="28">
        <v>1.2108388154387262</v>
      </c>
      <c r="L34" s="5" t="str">
        <f t="shared" ref="L34" si="48">IF(F34="QUAD","T","T.mm")</f>
        <v>T.mm</v>
      </c>
      <c r="M34" s="5">
        <f>VLOOKUP(Table!$I34,Specs!$A:$R,MATCH(Table!M$3,Specs!$A$1:$R$1,0),FALSE)</f>
        <v>3.2</v>
      </c>
      <c r="N34" s="5">
        <f>VLOOKUP(Table!$I34,Specs!$A:$R,MATCH(Table!N$3,Specs!$A$1:$R$1,0),FALSE)</f>
        <v>10</v>
      </c>
      <c r="O34" s="13">
        <f t="shared" ref="O34" si="49">(N34*M34)/1000</f>
        <v>3.2000000000000001E-2</v>
      </c>
      <c r="P34" s="19">
        <f>VLOOKUP(Table!$I34,Specs!$A:$R,MATCH(Table!P$3,Specs!$A$1:$R$1,0),FALSE)</f>
        <v>0.1</v>
      </c>
      <c r="Q34" s="19">
        <f>VLOOKUP(Table!$I34,Specs!$A:$R,MATCH(Table!Q$3,Specs!$A$1:$R$1,0),FALSE)</f>
        <v>0.5</v>
      </c>
      <c r="R34" s="19">
        <v>25</v>
      </c>
      <c r="S34" s="19">
        <f>VLOOKUP(Table!$I34,Specs!$A:$R,MATCH(Table!S$3,Specs!$A$1:$R$1,0),FALSE)</f>
        <v>2</v>
      </c>
      <c r="T34" s="74">
        <v>0.31746554545454547</v>
      </c>
      <c r="V34" s="57"/>
      <c r="AA34" s="55">
        <v>150.9433962264151</v>
      </c>
      <c r="AB34" s="57">
        <v>1</v>
      </c>
      <c r="AC34">
        <f t="shared" ref="AC34" si="50">SIGN(AB34)</f>
        <v>1</v>
      </c>
      <c r="AD34" s="54">
        <f t="shared" si="42"/>
        <v>0.31746554545454547</v>
      </c>
      <c r="AE34" t="str">
        <f t="shared" ref="AE34" si="51">L34</f>
        <v>T.mm</v>
      </c>
      <c r="AF34" s="57">
        <f t="shared" ref="AF34" si="52">IF(F34="DIP",360/(2000*PI()),IF(F34="QUAD",1000/AA34,IF(RIGHT(F34,3)="COR",1,0)))*c_*AD34/A34</f>
        <v>0.86521614729208107</v>
      </c>
      <c r="AG34" s="56" t="str">
        <f t="shared" ref="AG34" si="53">IF(F34="DIP","°",IF(F34="QUAD","m⁻²",IF(RIGHT(F34,3)="COR","mrad","")))</f>
        <v>mrad</v>
      </c>
      <c r="AH34" s="26">
        <f t="shared" si="6"/>
        <v>2.1032092386363637</v>
      </c>
      <c r="AI34" t="str">
        <f t="shared" si="3"/>
        <v>mT</v>
      </c>
    </row>
    <row r="35" spans="1:36" hidden="1" x14ac:dyDescent="0.25">
      <c r="A35">
        <v>180</v>
      </c>
      <c r="B35" s="38">
        <v>4</v>
      </c>
      <c r="C35" t="s">
        <v>65</v>
      </c>
      <c r="D35" t="s">
        <v>82</v>
      </c>
      <c r="E35" t="s">
        <v>67</v>
      </c>
      <c r="F35" t="s">
        <v>112</v>
      </c>
      <c r="G35" s="22">
        <v>1</v>
      </c>
      <c r="I35" t="s">
        <v>118</v>
      </c>
      <c r="J35" s="80">
        <v>16635</v>
      </c>
      <c r="K35" s="28">
        <v>1.9813726070815521</v>
      </c>
      <c r="L35" s="5" t="str">
        <f t="shared" si="32"/>
        <v>T.mm</v>
      </c>
      <c r="M35" s="5">
        <f>VLOOKUP(Table!$I35,Specs!$A:$R,MATCH(Table!M$3,Specs!$A$1:$R$1,0),FALSE)</f>
        <v>3.2</v>
      </c>
      <c r="N35" s="5">
        <f>VLOOKUP(Table!$I35,Specs!$A:$R,MATCH(Table!N$3,Specs!$A$1:$R$1,0),FALSE)</f>
        <v>10</v>
      </c>
      <c r="O35" s="13">
        <f t="shared" si="43"/>
        <v>3.2000000000000001E-2</v>
      </c>
      <c r="P35" s="19">
        <f>VLOOKUP(Table!$I35,Specs!$A:$R,MATCH(Table!P$3,Specs!$A$1:$R$1,0),FALSE)</f>
        <v>0.1</v>
      </c>
      <c r="Q35" s="19">
        <f>VLOOKUP(Table!$I35,Specs!$A:$R,MATCH(Table!Q$3,Specs!$A$1:$R$1,0),FALSE)</f>
        <v>0.5</v>
      </c>
      <c r="R35" s="19">
        <v>25</v>
      </c>
      <c r="S35" s="19">
        <f>VLOOKUP(Table!$I35,Specs!$A:$R,MATCH(Table!S$3,Specs!$A$1:$R$1,0),FALSE)</f>
        <v>2</v>
      </c>
      <c r="T35" s="74">
        <v>0.31822800000000007</v>
      </c>
      <c r="V35" s="57"/>
      <c r="AA35" s="55">
        <v>150.9433962264151</v>
      </c>
      <c r="AB35" s="57">
        <v>1</v>
      </c>
      <c r="AC35">
        <f t="shared" si="5"/>
        <v>1</v>
      </c>
      <c r="AD35" s="54">
        <f t="shared" si="42"/>
        <v>0.31822800000000007</v>
      </c>
      <c r="AE35" t="str">
        <f t="shared" si="1"/>
        <v>T.mm</v>
      </c>
      <c r="AF35" s="57">
        <f t="shared" si="8"/>
        <v>0.53001307958013344</v>
      </c>
      <c r="AG35" s="56" t="str">
        <f t="shared" si="2"/>
        <v>mrad</v>
      </c>
      <c r="AH35" s="26">
        <f t="shared" si="6"/>
        <v>2.1082605000000001</v>
      </c>
      <c r="AI35" t="str">
        <f t="shared" si="3"/>
        <v>mT</v>
      </c>
    </row>
    <row r="36" spans="1:36" hidden="1" x14ac:dyDescent="0.25">
      <c r="A36">
        <v>180</v>
      </c>
      <c r="B36" s="38">
        <v>4</v>
      </c>
      <c r="C36" t="s">
        <v>65</v>
      </c>
      <c r="D36" t="s">
        <v>82</v>
      </c>
      <c r="E36" t="s">
        <v>67</v>
      </c>
      <c r="F36" t="s">
        <v>68</v>
      </c>
      <c r="G36" s="22">
        <v>1</v>
      </c>
      <c r="I36" t="s">
        <v>118</v>
      </c>
      <c r="J36" s="80">
        <v>16635</v>
      </c>
      <c r="K36" s="28">
        <v>1.9813726070815521</v>
      </c>
      <c r="L36" s="5" t="str">
        <f t="shared" ref="L36" si="54">IF(F36="QUAD","T","T.mm")</f>
        <v>T.mm</v>
      </c>
      <c r="M36" s="5">
        <f>VLOOKUP(Table!$I36,Specs!$A:$R,MATCH(Table!M$3,Specs!$A$1:$R$1,0),FALSE)</f>
        <v>3.2</v>
      </c>
      <c r="N36" s="5">
        <f>VLOOKUP(Table!$I36,Specs!$A:$R,MATCH(Table!N$3,Specs!$A$1:$R$1,0),FALSE)</f>
        <v>10</v>
      </c>
      <c r="O36" s="13">
        <f t="shared" ref="O36" si="55">(N36*M36)/1000</f>
        <v>3.2000000000000001E-2</v>
      </c>
      <c r="P36" s="19">
        <f>VLOOKUP(Table!$I36,Specs!$A:$R,MATCH(Table!P$3,Specs!$A$1:$R$1,0),FALSE)</f>
        <v>0.1</v>
      </c>
      <c r="Q36" s="19">
        <f>VLOOKUP(Table!$I36,Specs!$A:$R,MATCH(Table!Q$3,Specs!$A$1:$R$1,0),FALSE)</f>
        <v>0.5</v>
      </c>
      <c r="R36" s="19">
        <v>25</v>
      </c>
      <c r="S36" s="19">
        <f>VLOOKUP(Table!$I36,Specs!$A:$R,MATCH(Table!S$3,Specs!$A$1:$R$1,0),FALSE)</f>
        <v>2</v>
      </c>
      <c r="T36" s="74">
        <v>0.31823418181818175</v>
      </c>
      <c r="V36" s="57"/>
      <c r="AA36" s="55">
        <v>150.9433962264151</v>
      </c>
      <c r="AB36" s="57">
        <v>1</v>
      </c>
      <c r="AC36">
        <f t="shared" ref="AC36" si="56">SIGN(AB36)</f>
        <v>1</v>
      </c>
      <c r="AD36" s="54">
        <f t="shared" si="42"/>
        <v>0.31823418181818175</v>
      </c>
      <c r="AE36" t="str">
        <f t="shared" ref="AE36" si="57">L36</f>
        <v>T.mm</v>
      </c>
      <c r="AF36" s="57">
        <f t="shared" ref="AF36" si="58">IF(F36="DIP",360/(2000*PI()),IF(F36="QUAD",1000/AA36,IF(RIGHT(F36,3)="COR",1,0)))*c_*AD36/A36</f>
        <v>0.53002337548273115</v>
      </c>
      <c r="AG36" s="56" t="str">
        <f t="shared" ref="AG36" si="59">IF(F36="DIP","°",IF(F36="QUAD","m⁻²",IF(RIGHT(F36,3)="COR","mrad","")))</f>
        <v>mrad</v>
      </c>
      <c r="AH36" s="26">
        <f t="shared" si="6"/>
        <v>2.1083014545454541</v>
      </c>
      <c r="AI36" t="str">
        <f t="shared" si="3"/>
        <v>mT</v>
      </c>
    </row>
    <row r="37" spans="1:36" hidden="1" x14ac:dyDescent="0.25">
      <c r="A37">
        <v>180</v>
      </c>
      <c r="B37" s="38">
        <v>5</v>
      </c>
      <c r="C37" t="s">
        <v>65</v>
      </c>
      <c r="D37" t="s">
        <v>82</v>
      </c>
      <c r="E37" t="s">
        <v>67</v>
      </c>
      <c r="F37" t="s">
        <v>70</v>
      </c>
      <c r="G37" s="22">
        <v>1</v>
      </c>
      <c r="H37" s="22" t="s">
        <v>78</v>
      </c>
      <c r="I37" t="s">
        <v>94</v>
      </c>
      <c r="J37" s="80">
        <v>16610</v>
      </c>
      <c r="K37" s="28">
        <f>VLOOKUP(Table!$I37,Specs!$A:$R,MATCH(Table!K$3,Specs!$A$1:$R$1,0),FALSE)</f>
        <v>3.2</v>
      </c>
      <c r="L37" s="5" t="str">
        <f t="shared" si="32"/>
        <v>T</v>
      </c>
      <c r="M37" s="5">
        <f>VLOOKUP(Table!$I37,Specs!$A:$R,MATCH(Table!M$3,Specs!$A$1:$R$1,0),FALSE)</f>
        <v>7.97</v>
      </c>
      <c r="N37" s="5">
        <f>VLOOKUP(Table!$I37,Specs!$A:$R,MATCH(Table!N$3,Specs!$A$1:$R$1,0),FALSE)</f>
        <v>93.1</v>
      </c>
      <c r="O37" s="13">
        <f>(N37*M37)/1000</f>
        <v>0.74200699999999997</v>
      </c>
      <c r="P37" s="19">
        <f>VLOOKUP(Table!$I37,Specs!$A:$R,MATCH(Table!P$3,Specs!$A$1:$R$1,0),FALSE)</f>
        <v>4</v>
      </c>
      <c r="Q37" s="19">
        <f>VLOOKUP(Table!$I37,Specs!$A:$R,MATCH(Table!Q$3,Specs!$A$1:$R$1,0),FALSE)</f>
        <v>1.2</v>
      </c>
      <c r="R37" s="19">
        <v>25</v>
      </c>
      <c r="S37" s="19">
        <f>VLOOKUP(Table!$I37,Specs!$A:$R,MATCH(Table!S$3,Specs!$A$1:$R$1,0),FALSE)</f>
        <v>9.2000000000000028</v>
      </c>
      <c r="T37" s="74">
        <v>3.2993039411758934E-2</v>
      </c>
      <c r="V37" s="57">
        <v>38.849103570486989</v>
      </c>
      <c r="W37" s="14">
        <v>0</v>
      </c>
      <c r="X37" s="14">
        <v>-2.3854564452073178E-5</v>
      </c>
      <c r="Y37" s="55">
        <v>730.39472952492656</v>
      </c>
      <c r="Z37">
        <v>12.689846051284743</v>
      </c>
      <c r="AA37" s="55">
        <v>177.24280743290632</v>
      </c>
      <c r="AB37" s="57">
        <v>93.5</v>
      </c>
      <c r="AC37">
        <f t="shared" si="5"/>
        <v>1</v>
      </c>
      <c r="AD37" s="54">
        <f t="shared" si="42"/>
        <v>3.0136022687958661</v>
      </c>
      <c r="AE37" t="str">
        <f t="shared" si="1"/>
        <v>T</v>
      </c>
      <c r="AF37" s="57">
        <f t="shared" si="8"/>
        <v>28.318191320641837</v>
      </c>
      <c r="AG37" s="56" t="str">
        <f t="shared" si="2"/>
        <v>m⁻²</v>
      </c>
      <c r="AH37" s="26">
        <f t="shared" si="6"/>
        <v>17.002677357932498</v>
      </c>
      <c r="AI37" t="str">
        <f t="shared" si="3"/>
        <v>T/m</v>
      </c>
    </row>
    <row r="38" spans="1:36" hidden="1" x14ac:dyDescent="0.25">
      <c r="A38">
        <v>180</v>
      </c>
      <c r="B38" s="38">
        <v>5</v>
      </c>
      <c r="C38" t="s">
        <v>65</v>
      </c>
      <c r="D38" t="s">
        <v>82</v>
      </c>
      <c r="E38" t="s">
        <v>67</v>
      </c>
      <c r="F38" t="s">
        <v>70</v>
      </c>
      <c r="G38" s="22">
        <v>2</v>
      </c>
      <c r="H38" s="22" t="s">
        <v>78</v>
      </c>
      <c r="I38" t="s">
        <v>94</v>
      </c>
      <c r="J38" s="80">
        <v>16607</v>
      </c>
      <c r="K38" s="28">
        <f>VLOOKUP(Table!$I38,Specs!$A:$R,MATCH(Table!K$3,Specs!$A$1:$R$1,0),FALSE)</f>
        <v>3.2</v>
      </c>
      <c r="L38" s="5" t="str">
        <f t="shared" si="32"/>
        <v>T</v>
      </c>
      <c r="M38" s="5">
        <f>VLOOKUP(Table!$I38,Specs!$A:$R,MATCH(Table!M$3,Specs!$A$1:$R$1,0),FALSE)</f>
        <v>7.97</v>
      </c>
      <c r="N38" s="5">
        <f>VLOOKUP(Table!$I38,Specs!$A:$R,MATCH(Table!N$3,Specs!$A$1:$R$1,0),FALSE)</f>
        <v>93.1</v>
      </c>
      <c r="O38" s="13">
        <f>(N38*M38)/1000</f>
        <v>0.74200699999999997</v>
      </c>
      <c r="P38" s="19">
        <f>VLOOKUP(Table!$I38,Specs!$A:$R,MATCH(Table!P$3,Specs!$A$1:$R$1,0),FALSE)</f>
        <v>4</v>
      </c>
      <c r="Q38" s="19">
        <f>VLOOKUP(Table!$I38,Specs!$A:$R,MATCH(Table!Q$3,Specs!$A$1:$R$1,0),FALSE)</f>
        <v>1.2</v>
      </c>
      <c r="R38" s="19">
        <v>26</v>
      </c>
      <c r="S38" s="19">
        <f>VLOOKUP(Table!$I38,Specs!$A:$R,MATCH(Table!S$3,Specs!$A$1:$R$1,0),FALSE)</f>
        <v>9.2000000000000028</v>
      </c>
      <c r="T38" s="74">
        <v>3.3036305306697863E-2</v>
      </c>
      <c r="V38" s="57">
        <v>36.25626336735337</v>
      </c>
      <c r="W38" s="14">
        <v>0</v>
      </c>
      <c r="X38" s="14">
        <v>-2.4008566592634895E-5</v>
      </c>
      <c r="Y38" s="55">
        <v>724.26704441982156</v>
      </c>
      <c r="Z38">
        <v>12.562440094458427</v>
      </c>
      <c r="AA38" s="55">
        <v>178.2118044564119</v>
      </c>
      <c r="AB38" s="57">
        <v>93.5</v>
      </c>
      <c r="AC38">
        <f t="shared" si="5"/>
        <v>1</v>
      </c>
      <c r="AD38" s="54">
        <f t="shared" si="42"/>
        <v>3.0102221855686917</v>
      </c>
      <c r="AE38" t="str">
        <f t="shared" si="1"/>
        <v>T</v>
      </c>
      <c r="AF38" s="57">
        <f t="shared" si="8"/>
        <v>28.13262663275032</v>
      </c>
      <c r="AG38" s="56" t="str">
        <f t="shared" si="2"/>
        <v>m⁻²</v>
      </c>
      <c r="AH38" s="26">
        <f t="shared" si="6"/>
        <v>16.891261466941433</v>
      </c>
      <c r="AI38" t="str">
        <f t="shared" si="3"/>
        <v>T/m</v>
      </c>
    </row>
    <row r="39" spans="1:36" hidden="1" x14ac:dyDescent="0.25">
      <c r="A39">
        <v>180</v>
      </c>
      <c r="B39" s="38">
        <v>5</v>
      </c>
      <c r="C39" t="s">
        <v>65</v>
      </c>
      <c r="D39" t="s">
        <v>82</v>
      </c>
      <c r="E39" t="s">
        <v>67</v>
      </c>
      <c r="F39" t="s">
        <v>70</v>
      </c>
      <c r="G39" s="22">
        <v>3</v>
      </c>
      <c r="H39" s="22" t="s">
        <v>78</v>
      </c>
      <c r="I39" t="s">
        <v>94</v>
      </c>
      <c r="J39" s="80">
        <v>16606</v>
      </c>
      <c r="K39" s="28">
        <f>VLOOKUP(Table!$I39,Specs!$A:$R,MATCH(Table!K$3,Specs!$A$1:$R$1,0),FALSE)</f>
        <v>3.2</v>
      </c>
      <c r="L39" s="5" t="str">
        <f t="shared" si="32"/>
        <v>T</v>
      </c>
      <c r="M39" s="5">
        <f>VLOOKUP(Table!$I39,Specs!$A:$R,MATCH(Table!M$3,Specs!$A$1:$R$1,0),FALSE)</f>
        <v>7.97</v>
      </c>
      <c r="N39" s="5">
        <f>VLOOKUP(Table!$I39,Specs!$A:$R,MATCH(Table!N$3,Specs!$A$1:$R$1,0),FALSE)</f>
        <v>93.1</v>
      </c>
      <c r="O39" s="13">
        <f>(N39*M39)/1000</f>
        <v>0.74200699999999997</v>
      </c>
      <c r="P39" s="19">
        <f>VLOOKUP(Table!$I39,Specs!$A:$R,MATCH(Table!P$3,Specs!$A$1:$R$1,0),FALSE)</f>
        <v>4</v>
      </c>
      <c r="Q39" s="19">
        <f>VLOOKUP(Table!$I39,Specs!$A:$R,MATCH(Table!Q$3,Specs!$A$1:$R$1,0),FALSE)</f>
        <v>1.2</v>
      </c>
      <c r="R39" s="19">
        <v>27</v>
      </c>
      <c r="S39" s="19">
        <f>VLOOKUP(Table!$I39,Specs!$A:$R,MATCH(Table!S$3,Specs!$A$1:$R$1,0),FALSE)</f>
        <v>9.2000000000000028</v>
      </c>
      <c r="T39" s="74">
        <v>3.3038280819531099E-2</v>
      </c>
      <c r="V39" s="57">
        <v>36.040747803843942</v>
      </c>
      <c r="W39" s="14">
        <v>0</v>
      </c>
      <c r="X39" s="14">
        <v>-2.3939418094414557E-5</v>
      </c>
      <c r="Y39" s="55">
        <v>726.08009398242655</v>
      </c>
      <c r="Z39">
        <v>12.589581194676118</v>
      </c>
      <c r="AA39" s="55">
        <v>178.2245335427979</v>
      </c>
      <c r="AB39" s="57">
        <v>93.5</v>
      </c>
      <c r="AC39">
        <f t="shared" si="5"/>
        <v>1</v>
      </c>
      <c r="AD39" s="54">
        <f t="shared" si="42"/>
        <v>3.0100416958548379</v>
      </c>
      <c r="AE39" t="str">
        <f t="shared" si="1"/>
        <v>T</v>
      </c>
      <c r="AF39" s="57">
        <f t="shared" si="8"/>
        <v>28.128930672914208</v>
      </c>
      <c r="AG39" s="56" t="str">
        <f t="shared" si="2"/>
        <v>m⁻²</v>
      </c>
      <c r="AH39" s="26">
        <f t="shared" si="6"/>
        <v>16.889042355843912</v>
      </c>
      <c r="AI39" t="str">
        <f t="shared" si="3"/>
        <v>T/m</v>
      </c>
    </row>
    <row r="40" spans="1:36" hidden="1" x14ac:dyDescent="0.25">
      <c r="A40">
        <v>180</v>
      </c>
      <c r="B40" s="38">
        <v>5</v>
      </c>
      <c r="C40" t="s">
        <v>65</v>
      </c>
      <c r="D40" t="s">
        <v>82</v>
      </c>
      <c r="E40" t="s">
        <v>67</v>
      </c>
      <c r="F40" t="s">
        <v>70</v>
      </c>
      <c r="G40" s="22">
        <v>4</v>
      </c>
      <c r="H40" s="22" t="s">
        <v>78</v>
      </c>
      <c r="I40" t="s">
        <v>94</v>
      </c>
      <c r="J40" s="80">
        <v>16605</v>
      </c>
      <c r="K40" s="28">
        <f>VLOOKUP(Table!$I40,Specs!$A:$R,MATCH(Table!K$3,Specs!$A$1:$R$1,0),FALSE)</f>
        <v>3.2</v>
      </c>
      <c r="L40" s="5" t="str">
        <f t="shared" si="32"/>
        <v>T</v>
      </c>
      <c r="M40" s="5">
        <f>VLOOKUP(Table!$I40,Specs!$A:$R,MATCH(Table!M$3,Specs!$A$1:$R$1,0),FALSE)</f>
        <v>7.97</v>
      </c>
      <c r="N40" s="5">
        <f>VLOOKUP(Table!$I40,Specs!$A:$R,MATCH(Table!N$3,Specs!$A$1:$R$1,0),FALSE)</f>
        <v>93.1</v>
      </c>
      <c r="O40" s="13">
        <f>(N40*M40)/1000</f>
        <v>0.74200699999999997</v>
      </c>
      <c r="P40" s="19">
        <f>VLOOKUP(Table!$I40,Specs!$A:$R,MATCH(Table!P$3,Specs!$A$1:$R$1,0),FALSE)</f>
        <v>4</v>
      </c>
      <c r="Q40" s="19">
        <f>VLOOKUP(Table!$I40,Specs!$A:$R,MATCH(Table!Q$3,Specs!$A$1:$R$1,0),FALSE)</f>
        <v>1.2</v>
      </c>
      <c r="R40" s="19">
        <v>28</v>
      </c>
      <c r="S40" s="19">
        <f>VLOOKUP(Table!$I40,Specs!$A:$R,MATCH(Table!S$3,Specs!$A$1:$R$1,0),FALSE)</f>
        <v>9.2000000000000028</v>
      </c>
      <c r="T40" s="74">
        <v>3.3106290033160547E-2</v>
      </c>
      <c r="V40" s="57">
        <v>35.581907048262906</v>
      </c>
      <c r="W40" s="14">
        <v>0</v>
      </c>
      <c r="X40" s="14">
        <v>-2.3104150753573573E-5</v>
      </c>
      <c r="Y40" s="55">
        <v>752.0395337809814</v>
      </c>
      <c r="Z40">
        <v>13.03761192821438</v>
      </c>
      <c r="AA40" s="55">
        <v>178.13961042892936</v>
      </c>
      <c r="AB40" s="57">
        <v>93.5</v>
      </c>
      <c r="AC40">
        <f t="shared" si="5"/>
        <v>1</v>
      </c>
      <c r="AD40" s="54">
        <f t="shared" si="42"/>
        <v>3.0179351175289213</v>
      </c>
      <c r="AE40" t="str">
        <f t="shared" si="1"/>
        <v>T</v>
      </c>
      <c r="AF40" s="57">
        <f t="shared" si="8"/>
        <v>28.216139789024734</v>
      </c>
      <c r="AG40" s="56" t="str">
        <f t="shared" si="2"/>
        <v>m⁻²</v>
      </c>
      <c r="AH40" s="26">
        <f t="shared" si="6"/>
        <v>16.9414040496791</v>
      </c>
      <c r="AI40" t="str">
        <f t="shared" si="3"/>
        <v>T/m</v>
      </c>
    </row>
    <row r="41" spans="1:36" hidden="1" x14ac:dyDescent="0.25">
      <c r="A41">
        <v>180</v>
      </c>
      <c r="B41" s="38">
        <v>5</v>
      </c>
      <c r="C41" t="s">
        <v>65</v>
      </c>
      <c r="D41" t="s">
        <v>82</v>
      </c>
      <c r="E41" t="s">
        <v>67</v>
      </c>
      <c r="F41" t="s">
        <v>112</v>
      </c>
      <c r="G41" s="22">
        <v>2</v>
      </c>
      <c r="I41" t="s">
        <v>118</v>
      </c>
      <c r="J41" s="80">
        <v>16631</v>
      </c>
      <c r="K41" s="28">
        <v>1.9813726070815521</v>
      </c>
      <c r="L41" s="5" t="str">
        <f t="shared" si="32"/>
        <v>T.mm</v>
      </c>
      <c r="M41" s="5">
        <f>VLOOKUP(Table!$I41,Specs!$A:$R,MATCH(Table!M$3,Specs!$A$1:$R$1,0),FALSE)</f>
        <v>3.2</v>
      </c>
      <c r="N41" s="5">
        <f>VLOOKUP(Table!$I41,Specs!$A:$R,MATCH(Table!N$3,Specs!$A$1:$R$1,0),FALSE)</f>
        <v>10</v>
      </c>
      <c r="O41" s="13">
        <f t="shared" ref="O41" si="60">(N41*M41)/1000</f>
        <v>3.2000000000000001E-2</v>
      </c>
      <c r="P41" s="19">
        <f>VLOOKUP(Table!$I41,Specs!$A:$R,MATCH(Table!P$3,Specs!$A$1:$R$1,0),FALSE)</f>
        <v>0.1</v>
      </c>
      <c r="Q41" s="19">
        <f>VLOOKUP(Table!$I41,Specs!$A:$R,MATCH(Table!Q$3,Specs!$A$1:$R$1,0),FALSE)</f>
        <v>0.5</v>
      </c>
      <c r="R41" s="19">
        <v>25</v>
      </c>
      <c r="S41" s="19">
        <f>VLOOKUP(Table!$I41,Specs!$A:$R,MATCH(Table!S$3,Specs!$A$1:$R$1,0),FALSE)</f>
        <v>2</v>
      </c>
      <c r="T41" s="74">
        <v>0.31834654545454549</v>
      </c>
      <c r="V41" s="57"/>
      <c r="AA41" s="55">
        <v>150.9433962264151</v>
      </c>
      <c r="AB41" s="57">
        <v>1</v>
      </c>
      <c r="AC41">
        <f t="shared" si="5"/>
        <v>1</v>
      </c>
      <c r="AD41" s="54">
        <f t="shared" si="42"/>
        <v>0.31834654545454549</v>
      </c>
      <c r="AE41" t="str">
        <f t="shared" si="1"/>
        <v>T.mm</v>
      </c>
      <c r="AF41" s="57">
        <f t="shared" si="8"/>
        <v>0.5302105186534829</v>
      </c>
      <c r="AG41" s="56" t="str">
        <f t="shared" si="2"/>
        <v>mrad</v>
      </c>
      <c r="AH41" s="26">
        <f t="shared" si="6"/>
        <v>2.1090458636363638</v>
      </c>
      <c r="AI41" t="str">
        <f t="shared" si="3"/>
        <v>mT</v>
      </c>
    </row>
    <row r="42" spans="1:36" hidden="1" x14ac:dyDescent="0.25">
      <c r="A42">
        <v>180</v>
      </c>
      <c r="B42" s="38">
        <v>5</v>
      </c>
      <c r="C42" t="s">
        <v>65</v>
      </c>
      <c r="D42" t="s">
        <v>82</v>
      </c>
      <c r="E42" t="s">
        <v>67</v>
      </c>
      <c r="F42" t="s">
        <v>68</v>
      </c>
      <c r="G42" s="22">
        <v>2</v>
      </c>
      <c r="I42" t="s">
        <v>118</v>
      </c>
      <c r="J42" s="80">
        <v>16631</v>
      </c>
      <c r="K42" s="28">
        <v>1.9813726070815521</v>
      </c>
      <c r="L42" s="5" t="str">
        <f t="shared" ref="L42" si="61">IF(F42="QUAD","T","T.mm")</f>
        <v>T.mm</v>
      </c>
      <c r="M42" s="5">
        <f>VLOOKUP(Table!$I42,Specs!$A:$R,MATCH(Table!M$3,Specs!$A$1:$R$1,0),FALSE)</f>
        <v>3.2</v>
      </c>
      <c r="N42" s="5">
        <f>VLOOKUP(Table!$I42,Specs!$A:$R,MATCH(Table!N$3,Specs!$A$1:$R$1,0),FALSE)</f>
        <v>10</v>
      </c>
      <c r="O42" s="13">
        <f t="shared" ref="O42" si="62">(N42*M42)/1000</f>
        <v>3.2000000000000001E-2</v>
      </c>
      <c r="P42" s="19">
        <f>VLOOKUP(Table!$I42,Specs!$A:$R,MATCH(Table!P$3,Specs!$A$1:$R$1,0),FALSE)</f>
        <v>0.1</v>
      </c>
      <c r="Q42" s="19">
        <f>VLOOKUP(Table!$I42,Specs!$A:$R,MATCH(Table!Q$3,Specs!$A$1:$R$1,0),FALSE)</f>
        <v>0.5</v>
      </c>
      <c r="R42" s="19">
        <v>25</v>
      </c>
      <c r="S42" s="19">
        <f>VLOOKUP(Table!$I42,Specs!$A:$R,MATCH(Table!S$3,Specs!$A$1:$R$1,0),FALSE)</f>
        <v>2</v>
      </c>
      <c r="T42" s="74">
        <v>0.31839500000000004</v>
      </c>
      <c r="V42" s="57"/>
      <c r="AA42" s="55">
        <v>150.9433962264151</v>
      </c>
      <c r="AB42" s="57">
        <v>1</v>
      </c>
      <c r="AC42">
        <f t="shared" ref="AC42" si="63">SIGN(AB42)</f>
        <v>1</v>
      </c>
      <c r="AD42" s="54">
        <f t="shared" si="42"/>
        <v>0.31839500000000004</v>
      </c>
      <c r="AE42" t="str">
        <f t="shared" ref="AE42" si="64">L42</f>
        <v>T.mm</v>
      </c>
      <c r="AF42" s="57">
        <f t="shared" ref="AF42" si="65">IF(F42="DIP",360/(2000*PI()),IF(F42="QUAD",1000/AA42,IF(RIGHT(F42,3)="COR",1,0)))*c_*AD42/A42</f>
        <v>0.53029122036061116</v>
      </c>
      <c r="AG42" s="56" t="str">
        <f t="shared" ref="AG42" si="66">IF(F42="DIP","°",IF(F42="QUAD","m⁻²",IF(RIGHT(F42,3)="COR","mrad","")))</f>
        <v>mrad</v>
      </c>
      <c r="AH42" s="26">
        <f t="shared" si="6"/>
        <v>2.1093668750000001</v>
      </c>
      <c r="AI42" t="str">
        <f t="shared" si="3"/>
        <v>mT</v>
      </c>
    </row>
    <row r="43" spans="1:36" hidden="1" x14ac:dyDescent="0.25">
      <c r="A43">
        <v>180</v>
      </c>
      <c r="B43" s="38">
        <v>5</v>
      </c>
      <c r="C43" t="s">
        <v>65</v>
      </c>
      <c r="D43" t="s">
        <v>82</v>
      </c>
      <c r="E43" t="s">
        <v>67</v>
      </c>
      <c r="F43" t="s">
        <v>72</v>
      </c>
      <c r="G43" s="22">
        <v>1</v>
      </c>
      <c r="H43" s="22" t="s">
        <v>77</v>
      </c>
      <c r="I43" t="s">
        <v>103</v>
      </c>
      <c r="J43" s="80"/>
      <c r="L43" s="5" t="str">
        <f t="shared" si="32"/>
        <v>T.mm</v>
      </c>
      <c r="O43" s="13"/>
      <c r="P43" s="19"/>
      <c r="Q43" s="19"/>
      <c r="R43" s="19"/>
      <c r="S43" s="19"/>
      <c r="T43" s="74"/>
      <c r="V43" s="57"/>
      <c r="AA43" s="55">
        <v>0</v>
      </c>
      <c r="AB43" s="57">
        <v>1</v>
      </c>
      <c r="AC43">
        <f t="shared" si="5"/>
        <v>1</v>
      </c>
      <c r="AE43" t="str">
        <f t="shared" si="1"/>
        <v>T.mm</v>
      </c>
      <c r="AF43" s="57">
        <f t="shared" si="8"/>
        <v>0</v>
      </c>
      <c r="AG43" s="56" t="str">
        <f t="shared" si="2"/>
        <v>°</v>
      </c>
      <c r="AH43" s="26" t="e">
        <f t="shared" si="6"/>
        <v>#DIV/0!</v>
      </c>
      <c r="AI43" t="str">
        <f t="shared" si="3"/>
        <v>mT</v>
      </c>
      <c r="AJ43" t="s">
        <v>151</v>
      </c>
    </row>
    <row r="44" spans="1:36" hidden="1" x14ac:dyDescent="0.25">
      <c r="A44">
        <v>180</v>
      </c>
      <c r="B44" s="38">
        <v>5</v>
      </c>
      <c r="C44" t="s">
        <v>65</v>
      </c>
      <c r="D44" t="s">
        <v>82</v>
      </c>
      <c r="E44" t="s">
        <v>67</v>
      </c>
      <c r="F44" t="s">
        <v>72</v>
      </c>
      <c r="G44" s="22">
        <v>2</v>
      </c>
      <c r="H44" s="22" t="s">
        <v>77</v>
      </c>
      <c r="I44" t="s">
        <v>103</v>
      </c>
      <c r="J44" s="80"/>
      <c r="L44" s="5" t="str">
        <f t="shared" si="32"/>
        <v>T.mm</v>
      </c>
      <c r="O44" s="13"/>
      <c r="P44" s="19"/>
      <c r="Q44" s="19"/>
      <c r="R44" s="19"/>
      <c r="S44" s="19"/>
      <c r="T44" s="74"/>
      <c r="V44" s="57"/>
      <c r="AA44" s="55">
        <v>0</v>
      </c>
      <c r="AC44">
        <f t="shared" si="5"/>
        <v>0</v>
      </c>
      <c r="AE44" t="str">
        <f t="shared" si="1"/>
        <v>T.mm</v>
      </c>
      <c r="AF44" s="57">
        <f t="shared" si="8"/>
        <v>0</v>
      </c>
      <c r="AG44" s="56" t="str">
        <f t="shared" si="2"/>
        <v>°</v>
      </c>
      <c r="AH44" s="26" t="e">
        <f t="shared" si="6"/>
        <v>#DIV/0!</v>
      </c>
      <c r="AI44" t="str">
        <f t="shared" si="3"/>
        <v>mT</v>
      </c>
      <c r="AJ44" t="s">
        <v>151</v>
      </c>
    </row>
    <row r="45" spans="1:36" hidden="1" x14ac:dyDescent="0.25">
      <c r="A45">
        <v>180</v>
      </c>
      <c r="B45" s="38">
        <v>5</v>
      </c>
      <c r="C45" t="s">
        <v>65</v>
      </c>
      <c r="D45" t="s">
        <v>82</v>
      </c>
      <c r="E45" t="s">
        <v>67</v>
      </c>
      <c r="F45" t="s">
        <v>112</v>
      </c>
      <c r="G45" s="22">
        <v>3</v>
      </c>
      <c r="I45" t="s">
        <v>120</v>
      </c>
      <c r="J45" s="80">
        <v>16650</v>
      </c>
      <c r="K45" s="28">
        <v>1.9813726070815521</v>
      </c>
      <c r="L45" s="5" t="str">
        <f t="shared" si="32"/>
        <v>T.mm</v>
      </c>
      <c r="M45" s="5">
        <f>VLOOKUP(Table!$I45,Specs!$A:$R,MATCH(Table!M$3,Specs!$A$1:$R$1,0),FALSE)</f>
        <v>1.6</v>
      </c>
      <c r="N45" s="5">
        <f>VLOOKUP(Table!$I45,Specs!$A:$R,MATCH(Table!N$3,Specs!$A$1:$R$1,0),FALSE)</f>
        <v>9.6</v>
      </c>
      <c r="O45" s="13">
        <f t="shared" ref="O45" si="67">(N45*M45)/1000</f>
        <v>1.5359999999999999E-2</v>
      </c>
      <c r="P45" s="19" t="str">
        <f>VLOOKUP(Table!$I45,Specs!$A:$R,MATCH(Table!P$3,Specs!$A$1:$R$1,0),FALSE)</f>
        <v>Air-cooled</v>
      </c>
      <c r="Q45" s="19">
        <f>VLOOKUP(Table!$I45,Specs!$A:$R,MATCH(Table!Q$3,Specs!$A$1:$R$1,0),FALSE)</f>
        <v>0</v>
      </c>
      <c r="R45" s="19">
        <v>25</v>
      </c>
      <c r="S45" s="19">
        <f>VLOOKUP(Table!$I45,Specs!$A:$R,MATCH(Table!S$3,Specs!$A$1:$R$1,0),FALSE)</f>
        <v>0</v>
      </c>
      <c r="T45" s="74">
        <v>0.52732318181818216</v>
      </c>
      <c r="V45" s="57"/>
      <c r="AA45" s="55">
        <v>194</v>
      </c>
      <c r="AB45" s="57">
        <v>1</v>
      </c>
      <c r="AC45">
        <f t="shared" si="5"/>
        <v>1</v>
      </c>
      <c r="AD45" s="54">
        <f t="shared" ref="AD45:AD46" si="68">IF(OR(V45=0,ABS(AB45)&lt;V45),T45*AB45,AC45*W45*AB45^3+AC45*X45*(AB45-AC45*Y45)^2+AC45*Z45)</f>
        <v>0.52732318181818216</v>
      </c>
      <c r="AE45" t="str">
        <f t="shared" si="1"/>
        <v>T.mm</v>
      </c>
      <c r="AF45" s="57">
        <f t="shared" si="8"/>
        <v>0.87826396020918751</v>
      </c>
      <c r="AG45" s="56" t="str">
        <f t="shared" si="2"/>
        <v>mrad</v>
      </c>
      <c r="AH45" s="26">
        <f t="shared" si="6"/>
        <v>2.7181607310215576</v>
      </c>
      <c r="AI45" t="str">
        <f t="shared" si="3"/>
        <v>mT</v>
      </c>
    </row>
    <row r="46" spans="1:36" hidden="1" x14ac:dyDescent="0.25">
      <c r="A46">
        <v>180</v>
      </c>
      <c r="B46" s="38">
        <v>5</v>
      </c>
      <c r="C46" t="s">
        <v>65</v>
      </c>
      <c r="D46" t="s">
        <v>82</v>
      </c>
      <c r="E46" t="s">
        <v>67</v>
      </c>
      <c r="F46" t="s">
        <v>68</v>
      </c>
      <c r="G46" s="22">
        <v>3</v>
      </c>
      <c r="I46" t="s">
        <v>120</v>
      </c>
      <c r="J46" s="80">
        <v>16650</v>
      </c>
      <c r="K46" s="28">
        <v>1.9813726070815521</v>
      </c>
      <c r="L46" s="5" t="str">
        <f t="shared" ref="L46" si="69">IF(F46="QUAD","T","T.mm")</f>
        <v>T.mm</v>
      </c>
      <c r="M46" s="5">
        <f>VLOOKUP(Table!$I46,Specs!$A:$R,MATCH(Table!M$3,Specs!$A$1:$R$1,0),FALSE)</f>
        <v>1.6</v>
      </c>
      <c r="N46" s="5">
        <f>VLOOKUP(Table!$I46,Specs!$A:$R,MATCH(Table!N$3,Specs!$A$1:$R$1,0),FALSE)</f>
        <v>9.6</v>
      </c>
      <c r="O46" s="13">
        <f t="shared" ref="O46" si="70">(N46*M46)/1000</f>
        <v>1.5359999999999999E-2</v>
      </c>
      <c r="P46" s="19" t="str">
        <f>VLOOKUP(Table!$I46,Specs!$A:$R,MATCH(Table!P$3,Specs!$A$1:$R$1,0),FALSE)</f>
        <v>Air-cooled</v>
      </c>
      <c r="Q46" s="19">
        <f>VLOOKUP(Table!$I46,Specs!$A:$R,MATCH(Table!Q$3,Specs!$A$1:$R$1,0),FALSE)</f>
        <v>0</v>
      </c>
      <c r="R46" s="19">
        <v>25</v>
      </c>
      <c r="S46" s="19">
        <f>VLOOKUP(Table!$I46,Specs!$A:$R,MATCH(Table!S$3,Specs!$A$1:$R$1,0),FALSE)</f>
        <v>0</v>
      </c>
      <c r="T46" s="74">
        <v>0.52761181818181824</v>
      </c>
      <c r="V46" s="57"/>
      <c r="AA46" s="55">
        <v>194</v>
      </c>
      <c r="AB46" s="57">
        <v>1</v>
      </c>
      <c r="AC46">
        <f t="shared" ref="AC46" si="71">SIGN(AB46)</f>
        <v>1</v>
      </c>
      <c r="AD46" s="54">
        <f t="shared" si="68"/>
        <v>0.52761181818181824</v>
      </c>
      <c r="AE46" t="str">
        <f t="shared" ref="AE46" si="72">L46</f>
        <v>T.mm</v>
      </c>
      <c r="AF46" s="57">
        <f t="shared" ref="AF46" si="73">IF(F46="DIP",360/(2000*PI()),IF(F46="QUAD",1000/AA46,IF(RIGHT(F46,3)="COR",1,0)))*c_*AD46/A46</f>
        <v>0.87874468801431327</v>
      </c>
      <c r="AG46" s="56" t="str">
        <f t="shared" ref="AG46" si="74">IF(F46="DIP","°",IF(F46="QUAD","m⁻²",IF(RIGHT(F46,3)="COR","mrad","")))</f>
        <v>mrad</v>
      </c>
      <c r="AH46" s="26">
        <f t="shared" si="6"/>
        <v>2.7196485473289598</v>
      </c>
      <c r="AI46" t="str">
        <f t="shared" si="3"/>
        <v>mT</v>
      </c>
    </row>
    <row r="47" spans="1:36" hidden="1" x14ac:dyDescent="0.25">
      <c r="A47">
        <v>180</v>
      </c>
      <c r="B47" s="38">
        <v>5</v>
      </c>
      <c r="C47" t="s">
        <v>65</v>
      </c>
      <c r="D47" t="s">
        <v>82</v>
      </c>
      <c r="E47" t="s">
        <v>67</v>
      </c>
      <c r="F47" t="s">
        <v>72</v>
      </c>
      <c r="G47" s="22">
        <v>3</v>
      </c>
      <c r="H47" s="22" t="s">
        <v>77</v>
      </c>
      <c r="I47" t="s">
        <v>103</v>
      </c>
      <c r="J47" s="80"/>
      <c r="L47" s="5" t="str">
        <f t="shared" si="32"/>
        <v>T.mm</v>
      </c>
      <c r="O47" s="13"/>
      <c r="P47" s="19"/>
      <c r="Q47" s="19"/>
      <c r="R47" s="19"/>
      <c r="S47" s="19"/>
      <c r="T47" s="74"/>
      <c r="V47" s="57"/>
      <c r="AA47" s="55">
        <v>0</v>
      </c>
      <c r="AC47">
        <f t="shared" si="5"/>
        <v>0</v>
      </c>
      <c r="AE47" t="str">
        <f t="shared" si="1"/>
        <v>T.mm</v>
      </c>
      <c r="AF47" s="57">
        <f t="shared" si="8"/>
        <v>0</v>
      </c>
      <c r="AG47" s="56" t="str">
        <f t="shared" si="2"/>
        <v>°</v>
      </c>
      <c r="AH47" s="26" t="e">
        <f t="shared" si="6"/>
        <v>#DIV/0!</v>
      </c>
      <c r="AI47" t="str">
        <f t="shared" si="3"/>
        <v>mT</v>
      </c>
      <c r="AJ47" t="s">
        <v>151</v>
      </c>
    </row>
    <row r="48" spans="1:36" hidden="1" x14ac:dyDescent="0.25">
      <c r="A48">
        <v>180</v>
      </c>
      <c r="B48" s="38">
        <v>5</v>
      </c>
      <c r="C48" t="s">
        <v>65</v>
      </c>
      <c r="D48" t="s">
        <v>82</v>
      </c>
      <c r="E48" t="s">
        <v>67</v>
      </c>
      <c r="F48" t="s">
        <v>72</v>
      </c>
      <c r="G48" s="22">
        <v>4</v>
      </c>
      <c r="H48" s="22" t="s">
        <v>77</v>
      </c>
      <c r="I48" t="s">
        <v>103</v>
      </c>
      <c r="J48" s="80"/>
      <c r="L48" s="5" t="str">
        <f t="shared" si="32"/>
        <v>T.mm</v>
      </c>
      <c r="O48" s="13"/>
      <c r="P48" s="19"/>
      <c r="Q48" s="19"/>
      <c r="R48" s="19"/>
      <c r="S48" s="19"/>
      <c r="T48" s="74"/>
      <c r="V48" s="57"/>
      <c r="AA48" s="55">
        <v>0</v>
      </c>
      <c r="AC48">
        <f t="shared" si="5"/>
        <v>0</v>
      </c>
      <c r="AE48" t="str">
        <f t="shared" si="1"/>
        <v>T.mm</v>
      </c>
      <c r="AF48" s="57">
        <f t="shared" si="8"/>
        <v>0</v>
      </c>
      <c r="AG48" s="56" t="str">
        <f t="shared" si="2"/>
        <v>°</v>
      </c>
      <c r="AH48" s="26" t="e">
        <f t="shared" si="6"/>
        <v>#DIV/0!</v>
      </c>
      <c r="AI48" t="str">
        <f t="shared" si="3"/>
        <v>mT</v>
      </c>
      <c r="AJ48" t="s">
        <v>151</v>
      </c>
    </row>
    <row r="49" spans="1:35" hidden="1" x14ac:dyDescent="0.25">
      <c r="A49">
        <v>180</v>
      </c>
      <c r="B49" s="38">
        <v>6</v>
      </c>
      <c r="C49" t="s">
        <v>65</v>
      </c>
      <c r="D49" t="s">
        <v>82</v>
      </c>
      <c r="E49" t="s">
        <v>67</v>
      </c>
      <c r="F49" t="s">
        <v>70</v>
      </c>
      <c r="G49" s="22">
        <v>5</v>
      </c>
      <c r="H49" s="22" t="s">
        <v>78</v>
      </c>
      <c r="I49" t="s">
        <v>94</v>
      </c>
      <c r="J49" s="80">
        <v>16611</v>
      </c>
      <c r="K49" s="28">
        <f>VLOOKUP(Table!$I49,Specs!$A:$R,MATCH(Table!K$3,Specs!$A$1:$R$1,0),FALSE)</f>
        <v>3.2</v>
      </c>
      <c r="L49" s="5" t="str">
        <f t="shared" si="32"/>
        <v>T</v>
      </c>
      <c r="M49" s="5">
        <f>VLOOKUP(Table!$I49,Specs!$A:$R,MATCH(Table!M$3,Specs!$A$1:$R$1,0),FALSE)</f>
        <v>7.97</v>
      </c>
      <c r="N49" s="5">
        <f>VLOOKUP(Table!$I49,Specs!$A:$R,MATCH(Table!N$3,Specs!$A$1:$R$1,0),FALSE)</f>
        <v>93.1</v>
      </c>
      <c r="O49" s="13">
        <f>(N49*M49)/1000</f>
        <v>0.74200699999999997</v>
      </c>
      <c r="P49" s="19">
        <f>VLOOKUP(Table!$I49,Specs!$A:$R,MATCH(Table!P$3,Specs!$A$1:$R$1,0),FALSE)</f>
        <v>4</v>
      </c>
      <c r="Q49" s="19">
        <f>VLOOKUP(Table!$I49,Specs!$A:$R,MATCH(Table!Q$3,Specs!$A$1:$R$1,0),FALSE)</f>
        <v>1.2</v>
      </c>
      <c r="R49" s="19">
        <v>25</v>
      </c>
      <c r="S49" s="19">
        <f>VLOOKUP(Table!$I49,Specs!$A:$R,MATCH(Table!S$3,Specs!$A$1:$R$1,0),FALSE)</f>
        <v>9.2000000000000028</v>
      </c>
      <c r="T49" s="74">
        <v>3.3015741151685672E-2</v>
      </c>
      <c r="V49" s="57">
        <v>35.517938985347485</v>
      </c>
      <c r="W49" s="14">
        <v>0</v>
      </c>
      <c r="X49" s="14">
        <v>-2.0240065985022933E-5</v>
      </c>
      <c r="Y49" s="55">
        <v>851.12153375910884</v>
      </c>
      <c r="Z49">
        <v>14.636529663499021</v>
      </c>
      <c r="AA49" s="55">
        <v>178.30552410296391</v>
      </c>
      <c r="AB49" s="57">
        <v>93.5</v>
      </c>
      <c r="AC49">
        <f t="shared" si="5"/>
        <v>1</v>
      </c>
      <c r="AD49" s="54">
        <f t="shared" ref="AD49:AD60" si="75">IF(OR(V49=0,ABS(AB49)&lt;V49),T49*AB49,AC49*W49*AB49^3+AC49*X49*(AB49-AC49*Y49)^2+AC49*Z49)</f>
        <v>3.0189263272002673</v>
      </c>
      <c r="AE49" t="str">
        <f t="shared" si="1"/>
        <v>T</v>
      </c>
      <c r="AF49" s="57">
        <f t="shared" si="8"/>
        <v>28.199143287140842</v>
      </c>
      <c r="AG49" s="56" t="str">
        <f t="shared" si="2"/>
        <v>m⁻²</v>
      </c>
      <c r="AH49" s="26">
        <f t="shared" si="6"/>
        <v>16.931199088688722</v>
      </c>
      <c r="AI49" t="str">
        <f t="shared" si="3"/>
        <v>T/m</v>
      </c>
    </row>
    <row r="50" spans="1:35" hidden="1" x14ac:dyDescent="0.25">
      <c r="A50">
        <v>180</v>
      </c>
      <c r="B50" s="38">
        <v>6</v>
      </c>
      <c r="C50" t="s">
        <v>65</v>
      </c>
      <c r="D50" t="s">
        <v>82</v>
      </c>
      <c r="E50" t="s">
        <v>67</v>
      </c>
      <c r="F50" t="s">
        <v>112</v>
      </c>
      <c r="G50" s="22">
        <v>4</v>
      </c>
      <c r="I50" t="s">
        <v>118</v>
      </c>
      <c r="J50" s="80">
        <v>16640</v>
      </c>
      <c r="K50" s="28">
        <v>1.9813726070815521</v>
      </c>
      <c r="L50" s="5" t="str">
        <f t="shared" si="32"/>
        <v>T.mm</v>
      </c>
      <c r="M50" s="5">
        <f>VLOOKUP(Table!$I50,Specs!$A:$R,MATCH(Table!M$3,Specs!$A$1:$R$1,0),FALSE)</f>
        <v>3.2</v>
      </c>
      <c r="N50" s="5">
        <f>VLOOKUP(Table!$I50,Specs!$A:$R,MATCH(Table!N$3,Specs!$A$1:$R$1,0),FALSE)</f>
        <v>10</v>
      </c>
      <c r="O50" s="13">
        <f t="shared" ref="O50" si="76">(N50*M50)/1000</f>
        <v>3.2000000000000001E-2</v>
      </c>
      <c r="P50" s="19">
        <f>VLOOKUP(Table!$I50,Specs!$A:$R,MATCH(Table!P$3,Specs!$A$1:$R$1,0),FALSE)</f>
        <v>0.1</v>
      </c>
      <c r="Q50" s="19">
        <f>VLOOKUP(Table!$I50,Specs!$A:$R,MATCH(Table!Q$3,Specs!$A$1:$R$1,0),FALSE)</f>
        <v>0.5</v>
      </c>
      <c r="R50" s="19">
        <v>25</v>
      </c>
      <c r="S50" s="19">
        <f>VLOOKUP(Table!$I50,Specs!$A:$R,MATCH(Table!S$3,Specs!$A$1:$R$1,0),FALSE)</f>
        <v>2</v>
      </c>
      <c r="T50" s="74">
        <v>0.31968045454545457</v>
      </c>
      <c r="V50" s="57"/>
      <c r="AA50" s="55">
        <v>150.9433962264151</v>
      </c>
      <c r="AB50" s="57">
        <v>1</v>
      </c>
      <c r="AC50">
        <f t="shared" si="5"/>
        <v>1</v>
      </c>
      <c r="AD50" s="54">
        <f t="shared" si="75"/>
        <v>0.31968045454545457</v>
      </c>
      <c r="AE50" t="str">
        <f t="shared" si="1"/>
        <v>T.mm</v>
      </c>
      <c r="AF50" s="57">
        <f t="shared" si="8"/>
        <v>0.53243216245966174</v>
      </c>
      <c r="AG50" s="56" t="str">
        <f t="shared" si="2"/>
        <v>mrad</v>
      </c>
      <c r="AH50" s="26">
        <f t="shared" si="6"/>
        <v>2.1178830113636362</v>
      </c>
      <c r="AI50" t="str">
        <f t="shared" si="3"/>
        <v>mT</v>
      </c>
    </row>
    <row r="51" spans="1:35" hidden="1" x14ac:dyDescent="0.25">
      <c r="A51">
        <v>180</v>
      </c>
      <c r="B51" s="38">
        <v>6</v>
      </c>
      <c r="C51" t="s">
        <v>65</v>
      </c>
      <c r="D51" t="s">
        <v>82</v>
      </c>
      <c r="E51" t="s">
        <v>67</v>
      </c>
      <c r="F51" t="s">
        <v>68</v>
      </c>
      <c r="G51" s="22">
        <v>4</v>
      </c>
      <c r="I51" t="s">
        <v>118</v>
      </c>
      <c r="J51" s="80">
        <v>16640</v>
      </c>
      <c r="K51" s="28">
        <v>1.9813726070815521</v>
      </c>
      <c r="L51" s="5" t="str">
        <f t="shared" ref="L51" si="77">IF(F51="QUAD","T","T.mm")</f>
        <v>T.mm</v>
      </c>
      <c r="M51" s="5">
        <f>VLOOKUP(Table!$I51,Specs!$A:$R,MATCH(Table!M$3,Specs!$A$1:$R$1,0),FALSE)</f>
        <v>3.2</v>
      </c>
      <c r="N51" s="5">
        <f>VLOOKUP(Table!$I51,Specs!$A:$R,MATCH(Table!N$3,Specs!$A$1:$R$1,0),FALSE)</f>
        <v>10</v>
      </c>
      <c r="O51" s="13">
        <f t="shared" ref="O51" si="78">(N51*M51)/1000</f>
        <v>3.2000000000000001E-2</v>
      </c>
      <c r="P51" s="19">
        <f>VLOOKUP(Table!$I51,Specs!$A:$R,MATCH(Table!P$3,Specs!$A$1:$R$1,0),FALSE)</f>
        <v>0.1</v>
      </c>
      <c r="Q51" s="19">
        <f>VLOOKUP(Table!$I51,Specs!$A:$R,MATCH(Table!Q$3,Specs!$A$1:$R$1,0),FALSE)</f>
        <v>0.5</v>
      </c>
      <c r="R51" s="19">
        <v>25</v>
      </c>
      <c r="S51" s="19">
        <f>VLOOKUP(Table!$I51,Specs!$A:$R,MATCH(Table!S$3,Specs!$A$1:$R$1,0),FALSE)</f>
        <v>2</v>
      </c>
      <c r="T51" s="74">
        <v>0.31947945454545451</v>
      </c>
      <c r="V51" s="57"/>
      <c r="AA51" s="55">
        <v>150.9433962264151</v>
      </c>
      <c r="AB51" s="57">
        <v>1</v>
      </c>
      <c r="AC51">
        <f t="shared" ref="AC51" si="79">SIGN(AB51)</f>
        <v>1</v>
      </c>
      <c r="AD51" s="54">
        <f t="shared" si="75"/>
        <v>0.31947945454545451</v>
      </c>
      <c r="AE51" t="str">
        <f t="shared" ref="AE51" si="80">L51</f>
        <v>T.mm</v>
      </c>
      <c r="AF51" s="57">
        <f t="shared" ref="AF51" si="81">IF(F51="DIP",360/(2000*PI()),IF(F51="QUAD",1000/AA51,IF(RIGHT(F51,3)="COR",1,0)))*c_*AD51/A51</f>
        <v>0.53209739421489488</v>
      </c>
      <c r="AG51" s="56" t="str">
        <f t="shared" ref="AG51" si="82">IF(F51="DIP","°",IF(F51="QUAD","m⁻²",IF(RIGHT(F51,3)="COR","mrad","")))</f>
        <v>mrad</v>
      </c>
      <c r="AH51" s="26">
        <f t="shared" si="6"/>
        <v>2.116551386363636</v>
      </c>
      <c r="AI51" t="str">
        <f t="shared" si="3"/>
        <v>mT</v>
      </c>
    </row>
    <row r="52" spans="1:35" hidden="1" x14ac:dyDescent="0.25">
      <c r="A52">
        <v>180</v>
      </c>
      <c r="B52" s="38">
        <v>6</v>
      </c>
      <c r="C52" t="s">
        <v>65</v>
      </c>
      <c r="D52" t="s">
        <v>82</v>
      </c>
      <c r="E52" t="s">
        <v>67</v>
      </c>
      <c r="F52" t="s">
        <v>70</v>
      </c>
      <c r="G52" s="22">
        <v>6</v>
      </c>
      <c r="H52" s="22" t="s">
        <v>78</v>
      </c>
      <c r="I52" t="s">
        <v>94</v>
      </c>
      <c r="J52" s="80">
        <v>16612</v>
      </c>
      <c r="K52" s="28">
        <f>VLOOKUP(Table!$I52,Specs!$A:$R,MATCH(Table!K$3,Specs!$A$1:$R$1,0),FALSE)</f>
        <v>3.2</v>
      </c>
      <c r="L52" s="5" t="str">
        <f t="shared" si="32"/>
        <v>T</v>
      </c>
      <c r="M52" s="5">
        <f>VLOOKUP(Table!$I52,Specs!$A:$R,MATCH(Table!M$3,Specs!$A$1:$R$1,0),FALSE)</f>
        <v>7.97</v>
      </c>
      <c r="N52" s="5">
        <f>VLOOKUP(Table!$I52,Specs!$A:$R,MATCH(Table!N$3,Specs!$A$1:$R$1,0),FALSE)</f>
        <v>93.1</v>
      </c>
      <c r="O52" s="13">
        <f>(N52*M52)/1000</f>
        <v>0.74200699999999997</v>
      </c>
      <c r="P52" s="19">
        <f>VLOOKUP(Table!$I52,Specs!$A:$R,MATCH(Table!P$3,Specs!$A$1:$R$1,0),FALSE)</f>
        <v>4</v>
      </c>
      <c r="Q52" s="19">
        <f>VLOOKUP(Table!$I52,Specs!$A:$R,MATCH(Table!Q$3,Specs!$A$1:$R$1,0),FALSE)</f>
        <v>1.2</v>
      </c>
      <c r="R52" s="19">
        <v>25</v>
      </c>
      <c r="S52" s="19">
        <f>VLOOKUP(Table!$I52,Specs!$A:$R,MATCH(Table!S$3,Specs!$A$1:$R$1,0),FALSE)</f>
        <v>9.2000000000000028</v>
      </c>
      <c r="T52" s="74">
        <v>3.3089186257438161E-2</v>
      </c>
      <c r="V52" s="57">
        <v>34.66673073558303</v>
      </c>
      <c r="W52" s="14">
        <v>0</v>
      </c>
      <c r="X52" s="14">
        <v>-2.3296640733847939E-5</v>
      </c>
      <c r="Y52" s="55">
        <v>744.83749388261754</v>
      </c>
      <c r="Z52">
        <v>12.896580238425779</v>
      </c>
      <c r="AA52" s="55">
        <v>177.7860696819553</v>
      </c>
      <c r="AB52" s="57">
        <v>93.5</v>
      </c>
      <c r="AC52">
        <f t="shared" si="5"/>
        <v>1</v>
      </c>
      <c r="AD52" s="54">
        <f t="shared" si="75"/>
        <v>3.013201004442859</v>
      </c>
      <c r="AE52" t="str">
        <f t="shared" si="1"/>
        <v>T</v>
      </c>
      <c r="AF52" s="57">
        <f t="shared" si="8"/>
        <v>28.227900131945276</v>
      </c>
      <c r="AG52" s="56" t="str">
        <f t="shared" si="2"/>
        <v>m⁻²</v>
      </c>
      <c r="AH52" s="26">
        <f t="shared" si="6"/>
        <v>16.948465140341021</v>
      </c>
      <c r="AI52" t="str">
        <f t="shared" si="3"/>
        <v>T/m</v>
      </c>
    </row>
    <row r="53" spans="1:35" hidden="1" x14ac:dyDescent="0.25">
      <c r="A53">
        <v>180</v>
      </c>
      <c r="B53" s="38">
        <v>6</v>
      </c>
      <c r="C53" t="s">
        <v>65</v>
      </c>
      <c r="D53" t="s">
        <v>82</v>
      </c>
      <c r="E53" t="s">
        <v>67</v>
      </c>
      <c r="F53" t="s">
        <v>70</v>
      </c>
      <c r="G53" s="22">
        <v>7</v>
      </c>
      <c r="H53" s="22" t="s">
        <v>78</v>
      </c>
      <c r="I53" t="s">
        <v>94</v>
      </c>
      <c r="J53" s="80">
        <v>16613</v>
      </c>
      <c r="K53" s="28">
        <f>VLOOKUP(Table!$I53,Specs!$A:$R,MATCH(Table!K$3,Specs!$A$1:$R$1,0),FALSE)</f>
        <v>3.2</v>
      </c>
      <c r="L53" s="5" t="str">
        <f t="shared" si="32"/>
        <v>T</v>
      </c>
      <c r="M53" s="5">
        <f>VLOOKUP(Table!$I53,Specs!$A:$R,MATCH(Table!M$3,Specs!$A$1:$R$1,0),FALSE)</f>
        <v>7.97</v>
      </c>
      <c r="N53" s="5">
        <f>VLOOKUP(Table!$I53,Specs!$A:$R,MATCH(Table!N$3,Specs!$A$1:$R$1,0),FALSE)</f>
        <v>93.1</v>
      </c>
      <c r="O53" s="13">
        <f>(N53*M53)/1000</f>
        <v>0.74200699999999997</v>
      </c>
      <c r="P53" s="19">
        <f>VLOOKUP(Table!$I53,Specs!$A:$R,MATCH(Table!P$3,Specs!$A$1:$R$1,0),FALSE)</f>
        <v>4</v>
      </c>
      <c r="Q53" s="19">
        <f>VLOOKUP(Table!$I53,Specs!$A:$R,MATCH(Table!Q$3,Specs!$A$1:$R$1,0),FALSE)</f>
        <v>1.2</v>
      </c>
      <c r="R53" s="19">
        <v>25</v>
      </c>
      <c r="S53" s="19">
        <f>VLOOKUP(Table!$I53,Specs!$A:$R,MATCH(Table!S$3,Specs!$A$1:$R$1,0),FALSE)</f>
        <v>9.2000000000000028</v>
      </c>
      <c r="T53" s="74">
        <v>3.3060396780326635E-2</v>
      </c>
      <c r="V53" s="57">
        <v>33.76138561912876</v>
      </c>
      <c r="W53" s="14">
        <v>0</v>
      </c>
      <c r="X53" s="14">
        <v>-2.2191272208468556E-5</v>
      </c>
      <c r="Y53" s="55">
        <v>778.65776807416989</v>
      </c>
      <c r="Z53">
        <v>13.429449786518809</v>
      </c>
      <c r="AA53" s="55">
        <v>177.82351412719666</v>
      </c>
      <c r="AB53" s="57">
        <v>93.5</v>
      </c>
      <c r="AC53">
        <f t="shared" si="5"/>
        <v>1</v>
      </c>
      <c r="AD53" s="54">
        <f t="shared" si="75"/>
        <v>3.0119530603792004</v>
      </c>
      <c r="AE53" t="str">
        <f t="shared" si="1"/>
        <v>T</v>
      </c>
      <c r="AF53" s="57">
        <f t="shared" si="8"/>
        <v>28.210267784752325</v>
      </c>
      <c r="AG53" s="56" t="str">
        <f t="shared" si="2"/>
        <v>m⁻²</v>
      </c>
      <c r="AH53" s="26">
        <f t="shared" si="6"/>
        <v>16.937878408053272</v>
      </c>
      <c r="AI53" t="str">
        <f t="shared" si="3"/>
        <v>T/m</v>
      </c>
    </row>
    <row r="54" spans="1:35" hidden="1" x14ac:dyDescent="0.25">
      <c r="A54">
        <v>180</v>
      </c>
      <c r="B54" s="38">
        <v>6</v>
      </c>
      <c r="C54" t="s">
        <v>65</v>
      </c>
      <c r="D54" t="s">
        <v>82</v>
      </c>
      <c r="E54" t="s">
        <v>67</v>
      </c>
      <c r="F54" t="s">
        <v>112</v>
      </c>
      <c r="G54" s="22">
        <v>5</v>
      </c>
      <c r="I54" t="s">
        <v>118</v>
      </c>
      <c r="J54" s="80">
        <v>16638</v>
      </c>
      <c r="K54" s="28">
        <v>1.9813726070815521</v>
      </c>
      <c r="L54" s="5" t="str">
        <f t="shared" si="32"/>
        <v>T.mm</v>
      </c>
      <c r="M54" s="5">
        <f>VLOOKUP(Table!$I54,Specs!$A:$R,MATCH(Table!M$3,Specs!$A$1:$R$1,0),FALSE)</f>
        <v>3.2</v>
      </c>
      <c r="N54" s="5">
        <f>VLOOKUP(Table!$I54,Specs!$A:$R,MATCH(Table!N$3,Specs!$A$1:$R$1,0),FALSE)</f>
        <v>10</v>
      </c>
      <c r="O54" s="13">
        <f t="shared" ref="O54" si="83">(N54*M54)/1000</f>
        <v>3.2000000000000001E-2</v>
      </c>
      <c r="P54" s="19">
        <f>VLOOKUP(Table!$I54,Specs!$A:$R,MATCH(Table!P$3,Specs!$A$1:$R$1,0),FALSE)</f>
        <v>0.1</v>
      </c>
      <c r="Q54" s="19">
        <f>VLOOKUP(Table!$I54,Specs!$A:$R,MATCH(Table!Q$3,Specs!$A$1:$R$1,0),FALSE)</f>
        <v>0.5</v>
      </c>
      <c r="R54" s="19">
        <v>25</v>
      </c>
      <c r="S54" s="19">
        <f>VLOOKUP(Table!$I54,Specs!$A:$R,MATCH(Table!S$3,Specs!$A$1:$R$1,0),FALSE)</f>
        <v>2</v>
      </c>
      <c r="T54" s="74">
        <v>0.31855218181818179</v>
      </c>
      <c r="V54" s="57"/>
      <c r="AA54" s="55">
        <v>150.9433962264151</v>
      </c>
      <c r="AB54" s="57">
        <v>1</v>
      </c>
      <c r="AC54">
        <f t="shared" si="5"/>
        <v>1</v>
      </c>
      <c r="AD54" s="54">
        <f t="shared" si="75"/>
        <v>0.31855218181818179</v>
      </c>
      <c r="AE54" t="str">
        <f t="shared" si="1"/>
        <v>T.mm</v>
      </c>
      <c r="AF54" s="57">
        <f t="shared" si="8"/>
        <v>0.53055300882519796</v>
      </c>
      <c r="AG54" s="56" t="str">
        <f t="shared" si="2"/>
        <v>mrad</v>
      </c>
      <c r="AH54" s="26">
        <f t="shared" si="6"/>
        <v>2.1104082045454544</v>
      </c>
      <c r="AI54" t="str">
        <f t="shared" si="3"/>
        <v>mT</v>
      </c>
    </row>
    <row r="55" spans="1:35" hidden="1" x14ac:dyDescent="0.25">
      <c r="A55">
        <v>180</v>
      </c>
      <c r="B55" s="38">
        <v>6</v>
      </c>
      <c r="C55" t="s">
        <v>65</v>
      </c>
      <c r="D55" t="s">
        <v>82</v>
      </c>
      <c r="E55" t="s">
        <v>67</v>
      </c>
      <c r="F55" t="s">
        <v>68</v>
      </c>
      <c r="G55" s="22">
        <v>5</v>
      </c>
      <c r="I55" t="s">
        <v>118</v>
      </c>
      <c r="J55" s="80">
        <v>16638</v>
      </c>
      <c r="K55" s="28">
        <v>1.9813726070815521</v>
      </c>
      <c r="L55" s="5" t="str">
        <f t="shared" ref="L55" si="84">IF(F55="QUAD","T","T.mm")</f>
        <v>T.mm</v>
      </c>
      <c r="M55" s="5">
        <f>VLOOKUP(Table!$I55,Specs!$A:$R,MATCH(Table!M$3,Specs!$A$1:$R$1,0),FALSE)</f>
        <v>3.2</v>
      </c>
      <c r="N55" s="5">
        <f>VLOOKUP(Table!$I55,Specs!$A:$R,MATCH(Table!N$3,Specs!$A$1:$R$1,0),FALSE)</f>
        <v>10</v>
      </c>
      <c r="O55" s="13">
        <f t="shared" ref="O55" si="85">(N55*M55)/1000</f>
        <v>3.2000000000000001E-2</v>
      </c>
      <c r="P55" s="19">
        <f>VLOOKUP(Table!$I55,Specs!$A:$R,MATCH(Table!P$3,Specs!$A$1:$R$1,0),FALSE)</f>
        <v>0.1</v>
      </c>
      <c r="Q55" s="19">
        <f>VLOOKUP(Table!$I55,Specs!$A:$R,MATCH(Table!Q$3,Specs!$A$1:$R$1,0),FALSE)</f>
        <v>0.5</v>
      </c>
      <c r="R55" s="19">
        <v>25</v>
      </c>
      <c r="S55" s="19">
        <f>VLOOKUP(Table!$I55,Specs!$A:$R,MATCH(Table!S$3,Specs!$A$1:$R$1,0),FALSE)</f>
        <v>2</v>
      </c>
      <c r="T55" s="74">
        <v>0.31801290909090907</v>
      </c>
      <c r="V55" s="57"/>
      <c r="AA55" s="55">
        <v>150.9433962264151</v>
      </c>
      <c r="AB55" s="57">
        <v>1</v>
      </c>
      <c r="AC55">
        <f t="shared" ref="AC55" si="86">SIGN(AB55)</f>
        <v>1</v>
      </c>
      <c r="AD55" s="54">
        <f t="shared" si="75"/>
        <v>0.31801290909090907</v>
      </c>
      <c r="AE55" t="str">
        <f t="shared" ref="AE55" si="87">L55</f>
        <v>T.mm</v>
      </c>
      <c r="AF55" s="57">
        <f t="shared" ref="AF55" si="88">IF(F55="DIP",360/(2000*PI()),IF(F55="QUAD",1000/AA55,IF(RIGHT(F55,3)="COR",1,0)))*c_*AD55/A55</f>
        <v>0.52965484273385655</v>
      </c>
      <c r="AG55" s="56" t="str">
        <f t="shared" ref="AG55" si="89">IF(F55="DIP","°",IF(F55="QUAD","m⁻²",IF(RIGHT(F55,3)="COR","mrad","")))</f>
        <v>mrad</v>
      </c>
      <c r="AH55" s="26">
        <f t="shared" si="6"/>
        <v>2.1068355227272728</v>
      </c>
      <c r="AI55" t="str">
        <f t="shared" si="3"/>
        <v>mT</v>
      </c>
    </row>
    <row r="56" spans="1:35" hidden="1" x14ac:dyDescent="0.25">
      <c r="A56">
        <v>180</v>
      </c>
      <c r="B56" s="38">
        <v>6</v>
      </c>
      <c r="C56" t="s">
        <v>65</v>
      </c>
      <c r="D56" t="s">
        <v>82</v>
      </c>
      <c r="E56" t="s">
        <v>67</v>
      </c>
      <c r="F56" t="s">
        <v>70</v>
      </c>
      <c r="G56" s="22">
        <v>8</v>
      </c>
      <c r="H56" s="22" t="s">
        <v>78</v>
      </c>
      <c r="I56" t="s">
        <v>94</v>
      </c>
      <c r="J56" s="80">
        <v>16609</v>
      </c>
      <c r="K56" s="28">
        <f>VLOOKUP(Table!$I56,Specs!$A:$R,MATCH(Table!K$3,Specs!$A$1:$R$1,0),FALSE)</f>
        <v>3.2</v>
      </c>
      <c r="L56" s="5" t="str">
        <f t="shared" si="32"/>
        <v>T</v>
      </c>
      <c r="M56" s="5">
        <f>VLOOKUP(Table!$I56,Specs!$A:$R,MATCH(Table!M$3,Specs!$A$1:$R$1,0),FALSE)</f>
        <v>7.97</v>
      </c>
      <c r="N56" s="5">
        <f>VLOOKUP(Table!$I56,Specs!$A:$R,MATCH(Table!N$3,Specs!$A$1:$R$1,0),FALSE)</f>
        <v>93.1</v>
      </c>
      <c r="O56" s="13">
        <f>(N56*M56)/1000</f>
        <v>0.74200699999999997</v>
      </c>
      <c r="P56" s="19">
        <f>VLOOKUP(Table!$I56,Specs!$A:$R,MATCH(Table!P$3,Specs!$A$1:$R$1,0),FALSE)</f>
        <v>4</v>
      </c>
      <c r="Q56" s="19">
        <f>VLOOKUP(Table!$I56,Specs!$A:$R,MATCH(Table!Q$3,Specs!$A$1:$R$1,0),FALSE)</f>
        <v>1.2</v>
      </c>
      <c r="R56" s="19">
        <v>25</v>
      </c>
      <c r="S56" s="19">
        <f>VLOOKUP(Table!$I56,Specs!$A:$R,MATCH(Table!S$3,Specs!$A$1:$R$1,0),FALSE)</f>
        <v>9.2000000000000028</v>
      </c>
      <c r="T56" s="74">
        <v>3.2993259565865143E-2</v>
      </c>
      <c r="V56" s="57">
        <v>34.914637845922414</v>
      </c>
      <c r="W56" s="14">
        <v>0</v>
      </c>
      <c r="X56" s="14">
        <v>-2.1918681330133678E-5</v>
      </c>
      <c r="Y56" s="55">
        <v>787.54339020855195</v>
      </c>
      <c r="Z56">
        <v>13.567785600815434</v>
      </c>
      <c r="AA56" s="55">
        <v>177.95551811340832</v>
      </c>
      <c r="AB56" s="57">
        <v>93.5</v>
      </c>
      <c r="AC56">
        <f t="shared" si="5"/>
        <v>1</v>
      </c>
      <c r="AD56" s="54">
        <f t="shared" si="75"/>
        <v>3.0096394924867553</v>
      </c>
      <c r="AE56" t="str">
        <f t="shared" si="1"/>
        <v>T</v>
      </c>
      <c r="AF56" s="57">
        <f t="shared" si="8"/>
        <v>28.167688904378526</v>
      </c>
      <c r="AG56" s="56" t="str">
        <f t="shared" si="2"/>
        <v>m⁻²</v>
      </c>
      <c r="AH56" s="26">
        <f t="shared" si="6"/>
        <v>16.912313393781687</v>
      </c>
      <c r="AI56" t="str">
        <f t="shared" si="3"/>
        <v>T/m</v>
      </c>
    </row>
    <row r="57" spans="1:35" hidden="1" x14ac:dyDescent="0.25">
      <c r="A57">
        <v>165</v>
      </c>
      <c r="B57" s="38">
        <v>6</v>
      </c>
      <c r="C57" t="s">
        <v>65</v>
      </c>
      <c r="D57" t="s">
        <v>83</v>
      </c>
      <c r="E57" t="s">
        <v>67</v>
      </c>
      <c r="F57" t="s">
        <v>70</v>
      </c>
      <c r="G57" s="22">
        <v>1</v>
      </c>
      <c r="H57" s="22" t="s">
        <v>78</v>
      </c>
      <c r="I57" t="s">
        <v>94</v>
      </c>
      <c r="J57" s="80">
        <v>16616</v>
      </c>
      <c r="K57" s="28">
        <f>1*0.15</f>
        <v>0.15</v>
      </c>
      <c r="L57" s="5" t="str">
        <f t="shared" si="32"/>
        <v>T</v>
      </c>
      <c r="M57" s="5">
        <f>VLOOKUP(Table!$I57,Specs!$A:$R,MATCH(Table!M$3,Specs!$A$1:$R$1,0),FALSE)</f>
        <v>7.97</v>
      </c>
      <c r="N57" s="5">
        <f>VLOOKUP(Table!$I57,Specs!$A:$R,MATCH(Table!N$3,Specs!$A$1:$R$1,0),FALSE)</f>
        <v>93.1</v>
      </c>
      <c r="O57" s="13">
        <f t="shared" ref="O57" si="90">(N57*M57)/1000</f>
        <v>0.74200699999999997</v>
      </c>
      <c r="P57" s="19">
        <f>VLOOKUP(Table!$I57,Specs!$A:$R,MATCH(Table!P$3,Specs!$A$1:$R$1,0),FALSE)</f>
        <v>4</v>
      </c>
      <c r="Q57" s="19">
        <f>VLOOKUP(Table!$I57,Specs!$A:$R,MATCH(Table!Q$3,Specs!$A$1:$R$1,0),FALSE)</f>
        <v>1.2</v>
      </c>
      <c r="R57" s="19">
        <v>25</v>
      </c>
      <c r="S57" s="19">
        <f>VLOOKUP(Table!$I57,Specs!$A:$R,MATCH(Table!S$3,Specs!$A$1:$R$1,0),FALSE)</f>
        <v>9.2000000000000028</v>
      </c>
      <c r="T57" s="74">
        <v>3.3110833780473248E-2</v>
      </c>
      <c r="V57" s="57">
        <v>36.145903394243817</v>
      </c>
      <c r="W57" s="14">
        <v>0</v>
      </c>
      <c r="X57" s="14">
        <v>-2.4206971869124828E-5</v>
      </c>
      <c r="Y57" s="55">
        <v>720.05700882881069</v>
      </c>
      <c r="Z57">
        <v>12.519254465463678</v>
      </c>
      <c r="AA57" s="55">
        <v>179.57966101222246</v>
      </c>
      <c r="AB57" s="57">
        <v>93.5</v>
      </c>
      <c r="AC57">
        <f t="shared" si="5"/>
        <v>1</v>
      </c>
      <c r="AD57" s="54">
        <f t="shared" si="75"/>
        <v>3.0162343085451742</v>
      </c>
      <c r="AE57" t="str">
        <f t="shared" si="1"/>
        <v>T</v>
      </c>
      <c r="AF57" s="57">
        <f t="shared" si="8"/>
        <v>30.517200207242407</v>
      </c>
      <c r="AG57" s="56" t="str">
        <f t="shared" si="2"/>
        <v>m⁻²</v>
      </c>
      <c r="AH57" s="26">
        <f t="shared" si="6"/>
        <v>16.796079753930957</v>
      </c>
      <c r="AI57" t="str">
        <f t="shared" si="3"/>
        <v>T/m</v>
      </c>
    </row>
    <row r="58" spans="1:35" hidden="1" x14ac:dyDescent="0.25">
      <c r="A58">
        <v>165</v>
      </c>
      <c r="B58" s="38">
        <v>6</v>
      </c>
      <c r="C58" t="s">
        <v>65</v>
      </c>
      <c r="D58" t="s">
        <v>83</v>
      </c>
      <c r="E58" t="s">
        <v>67</v>
      </c>
      <c r="F58" t="s">
        <v>112</v>
      </c>
      <c r="G58" s="22">
        <v>1</v>
      </c>
      <c r="I58" t="s">
        <v>120</v>
      </c>
      <c r="J58" s="80">
        <v>16649</v>
      </c>
      <c r="K58" s="28">
        <v>1.9813726070815521</v>
      </c>
      <c r="L58" s="5" t="str">
        <f t="shared" si="32"/>
        <v>T.mm</v>
      </c>
      <c r="M58" s="5">
        <f>VLOOKUP(Table!$I58,Specs!$A:$R,MATCH(Table!M$3,Specs!$A$1:$R$1,0),FALSE)</f>
        <v>1.6</v>
      </c>
      <c r="N58" s="5">
        <f>VLOOKUP(Table!$I58,Specs!$A:$R,MATCH(Table!N$3,Specs!$A$1:$R$1,0),FALSE)</f>
        <v>9.6</v>
      </c>
      <c r="O58" s="13">
        <f t="shared" ref="O58:O60" si="91">(N58*M58)/1000</f>
        <v>1.5359999999999999E-2</v>
      </c>
      <c r="P58" s="19" t="str">
        <f>VLOOKUP(Table!$I58,Specs!$A:$R,MATCH(Table!P$3,Specs!$A$1:$R$1,0),FALSE)</f>
        <v>Air-cooled</v>
      </c>
      <c r="Q58" s="19">
        <f>VLOOKUP(Table!$I58,Specs!$A:$R,MATCH(Table!Q$3,Specs!$A$1:$R$1,0),FALSE)</f>
        <v>0</v>
      </c>
      <c r="R58" s="19">
        <v>25</v>
      </c>
      <c r="S58" s="19">
        <f>VLOOKUP(Table!$I58,Specs!$A:$R,MATCH(Table!S$3,Specs!$A$1:$R$1,0),FALSE)</f>
        <v>0</v>
      </c>
      <c r="T58" s="74">
        <v>0.53088909090909098</v>
      </c>
      <c r="V58" s="57"/>
      <c r="AA58" s="55">
        <v>194</v>
      </c>
      <c r="AB58" s="57">
        <v>1</v>
      </c>
      <c r="AC58">
        <f t="shared" si="5"/>
        <v>1</v>
      </c>
      <c r="AD58" s="54">
        <f t="shared" si="75"/>
        <v>0.53088909090909098</v>
      </c>
      <c r="AE58" t="str">
        <f t="shared" si="1"/>
        <v>T.mm</v>
      </c>
      <c r="AF58" s="57">
        <f t="shared" si="8"/>
        <v>0.96458512417589004</v>
      </c>
      <c r="AG58" s="56" t="str">
        <f t="shared" si="2"/>
        <v>mrad</v>
      </c>
      <c r="AH58" s="26">
        <f t="shared" si="6"/>
        <v>2.7365417057169639</v>
      </c>
      <c r="AI58" t="str">
        <f t="shared" si="3"/>
        <v>mT</v>
      </c>
    </row>
    <row r="59" spans="1:35" hidden="1" x14ac:dyDescent="0.25">
      <c r="A59">
        <v>165</v>
      </c>
      <c r="B59" s="38">
        <v>6</v>
      </c>
      <c r="C59" t="s">
        <v>65</v>
      </c>
      <c r="D59" t="s">
        <v>83</v>
      </c>
      <c r="E59" t="s">
        <v>67</v>
      </c>
      <c r="F59" t="s">
        <v>68</v>
      </c>
      <c r="G59" s="22">
        <v>1</v>
      </c>
      <c r="I59" t="s">
        <v>120</v>
      </c>
      <c r="J59" s="80">
        <v>16649</v>
      </c>
      <c r="K59" s="28">
        <v>1.9813726070815521</v>
      </c>
      <c r="L59" s="5" t="str">
        <f t="shared" ref="L59" si="92">IF(F59="QUAD","T","T.mm")</f>
        <v>T.mm</v>
      </c>
      <c r="M59" s="5">
        <f>VLOOKUP(Table!$I59,Specs!$A:$R,MATCH(Table!M$3,Specs!$A$1:$R$1,0),FALSE)</f>
        <v>1.6</v>
      </c>
      <c r="N59" s="5">
        <f>VLOOKUP(Table!$I59,Specs!$A:$R,MATCH(Table!N$3,Specs!$A$1:$R$1,0),FALSE)</f>
        <v>9.6</v>
      </c>
      <c r="O59" s="13">
        <f t="shared" ref="O59" si="93">(N59*M59)/1000</f>
        <v>1.5359999999999999E-2</v>
      </c>
      <c r="P59" s="19" t="str">
        <f>VLOOKUP(Table!$I59,Specs!$A:$R,MATCH(Table!P$3,Specs!$A$1:$R$1,0),FALSE)</f>
        <v>Air-cooled</v>
      </c>
      <c r="Q59" s="19">
        <f>VLOOKUP(Table!$I59,Specs!$A:$R,MATCH(Table!Q$3,Specs!$A$1:$R$1,0),FALSE)</f>
        <v>0</v>
      </c>
      <c r="R59" s="19">
        <v>25</v>
      </c>
      <c r="S59" s="19">
        <f>VLOOKUP(Table!$I59,Specs!$A:$R,MATCH(Table!S$3,Specs!$A$1:$R$1,0),FALSE)</f>
        <v>0</v>
      </c>
      <c r="T59" s="74">
        <v>0.53094772727272754</v>
      </c>
      <c r="V59" s="57"/>
      <c r="AA59" s="55">
        <v>194</v>
      </c>
      <c r="AB59" s="57">
        <v>1</v>
      </c>
      <c r="AC59">
        <f t="shared" ref="AC59" si="94">SIGN(AB59)</f>
        <v>1</v>
      </c>
      <c r="AD59" s="54">
        <f t="shared" si="75"/>
        <v>0.53094772727272754</v>
      </c>
      <c r="AE59" t="str">
        <f t="shared" ref="AE59" si="95">L59</f>
        <v>T.mm</v>
      </c>
      <c r="AF59" s="57">
        <f t="shared" ref="AF59" si="96">IF(F59="DIP",360/(2000*PI()),IF(F59="QUAD",1000/AA59,IF(RIGHT(F59,3)="COR",1,0)))*c_*AD59/A59</f>
        <v>0.96469166199154321</v>
      </c>
      <c r="AG59" s="56" t="str">
        <f t="shared" ref="AG59" si="97">IF(F59="DIP","°",IF(F59="QUAD","m⁻²",IF(RIGHT(F59,3)="COR","mrad","")))</f>
        <v>mrad</v>
      </c>
      <c r="AH59" s="26">
        <f t="shared" si="6"/>
        <v>2.7368439550140593</v>
      </c>
      <c r="AI59" t="str">
        <f t="shared" si="3"/>
        <v>mT</v>
      </c>
    </row>
    <row r="60" spans="1:35" hidden="1" x14ac:dyDescent="0.25">
      <c r="A60">
        <v>165</v>
      </c>
      <c r="B60" s="38">
        <v>6</v>
      </c>
      <c r="C60" t="s">
        <v>65</v>
      </c>
      <c r="D60" t="s">
        <v>83</v>
      </c>
      <c r="E60" t="s">
        <v>67</v>
      </c>
      <c r="F60" t="s">
        <v>70</v>
      </c>
      <c r="G60" s="22">
        <v>2</v>
      </c>
      <c r="H60" s="22" t="s">
        <v>78</v>
      </c>
      <c r="I60" t="s">
        <v>94</v>
      </c>
      <c r="J60" s="80">
        <v>16608</v>
      </c>
      <c r="K60" s="28">
        <f>3*0.15</f>
        <v>0.44999999999999996</v>
      </c>
      <c r="L60" s="5" t="str">
        <f t="shared" si="32"/>
        <v>T</v>
      </c>
      <c r="M60" s="5">
        <f>VLOOKUP(Table!$I60,Specs!$A:$R,MATCH(Table!M$3,Specs!$A$1:$R$1,0),FALSE)</f>
        <v>7.97</v>
      </c>
      <c r="N60" s="5">
        <f>VLOOKUP(Table!$I60,Specs!$A:$R,MATCH(Table!N$3,Specs!$A$1:$R$1,0),FALSE)</f>
        <v>93.1</v>
      </c>
      <c r="O60" s="13">
        <f t="shared" si="91"/>
        <v>0.74200699999999997</v>
      </c>
      <c r="P60" s="19">
        <f>VLOOKUP(Table!$I60,Specs!$A:$R,MATCH(Table!P$3,Specs!$A$1:$R$1,0),FALSE)</f>
        <v>4</v>
      </c>
      <c r="Q60" s="19">
        <f>VLOOKUP(Table!$I60,Specs!$A:$R,MATCH(Table!Q$3,Specs!$A$1:$R$1,0),FALSE)</f>
        <v>1.2</v>
      </c>
      <c r="R60" s="19">
        <v>25</v>
      </c>
      <c r="S60" s="19">
        <f>VLOOKUP(Table!$I60,Specs!$A:$R,MATCH(Table!S$3,Specs!$A$1:$R$1,0),FALSE)</f>
        <v>9.2000000000000028</v>
      </c>
      <c r="T60" s="74">
        <v>3.3090208941864846E-2</v>
      </c>
      <c r="V60" s="57">
        <v>34.755808325423175</v>
      </c>
      <c r="W60" s="14">
        <v>0</v>
      </c>
      <c r="X60" s="14">
        <v>-2.4385466936341824E-5</v>
      </c>
      <c r="Y60" s="55">
        <v>713.23797617250034</v>
      </c>
      <c r="Z60">
        <v>12.37563530812626</v>
      </c>
      <c r="AA60" s="55">
        <v>177.98213440788126</v>
      </c>
      <c r="AB60" s="57">
        <v>93.5</v>
      </c>
      <c r="AC60">
        <f t="shared" si="5"/>
        <v>1</v>
      </c>
      <c r="AD60" s="54">
        <f t="shared" si="75"/>
        <v>3.0097832145697012</v>
      </c>
      <c r="AE60" t="str">
        <f t="shared" si="1"/>
        <v>T</v>
      </c>
      <c r="AF60" s="57">
        <f t="shared" si="8"/>
        <v>30.725259808011749</v>
      </c>
      <c r="AG60" s="56" t="str">
        <f t="shared" si="2"/>
        <v>m⁻²</v>
      </c>
      <c r="AH60" s="26">
        <f t="shared" si="6"/>
        <v>16.910591754519515</v>
      </c>
      <c r="AI60" t="str">
        <f t="shared" si="3"/>
        <v>T/m</v>
      </c>
    </row>
    <row r="61" spans="1:35" hidden="1" x14ac:dyDescent="0.25">
      <c r="A61">
        <v>165</v>
      </c>
      <c r="B61" s="38">
        <v>7</v>
      </c>
      <c r="C61" t="s">
        <v>65</v>
      </c>
      <c r="D61" t="s">
        <v>84</v>
      </c>
      <c r="E61" t="s">
        <v>67</v>
      </c>
      <c r="F61" t="s">
        <v>72</v>
      </c>
      <c r="G61" s="22">
        <v>1</v>
      </c>
      <c r="H61" s="22" t="s">
        <v>77</v>
      </c>
      <c r="I61" t="s">
        <v>95</v>
      </c>
      <c r="J61" s="80">
        <v>5</v>
      </c>
      <c r="K61" s="28">
        <f>VLOOKUP(Table!$I61,Specs!$A:$R,MATCH(Table!K$3,Specs!$A$1:$R$1,0),FALSE)</f>
        <v>100</v>
      </c>
      <c r="L61" s="5" t="str">
        <f t="shared" si="32"/>
        <v>T.mm</v>
      </c>
      <c r="M61" s="5">
        <f>VLOOKUP(Table!$I61,Specs!$A:$R,MATCH(Table!M$3,Specs!$A$1:$R$1,0),FALSE)</f>
        <v>8.94</v>
      </c>
      <c r="N61" s="5">
        <f>VLOOKUP(Table!$I61,Specs!$A:$R,MATCH(Table!N$3,Specs!$A$1:$R$1,0),FALSE)</f>
        <v>150</v>
      </c>
      <c r="O61" s="13">
        <f>(N61*M61)/1000</f>
        <v>1.341</v>
      </c>
      <c r="P61" s="19">
        <f>VLOOKUP(Table!$I61,Specs!$A:$R,MATCH(Table!P$3,Specs!$A$1:$R$1,0),FALSE)</f>
        <v>6</v>
      </c>
      <c r="Q61" s="19">
        <f>VLOOKUP(Table!$I61,Specs!$A:$R,MATCH(Table!Q$3,Specs!$A$1:$R$1,0),FALSE)</f>
        <v>2.19</v>
      </c>
      <c r="R61" s="19">
        <v>25</v>
      </c>
      <c r="S61" s="19">
        <f>VLOOKUP(Table!$I61,Specs!$A:$R,MATCH(Table!S$3,Specs!$A$1:$R$1,0),FALSE)</f>
        <v>8.81</v>
      </c>
      <c r="T61" s="74">
        <v>0.75817633452141542</v>
      </c>
      <c r="V61" s="57">
        <v>123.70403990282664</v>
      </c>
      <c r="W61" s="14">
        <v>0</v>
      </c>
      <c r="X61" s="14">
        <v>-2.4438048474122167E-3</v>
      </c>
      <c r="Y61" s="55">
        <v>286.42659085518068</v>
      </c>
      <c r="Z61">
        <v>158.65316569036099</v>
      </c>
      <c r="AA61" s="55">
        <v>231.56</v>
      </c>
      <c r="AC61">
        <f t="shared" si="5"/>
        <v>0</v>
      </c>
      <c r="AE61" t="str">
        <f t="shared" si="1"/>
        <v>T.mm</v>
      </c>
      <c r="AF61" s="57">
        <f t="shared" si="8"/>
        <v>0</v>
      </c>
      <c r="AG61" s="56" t="str">
        <f t="shared" si="2"/>
        <v>°</v>
      </c>
      <c r="AH61" s="26">
        <f t="shared" si="6"/>
        <v>0</v>
      </c>
      <c r="AI61" t="str">
        <f t="shared" si="3"/>
        <v>mT</v>
      </c>
    </row>
    <row r="62" spans="1:35" hidden="1" x14ac:dyDescent="0.25">
      <c r="A62">
        <v>165</v>
      </c>
      <c r="B62" s="38">
        <v>7</v>
      </c>
      <c r="C62" t="s">
        <v>65</v>
      </c>
      <c r="D62" t="s">
        <v>84</v>
      </c>
      <c r="E62" t="s">
        <v>67</v>
      </c>
      <c r="F62" t="s">
        <v>112</v>
      </c>
      <c r="G62" s="22">
        <v>1</v>
      </c>
      <c r="I62" t="s">
        <v>218</v>
      </c>
      <c r="J62" s="80">
        <v>5</v>
      </c>
      <c r="K62" s="28">
        <f>VLOOKUP(Table!$I62,Specs!$A:$R,MATCH(Table!K$3,Specs!$A$1:$R$1,0),FALSE)</f>
        <v>1.5</v>
      </c>
      <c r="L62" s="5" t="str">
        <f t="shared" si="32"/>
        <v>T.mm</v>
      </c>
      <c r="M62" s="5">
        <f>VLOOKUP(Table!$I62,Specs!$A:$R,MATCH(Table!M$3,Specs!$A$1:$R$1,0),FALSE)</f>
        <v>0.82</v>
      </c>
      <c r="N62" s="5">
        <f>VLOOKUP(Table!$I62,Specs!$A:$R,MATCH(Table!N$3,Specs!$A$1:$R$1,0),FALSE)</f>
        <v>10</v>
      </c>
      <c r="O62" s="13">
        <f>(N62*M62)/1000</f>
        <v>8.199999999999999E-3</v>
      </c>
      <c r="P62" s="19"/>
      <c r="Q62" s="19"/>
      <c r="R62" s="19"/>
      <c r="S62" s="19"/>
      <c r="T62" s="74">
        <v>0.15188542144432376</v>
      </c>
      <c r="V62" s="57"/>
      <c r="AA62" s="55">
        <v>0</v>
      </c>
      <c r="AC62">
        <f t="shared" si="5"/>
        <v>0</v>
      </c>
      <c r="AE62" t="str">
        <f t="shared" si="1"/>
        <v>T.mm</v>
      </c>
      <c r="AF62" s="57">
        <f t="shared" si="8"/>
        <v>0</v>
      </c>
      <c r="AG62" s="56" t="str">
        <f t="shared" si="2"/>
        <v>mrad</v>
      </c>
      <c r="AH62" s="26" t="e">
        <f t="shared" si="6"/>
        <v>#DIV/0!</v>
      </c>
      <c r="AI62" t="str">
        <f t="shared" si="3"/>
        <v>mT</v>
      </c>
    </row>
    <row r="63" spans="1:35" hidden="1" x14ac:dyDescent="0.25">
      <c r="A63">
        <v>165</v>
      </c>
      <c r="B63" s="38">
        <v>7</v>
      </c>
      <c r="C63" t="s">
        <v>65</v>
      </c>
      <c r="D63" t="s">
        <v>84</v>
      </c>
      <c r="E63" t="s">
        <v>67</v>
      </c>
      <c r="F63" t="s">
        <v>72</v>
      </c>
      <c r="G63" s="22">
        <v>2</v>
      </c>
      <c r="H63" s="22" t="s">
        <v>77</v>
      </c>
      <c r="I63" t="s">
        <v>95</v>
      </c>
      <c r="J63" s="80">
        <v>4</v>
      </c>
      <c r="K63" s="28">
        <f>VLOOKUP(Table!$I63,Specs!$A:$R,MATCH(Table!K$3,Specs!$A$1:$R$1,0),FALSE)</f>
        <v>100</v>
      </c>
      <c r="L63" s="5" t="str">
        <f t="shared" si="32"/>
        <v>T.mm</v>
      </c>
      <c r="M63" s="5">
        <f>VLOOKUP(Table!$I63,Specs!$A:$R,MATCH(Table!M$3,Specs!$A$1:$R$1,0),FALSE)</f>
        <v>8.94</v>
      </c>
      <c r="N63" s="5">
        <f>VLOOKUP(Table!$I63,Specs!$A:$R,MATCH(Table!N$3,Specs!$A$1:$R$1,0),FALSE)</f>
        <v>150</v>
      </c>
      <c r="O63" s="13">
        <f>(N63*M63)/1000</f>
        <v>1.341</v>
      </c>
      <c r="P63" s="19">
        <f>VLOOKUP(Table!$I63,Specs!$A:$R,MATCH(Table!P$3,Specs!$A$1:$R$1,0),FALSE)</f>
        <v>6</v>
      </c>
      <c r="Q63" s="19">
        <f>VLOOKUP(Table!$I63,Specs!$A:$R,MATCH(Table!Q$3,Specs!$A$1:$R$1,0),FALSE)</f>
        <v>2.19</v>
      </c>
      <c r="R63" s="19">
        <v>25</v>
      </c>
      <c r="S63" s="19">
        <f>VLOOKUP(Table!$I63,Specs!$A:$R,MATCH(Table!S$3,Specs!$A$1:$R$1,0),FALSE)</f>
        <v>8.81</v>
      </c>
      <c r="T63" s="74">
        <v>0.75699597683775632</v>
      </c>
      <c r="V63" s="57">
        <v>123.42716301418135</v>
      </c>
      <c r="W63" s="14">
        <v>0</v>
      </c>
      <c r="X63" s="14">
        <v>-2.4340460305071485E-3</v>
      </c>
      <c r="Y63" s="55">
        <v>286.7828124391902</v>
      </c>
      <c r="Z63">
        <v>158.53624219455617</v>
      </c>
      <c r="AA63" s="55">
        <v>231.304</v>
      </c>
      <c r="AC63">
        <f t="shared" si="5"/>
        <v>0</v>
      </c>
      <c r="AE63" t="str">
        <f t="shared" si="1"/>
        <v>T.mm</v>
      </c>
      <c r="AF63" s="57">
        <f t="shared" si="8"/>
        <v>0</v>
      </c>
      <c r="AG63" s="56" t="str">
        <f t="shared" si="2"/>
        <v>°</v>
      </c>
      <c r="AH63" s="26">
        <f t="shared" si="6"/>
        <v>0</v>
      </c>
      <c r="AI63" t="str">
        <f t="shared" si="3"/>
        <v>mT</v>
      </c>
    </row>
    <row r="64" spans="1:35" hidden="1" x14ac:dyDescent="0.25">
      <c r="A64">
        <v>165</v>
      </c>
      <c r="B64" s="38">
        <v>7</v>
      </c>
      <c r="C64" t="s">
        <v>65</v>
      </c>
      <c r="D64" t="s">
        <v>84</v>
      </c>
      <c r="E64" t="s">
        <v>67</v>
      </c>
      <c r="F64" t="s">
        <v>112</v>
      </c>
      <c r="G64" s="22">
        <v>2</v>
      </c>
      <c r="I64" t="s">
        <v>218</v>
      </c>
      <c r="J64" s="80">
        <v>4</v>
      </c>
      <c r="K64" s="28">
        <f>VLOOKUP(Table!$I64,Specs!$A:$R,MATCH(Table!K$3,Specs!$A$1:$R$1,0),FALSE)</f>
        <v>1.5</v>
      </c>
      <c r="L64" s="5" t="str">
        <f t="shared" ref="L64" si="98">IF(F64="QUAD","T","T.mm")</f>
        <v>T.mm</v>
      </c>
      <c r="M64" s="5">
        <f>VLOOKUP(Table!$I64,Specs!$A:$R,MATCH(Table!M$3,Specs!$A$1:$R$1,0),FALSE)</f>
        <v>0.82</v>
      </c>
      <c r="N64" s="5">
        <f>VLOOKUP(Table!$I64,Specs!$A:$R,MATCH(Table!N$3,Specs!$A$1:$R$1,0),FALSE)</f>
        <v>10</v>
      </c>
      <c r="O64" s="13">
        <f>(N64*M64)/1000</f>
        <v>8.199999999999999E-3</v>
      </c>
      <c r="P64" s="19"/>
      <c r="Q64" s="19"/>
      <c r="R64" s="19"/>
      <c r="S64" s="19"/>
      <c r="T64" s="74">
        <v>0.15316947931350455</v>
      </c>
      <c r="V64" s="57"/>
      <c r="AA64" s="55">
        <v>0</v>
      </c>
      <c r="AC64">
        <f t="shared" si="5"/>
        <v>0</v>
      </c>
      <c r="AE64" t="str">
        <f t="shared" si="1"/>
        <v>T.mm</v>
      </c>
      <c r="AF64" s="57">
        <f t="shared" si="8"/>
        <v>0</v>
      </c>
      <c r="AG64" s="56" t="str">
        <f t="shared" si="2"/>
        <v>mrad</v>
      </c>
      <c r="AH64" s="26" t="e">
        <f t="shared" si="6"/>
        <v>#DIV/0!</v>
      </c>
      <c r="AI64" t="str">
        <f t="shared" si="3"/>
        <v>mT</v>
      </c>
    </row>
    <row r="65" spans="1:35" hidden="1" x14ac:dyDescent="0.25">
      <c r="A65">
        <v>165</v>
      </c>
      <c r="B65" s="38">
        <v>7</v>
      </c>
      <c r="C65" t="s">
        <v>65</v>
      </c>
      <c r="D65" t="s">
        <v>84</v>
      </c>
      <c r="E65" t="s">
        <v>67</v>
      </c>
      <c r="F65" t="s">
        <v>68</v>
      </c>
      <c r="G65" s="22">
        <v>1</v>
      </c>
      <c r="I65" t="s">
        <v>119</v>
      </c>
      <c r="J65" s="80">
        <v>17054</v>
      </c>
      <c r="K65" s="28">
        <v>1.8162582231580893</v>
      </c>
      <c r="L65" s="5" t="str">
        <f t="shared" si="32"/>
        <v>T.mm</v>
      </c>
      <c r="M65" s="5">
        <f>VLOOKUP(Table!$I65,Specs!$A:$R,MATCH(Table!M$3,Specs!$A$1:$R$1,0),FALSE)</f>
        <v>3.9</v>
      </c>
      <c r="N65" s="5">
        <f>VLOOKUP(Table!$I65,Specs!$A:$R,MATCH(Table!N$3,Specs!$A$1:$R$1,0),FALSE)</f>
        <v>10</v>
      </c>
      <c r="O65" s="13">
        <f t="shared" ref="O65" si="99">(N65*M65)/1000</f>
        <v>3.9E-2</v>
      </c>
      <c r="P65" s="19">
        <f>VLOOKUP(Table!$I65,Specs!$A:$R,MATCH(Table!P$3,Specs!$A$1:$R$1,0),FALSE)</f>
        <v>0.1</v>
      </c>
      <c r="Q65" s="19">
        <f>VLOOKUP(Table!$I65,Specs!$A:$R,MATCH(Table!Q$3,Specs!$A$1:$R$1,0),FALSE)</f>
        <v>0.5</v>
      </c>
      <c r="R65" s="19">
        <v>25</v>
      </c>
      <c r="S65" s="19">
        <f>VLOOKUP(Table!$I65,Specs!$A:$R,MATCH(Table!S$3,Specs!$A$1:$R$1,0),FALSE)</f>
        <v>2</v>
      </c>
      <c r="T65" s="74">
        <v>0.29929190909090914</v>
      </c>
      <c r="V65" s="57"/>
      <c r="AA65" s="55">
        <v>179.77528089887642</v>
      </c>
      <c r="AB65" s="57">
        <v>1</v>
      </c>
      <c r="AC65">
        <f t="shared" si="5"/>
        <v>1</v>
      </c>
      <c r="AD65" s="54">
        <f>IF(OR(V65=0,ABS(AB65)&lt;V65),T65*AB65,AC65*W65*AB65^3+AC65*X65*(AB65-AC65*Y65)^2+AC65*Z65)</f>
        <v>0.29929190909090914</v>
      </c>
      <c r="AE65" t="str">
        <f t="shared" si="1"/>
        <v>T.mm</v>
      </c>
      <c r="AF65" s="57">
        <f t="shared" si="8"/>
        <v>0.54379064900531027</v>
      </c>
      <c r="AG65" s="56" t="str">
        <f t="shared" si="2"/>
        <v>mrad</v>
      </c>
      <c r="AH65" s="26">
        <f t="shared" si="6"/>
        <v>1.6648112443181819</v>
      </c>
      <c r="AI65" t="str">
        <f t="shared" si="3"/>
        <v>mT</v>
      </c>
    </row>
    <row r="66" spans="1:35" hidden="1" x14ac:dyDescent="0.25">
      <c r="A66">
        <v>165</v>
      </c>
      <c r="B66" s="38">
        <v>7</v>
      </c>
      <c r="C66" t="s">
        <v>65</v>
      </c>
      <c r="D66" t="s">
        <v>84</v>
      </c>
      <c r="E66" t="s">
        <v>67</v>
      </c>
      <c r="F66" t="s">
        <v>72</v>
      </c>
      <c r="G66" s="22">
        <v>3</v>
      </c>
      <c r="H66" s="22" t="s">
        <v>77</v>
      </c>
      <c r="I66" t="s">
        <v>95</v>
      </c>
      <c r="J66" s="80">
        <v>6</v>
      </c>
      <c r="K66" s="28">
        <f>VLOOKUP(Table!$I66,Specs!$A:$R,MATCH(Table!K$3,Specs!$A$1:$R$1,0),FALSE)</f>
        <v>100</v>
      </c>
      <c r="L66" s="5" t="str">
        <f t="shared" si="32"/>
        <v>T.mm</v>
      </c>
      <c r="M66" s="5">
        <f>VLOOKUP(Table!$I66,Specs!$A:$R,MATCH(Table!M$3,Specs!$A$1:$R$1,0),FALSE)</f>
        <v>8.94</v>
      </c>
      <c r="N66" s="5">
        <f>VLOOKUP(Table!$I66,Specs!$A:$R,MATCH(Table!N$3,Specs!$A$1:$R$1,0),FALSE)</f>
        <v>150</v>
      </c>
      <c r="O66" s="13">
        <f>(N66*M66)/1000</f>
        <v>1.341</v>
      </c>
      <c r="P66" s="19">
        <f>VLOOKUP(Table!$I66,Specs!$A:$R,MATCH(Table!P$3,Specs!$A$1:$R$1,0),FALSE)</f>
        <v>6</v>
      </c>
      <c r="Q66" s="19">
        <f>VLOOKUP(Table!$I66,Specs!$A:$R,MATCH(Table!Q$3,Specs!$A$1:$R$1,0),FALSE)</f>
        <v>2.19</v>
      </c>
      <c r="R66" s="19">
        <v>25</v>
      </c>
      <c r="S66" s="19">
        <f>VLOOKUP(Table!$I66,Specs!$A:$R,MATCH(Table!S$3,Specs!$A$1:$R$1,0),FALSE)</f>
        <v>8.81</v>
      </c>
      <c r="T66" s="74">
        <v>0.75931123489490127</v>
      </c>
      <c r="V66" s="57">
        <v>123.29614877422443</v>
      </c>
      <c r="W66" s="14">
        <v>0</v>
      </c>
      <c r="X66" s="14">
        <v>-2.4383794173935811E-3</v>
      </c>
      <c r="Y66" s="55">
        <v>286.83223325150527</v>
      </c>
      <c r="Z66">
        <v>158.99202132240117</v>
      </c>
      <c r="AA66" s="55">
        <v>231.535</v>
      </c>
      <c r="AB66" s="57">
        <v>1</v>
      </c>
      <c r="AC66">
        <f t="shared" si="5"/>
        <v>1</v>
      </c>
      <c r="AE66" t="str">
        <f t="shared" si="1"/>
        <v>T.mm</v>
      </c>
      <c r="AF66" s="57">
        <f t="shared" si="8"/>
        <v>0</v>
      </c>
      <c r="AG66" s="56" t="str">
        <f t="shared" si="2"/>
        <v>°</v>
      </c>
      <c r="AH66" s="26">
        <f t="shared" si="6"/>
        <v>0</v>
      </c>
      <c r="AI66" t="str">
        <f t="shared" si="3"/>
        <v>mT</v>
      </c>
    </row>
    <row r="67" spans="1:35" hidden="1" x14ac:dyDescent="0.25">
      <c r="A67">
        <v>165</v>
      </c>
      <c r="B67" s="38">
        <v>7</v>
      </c>
      <c r="C67" t="s">
        <v>65</v>
      </c>
      <c r="D67" t="s">
        <v>84</v>
      </c>
      <c r="E67" t="s">
        <v>67</v>
      </c>
      <c r="F67" t="s">
        <v>112</v>
      </c>
      <c r="G67" s="22">
        <v>3</v>
      </c>
      <c r="I67" t="s">
        <v>218</v>
      </c>
      <c r="J67" s="80">
        <v>6</v>
      </c>
      <c r="K67" s="28">
        <f>VLOOKUP(Table!$I67,Specs!$A:$R,MATCH(Table!K$3,Specs!$A$1:$R$1,0),FALSE)</f>
        <v>1.5</v>
      </c>
      <c r="L67" s="5" t="str">
        <f t="shared" si="32"/>
        <v>T.mm</v>
      </c>
      <c r="M67" s="5">
        <f>VLOOKUP(Table!$I67,Specs!$A:$R,MATCH(Table!M$3,Specs!$A$1:$R$1,0),FALSE)</f>
        <v>0.82</v>
      </c>
      <c r="N67" s="5">
        <f>VLOOKUP(Table!$I67,Specs!$A:$R,MATCH(Table!N$3,Specs!$A$1:$R$1,0),FALSE)</f>
        <v>10</v>
      </c>
      <c r="O67" s="13">
        <f>(N67*M67)/1000</f>
        <v>8.199999999999999E-3</v>
      </c>
      <c r="P67" s="19"/>
      <c r="Q67" s="19"/>
      <c r="R67" s="19"/>
      <c r="S67" s="19"/>
      <c r="T67" s="74">
        <v>0.16050234033781266</v>
      </c>
      <c r="V67" s="57"/>
      <c r="AA67" s="55">
        <v>0</v>
      </c>
      <c r="AC67">
        <f t="shared" si="5"/>
        <v>0</v>
      </c>
      <c r="AE67" t="str">
        <f t="shared" si="1"/>
        <v>T.mm</v>
      </c>
      <c r="AF67" s="57">
        <f t="shared" si="8"/>
        <v>0</v>
      </c>
      <c r="AG67" s="56" t="str">
        <f t="shared" si="2"/>
        <v>mrad</v>
      </c>
      <c r="AH67" s="26" t="e">
        <f t="shared" si="6"/>
        <v>#DIV/0!</v>
      </c>
      <c r="AI67" t="str">
        <f t="shared" si="3"/>
        <v>mT</v>
      </c>
    </row>
    <row r="68" spans="1:35" hidden="1" x14ac:dyDescent="0.25">
      <c r="A68">
        <v>165</v>
      </c>
      <c r="B68" s="38">
        <v>7</v>
      </c>
      <c r="C68" t="s">
        <v>65</v>
      </c>
      <c r="D68" t="s">
        <v>84</v>
      </c>
      <c r="E68" t="s">
        <v>67</v>
      </c>
      <c r="F68" t="s">
        <v>72</v>
      </c>
      <c r="G68" s="22">
        <v>4</v>
      </c>
      <c r="H68" s="22" t="s">
        <v>77</v>
      </c>
      <c r="I68" t="s">
        <v>95</v>
      </c>
      <c r="J68" s="80">
        <v>3</v>
      </c>
      <c r="K68" s="28">
        <f>VLOOKUP(Table!$I68,Specs!$A:$R,MATCH(Table!K$3,Specs!$A$1:$R$1,0),FALSE)</f>
        <v>100</v>
      </c>
      <c r="L68" s="5" t="str">
        <f t="shared" si="32"/>
        <v>T.mm</v>
      </c>
      <c r="M68" s="5">
        <f>VLOOKUP(Table!$I68,Specs!$A:$R,MATCH(Table!M$3,Specs!$A$1:$R$1,0),FALSE)</f>
        <v>8.94</v>
      </c>
      <c r="N68" s="5">
        <f>VLOOKUP(Table!$I68,Specs!$A:$R,MATCH(Table!N$3,Specs!$A$1:$R$1,0),FALSE)</f>
        <v>150</v>
      </c>
      <c r="O68" s="13">
        <f>(N68*M68)/1000</f>
        <v>1.341</v>
      </c>
      <c r="P68" s="19">
        <f>VLOOKUP(Table!$I68,Specs!$A:$R,MATCH(Table!P$3,Specs!$A$1:$R$1,0),FALSE)</f>
        <v>6</v>
      </c>
      <c r="Q68" s="19">
        <f>VLOOKUP(Table!$I68,Specs!$A:$R,MATCH(Table!Q$3,Specs!$A$1:$R$1,0),FALSE)</f>
        <v>2.19</v>
      </c>
      <c r="R68" s="19">
        <v>25</v>
      </c>
      <c r="S68" s="19">
        <f>VLOOKUP(Table!$I68,Specs!$A:$R,MATCH(Table!S$3,Specs!$A$1:$R$1,0),FALSE)</f>
        <v>8.81</v>
      </c>
      <c r="T68" s="74">
        <v>0.75997533144226559</v>
      </c>
      <c r="V68" s="57">
        <v>124.48754536264167</v>
      </c>
      <c r="W68" s="14">
        <v>0</v>
      </c>
      <c r="X68" s="14">
        <v>-2.4446214805770336E-3</v>
      </c>
      <c r="Y68" s="55">
        <v>286.6994811486062</v>
      </c>
      <c r="Z68">
        <v>159.04854179409267</v>
      </c>
      <c r="AA68" s="55">
        <v>232.14699999999999</v>
      </c>
      <c r="AC68">
        <f t="shared" si="5"/>
        <v>0</v>
      </c>
      <c r="AE68" t="str">
        <f t="shared" si="1"/>
        <v>T.mm</v>
      </c>
      <c r="AF68" s="57">
        <f t="shared" si="8"/>
        <v>0</v>
      </c>
      <c r="AG68" s="56" t="str">
        <f t="shared" si="2"/>
        <v>°</v>
      </c>
      <c r="AH68" s="26">
        <f t="shared" si="6"/>
        <v>0</v>
      </c>
      <c r="AI68" t="str">
        <f t="shared" si="3"/>
        <v>mT</v>
      </c>
    </row>
    <row r="69" spans="1:35" hidden="1" x14ac:dyDescent="0.25">
      <c r="A69">
        <v>165</v>
      </c>
      <c r="B69" s="38">
        <v>7</v>
      </c>
      <c r="C69" t="s">
        <v>65</v>
      </c>
      <c r="D69" t="s">
        <v>84</v>
      </c>
      <c r="E69" t="s">
        <v>67</v>
      </c>
      <c r="F69" t="s">
        <v>112</v>
      </c>
      <c r="G69" s="22">
        <v>4</v>
      </c>
      <c r="I69" t="s">
        <v>218</v>
      </c>
      <c r="J69" s="80">
        <v>3</v>
      </c>
      <c r="K69" s="28">
        <f>VLOOKUP(Table!$I69,Specs!$A:$R,MATCH(Table!K$3,Specs!$A$1:$R$1,0),FALSE)</f>
        <v>1.5</v>
      </c>
      <c r="L69" s="5" t="str">
        <f t="shared" ref="L69" si="100">IF(F69="QUAD","T","T.mm")</f>
        <v>T.mm</v>
      </c>
      <c r="M69" s="5">
        <f>VLOOKUP(Table!$I69,Specs!$A:$R,MATCH(Table!M$3,Specs!$A$1:$R$1,0),FALSE)</f>
        <v>0.82</v>
      </c>
      <c r="N69" s="5">
        <f>VLOOKUP(Table!$I69,Specs!$A:$R,MATCH(Table!N$3,Specs!$A$1:$R$1,0),FALSE)</f>
        <v>10</v>
      </c>
      <c r="O69" s="13">
        <f>(N69*M69)/1000</f>
        <v>8.199999999999999E-3</v>
      </c>
      <c r="P69" s="19"/>
      <c r="Q69" s="19"/>
      <c r="R69" s="19"/>
      <c r="S69" s="19"/>
      <c r="T69" s="74">
        <v>0.15874208898659389</v>
      </c>
      <c r="V69" s="57"/>
      <c r="AA69" s="55">
        <v>0</v>
      </c>
      <c r="AC69">
        <f t="shared" si="5"/>
        <v>0</v>
      </c>
      <c r="AE69" t="str">
        <f t="shared" si="1"/>
        <v>T.mm</v>
      </c>
      <c r="AF69" s="57">
        <f t="shared" si="8"/>
        <v>0</v>
      </c>
      <c r="AG69" s="56" t="str">
        <f t="shared" si="2"/>
        <v>mrad</v>
      </c>
      <c r="AH69" s="26" t="e">
        <f t="shared" si="6"/>
        <v>#DIV/0!</v>
      </c>
      <c r="AI69" t="str">
        <f t="shared" ref="AI69:AI111" si="101">IF(F69="QUAD","T/m","mT")</f>
        <v>mT</v>
      </c>
    </row>
    <row r="70" spans="1:35" hidden="1" x14ac:dyDescent="0.25">
      <c r="A70">
        <v>165</v>
      </c>
      <c r="B70" s="38">
        <v>8</v>
      </c>
      <c r="C70" t="s">
        <v>65</v>
      </c>
      <c r="D70" t="s">
        <v>85</v>
      </c>
      <c r="E70" t="s">
        <v>67</v>
      </c>
      <c r="F70" t="s">
        <v>112</v>
      </c>
      <c r="G70" s="22">
        <v>1</v>
      </c>
      <c r="I70" t="s">
        <v>120</v>
      </c>
      <c r="J70" s="80">
        <v>16651</v>
      </c>
      <c r="K70" s="28">
        <v>1.8162582231580893</v>
      </c>
      <c r="L70" s="5" t="str">
        <f t="shared" si="32"/>
        <v>T.mm</v>
      </c>
      <c r="M70" s="5">
        <f>VLOOKUP(Table!$I70,Specs!$A:$R,MATCH(Table!M$3,Specs!$A$1:$R$1,0),FALSE)</f>
        <v>1.6</v>
      </c>
      <c r="N70" s="5">
        <f>VLOOKUP(Table!$I70,Specs!$A:$R,MATCH(Table!N$3,Specs!$A$1:$R$1,0),FALSE)</f>
        <v>9.6</v>
      </c>
      <c r="O70" s="13">
        <f t="shared" ref="O70" si="102">(N70*M70)/1000</f>
        <v>1.5359999999999999E-2</v>
      </c>
      <c r="P70" s="19" t="str">
        <f>VLOOKUP(Table!$I70,Specs!$A:$R,MATCH(Table!P$3,Specs!$A$1:$R$1,0),FALSE)</f>
        <v>Air-cooled</v>
      </c>
      <c r="Q70" s="19">
        <f>VLOOKUP(Table!$I70,Specs!$A:$R,MATCH(Table!Q$3,Specs!$A$1:$R$1,0),FALSE)</f>
        <v>0</v>
      </c>
      <c r="R70" s="19">
        <v>25</v>
      </c>
      <c r="S70" s="19">
        <f>VLOOKUP(Table!$I70,Specs!$A:$R,MATCH(Table!S$3,Specs!$A$1:$R$1,0),FALSE)</f>
        <v>0</v>
      </c>
      <c r="T70" s="74">
        <v>0.52895363636363657</v>
      </c>
      <c r="V70" s="57"/>
      <c r="AA70" s="55">
        <v>194</v>
      </c>
      <c r="AB70" s="57">
        <v>1</v>
      </c>
      <c r="AC70">
        <f t="shared" si="5"/>
        <v>1</v>
      </c>
      <c r="AD70" s="54">
        <f t="shared" ref="AD70:AD71" si="103">IF(OR(V70=0,ABS(AB70)&lt;V70),T70*AB70,AC70*W70*AB70^3+AC70*X70*(AB70-AC70*Y70)^2+AC70*Z70)</f>
        <v>0.52895363636363657</v>
      </c>
      <c r="AE70" t="str">
        <f t="shared" si="1"/>
        <v>T.mm</v>
      </c>
      <c r="AF70" s="57">
        <f t="shared" si="8"/>
        <v>0.96106855038480488</v>
      </c>
      <c r="AG70" s="56" t="str">
        <f t="shared" si="2"/>
        <v>mrad</v>
      </c>
      <c r="AH70" s="26">
        <f t="shared" ref="AH70:AH111" si="104">1000*AD70/AA70</f>
        <v>2.7265651358950338</v>
      </c>
      <c r="AI70" t="str">
        <f t="shared" si="101"/>
        <v>mT</v>
      </c>
    </row>
    <row r="71" spans="1:35" hidden="1" x14ac:dyDescent="0.25">
      <c r="A71">
        <v>165</v>
      </c>
      <c r="B71" s="38">
        <v>8</v>
      </c>
      <c r="C71" t="s">
        <v>65</v>
      </c>
      <c r="D71" t="s">
        <v>85</v>
      </c>
      <c r="E71" t="s">
        <v>67</v>
      </c>
      <c r="F71" t="s">
        <v>68</v>
      </c>
      <c r="G71" s="22">
        <v>1</v>
      </c>
      <c r="I71" t="s">
        <v>120</v>
      </c>
      <c r="J71" s="80">
        <v>16651</v>
      </c>
      <c r="K71" s="28">
        <v>1.8162582231580893</v>
      </c>
      <c r="L71" s="5" t="str">
        <f t="shared" ref="L71" si="105">IF(F71="QUAD","T","T.mm")</f>
        <v>T.mm</v>
      </c>
      <c r="M71" s="5">
        <f>VLOOKUP(Table!$I71,Specs!$A:$R,MATCH(Table!M$3,Specs!$A$1:$R$1,0),FALSE)</f>
        <v>1.6</v>
      </c>
      <c r="N71" s="5">
        <f>VLOOKUP(Table!$I71,Specs!$A:$R,MATCH(Table!N$3,Specs!$A$1:$R$1,0),FALSE)</f>
        <v>9.6</v>
      </c>
      <c r="O71" s="13">
        <f t="shared" ref="O71" si="106">(N71*M71)/1000</f>
        <v>1.5359999999999999E-2</v>
      </c>
      <c r="P71" s="19" t="str">
        <f>VLOOKUP(Table!$I71,Specs!$A:$R,MATCH(Table!P$3,Specs!$A$1:$R$1,0),FALSE)</f>
        <v>Air-cooled</v>
      </c>
      <c r="Q71" s="19">
        <f>VLOOKUP(Table!$I71,Specs!$A:$R,MATCH(Table!Q$3,Specs!$A$1:$R$1,0),FALSE)</f>
        <v>0</v>
      </c>
      <c r="R71" s="19">
        <v>25</v>
      </c>
      <c r="S71" s="19">
        <f>VLOOKUP(Table!$I71,Specs!$A:$R,MATCH(Table!S$3,Specs!$A$1:$R$1,0),FALSE)</f>
        <v>0</v>
      </c>
      <c r="T71" s="74">
        <v>0.52843636363636337</v>
      </c>
      <c r="V71" s="57"/>
      <c r="AA71" s="55">
        <v>194</v>
      </c>
      <c r="AB71" s="57">
        <v>1</v>
      </c>
      <c r="AC71">
        <f t="shared" ref="AC71" si="107">SIGN(AB71)</f>
        <v>1</v>
      </c>
      <c r="AD71" s="54">
        <f t="shared" si="103"/>
        <v>0.52843636363636337</v>
      </c>
      <c r="AE71" t="str">
        <f t="shared" ref="AE71" si="108">L71</f>
        <v>T.mm</v>
      </c>
      <c r="AF71" s="57">
        <f t="shared" ref="AF71" si="109">IF(F71="DIP",360/(2000*PI()),IF(F71="QUAD",1000/AA71,IF(RIGHT(F71,3)="COR",1,0)))*c_*AD71/A71</f>
        <v>0.96012870515834658</v>
      </c>
      <c r="AG71" s="56" t="str">
        <f t="shared" ref="AG71" si="110">IF(F71="DIP","°",IF(F71="QUAD","m⁻²",IF(RIGHT(F71,3)="COR","mrad","")))</f>
        <v>mrad</v>
      </c>
      <c r="AH71" s="26">
        <f t="shared" si="104"/>
        <v>2.723898781630739</v>
      </c>
      <c r="AI71" t="str">
        <f t="shared" si="101"/>
        <v>mT</v>
      </c>
    </row>
    <row r="72" spans="1:35" hidden="1" x14ac:dyDescent="0.25">
      <c r="A72">
        <v>165</v>
      </c>
      <c r="B72" s="38">
        <v>8</v>
      </c>
      <c r="C72" t="s">
        <v>65</v>
      </c>
      <c r="D72" t="s">
        <v>85</v>
      </c>
      <c r="E72" t="s">
        <v>67</v>
      </c>
      <c r="F72" t="s">
        <v>70</v>
      </c>
      <c r="G72" s="22">
        <v>1</v>
      </c>
      <c r="H72" s="22" t="s">
        <v>78</v>
      </c>
      <c r="I72" t="s">
        <v>105</v>
      </c>
      <c r="J72" s="80">
        <v>18</v>
      </c>
      <c r="K72" s="28">
        <f>10*0.15</f>
        <v>1.5</v>
      </c>
      <c r="L72" s="5" t="str">
        <f t="shared" si="32"/>
        <v>T</v>
      </c>
      <c r="M72" s="5">
        <f>VLOOKUP(Table!$I72,Specs!$A:$R,MATCH(Table!M$3,Specs!$A$1:$R$1,0),FALSE)</f>
        <v>13.232514177693764</v>
      </c>
      <c r="N72" s="5">
        <f>VLOOKUP(Table!$I72,Specs!$A:$R,MATCH(Table!N$3,Specs!$A$1:$R$1,0),FALSE)</f>
        <v>94.517958412098309</v>
      </c>
      <c r="O72" s="13">
        <f>(N72*M72)/1000</f>
        <v>1.2507102247347606</v>
      </c>
      <c r="P72" s="19">
        <f>VLOOKUP(Table!$I72,Specs!$A:$R,MATCH(Table!P$3,Specs!$A$1:$R$1,0),FALSE)</f>
        <v>6</v>
      </c>
      <c r="Q72" s="19">
        <f>VLOOKUP(Table!$I72,Specs!$A:$R,MATCH(Table!Q$3,Specs!$A$1:$R$1,0),FALSE)</f>
        <v>0.6</v>
      </c>
      <c r="R72" s="19">
        <v>25</v>
      </c>
      <c r="S72" s="19">
        <f>VLOOKUP(Table!$I72,Specs!$A:$R,MATCH(Table!S$3,Specs!$A$1:$R$1,0),FALSE)</f>
        <v>0</v>
      </c>
      <c r="T72" s="74">
        <v>3.8179247906256458E-2</v>
      </c>
      <c r="V72" s="57">
        <v>86.683172350823668</v>
      </c>
      <c r="W72" s="14">
        <v>0</v>
      </c>
      <c r="X72" s="14">
        <v>-1.05175752221088E-4</v>
      </c>
      <c r="Y72" s="55">
        <v>276.83934324438246</v>
      </c>
      <c r="Z72">
        <v>7.1045011906834175</v>
      </c>
      <c r="AA72" s="55">
        <v>173</v>
      </c>
      <c r="AC72">
        <f t="shared" si="5"/>
        <v>0</v>
      </c>
      <c r="AE72" t="str">
        <f t="shared" si="1"/>
        <v>T</v>
      </c>
      <c r="AF72" s="57">
        <f t="shared" si="8"/>
        <v>0</v>
      </c>
      <c r="AG72" s="56" t="str">
        <f t="shared" si="2"/>
        <v>m⁻²</v>
      </c>
      <c r="AH72" s="26">
        <f t="shared" si="104"/>
        <v>0</v>
      </c>
      <c r="AI72" t="str">
        <f t="shared" si="101"/>
        <v>T/m</v>
      </c>
    </row>
    <row r="73" spans="1:35" hidden="1" x14ac:dyDescent="0.25">
      <c r="A73">
        <v>165</v>
      </c>
      <c r="B73" s="38">
        <v>8</v>
      </c>
      <c r="C73" t="s">
        <v>65</v>
      </c>
      <c r="D73" t="s">
        <v>85</v>
      </c>
      <c r="E73" t="s">
        <v>67</v>
      </c>
      <c r="F73" t="s">
        <v>70</v>
      </c>
      <c r="G73" s="22">
        <v>2</v>
      </c>
      <c r="H73" s="22" t="s">
        <v>78</v>
      </c>
      <c r="I73" t="s">
        <v>105</v>
      </c>
      <c r="J73" s="80">
        <v>12</v>
      </c>
      <c r="K73" s="28">
        <f>10*0.15</f>
        <v>1.5</v>
      </c>
      <c r="L73" s="5" t="str">
        <f t="shared" si="32"/>
        <v>T</v>
      </c>
      <c r="M73" s="5">
        <f>VLOOKUP(Table!$I73,Specs!$A:$R,MATCH(Table!M$3,Specs!$A$1:$R$1,0),FALSE)</f>
        <v>13.232514177693764</v>
      </c>
      <c r="N73" s="5">
        <f>VLOOKUP(Table!$I73,Specs!$A:$R,MATCH(Table!N$3,Specs!$A$1:$R$1,0),FALSE)</f>
        <v>94.517958412098309</v>
      </c>
      <c r="O73" s="13">
        <f>(N73*M73)/1000</f>
        <v>1.2507102247347606</v>
      </c>
      <c r="P73" s="19">
        <f>VLOOKUP(Table!$I73,Specs!$A:$R,MATCH(Table!P$3,Specs!$A$1:$R$1,0),FALSE)</f>
        <v>6</v>
      </c>
      <c r="Q73" s="19">
        <f>VLOOKUP(Table!$I73,Specs!$A:$R,MATCH(Table!Q$3,Specs!$A$1:$R$1,0),FALSE)</f>
        <v>0.6</v>
      </c>
      <c r="R73" s="19">
        <v>25</v>
      </c>
      <c r="S73" s="19">
        <f>VLOOKUP(Table!$I73,Specs!$A:$R,MATCH(Table!S$3,Specs!$A$1:$R$1,0),FALSE)</f>
        <v>0</v>
      </c>
      <c r="T73" s="74">
        <v>3.8179247906256458E-2</v>
      </c>
      <c r="V73" s="57">
        <v>86.683172350823668</v>
      </c>
      <c r="W73" s="14">
        <v>0</v>
      </c>
      <c r="X73" s="14">
        <v>-1.05175752221088E-4</v>
      </c>
      <c r="Y73" s="55">
        <v>276.83934324438246</v>
      </c>
      <c r="Z73">
        <v>7.1045011906834175</v>
      </c>
      <c r="AA73" s="55">
        <v>173</v>
      </c>
      <c r="AC73">
        <f t="shared" si="5"/>
        <v>0</v>
      </c>
      <c r="AE73" t="str">
        <f t="shared" si="1"/>
        <v>T</v>
      </c>
      <c r="AF73" s="57">
        <f t="shared" si="8"/>
        <v>0</v>
      </c>
      <c r="AG73" s="56" t="str">
        <f t="shared" si="2"/>
        <v>m⁻²</v>
      </c>
      <c r="AH73" s="26">
        <f t="shared" si="104"/>
        <v>0</v>
      </c>
      <c r="AI73" t="str">
        <f t="shared" si="101"/>
        <v>T/m</v>
      </c>
    </row>
    <row r="74" spans="1:35" s="25" customFormat="1" hidden="1" x14ac:dyDescent="0.25">
      <c r="A74">
        <v>165</v>
      </c>
      <c r="B74" s="38">
        <v>8</v>
      </c>
      <c r="C74" t="s">
        <v>65</v>
      </c>
      <c r="D74" t="s">
        <v>91</v>
      </c>
      <c r="E74" t="s">
        <v>67</v>
      </c>
      <c r="F74" t="s">
        <v>72</v>
      </c>
      <c r="G74" s="22">
        <v>1</v>
      </c>
      <c r="H74" s="22" t="s">
        <v>77</v>
      </c>
      <c r="I74" t="s">
        <v>106</v>
      </c>
      <c r="J74" s="80" t="s">
        <v>202</v>
      </c>
      <c r="K74" s="28">
        <v>453.59999999999997</v>
      </c>
      <c r="L74" s="5" t="str">
        <f t="shared" si="32"/>
        <v>T.mm</v>
      </c>
      <c r="M74" s="5">
        <f>VLOOKUP(Table!$I74,Specs!$A:$R,MATCH(Table!M$3,Specs!$A$1:$R$1,0),FALSE)</f>
        <v>37</v>
      </c>
      <c r="N74" s="5">
        <f>VLOOKUP(Table!$I74,Specs!$A:$R,MATCH(Table!N$3,Specs!$A$1:$R$1,0),FALSE)</f>
        <v>332</v>
      </c>
      <c r="O74" s="13">
        <f t="shared" ref="O74" si="111">(N74*M74)/1000</f>
        <v>12.284000000000001</v>
      </c>
      <c r="P74" s="19">
        <f>VLOOKUP(Table!$I74,Specs!$A:$R,MATCH(Table!P$3,Specs!$A$1:$R$1,0),FALSE)</f>
        <v>4</v>
      </c>
      <c r="Q74" s="19">
        <f>VLOOKUP(Table!$I74,Specs!$A:$R,MATCH(Table!Q$3,Specs!$A$1:$R$1,0),FALSE)</f>
        <v>16</v>
      </c>
      <c r="R74" s="19">
        <v>25</v>
      </c>
      <c r="S74" s="19">
        <f>VLOOKUP(Table!$I74,Specs!$A:$R,MATCH(Table!S$3,Specs!$A$1:$R$1,0),FALSE)</f>
        <v>11.1</v>
      </c>
      <c r="T74" s="74">
        <v>1.3963693845296439</v>
      </c>
      <c r="U74" s="14"/>
      <c r="V74" s="57">
        <v>244.04124568119096</v>
      </c>
      <c r="W74" s="14">
        <v>0</v>
      </c>
      <c r="X74" s="14">
        <v>-2.048337915870075E-3</v>
      </c>
      <c r="Y74" s="55">
        <v>600.74835186423638</v>
      </c>
      <c r="Z74">
        <v>601.1839314402813</v>
      </c>
      <c r="AA74" s="55">
        <v>400</v>
      </c>
      <c r="AB74" s="26"/>
      <c r="AC74">
        <f t="shared" si="5"/>
        <v>0</v>
      </c>
      <c r="AD74" s="59"/>
      <c r="AE74" t="str">
        <f t="shared" si="1"/>
        <v>T.mm</v>
      </c>
      <c r="AF74" s="57">
        <f t="shared" si="8"/>
        <v>0</v>
      </c>
      <c r="AG74" s="56" t="str">
        <f t="shared" si="2"/>
        <v>°</v>
      </c>
      <c r="AH74" s="26">
        <f t="shared" si="104"/>
        <v>0</v>
      </c>
      <c r="AI74" t="str">
        <f t="shared" si="101"/>
        <v>mT</v>
      </c>
    </row>
    <row r="75" spans="1:35" s="25" customFormat="1" hidden="1" x14ac:dyDescent="0.25">
      <c r="A75">
        <v>165</v>
      </c>
      <c r="B75" s="38" t="s">
        <v>91</v>
      </c>
      <c r="C75" t="s">
        <v>65</v>
      </c>
      <c r="D75" t="s">
        <v>91</v>
      </c>
      <c r="E75" t="s">
        <v>67</v>
      </c>
      <c r="F75" t="s">
        <v>112</v>
      </c>
      <c r="G75" s="22">
        <v>1</v>
      </c>
      <c r="H75" s="22"/>
      <c r="I75" t="s">
        <v>118</v>
      </c>
      <c r="J75" s="80">
        <v>16629</v>
      </c>
      <c r="K75" s="28">
        <v>1.8162582231580893</v>
      </c>
      <c r="L75" s="5" t="str">
        <f t="shared" si="32"/>
        <v>T.mm</v>
      </c>
      <c r="M75" s="5">
        <f>VLOOKUP(Table!$I75,Specs!$A:$R,MATCH(Table!M$3,Specs!$A$1:$R$1,0),FALSE)</f>
        <v>3.2</v>
      </c>
      <c r="N75" s="5">
        <f>VLOOKUP(Table!$I75,Specs!$A:$R,MATCH(Table!N$3,Specs!$A$1:$R$1,0),FALSE)</f>
        <v>10</v>
      </c>
      <c r="O75" s="13">
        <f t="shared" ref="O75" si="112">(N75*M75)/1000</f>
        <v>3.2000000000000001E-2</v>
      </c>
      <c r="P75" s="19">
        <f>VLOOKUP(Table!$I75,Specs!$A:$R,MATCH(Table!P$3,Specs!$A$1:$R$1,0),FALSE)</f>
        <v>0.1</v>
      </c>
      <c r="Q75" s="19">
        <f>VLOOKUP(Table!$I75,Specs!$A:$R,MATCH(Table!Q$3,Specs!$A$1:$R$1,0),FALSE)</f>
        <v>0.5</v>
      </c>
      <c r="R75" s="19">
        <v>25</v>
      </c>
      <c r="S75" s="19">
        <f>VLOOKUP(Table!$I75,Specs!$A:$R,MATCH(Table!S$3,Specs!$A$1:$R$1,0),FALSE)</f>
        <v>2</v>
      </c>
      <c r="T75" s="74">
        <v>0.31772854545454549</v>
      </c>
      <c r="U75" s="14"/>
      <c r="V75" s="57"/>
      <c r="W75" s="14"/>
      <c r="X75" s="14"/>
      <c r="Y75" s="55"/>
      <c r="Z75"/>
      <c r="AA75" s="55">
        <v>150.9433962264151</v>
      </c>
      <c r="AB75" s="57">
        <v>1</v>
      </c>
      <c r="AC75">
        <f t="shared" si="5"/>
        <v>1</v>
      </c>
      <c r="AD75" s="54">
        <f t="shared" ref="AD75:AD84" si="113">IF(OR(V75=0,ABS(AB75)&lt;V75),T75*AB75,AC75*W75*AB75^3+AC75*X75*(AB75-AC75*Y75)^2+AC75*Z75)</f>
        <v>0.31772854545454549</v>
      </c>
      <c r="AE75" t="str">
        <f t="shared" si="1"/>
        <v>T.mm</v>
      </c>
      <c r="AF75" s="57">
        <f t="shared" si="8"/>
        <v>0.57728861587019953</v>
      </c>
      <c r="AG75" s="56" t="str">
        <f t="shared" si="2"/>
        <v>mrad</v>
      </c>
      <c r="AH75" s="26">
        <f t="shared" si="104"/>
        <v>2.1049516136363637</v>
      </c>
      <c r="AI75" t="str">
        <f t="shared" si="101"/>
        <v>mT</v>
      </c>
    </row>
    <row r="76" spans="1:35" s="25" customFormat="1" hidden="1" x14ac:dyDescent="0.25">
      <c r="A76">
        <v>165</v>
      </c>
      <c r="B76" s="38" t="s">
        <v>91</v>
      </c>
      <c r="C76" t="s">
        <v>65</v>
      </c>
      <c r="D76" t="s">
        <v>91</v>
      </c>
      <c r="E76" t="s">
        <v>67</v>
      </c>
      <c r="F76" t="s">
        <v>68</v>
      </c>
      <c r="G76" s="22">
        <v>1</v>
      </c>
      <c r="H76" s="22"/>
      <c r="I76" t="s">
        <v>118</v>
      </c>
      <c r="J76" s="80">
        <v>16629</v>
      </c>
      <c r="K76" s="28">
        <v>1.8162582231580893</v>
      </c>
      <c r="L76" s="5" t="str">
        <f t="shared" ref="L76" si="114">IF(F76="QUAD","T","T.mm")</f>
        <v>T.mm</v>
      </c>
      <c r="M76" s="5">
        <f>VLOOKUP(Table!$I76,Specs!$A:$R,MATCH(Table!M$3,Specs!$A$1:$R$1,0),FALSE)</f>
        <v>3.2</v>
      </c>
      <c r="N76" s="5">
        <f>VLOOKUP(Table!$I76,Specs!$A:$R,MATCH(Table!N$3,Specs!$A$1:$R$1,0),FALSE)</f>
        <v>10</v>
      </c>
      <c r="O76" s="13">
        <f t="shared" ref="O76" si="115">(N76*M76)/1000</f>
        <v>3.2000000000000001E-2</v>
      </c>
      <c r="P76" s="19">
        <f>VLOOKUP(Table!$I76,Specs!$A:$R,MATCH(Table!P$3,Specs!$A$1:$R$1,0),FALSE)</f>
        <v>0.1</v>
      </c>
      <c r="Q76" s="19">
        <f>VLOOKUP(Table!$I76,Specs!$A:$R,MATCH(Table!Q$3,Specs!$A$1:$R$1,0),FALSE)</f>
        <v>0.5</v>
      </c>
      <c r="R76" s="19">
        <v>25</v>
      </c>
      <c r="S76" s="19">
        <f>VLOOKUP(Table!$I76,Specs!$A:$R,MATCH(Table!S$3,Specs!$A$1:$R$1,0),FALSE)</f>
        <v>2</v>
      </c>
      <c r="T76" s="74">
        <v>0.31811118181818143</v>
      </c>
      <c r="U76" s="14"/>
      <c r="V76" s="57"/>
      <c r="W76" s="14"/>
      <c r="X76" s="14"/>
      <c r="Y76" s="55"/>
      <c r="Z76"/>
      <c r="AA76" s="55">
        <v>150.9433962264151</v>
      </c>
      <c r="AB76" s="57">
        <v>1</v>
      </c>
      <c r="AC76">
        <f t="shared" ref="AC76" si="116">SIGN(AB76)</f>
        <v>1</v>
      </c>
      <c r="AD76" s="54">
        <f t="shared" si="113"/>
        <v>0.31811118181818143</v>
      </c>
      <c r="AE76" t="str">
        <f t="shared" ref="AE76" si="117">L76</f>
        <v>T.mm</v>
      </c>
      <c r="AF76" s="57">
        <f t="shared" ref="AF76" si="118">IF(F76="DIP",360/(2000*PI()),IF(F76="QUAD",1000/AA76,IF(RIGHT(F76,3)="COR",1,0)))*c_*AD76/A76</f>
        <v>0.57798383705792444</v>
      </c>
      <c r="AG76" s="56" t="str">
        <f t="shared" ref="AG76" si="119">IF(F76="DIP","°",IF(F76="QUAD","m⁻²",IF(RIGHT(F76,3)="COR","mrad","")))</f>
        <v>mrad</v>
      </c>
      <c r="AH76" s="26">
        <f t="shared" si="104"/>
        <v>2.1074865795454518</v>
      </c>
      <c r="AI76" t="str">
        <f t="shared" si="101"/>
        <v>mT</v>
      </c>
    </row>
    <row r="77" spans="1:35" s="25" customFormat="1" hidden="1" x14ac:dyDescent="0.25">
      <c r="A77">
        <v>165</v>
      </c>
      <c r="B77" s="38" t="s">
        <v>91</v>
      </c>
      <c r="C77" t="s">
        <v>65</v>
      </c>
      <c r="D77" t="s">
        <v>91</v>
      </c>
      <c r="E77" t="s">
        <v>67</v>
      </c>
      <c r="F77" t="s">
        <v>70</v>
      </c>
      <c r="G77" s="22">
        <v>1</v>
      </c>
      <c r="H77" s="22" t="s">
        <v>78</v>
      </c>
      <c r="I77" t="s">
        <v>94</v>
      </c>
      <c r="J77" s="80">
        <v>16624</v>
      </c>
      <c r="K77" s="28">
        <f>10*0.15</f>
        <v>1.5</v>
      </c>
      <c r="L77" s="5" t="str">
        <f t="shared" si="32"/>
        <v>T</v>
      </c>
      <c r="M77" s="5">
        <f>VLOOKUP(Table!$I77,Specs!$A:$R,MATCH(Table!M$3,Specs!$A$1:$R$1,0),FALSE)</f>
        <v>7.97</v>
      </c>
      <c r="N77" s="5">
        <f>VLOOKUP(Table!$I77,Specs!$A:$R,MATCH(Table!N$3,Specs!$A$1:$R$1,0),FALSE)</f>
        <v>93.1</v>
      </c>
      <c r="O77" s="13">
        <f>(N77*M77)/1000</f>
        <v>0.74200699999999997</v>
      </c>
      <c r="P77" s="19">
        <f>VLOOKUP(Table!$I77,Specs!$A:$R,MATCH(Table!P$3,Specs!$A$1:$R$1,0),FALSE)</f>
        <v>4</v>
      </c>
      <c r="Q77" s="19">
        <f>VLOOKUP(Table!$I77,Specs!$A:$R,MATCH(Table!Q$3,Specs!$A$1:$R$1,0),FALSE)</f>
        <v>1.2</v>
      </c>
      <c r="R77" s="19">
        <v>25</v>
      </c>
      <c r="S77" s="19">
        <f>VLOOKUP(Table!$I77,Specs!$A:$R,MATCH(Table!S$3,Specs!$A$1:$R$1,0),FALSE)</f>
        <v>9.2000000000000028</v>
      </c>
      <c r="T77" s="74">
        <v>3.3002346291624692E-2</v>
      </c>
      <c r="U77" s="14"/>
      <c r="V77" s="57">
        <v>39.036002915065524</v>
      </c>
      <c r="W77" s="14"/>
      <c r="X77" s="14">
        <v>-2.37301706953277E-5</v>
      </c>
      <c r="Y77" s="55">
        <v>734.4028149650652</v>
      </c>
      <c r="Z77">
        <v>12.76264785153246</v>
      </c>
      <c r="AA77" s="55">
        <v>177.72209948572734</v>
      </c>
      <c r="AB77" s="57">
        <v>93.5</v>
      </c>
      <c r="AC77">
        <f t="shared" si="5"/>
        <v>1</v>
      </c>
      <c r="AD77" s="54">
        <f t="shared" si="113"/>
        <v>3.0153279327297149</v>
      </c>
      <c r="AE77" t="str">
        <f t="shared" si="1"/>
        <v>T</v>
      </c>
      <c r="AF77" s="57">
        <f t="shared" si="8"/>
        <v>30.826901483557798</v>
      </c>
      <c r="AG77" s="56" t="str">
        <f t="shared" si="2"/>
        <v>m⁻²</v>
      </c>
      <c r="AH77" s="26">
        <f t="shared" si="104"/>
        <v>16.966533376857122</v>
      </c>
      <c r="AI77" t="str">
        <f t="shared" si="101"/>
        <v>T/m</v>
      </c>
    </row>
    <row r="78" spans="1:35" s="25" customFormat="1" hidden="1" x14ac:dyDescent="0.25">
      <c r="A78">
        <v>165</v>
      </c>
      <c r="B78" s="38" t="s">
        <v>91</v>
      </c>
      <c r="C78" t="s">
        <v>65</v>
      </c>
      <c r="D78" t="s">
        <v>91</v>
      </c>
      <c r="E78" t="s">
        <v>67</v>
      </c>
      <c r="F78" t="s">
        <v>70</v>
      </c>
      <c r="G78" s="22">
        <v>2</v>
      </c>
      <c r="H78" s="22" t="s">
        <v>78</v>
      </c>
      <c r="I78" t="s">
        <v>94</v>
      </c>
      <c r="J78" s="80">
        <v>16615</v>
      </c>
      <c r="K78" s="28">
        <f>10*0.15</f>
        <v>1.5</v>
      </c>
      <c r="L78" s="5" t="str">
        <f t="shared" si="32"/>
        <v>T</v>
      </c>
      <c r="M78" s="5">
        <f>VLOOKUP(Table!$I78,Specs!$A:$R,MATCH(Table!M$3,Specs!$A$1:$R$1,0),FALSE)</f>
        <v>7.97</v>
      </c>
      <c r="N78" s="5">
        <f>VLOOKUP(Table!$I78,Specs!$A:$R,MATCH(Table!N$3,Specs!$A$1:$R$1,0),FALSE)</f>
        <v>93.1</v>
      </c>
      <c r="O78" s="13">
        <f>(N78*M78)/1000</f>
        <v>0.74200699999999997</v>
      </c>
      <c r="P78" s="19">
        <f>VLOOKUP(Table!$I78,Specs!$A:$R,MATCH(Table!P$3,Specs!$A$1:$R$1,0),FALSE)</f>
        <v>4</v>
      </c>
      <c r="Q78" s="19">
        <f>VLOOKUP(Table!$I78,Specs!$A:$R,MATCH(Table!Q$3,Specs!$A$1:$R$1,0),FALSE)</f>
        <v>1.2</v>
      </c>
      <c r="R78" s="19">
        <v>25</v>
      </c>
      <c r="S78" s="19">
        <f>VLOOKUP(Table!$I78,Specs!$A:$R,MATCH(Table!S$3,Specs!$A$1:$R$1,0),FALSE)</f>
        <v>9.2000000000000028</v>
      </c>
      <c r="T78" s="74">
        <v>3.2989102230842171E-2</v>
      </c>
      <c r="U78" s="14"/>
      <c r="V78" s="57">
        <v>38.162468700278339</v>
      </c>
      <c r="W78" s="14"/>
      <c r="X78" s="14">
        <v>-2.4618269466247663E-5</v>
      </c>
      <c r="Y78" s="55">
        <v>708.17508425132564</v>
      </c>
      <c r="Z78">
        <v>12.310502916518523</v>
      </c>
      <c r="AA78" s="55">
        <v>177.33594260130121</v>
      </c>
      <c r="AB78" s="57">
        <v>93.5</v>
      </c>
      <c r="AC78">
        <f t="shared" si="5"/>
        <v>1</v>
      </c>
      <c r="AD78" s="54">
        <f t="shared" si="113"/>
        <v>3.0090939507395653</v>
      </c>
      <c r="AE78" t="str">
        <f t="shared" ref="AE78:AE111" si="120">L78</f>
        <v>T</v>
      </c>
      <c r="AF78" s="57">
        <f t="shared" ref="AF78:AF111" si="121">IF(F78="DIP",360/(2000*PI()),IF(F78="QUAD",1000/AA78,IF(RIGHT(F78,3)="COR",1,0)))*c_*AD78/A78</f>
        <v>30.83015716205718</v>
      </c>
      <c r="AG78" s="56" t="str">
        <f t="shared" si="2"/>
        <v>m⁻²</v>
      </c>
      <c r="AH78" s="26">
        <f t="shared" si="104"/>
        <v>16.968325239654408</v>
      </c>
      <c r="AI78" t="str">
        <f t="shared" si="101"/>
        <v>T/m</v>
      </c>
    </row>
    <row r="79" spans="1:35" s="25" customFormat="1" hidden="1" x14ac:dyDescent="0.25">
      <c r="A79">
        <v>165</v>
      </c>
      <c r="B79" s="38" t="s">
        <v>91</v>
      </c>
      <c r="C79" t="s">
        <v>65</v>
      </c>
      <c r="D79" t="s">
        <v>91</v>
      </c>
      <c r="E79" t="s">
        <v>67</v>
      </c>
      <c r="F79" t="s">
        <v>112</v>
      </c>
      <c r="G79" s="22">
        <v>2</v>
      </c>
      <c r="H79" s="22"/>
      <c r="I79" t="s">
        <v>118</v>
      </c>
      <c r="J79" s="80">
        <v>16645</v>
      </c>
      <c r="K79" s="28">
        <v>1.8162582231580893</v>
      </c>
      <c r="L79" s="5" t="str">
        <f t="shared" si="32"/>
        <v>T.mm</v>
      </c>
      <c r="M79" s="5">
        <f>VLOOKUP(Table!$I79,Specs!$A:$R,MATCH(Table!M$3,Specs!$A$1:$R$1,0),FALSE)</f>
        <v>3.2</v>
      </c>
      <c r="N79" s="5">
        <f>VLOOKUP(Table!$I79,Specs!$A:$R,MATCH(Table!N$3,Specs!$A$1:$R$1,0),FALSE)</f>
        <v>10</v>
      </c>
      <c r="O79" s="13">
        <f t="shared" ref="O79:O83" si="122">(N79*M79)/1000</f>
        <v>3.2000000000000001E-2</v>
      </c>
      <c r="P79" s="19">
        <f>VLOOKUP(Table!$I79,Specs!$A:$R,MATCH(Table!P$3,Specs!$A$1:$R$1,0),FALSE)</f>
        <v>0.1</v>
      </c>
      <c r="Q79" s="19">
        <f>VLOOKUP(Table!$I79,Specs!$A:$R,MATCH(Table!Q$3,Specs!$A$1:$R$1,0),FALSE)</f>
        <v>0.5</v>
      </c>
      <c r="R79" s="19">
        <v>25</v>
      </c>
      <c r="S79" s="19">
        <f>VLOOKUP(Table!$I79,Specs!$A:$R,MATCH(Table!S$3,Specs!$A$1:$R$1,0),FALSE)</f>
        <v>2</v>
      </c>
      <c r="T79" s="74">
        <v>0.31807354545454547</v>
      </c>
      <c r="U79" s="14"/>
      <c r="V79" s="57"/>
      <c r="W79" s="14"/>
      <c r="X79" s="14"/>
      <c r="Y79" s="55"/>
      <c r="Z79"/>
      <c r="AA79" s="55">
        <v>150.9433962264151</v>
      </c>
      <c r="AB79" s="57">
        <v>1</v>
      </c>
      <c r="AC79">
        <f t="shared" ref="AC79:AC111" si="123">SIGN(AB79)</f>
        <v>1</v>
      </c>
      <c r="AD79" s="54">
        <f t="shared" si="113"/>
        <v>0.31807354545454547</v>
      </c>
      <c r="AE79" t="str">
        <f t="shared" si="120"/>
        <v>T.mm</v>
      </c>
      <c r="AF79" s="57">
        <f t="shared" si="121"/>
        <v>0.57791545464601768</v>
      </c>
      <c r="AG79" s="56" t="str">
        <f t="shared" ref="AG79:AG111" si="124">IF(F79="DIP","°",IF(F79="QUAD","m⁻²",IF(RIGHT(F79,3)="COR","mrad","")))</f>
        <v>mrad</v>
      </c>
      <c r="AH79" s="26">
        <f t="shared" si="104"/>
        <v>2.1072372386363636</v>
      </c>
      <c r="AI79" t="str">
        <f t="shared" si="101"/>
        <v>mT</v>
      </c>
    </row>
    <row r="80" spans="1:35" s="25" customFormat="1" hidden="1" x14ac:dyDescent="0.25">
      <c r="A80">
        <v>165</v>
      </c>
      <c r="B80" s="38" t="s">
        <v>91</v>
      </c>
      <c r="C80" t="s">
        <v>65</v>
      </c>
      <c r="D80" t="s">
        <v>91</v>
      </c>
      <c r="E80" t="s">
        <v>67</v>
      </c>
      <c r="F80" t="s">
        <v>68</v>
      </c>
      <c r="G80" s="22">
        <v>2</v>
      </c>
      <c r="H80" s="22"/>
      <c r="I80" t="s">
        <v>118</v>
      </c>
      <c r="J80" s="80">
        <v>16645</v>
      </c>
      <c r="K80" s="28">
        <v>1.8162582231580893</v>
      </c>
      <c r="L80" s="5" t="str">
        <f t="shared" ref="L80" si="125">IF(F80="QUAD","T","T.mm")</f>
        <v>T.mm</v>
      </c>
      <c r="M80" s="5">
        <f>VLOOKUP(Table!$I80,Specs!$A:$R,MATCH(Table!M$3,Specs!$A$1:$R$1,0),FALSE)</f>
        <v>3.2</v>
      </c>
      <c r="N80" s="5">
        <f>VLOOKUP(Table!$I80,Specs!$A:$R,MATCH(Table!N$3,Specs!$A$1:$R$1,0),FALSE)</f>
        <v>10</v>
      </c>
      <c r="O80" s="13">
        <f t="shared" ref="O80" si="126">(N80*M80)/1000</f>
        <v>3.2000000000000001E-2</v>
      </c>
      <c r="P80" s="19">
        <f>VLOOKUP(Table!$I80,Specs!$A:$R,MATCH(Table!P$3,Specs!$A$1:$R$1,0),FALSE)</f>
        <v>0.1</v>
      </c>
      <c r="Q80" s="19">
        <f>VLOOKUP(Table!$I80,Specs!$A:$R,MATCH(Table!Q$3,Specs!$A$1:$R$1,0),FALSE)</f>
        <v>0.5</v>
      </c>
      <c r="R80" s="19">
        <v>25</v>
      </c>
      <c r="S80" s="19">
        <f>VLOOKUP(Table!$I80,Specs!$A:$R,MATCH(Table!S$3,Specs!$A$1:$R$1,0),FALSE)</f>
        <v>2</v>
      </c>
      <c r="T80" s="74">
        <v>0.31811972727272625</v>
      </c>
      <c r="U80" s="14"/>
      <c r="V80" s="57"/>
      <c r="W80" s="14"/>
      <c r="X80" s="14"/>
      <c r="Y80" s="55"/>
      <c r="Z80"/>
      <c r="AA80" s="55">
        <v>150.9433962264151</v>
      </c>
      <c r="AB80" s="57">
        <v>1</v>
      </c>
      <c r="AC80">
        <f t="shared" ref="AC80" si="127">SIGN(AB80)</f>
        <v>1</v>
      </c>
      <c r="AD80" s="54">
        <f t="shared" si="113"/>
        <v>0.31811972727272625</v>
      </c>
      <c r="AE80" t="str">
        <f t="shared" ref="AE80" si="128">L80</f>
        <v>T.mm</v>
      </c>
      <c r="AF80" s="57">
        <f t="shared" ref="AF80" si="129">IF(F80="DIP",360/(2000*PI()),IF(F80="QUAD",1000/AA80,IF(RIGHT(F80,3)="COR",1,0)))*c_*AD80/A80</f>
        <v>0.57799936349927417</v>
      </c>
      <c r="AG80" s="56" t="str">
        <f t="shared" ref="AG80" si="130">IF(F80="DIP","°",IF(F80="QUAD","m⁻²",IF(RIGHT(F80,3)="COR","mrad","")))</f>
        <v>mrad</v>
      </c>
      <c r="AH80" s="26">
        <f t="shared" si="104"/>
        <v>2.1075431931818116</v>
      </c>
      <c r="AI80" t="str">
        <f t="shared" si="101"/>
        <v>mT</v>
      </c>
    </row>
    <row r="81" spans="1:35" hidden="1" x14ac:dyDescent="0.25">
      <c r="A81">
        <v>165</v>
      </c>
      <c r="B81" s="38">
        <v>8</v>
      </c>
      <c r="C81" t="s">
        <v>65</v>
      </c>
      <c r="D81" t="s">
        <v>85</v>
      </c>
      <c r="E81" t="s">
        <v>67</v>
      </c>
      <c r="F81" t="s">
        <v>112</v>
      </c>
      <c r="G81" s="22">
        <v>2</v>
      </c>
      <c r="I81" t="s">
        <v>120</v>
      </c>
      <c r="J81" s="80">
        <v>16648</v>
      </c>
      <c r="K81" s="28">
        <v>1.8162582231580893</v>
      </c>
      <c r="L81" s="5" t="str">
        <f t="shared" si="32"/>
        <v>T.mm</v>
      </c>
      <c r="M81" s="5">
        <f>VLOOKUP(Table!$I81,Specs!$A:$R,MATCH(Table!M$3,Specs!$A$1:$R$1,0),FALSE)</f>
        <v>1.6</v>
      </c>
      <c r="N81" s="5">
        <f>VLOOKUP(Table!$I81,Specs!$A:$R,MATCH(Table!N$3,Specs!$A$1:$R$1,0),FALSE)</f>
        <v>9.6</v>
      </c>
      <c r="O81" s="13">
        <f t="shared" si="122"/>
        <v>1.5359999999999999E-2</v>
      </c>
      <c r="P81" s="19" t="str">
        <f>VLOOKUP(Table!$I81,Specs!$A:$R,MATCH(Table!P$3,Specs!$A$1:$R$1,0),FALSE)</f>
        <v>Air-cooled</v>
      </c>
      <c r="Q81" s="19">
        <f>VLOOKUP(Table!$I81,Specs!$A:$R,MATCH(Table!Q$3,Specs!$A$1:$R$1,0),FALSE)</f>
        <v>0</v>
      </c>
      <c r="R81" s="19">
        <v>25</v>
      </c>
      <c r="S81" s="19">
        <f>VLOOKUP(Table!$I81,Specs!$A:$R,MATCH(Table!S$3,Specs!$A$1:$R$1,0),FALSE)</f>
        <v>0</v>
      </c>
      <c r="T81" s="74">
        <v>0.52817863636363649</v>
      </c>
      <c r="V81" s="57"/>
      <c r="AA81" s="55">
        <v>194</v>
      </c>
      <c r="AB81" s="57">
        <v>1</v>
      </c>
      <c r="AC81">
        <f t="shared" si="123"/>
        <v>1</v>
      </c>
      <c r="AD81" s="54">
        <f t="shared" si="113"/>
        <v>0.52817863636363649</v>
      </c>
      <c r="AE81" t="str">
        <f t="shared" si="120"/>
        <v>T.mm</v>
      </c>
      <c r="AF81" s="57">
        <f t="shared" si="121"/>
        <v>0.95966043429419867</v>
      </c>
      <c r="AG81" s="56" t="str">
        <f t="shared" si="124"/>
        <v>mrad</v>
      </c>
      <c r="AH81" s="26">
        <f t="shared" si="104"/>
        <v>2.7225702905342088</v>
      </c>
      <c r="AI81" t="str">
        <f t="shared" si="101"/>
        <v>mT</v>
      </c>
    </row>
    <row r="82" spans="1:35" hidden="1" x14ac:dyDescent="0.25">
      <c r="A82">
        <v>165</v>
      </c>
      <c r="B82" s="38">
        <v>8</v>
      </c>
      <c r="C82" t="s">
        <v>65</v>
      </c>
      <c r="D82" t="s">
        <v>85</v>
      </c>
      <c r="E82" t="s">
        <v>67</v>
      </c>
      <c r="F82" t="s">
        <v>68</v>
      </c>
      <c r="G82" s="22">
        <v>2</v>
      </c>
      <c r="I82" t="s">
        <v>120</v>
      </c>
      <c r="J82" s="80">
        <v>16648</v>
      </c>
      <c r="K82" s="28">
        <v>1.8162582231580893</v>
      </c>
      <c r="L82" s="5" t="str">
        <f t="shared" ref="L82" si="131">IF(F82="QUAD","T","T.mm")</f>
        <v>T.mm</v>
      </c>
      <c r="M82" s="5">
        <f>VLOOKUP(Table!$I82,Specs!$A:$R,MATCH(Table!M$3,Specs!$A$1:$R$1,0),FALSE)</f>
        <v>1.6</v>
      </c>
      <c r="N82" s="5">
        <f>VLOOKUP(Table!$I82,Specs!$A:$R,MATCH(Table!N$3,Specs!$A$1:$R$1,0),FALSE)</f>
        <v>9.6</v>
      </c>
      <c r="O82" s="13">
        <f t="shared" ref="O82" si="132">(N82*M82)/1000</f>
        <v>1.5359999999999999E-2</v>
      </c>
      <c r="P82" s="19" t="str">
        <f>VLOOKUP(Table!$I82,Specs!$A:$R,MATCH(Table!P$3,Specs!$A$1:$R$1,0),FALSE)</f>
        <v>Air-cooled</v>
      </c>
      <c r="Q82" s="19">
        <f>VLOOKUP(Table!$I82,Specs!$A:$R,MATCH(Table!Q$3,Specs!$A$1:$R$1,0),FALSE)</f>
        <v>0</v>
      </c>
      <c r="R82" s="19">
        <v>25</v>
      </c>
      <c r="S82" s="19">
        <f>VLOOKUP(Table!$I82,Specs!$A:$R,MATCH(Table!S$3,Specs!$A$1:$R$1,0),FALSE)</f>
        <v>0</v>
      </c>
      <c r="T82" s="74">
        <v>0.52873363636363657</v>
      </c>
      <c r="V82" s="57"/>
      <c r="AA82" s="55">
        <v>194</v>
      </c>
      <c r="AB82" s="57">
        <v>1</v>
      </c>
      <c r="AC82">
        <f t="shared" ref="AC82" si="133">SIGN(AB82)</f>
        <v>1</v>
      </c>
      <c r="AD82" s="54">
        <f t="shared" si="113"/>
        <v>0.52873363636363657</v>
      </c>
      <c r="AE82" t="str">
        <f t="shared" ref="AE82" si="134">L82</f>
        <v>T.mm</v>
      </c>
      <c r="AF82" s="57">
        <f t="shared" ref="AF82" si="135">IF(F82="DIP",360/(2000*PI()),IF(F82="QUAD",1000/AA82,IF(RIGHT(F82,3)="COR",1,0)))*c_*AD82/A82</f>
        <v>0.96066882710747159</v>
      </c>
      <c r="AG82" s="56" t="str">
        <f t="shared" ref="AG82" si="136">IF(F82="DIP","°",IF(F82="QUAD","m⁻²",IF(RIGHT(F82,3)="COR","mrad","")))</f>
        <v>mrad</v>
      </c>
      <c r="AH82" s="26">
        <f t="shared" si="104"/>
        <v>2.7254311152764772</v>
      </c>
      <c r="AI82" t="str">
        <f t="shared" si="101"/>
        <v>mT</v>
      </c>
    </row>
    <row r="83" spans="1:35" hidden="1" x14ac:dyDescent="0.25">
      <c r="A83">
        <v>240</v>
      </c>
      <c r="B83" s="38">
        <v>9</v>
      </c>
      <c r="C83" t="s">
        <v>65</v>
      </c>
      <c r="D83" t="s">
        <v>86</v>
      </c>
      <c r="E83" t="s">
        <v>67</v>
      </c>
      <c r="F83" t="s">
        <v>112</v>
      </c>
      <c r="G83" s="22">
        <v>1</v>
      </c>
      <c r="I83" t="s">
        <v>118</v>
      </c>
      <c r="J83" s="80">
        <v>16642</v>
      </c>
      <c r="K83" s="28">
        <v>2.6418301427754023</v>
      </c>
      <c r="L83" s="5" t="str">
        <f t="shared" si="32"/>
        <v>T.mm</v>
      </c>
      <c r="M83" s="5">
        <f>VLOOKUP(Table!$I83,Specs!$A:$R,MATCH(Table!M$3,Specs!$A$1:$R$1,0),FALSE)</f>
        <v>3.2</v>
      </c>
      <c r="N83" s="5">
        <f>VLOOKUP(Table!$I83,Specs!$A:$R,MATCH(Table!N$3,Specs!$A$1:$R$1,0),FALSE)</f>
        <v>10</v>
      </c>
      <c r="O83" s="13">
        <f t="shared" si="122"/>
        <v>3.2000000000000001E-2</v>
      </c>
      <c r="P83" s="19">
        <f>VLOOKUP(Table!$I83,Specs!$A:$R,MATCH(Table!P$3,Specs!$A$1:$R$1,0),FALSE)</f>
        <v>0.1</v>
      </c>
      <c r="Q83" s="19">
        <f>VLOOKUP(Table!$I83,Specs!$A:$R,MATCH(Table!Q$3,Specs!$A$1:$R$1,0),FALSE)</f>
        <v>0.5</v>
      </c>
      <c r="R83" s="19">
        <v>25</v>
      </c>
      <c r="S83" s="19">
        <f>VLOOKUP(Table!$I83,Specs!$A:$R,MATCH(Table!S$3,Specs!$A$1:$R$1,0),FALSE)</f>
        <v>2</v>
      </c>
      <c r="T83" s="74">
        <v>0.31781327272727267</v>
      </c>
      <c r="V83" s="57"/>
      <c r="AA83" s="55">
        <v>150.9433962264151</v>
      </c>
      <c r="AB83" s="57">
        <v>1</v>
      </c>
      <c r="AC83">
        <f t="shared" si="123"/>
        <v>1</v>
      </c>
      <c r="AD83" s="54">
        <f t="shared" si="113"/>
        <v>0.31781327272727267</v>
      </c>
      <c r="AE83" t="str">
        <f t="shared" si="120"/>
        <v>T.mm</v>
      </c>
      <c r="AF83" s="57">
        <f t="shared" si="121"/>
        <v>0.39699175923305596</v>
      </c>
      <c r="AG83" s="56" t="str">
        <f t="shared" si="124"/>
        <v>mrad</v>
      </c>
      <c r="AH83" s="26">
        <f t="shared" si="104"/>
        <v>2.1055129318181813</v>
      </c>
      <c r="AI83" t="str">
        <f t="shared" si="101"/>
        <v>mT</v>
      </c>
    </row>
    <row r="84" spans="1:35" hidden="1" x14ac:dyDescent="0.25">
      <c r="A84">
        <v>240</v>
      </c>
      <c r="B84" s="38">
        <v>9</v>
      </c>
      <c r="C84" t="s">
        <v>65</v>
      </c>
      <c r="D84" t="s">
        <v>86</v>
      </c>
      <c r="E84" t="s">
        <v>67</v>
      </c>
      <c r="F84" t="s">
        <v>68</v>
      </c>
      <c r="G84" s="22">
        <v>1</v>
      </c>
      <c r="I84" t="s">
        <v>118</v>
      </c>
      <c r="J84" s="80">
        <v>16642</v>
      </c>
      <c r="K84" s="28">
        <v>2.6418301427754023</v>
      </c>
      <c r="L84" s="5" t="str">
        <f t="shared" ref="L84" si="137">IF(F84="QUAD","T","T.mm")</f>
        <v>T.mm</v>
      </c>
      <c r="M84" s="5">
        <f>VLOOKUP(Table!$I84,Specs!$A:$R,MATCH(Table!M$3,Specs!$A$1:$R$1,0),FALSE)</f>
        <v>3.2</v>
      </c>
      <c r="N84" s="5">
        <f>VLOOKUP(Table!$I84,Specs!$A:$R,MATCH(Table!N$3,Specs!$A$1:$R$1,0),FALSE)</f>
        <v>10</v>
      </c>
      <c r="O84" s="13">
        <f t="shared" ref="O84" si="138">(N84*M84)/1000</f>
        <v>3.2000000000000001E-2</v>
      </c>
      <c r="P84" s="19">
        <f>VLOOKUP(Table!$I84,Specs!$A:$R,MATCH(Table!P$3,Specs!$A$1:$R$1,0),FALSE)</f>
        <v>0.1</v>
      </c>
      <c r="Q84" s="19">
        <f>VLOOKUP(Table!$I84,Specs!$A:$R,MATCH(Table!Q$3,Specs!$A$1:$R$1,0),FALSE)</f>
        <v>0.5</v>
      </c>
      <c r="R84" s="19">
        <v>25</v>
      </c>
      <c r="S84" s="19">
        <f>VLOOKUP(Table!$I84,Specs!$A:$R,MATCH(Table!S$3,Specs!$A$1:$R$1,0),FALSE)</f>
        <v>2</v>
      </c>
      <c r="T84" s="74">
        <v>0.31841599999999903</v>
      </c>
      <c r="V84" s="57"/>
      <c r="AA84" s="55">
        <v>150.9433962264151</v>
      </c>
      <c r="AB84" s="57">
        <v>1</v>
      </c>
      <c r="AC84">
        <f t="shared" ref="AC84" si="139">SIGN(AB84)</f>
        <v>1</v>
      </c>
      <c r="AD84" s="54">
        <f t="shared" si="113"/>
        <v>0.31841599999999903</v>
      </c>
      <c r="AE84" t="str">
        <f t="shared" ref="AE84" si="140">L84</f>
        <v>T.mm</v>
      </c>
      <c r="AF84" s="57">
        <f t="shared" ref="AF84" si="141">IF(F84="DIP",360/(2000*PI()),IF(F84="QUAD",1000/AA84,IF(RIGHT(F84,3)="COR",1,0)))*c_*AD84/A84</f>
        <v>0.39774464711053209</v>
      </c>
      <c r="AG84" s="56" t="str">
        <f t="shared" ref="AG84" si="142">IF(F84="DIP","°",IF(F84="QUAD","m⁻²",IF(RIGHT(F84,3)="COR","mrad","")))</f>
        <v>mrad</v>
      </c>
      <c r="AH84" s="26">
        <f t="shared" si="104"/>
        <v>2.1095059999999934</v>
      </c>
      <c r="AI84" t="str">
        <f t="shared" si="101"/>
        <v>mT</v>
      </c>
    </row>
    <row r="85" spans="1:35" hidden="1" x14ac:dyDescent="0.25">
      <c r="A85">
        <v>240</v>
      </c>
      <c r="B85" s="38">
        <v>10</v>
      </c>
      <c r="C85" t="s">
        <v>65</v>
      </c>
      <c r="D85" t="s">
        <v>86</v>
      </c>
      <c r="E85" t="s">
        <v>67</v>
      </c>
      <c r="F85" t="s">
        <v>70</v>
      </c>
      <c r="G85" s="22">
        <v>1</v>
      </c>
      <c r="H85" s="22" t="s">
        <v>78</v>
      </c>
      <c r="I85" t="s">
        <v>105</v>
      </c>
      <c r="J85" s="80">
        <v>8</v>
      </c>
      <c r="K85" s="28">
        <f>20*0.15</f>
        <v>3</v>
      </c>
      <c r="L85" s="5" t="str">
        <f t="shared" si="32"/>
        <v>T</v>
      </c>
      <c r="M85" s="5">
        <f>VLOOKUP(Table!$I85,Specs!$A:$R,MATCH(Table!M$3,Specs!$A$1:$R$1,0),FALSE)</f>
        <v>13.232514177693764</v>
      </c>
      <c r="N85" s="5">
        <f>VLOOKUP(Table!$I85,Specs!$A:$R,MATCH(Table!N$3,Specs!$A$1:$R$1,0),FALSE)</f>
        <v>94.517958412098309</v>
      </c>
      <c r="O85" s="13">
        <f>(N85*M85)/1000</f>
        <v>1.2507102247347606</v>
      </c>
      <c r="P85" s="19">
        <f>VLOOKUP(Table!$I85,Specs!$A:$R,MATCH(Table!P$3,Specs!$A$1:$R$1,0),FALSE)</f>
        <v>6</v>
      </c>
      <c r="Q85" s="19">
        <f>VLOOKUP(Table!$I85,Specs!$A:$R,MATCH(Table!Q$3,Specs!$A$1:$R$1,0),FALSE)</f>
        <v>0.6</v>
      </c>
      <c r="R85" s="19">
        <v>25</v>
      </c>
      <c r="S85" s="19">
        <f>VLOOKUP(Table!$I85,Specs!$A:$R,MATCH(Table!S$3,Specs!$A$1:$R$1,0),FALSE)</f>
        <v>0</v>
      </c>
      <c r="T85" s="74">
        <v>3.8179247906256458E-2</v>
      </c>
      <c r="V85" s="57">
        <v>86.683172350823668</v>
      </c>
      <c r="W85" s="14">
        <v>0</v>
      </c>
      <c r="X85" s="14">
        <v>-1.05175752221088E-4</v>
      </c>
      <c r="Y85" s="55">
        <v>276.83934324438246</v>
      </c>
      <c r="Z85">
        <v>7.1045011906834175</v>
      </c>
      <c r="AA85" s="55">
        <v>173</v>
      </c>
      <c r="AC85">
        <f t="shared" si="123"/>
        <v>0</v>
      </c>
      <c r="AE85" t="str">
        <f t="shared" si="120"/>
        <v>T</v>
      </c>
      <c r="AF85" s="57">
        <f t="shared" si="121"/>
        <v>0</v>
      </c>
      <c r="AG85" s="56" t="str">
        <f t="shared" si="124"/>
        <v>m⁻²</v>
      </c>
      <c r="AH85" s="26">
        <f t="shared" si="104"/>
        <v>0</v>
      </c>
      <c r="AI85" t="str">
        <f t="shared" si="101"/>
        <v>T/m</v>
      </c>
    </row>
    <row r="86" spans="1:35" hidden="1" x14ac:dyDescent="0.25">
      <c r="A86">
        <v>240</v>
      </c>
      <c r="B86" s="38">
        <v>10</v>
      </c>
      <c r="C86" t="s">
        <v>65</v>
      </c>
      <c r="D86" t="s">
        <v>86</v>
      </c>
      <c r="E86" t="s">
        <v>67</v>
      </c>
      <c r="F86" t="s">
        <v>70</v>
      </c>
      <c r="G86" s="22">
        <v>2</v>
      </c>
      <c r="H86" s="22" t="s">
        <v>78</v>
      </c>
      <c r="I86" t="s">
        <v>105</v>
      </c>
      <c r="J86" s="80">
        <v>9</v>
      </c>
      <c r="K86" s="28">
        <f>20*0.15</f>
        <v>3</v>
      </c>
      <c r="L86" s="5" t="str">
        <f t="shared" si="32"/>
        <v>T</v>
      </c>
      <c r="M86" s="5">
        <f>VLOOKUP(Table!$I86,Specs!$A:$R,MATCH(Table!M$3,Specs!$A$1:$R$1,0),FALSE)</f>
        <v>13.232514177693764</v>
      </c>
      <c r="N86" s="5">
        <f>VLOOKUP(Table!$I86,Specs!$A:$R,MATCH(Table!N$3,Specs!$A$1:$R$1,0),FALSE)</f>
        <v>94.517958412098309</v>
      </c>
      <c r="O86" s="13">
        <f>(N86*M86)/1000</f>
        <v>1.2507102247347606</v>
      </c>
      <c r="P86" s="19">
        <f>VLOOKUP(Table!$I86,Specs!$A:$R,MATCH(Table!P$3,Specs!$A$1:$R$1,0),FALSE)</f>
        <v>6</v>
      </c>
      <c r="Q86" s="19">
        <f>VLOOKUP(Table!$I86,Specs!$A:$R,MATCH(Table!Q$3,Specs!$A$1:$R$1,0),FALSE)</f>
        <v>0.6</v>
      </c>
      <c r="R86" s="19">
        <v>25</v>
      </c>
      <c r="S86" s="19">
        <f>VLOOKUP(Table!$I86,Specs!$A:$R,MATCH(Table!S$3,Specs!$A$1:$R$1,0),FALSE)</f>
        <v>0</v>
      </c>
      <c r="T86" s="74">
        <v>3.8179247906256458E-2</v>
      </c>
      <c r="V86" s="57">
        <v>86.683172350823668</v>
      </c>
      <c r="W86" s="14">
        <v>0</v>
      </c>
      <c r="X86" s="14">
        <v>-1.05175752221088E-4</v>
      </c>
      <c r="Y86" s="55">
        <v>276.83934324438246</v>
      </c>
      <c r="Z86">
        <v>7.1045011906834175</v>
      </c>
      <c r="AA86" s="55">
        <v>173</v>
      </c>
      <c r="AC86">
        <f t="shared" si="123"/>
        <v>0</v>
      </c>
      <c r="AE86" t="str">
        <f t="shared" si="120"/>
        <v>T</v>
      </c>
      <c r="AF86" s="57">
        <f t="shared" si="121"/>
        <v>0</v>
      </c>
      <c r="AG86" s="56" t="str">
        <f t="shared" si="124"/>
        <v>m⁻²</v>
      </c>
      <c r="AH86" s="26">
        <f t="shared" si="104"/>
        <v>0</v>
      </c>
      <c r="AI86" t="str">
        <f t="shared" si="101"/>
        <v>T/m</v>
      </c>
    </row>
    <row r="87" spans="1:35" hidden="1" x14ac:dyDescent="0.25">
      <c r="A87">
        <v>240</v>
      </c>
      <c r="B87" s="38">
        <v>10</v>
      </c>
      <c r="C87" t="s">
        <v>65</v>
      </c>
      <c r="D87" t="s">
        <v>86</v>
      </c>
      <c r="E87" t="s">
        <v>67</v>
      </c>
      <c r="F87" t="s">
        <v>112</v>
      </c>
      <c r="G87" s="22">
        <v>2</v>
      </c>
      <c r="I87" t="s">
        <v>118</v>
      </c>
      <c r="J87" s="80">
        <v>16636</v>
      </c>
      <c r="K87" s="28">
        <v>2.6418301427754023</v>
      </c>
      <c r="L87" s="5" t="str">
        <f t="shared" si="32"/>
        <v>T.mm</v>
      </c>
      <c r="M87" s="5">
        <f>VLOOKUP(Table!$I87,Specs!$A:$R,MATCH(Table!M$3,Specs!$A$1:$R$1,0),FALSE)</f>
        <v>3.2</v>
      </c>
      <c r="N87" s="5">
        <f>VLOOKUP(Table!$I87,Specs!$A:$R,MATCH(Table!N$3,Specs!$A$1:$R$1,0),FALSE)</f>
        <v>10</v>
      </c>
      <c r="O87" s="13">
        <f t="shared" ref="O87:O89" si="143">(N87*M87)/1000</f>
        <v>3.2000000000000001E-2</v>
      </c>
      <c r="P87" s="19">
        <f>VLOOKUP(Table!$I87,Specs!$A:$R,MATCH(Table!P$3,Specs!$A$1:$R$1,0),FALSE)</f>
        <v>0.1</v>
      </c>
      <c r="Q87" s="19">
        <f>VLOOKUP(Table!$I87,Specs!$A:$R,MATCH(Table!Q$3,Specs!$A$1:$R$1,0),FALSE)</f>
        <v>0.5</v>
      </c>
      <c r="R87" s="19">
        <v>25</v>
      </c>
      <c r="S87" s="19">
        <f>VLOOKUP(Table!$I87,Specs!$A:$R,MATCH(Table!S$3,Specs!$A$1:$R$1,0),FALSE)</f>
        <v>2</v>
      </c>
      <c r="T87" s="74">
        <v>0.31827409090909092</v>
      </c>
      <c r="V87" s="57"/>
      <c r="AA87" s="55">
        <v>150.9433962264151</v>
      </c>
      <c r="AB87" s="57">
        <v>1</v>
      </c>
      <c r="AC87">
        <f t="shared" si="123"/>
        <v>1</v>
      </c>
      <c r="AD87" s="54">
        <f t="shared" ref="AD87:AD90" si="144">IF(OR(V87=0,ABS(AB87)&lt;V87),T87*AB87,AC87*W87*AB87^3+AC87*X87*(AB87-AC87*Y87)^2+AC87*Z87)</f>
        <v>0.31827409090909092</v>
      </c>
      <c r="AE87" t="str">
        <f t="shared" si="120"/>
        <v>T.mm</v>
      </c>
      <c r="AF87" s="57">
        <f t="shared" si="121"/>
        <v>0.39756738346396592</v>
      </c>
      <c r="AG87" s="56" t="str">
        <f t="shared" si="124"/>
        <v>mrad</v>
      </c>
      <c r="AH87" s="26">
        <f t="shared" si="104"/>
        <v>2.1085658522727275</v>
      </c>
      <c r="AI87" t="str">
        <f t="shared" si="101"/>
        <v>mT</v>
      </c>
    </row>
    <row r="88" spans="1:35" hidden="1" x14ac:dyDescent="0.25">
      <c r="A88">
        <v>240</v>
      </c>
      <c r="B88" s="38">
        <v>10</v>
      </c>
      <c r="C88" t="s">
        <v>65</v>
      </c>
      <c r="D88" t="s">
        <v>86</v>
      </c>
      <c r="E88" t="s">
        <v>67</v>
      </c>
      <c r="F88" t="s">
        <v>68</v>
      </c>
      <c r="G88" s="22">
        <v>2</v>
      </c>
      <c r="I88" t="s">
        <v>118</v>
      </c>
      <c r="J88" s="80">
        <v>16636</v>
      </c>
      <c r="K88" s="28">
        <v>2.6418301427754023</v>
      </c>
      <c r="L88" s="5" t="str">
        <f t="shared" ref="L88" si="145">IF(F88="QUAD","T","T.mm")</f>
        <v>T.mm</v>
      </c>
      <c r="M88" s="5">
        <f>VLOOKUP(Table!$I88,Specs!$A:$R,MATCH(Table!M$3,Specs!$A$1:$R$1,0),FALSE)</f>
        <v>3.2</v>
      </c>
      <c r="N88" s="5">
        <f>VLOOKUP(Table!$I88,Specs!$A:$R,MATCH(Table!N$3,Specs!$A$1:$R$1,0),FALSE)</f>
        <v>10</v>
      </c>
      <c r="O88" s="13">
        <f t="shared" ref="O88" si="146">(N88*M88)/1000</f>
        <v>3.2000000000000001E-2</v>
      </c>
      <c r="P88" s="19">
        <f>VLOOKUP(Table!$I88,Specs!$A:$R,MATCH(Table!P$3,Specs!$A$1:$R$1,0),FALSE)</f>
        <v>0.1</v>
      </c>
      <c r="Q88" s="19">
        <f>VLOOKUP(Table!$I88,Specs!$A:$R,MATCH(Table!Q$3,Specs!$A$1:$R$1,0),FALSE)</f>
        <v>0.5</v>
      </c>
      <c r="R88" s="19">
        <v>25</v>
      </c>
      <c r="S88" s="19">
        <f>VLOOKUP(Table!$I88,Specs!$A:$R,MATCH(Table!S$3,Specs!$A$1:$R$1,0),FALSE)</f>
        <v>2</v>
      </c>
      <c r="T88" s="74">
        <v>0.31822418181818185</v>
      </c>
      <c r="V88" s="57"/>
      <c r="AA88" s="55">
        <v>150.9433962264151</v>
      </c>
      <c r="AB88" s="57">
        <v>1</v>
      </c>
      <c r="AC88">
        <f t="shared" ref="AC88" si="147">SIGN(AB88)</f>
        <v>1</v>
      </c>
      <c r="AD88" s="54">
        <f t="shared" si="144"/>
        <v>0.31822418181818185</v>
      </c>
      <c r="AE88" t="str">
        <f t="shared" ref="AE88" si="148">L88</f>
        <v>T.mm</v>
      </c>
      <c r="AF88" s="57">
        <f t="shared" ref="AF88" si="149">IF(F88="DIP",360/(2000*PI()),IF(F88="QUAD",1000/AA88,IF(RIGHT(F88,3)="COR",1,0)))*c_*AD88/A88</f>
        <v>0.39750504025963185</v>
      </c>
      <c r="AG88" s="56" t="str">
        <f t="shared" ref="AG88" si="150">IF(F88="DIP","°",IF(F88="QUAD","m⁻²",IF(RIGHT(F88,3)="COR","mrad","")))</f>
        <v>mrad</v>
      </c>
      <c r="AH88" s="26">
        <f t="shared" si="104"/>
        <v>2.1082352045454549</v>
      </c>
      <c r="AI88" t="str">
        <f t="shared" si="101"/>
        <v>mT</v>
      </c>
    </row>
    <row r="89" spans="1:35" hidden="1" x14ac:dyDescent="0.25">
      <c r="A89">
        <v>240</v>
      </c>
      <c r="B89" s="38">
        <v>10</v>
      </c>
      <c r="C89" t="s">
        <v>65</v>
      </c>
      <c r="D89" t="s">
        <v>86</v>
      </c>
      <c r="E89" t="s">
        <v>67</v>
      </c>
      <c r="F89" t="s">
        <v>112</v>
      </c>
      <c r="G89" s="22">
        <v>3</v>
      </c>
      <c r="I89" t="s">
        <v>120</v>
      </c>
      <c r="J89" s="80">
        <v>16647</v>
      </c>
      <c r="K89" s="28">
        <v>2.6418301427754023</v>
      </c>
      <c r="L89" s="5" t="str">
        <f t="shared" si="32"/>
        <v>T.mm</v>
      </c>
      <c r="M89" s="5">
        <f>VLOOKUP(Table!$I89,Specs!$A:$R,MATCH(Table!M$3,Specs!$A$1:$R$1,0),FALSE)</f>
        <v>1.6</v>
      </c>
      <c r="N89" s="5">
        <f>VLOOKUP(Table!$I89,Specs!$A:$R,MATCH(Table!N$3,Specs!$A$1:$R$1,0),FALSE)</f>
        <v>9.6</v>
      </c>
      <c r="O89" s="13">
        <f t="shared" si="143"/>
        <v>1.5359999999999999E-2</v>
      </c>
      <c r="P89" s="19" t="str">
        <f>VLOOKUP(Table!$I89,Specs!$A:$R,MATCH(Table!P$3,Specs!$A$1:$R$1,0),FALSE)</f>
        <v>Air-cooled</v>
      </c>
      <c r="Q89" s="19">
        <f>VLOOKUP(Table!$I89,Specs!$A:$R,MATCH(Table!Q$3,Specs!$A$1:$R$1,0),FALSE)</f>
        <v>0</v>
      </c>
      <c r="R89" s="19">
        <v>25</v>
      </c>
      <c r="S89" s="19">
        <f>VLOOKUP(Table!$I89,Specs!$A:$R,MATCH(Table!S$3,Specs!$A$1:$R$1,0),FALSE)</f>
        <v>0</v>
      </c>
      <c r="T89" s="74">
        <v>0.52750409090909089</v>
      </c>
      <c r="V89" s="57"/>
      <c r="AA89" s="55">
        <v>194</v>
      </c>
      <c r="AB89" s="57">
        <v>1</v>
      </c>
      <c r="AC89">
        <f t="shared" si="123"/>
        <v>1</v>
      </c>
      <c r="AD89" s="54">
        <f t="shared" si="144"/>
        <v>0.52750409090909089</v>
      </c>
      <c r="AE89" t="str">
        <f t="shared" si="120"/>
        <v>T.mm</v>
      </c>
      <c r="AF89" s="57">
        <f t="shared" si="121"/>
        <v>0.65892395007788263</v>
      </c>
      <c r="AG89" s="56" t="str">
        <f t="shared" si="124"/>
        <v>mrad</v>
      </c>
      <c r="AH89" s="26">
        <f t="shared" si="104"/>
        <v>2.7190932521087161</v>
      </c>
      <c r="AI89" t="str">
        <f t="shared" si="101"/>
        <v>mT</v>
      </c>
    </row>
    <row r="90" spans="1:35" hidden="1" x14ac:dyDescent="0.25">
      <c r="A90">
        <v>240</v>
      </c>
      <c r="B90" s="38">
        <v>10</v>
      </c>
      <c r="C90" t="s">
        <v>65</v>
      </c>
      <c r="D90" t="s">
        <v>86</v>
      </c>
      <c r="E90" t="s">
        <v>67</v>
      </c>
      <c r="F90" t="s">
        <v>68</v>
      </c>
      <c r="G90" s="22">
        <v>3</v>
      </c>
      <c r="I90" t="s">
        <v>120</v>
      </c>
      <c r="J90" s="80">
        <v>16647</v>
      </c>
      <c r="K90" s="28">
        <v>2.6418301427754023</v>
      </c>
      <c r="L90" s="5" t="str">
        <f t="shared" ref="L90" si="151">IF(F90="QUAD","T","T.mm")</f>
        <v>T.mm</v>
      </c>
      <c r="M90" s="5">
        <f>VLOOKUP(Table!$I90,Specs!$A:$R,MATCH(Table!M$3,Specs!$A$1:$R$1,0),FALSE)</f>
        <v>1.6</v>
      </c>
      <c r="N90" s="5">
        <f>VLOOKUP(Table!$I90,Specs!$A:$R,MATCH(Table!N$3,Specs!$A$1:$R$1,0),FALSE)</f>
        <v>9.6</v>
      </c>
      <c r="O90" s="13">
        <f t="shared" ref="O90" si="152">(N90*M90)/1000</f>
        <v>1.5359999999999999E-2</v>
      </c>
      <c r="P90" s="19" t="str">
        <f>VLOOKUP(Table!$I90,Specs!$A:$R,MATCH(Table!P$3,Specs!$A$1:$R$1,0),FALSE)</f>
        <v>Air-cooled</v>
      </c>
      <c r="Q90" s="19">
        <f>VLOOKUP(Table!$I90,Specs!$A:$R,MATCH(Table!Q$3,Specs!$A$1:$R$1,0),FALSE)</f>
        <v>0</v>
      </c>
      <c r="R90" s="19">
        <v>25</v>
      </c>
      <c r="S90" s="19">
        <f>VLOOKUP(Table!$I90,Specs!$A:$R,MATCH(Table!S$3,Specs!$A$1:$R$1,0),FALSE)</f>
        <v>0</v>
      </c>
      <c r="T90" s="74">
        <v>0.52818499999999968</v>
      </c>
      <c r="V90" s="57"/>
      <c r="AA90" s="55">
        <v>194</v>
      </c>
      <c r="AB90" s="57">
        <v>1</v>
      </c>
      <c r="AC90">
        <f t="shared" ref="AC90" si="153">SIGN(AB90)</f>
        <v>1</v>
      </c>
      <c r="AD90" s="54">
        <f t="shared" si="144"/>
        <v>0.52818499999999968</v>
      </c>
      <c r="AE90" t="str">
        <f t="shared" ref="AE90" si="154">L90</f>
        <v>T.mm</v>
      </c>
      <c r="AF90" s="57">
        <f t="shared" ref="AF90" si="155">IF(F90="DIP",360/(2000*PI()),IF(F90="QUAD",1000/AA90,IF(RIGHT(F90,3)="COR",1,0)))*c_*AD90/A90</f>
        <v>0.65977449761970797</v>
      </c>
      <c r="AG90" s="56" t="str">
        <f t="shared" ref="AG90" si="156">IF(F90="DIP","°",IF(F90="QUAD","m⁻²",IF(RIGHT(F90,3)="COR","mrad","")))</f>
        <v>mrad</v>
      </c>
      <c r="AH90" s="26">
        <f t="shared" si="104"/>
        <v>2.7226030927835039</v>
      </c>
      <c r="AI90" t="str">
        <f t="shared" si="101"/>
        <v>mT</v>
      </c>
    </row>
    <row r="91" spans="1:35" hidden="1" x14ac:dyDescent="0.25">
      <c r="A91">
        <v>240</v>
      </c>
      <c r="B91" s="38">
        <v>10</v>
      </c>
      <c r="C91" t="s">
        <v>65</v>
      </c>
      <c r="D91" t="s">
        <v>86</v>
      </c>
      <c r="E91" t="s">
        <v>67</v>
      </c>
      <c r="F91" t="s">
        <v>70</v>
      </c>
      <c r="G91" s="22">
        <v>3</v>
      </c>
      <c r="H91" s="22" t="s">
        <v>78</v>
      </c>
      <c r="I91" t="s">
        <v>105</v>
      </c>
      <c r="J91" s="80">
        <v>5</v>
      </c>
      <c r="K91" s="28">
        <f>20*0.15</f>
        <v>3</v>
      </c>
      <c r="L91" s="5" t="str">
        <f t="shared" si="32"/>
        <v>T</v>
      </c>
      <c r="M91" s="5">
        <f>VLOOKUP(Table!$I91,Specs!$A:$R,MATCH(Table!M$3,Specs!$A$1:$R$1,0),FALSE)</f>
        <v>13.232514177693764</v>
      </c>
      <c r="N91" s="5">
        <f>VLOOKUP(Table!$I91,Specs!$A:$R,MATCH(Table!N$3,Specs!$A$1:$R$1,0),FALSE)</f>
        <v>94.517958412098309</v>
      </c>
      <c r="O91" s="13">
        <f>(N91*M91)/1000</f>
        <v>1.2507102247347606</v>
      </c>
      <c r="P91" s="19">
        <f>VLOOKUP(Table!$I91,Specs!$A:$R,MATCH(Table!P$3,Specs!$A$1:$R$1,0),FALSE)</f>
        <v>6</v>
      </c>
      <c r="Q91" s="19">
        <f>VLOOKUP(Table!$I91,Specs!$A:$R,MATCH(Table!Q$3,Specs!$A$1:$R$1,0),FALSE)</f>
        <v>0.6</v>
      </c>
      <c r="R91" s="19">
        <v>25</v>
      </c>
      <c r="S91" s="19">
        <f>VLOOKUP(Table!$I91,Specs!$A:$R,MATCH(Table!S$3,Specs!$A$1:$R$1,0),FALSE)</f>
        <v>0</v>
      </c>
      <c r="T91" s="74">
        <v>3.8179247906256458E-2</v>
      </c>
      <c r="V91" s="57">
        <v>86.683172350823668</v>
      </c>
      <c r="W91" s="14">
        <v>0</v>
      </c>
      <c r="X91" s="14">
        <v>-1.05175752221088E-4</v>
      </c>
      <c r="Y91" s="55">
        <v>276.83934324438246</v>
      </c>
      <c r="Z91">
        <v>7.1045011906834175</v>
      </c>
      <c r="AA91" s="55">
        <v>173</v>
      </c>
      <c r="AC91">
        <f t="shared" si="123"/>
        <v>0</v>
      </c>
      <c r="AE91" t="str">
        <f t="shared" si="120"/>
        <v>T</v>
      </c>
      <c r="AF91" s="57">
        <f t="shared" si="121"/>
        <v>0</v>
      </c>
      <c r="AG91" s="56" t="str">
        <f t="shared" si="124"/>
        <v>m⁻²</v>
      </c>
      <c r="AH91" s="26">
        <f t="shared" si="104"/>
        <v>0</v>
      </c>
      <c r="AI91" t="str">
        <f t="shared" si="101"/>
        <v>T/m</v>
      </c>
    </row>
    <row r="92" spans="1:35" hidden="1" x14ac:dyDescent="0.25">
      <c r="A92">
        <v>240</v>
      </c>
      <c r="B92" s="38">
        <v>10</v>
      </c>
      <c r="C92" t="s">
        <v>65</v>
      </c>
      <c r="D92" t="s">
        <v>86</v>
      </c>
      <c r="E92" t="s">
        <v>67</v>
      </c>
      <c r="F92" t="s">
        <v>70</v>
      </c>
      <c r="G92" s="22">
        <v>4</v>
      </c>
      <c r="H92" s="22" t="s">
        <v>78</v>
      </c>
      <c r="I92" t="s">
        <v>105</v>
      </c>
      <c r="J92" s="80">
        <v>24</v>
      </c>
      <c r="K92" s="28">
        <f>20*0.15</f>
        <v>3</v>
      </c>
      <c r="L92" s="5" t="str">
        <f t="shared" si="32"/>
        <v>T</v>
      </c>
      <c r="M92" s="5">
        <f>VLOOKUP(Table!$I92,Specs!$A:$R,MATCH(Table!M$3,Specs!$A$1:$R$1,0),FALSE)</f>
        <v>13.232514177693764</v>
      </c>
      <c r="N92" s="5">
        <f>VLOOKUP(Table!$I92,Specs!$A:$R,MATCH(Table!N$3,Specs!$A$1:$R$1,0),FALSE)</f>
        <v>94.517958412098309</v>
      </c>
      <c r="O92" s="13">
        <f>(N92*M92)/1000</f>
        <v>1.2507102247347606</v>
      </c>
      <c r="P92" s="19">
        <f>VLOOKUP(Table!$I92,Specs!$A:$R,MATCH(Table!P$3,Specs!$A$1:$R$1,0),FALSE)</f>
        <v>6</v>
      </c>
      <c r="Q92" s="19">
        <f>VLOOKUP(Table!$I92,Specs!$A:$R,MATCH(Table!Q$3,Specs!$A$1:$R$1,0),FALSE)</f>
        <v>0.6</v>
      </c>
      <c r="R92" s="19">
        <v>25</v>
      </c>
      <c r="S92" s="19">
        <f>VLOOKUP(Table!$I92,Specs!$A:$R,MATCH(Table!S$3,Specs!$A$1:$R$1,0),FALSE)</f>
        <v>0</v>
      </c>
      <c r="T92" s="74">
        <v>3.8179247906256458E-2</v>
      </c>
      <c r="V92" s="57">
        <v>86.683172350823668</v>
      </c>
      <c r="W92" s="14">
        <v>0</v>
      </c>
      <c r="X92" s="14">
        <v>-1.05175752221088E-4</v>
      </c>
      <c r="Y92" s="55">
        <v>276.83934324438246</v>
      </c>
      <c r="Z92">
        <v>7.1045011906834175</v>
      </c>
      <c r="AA92" s="55">
        <v>173</v>
      </c>
      <c r="AC92">
        <f t="shared" si="123"/>
        <v>0</v>
      </c>
      <c r="AE92" t="str">
        <f t="shared" si="120"/>
        <v>T</v>
      </c>
      <c r="AF92" s="57">
        <f t="shared" si="121"/>
        <v>0</v>
      </c>
      <c r="AG92" s="56" t="str">
        <f t="shared" si="124"/>
        <v>m⁻²</v>
      </c>
      <c r="AH92" s="26">
        <f t="shared" si="104"/>
        <v>0</v>
      </c>
      <c r="AI92" t="str">
        <f t="shared" si="101"/>
        <v>T/m</v>
      </c>
    </row>
    <row r="93" spans="1:35" hidden="1" x14ac:dyDescent="0.25">
      <c r="A93">
        <v>240</v>
      </c>
      <c r="B93" s="38">
        <v>10</v>
      </c>
      <c r="C93" t="s">
        <v>65</v>
      </c>
      <c r="D93" t="s">
        <v>86</v>
      </c>
      <c r="E93" t="s">
        <v>67</v>
      </c>
      <c r="F93" t="s">
        <v>70</v>
      </c>
      <c r="G93" s="22">
        <v>5</v>
      </c>
      <c r="H93" s="22" t="s">
        <v>78</v>
      </c>
      <c r="I93" t="s">
        <v>105</v>
      </c>
      <c r="J93" s="80">
        <v>21</v>
      </c>
      <c r="K93" s="28">
        <f>20*0.15</f>
        <v>3</v>
      </c>
      <c r="L93" s="5" t="str">
        <f t="shared" si="32"/>
        <v>T</v>
      </c>
      <c r="M93" s="5">
        <f>VLOOKUP(Table!$I93,Specs!$A:$R,MATCH(Table!M$3,Specs!$A$1:$R$1,0),FALSE)</f>
        <v>13.232514177693764</v>
      </c>
      <c r="N93" s="5">
        <f>VLOOKUP(Table!$I93,Specs!$A:$R,MATCH(Table!N$3,Specs!$A$1:$R$1,0),FALSE)</f>
        <v>94.517958412098309</v>
      </c>
      <c r="O93" s="13">
        <f>(N93*M93)/1000</f>
        <v>1.2507102247347606</v>
      </c>
      <c r="P93" s="19">
        <f>VLOOKUP(Table!$I93,Specs!$A:$R,MATCH(Table!P$3,Specs!$A$1:$R$1,0),FALSE)</f>
        <v>6</v>
      </c>
      <c r="Q93" s="19">
        <f>VLOOKUP(Table!$I93,Specs!$A:$R,MATCH(Table!Q$3,Specs!$A$1:$R$1,0),FALSE)</f>
        <v>0.6</v>
      </c>
      <c r="R93" s="19">
        <v>25</v>
      </c>
      <c r="S93" s="19">
        <f>VLOOKUP(Table!$I93,Specs!$A:$R,MATCH(Table!S$3,Specs!$A$1:$R$1,0),FALSE)</f>
        <v>0</v>
      </c>
      <c r="T93" s="74">
        <v>3.8179247906256458E-2</v>
      </c>
      <c r="V93" s="57">
        <v>86.683172350823668</v>
      </c>
      <c r="W93" s="14">
        <v>0</v>
      </c>
      <c r="X93" s="14">
        <v>-1.05175752221088E-4</v>
      </c>
      <c r="Y93" s="55">
        <v>276.83934324438246</v>
      </c>
      <c r="Z93">
        <v>7.1045011906834175</v>
      </c>
      <c r="AA93" s="55">
        <v>173</v>
      </c>
      <c r="AC93">
        <f t="shared" si="123"/>
        <v>0</v>
      </c>
      <c r="AE93" t="str">
        <f t="shared" si="120"/>
        <v>T</v>
      </c>
      <c r="AF93" s="57">
        <f t="shared" si="121"/>
        <v>0</v>
      </c>
      <c r="AG93" s="56" t="str">
        <f t="shared" si="124"/>
        <v>m⁻²</v>
      </c>
      <c r="AH93" s="26">
        <f t="shared" si="104"/>
        <v>0</v>
      </c>
      <c r="AI93" t="str">
        <f t="shared" si="101"/>
        <v>T/m</v>
      </c>
    </row>
    <row r="94" spans="1:35" hidden="1" x14ac:dyDescent="0.25">
      <c r="A94">
        <v>240</v>
      </c>
      <c r="B94" s="38">
        <v>11</v>
      </c>
      <c r="C94" t="s">
        <v>65</v>
      </c>
      <c r="D94" t="s">
        <v>86</v>
      </c>
      <c r="E94" t="s">
        <v>67</v>
      </c>
      <c r="F94" t="s">
        <v>112</v>
      </c>
      <c r="G94" s="22">
        <v>4</v>
      </c>
      <c r="I94" t="s">
        <v>118</v>
      </c>
      <c r="J94" s="80">
        <v>16644</v>
      </c>
      <c r="K94" s="28">
        <v>2.6418301427754023</v>
      </c>
      <c r="L94" s="5" t="str">
        <f t="shared" si="32"/>
        <v>T.mm</v>
      </c>
      <c r="M94" s="5">
        <f>VLOOKUP(Table!$I94,Specs!$A:$R,MATCH(Table!M$3,Specs!$A$1:$R$1,0),FALSE)</f>
        <v>3.2</v>
      </c>
      <c r="N94" s="5">
        <f>VLOOKUP(Table!$I94,Specs!$A:$R,MATCH(Table!N$3,Specs!$A$1:$R$1,0),FALSE)</f>
        <v>10</v>
      </c>
      <c r="O94" s="13">
        <f t="shared" ref="O94" si="157">(N94*M94)/1000</f>
        <v>3.2000000000000001E-2</v>
      </c>
      <c r="P94" s="19">
        <f>VLOOKUP(Table!$I94,Specs!$A:$R,MATCH(Table!P$3,Specs!$A$1:$R$1,0),FALSE)</f>
        <v>0.1</v>
      </c>
      <c r="Q94" s="19">
        <f>VLOOKUP(Table!$I94,Specs!$A:$R,MATCH(Table!Q$3,Specs!$A$1:$R$1,0),FALSE)</f>
        <v>0.5</v>
      </c>
      <c r="R94" s="19">
        <v>25</v>
      </c>
      <c r="S94" s="19">
        <f>VLOOKUP(Table!$I94,Specs!$A:$R,MATCH(Table!S$3,Specs!$A$1:$R$1,0),FALSE)</f>
        <v>2</v>
      </c>
      <c r="T94" s="74">
        <v>0.31834590909090904</v>
      </c>
      <c r="V94" s="57"/>
      <c r="AA94" s="55">
        <v>150.9433962264151</v>
      </c>
      <c r="AB94" s="57">
        <v>1</v>
      </c>
      <c r="AC94">
        <f t="shared" si="123"/>
        <v>1</v>
      </c>
      <c r="AD94" s="54">
        <f t="shared" ref="AD94:AD95" si="158">IF(OR(V94=0,ABS(AB94)&lt;V94),T94*AB94,AC94*W94*AB94^3+AC94*X94*(AB94-AC94*Y94)^2+AC94*Z94)</f>
        <v>0.31834590909090904</v>
      </c>
      <c r="AE94" t="str">
        <f t="shared" si="120"/>
        <v>T.mm</v>
      </c>
      <c r="AF94" s="57">
        <f t="shared" si="121"/>
        <v>0.39765709408586741</v>
      </c>
      <c r="AG94" s="56" t="str">
        <f t="shared" si="124"/>
        <v>mrad</v>
      </c>
      <c r="AH94" s="26">
        <f t="shared" si="104"/>
        <v>2.1090416477272722</v>
      </c>
      <c r="AI94" t="str">
        <f t="shared" si="101"/>
        <v>mT</v>
      </c>
    </row>
    <row r="95" spans="1:35" hidden="1" x14ac:dyDescent="0.25">
      <c r="A95">
        <v>240</v>
      </c>
      <c r="B95" s="38">
        <v>11</v>
      </c>
      <c r="C95" t="s">
        <v>65</v>
      </c>
      <c r="D95" t="s">
        <v>86</v>
      </c>
      <c r="E95" t="s">
        <v>67</v>
      </c>
      <c r="F95" t="s">
        <v>68</v>
      </c>
      <c r="G95" s="22">
        <v>4</v>
      </c>
      <c r="I95" t="s">
        <v>118</v>
      </c>
      <c r="J95" s="80">
        <v>16644</v>
      </c>
      <c r="K95" s="28">
        <v>2.6418301427754023</v>
      </c>
      <c r="L95" s="5" t="str">
        <f t="shared" ref="L95" si="159">IF(F95="QUAD","T","T.mm")</f>
        <v>T.mm</v>
      </c>
      <c r="M95" s="5">
        <f>VLOOKUP(Table!$I95,Specs!$A:$R,MATCH(Table!M$3,Specs!$A$1:$R$1,0),FALSE)</f>
        <v>3.2</v>
      </c>
      <c r="N95" s="5">
        <f>VLOOKUP(Table!$I95,Specs!$A:$R,MATCH(Table!N$3,Specs!$A$1:$R$1,0),FALSE)</f>
        <v>10</v>
      </c>
      <c r="O95" s="13">
        <f t="shared" ref="O95" si="160">(N95*M95)/1000</f>
        <v>3.2000000000000001E-2</v>
      </c>
      <c r="P95" s="19">
        <f>VLOOKUP(Table!$I95,Specs!$A:$R,MATCH(Table!P$3,Specs!$A$1:$R$1,0),FALSE)</f>
        <v>0.1</v>
      </c>
      <c r="Q95" s="19">
        <f>VLOOKUP(Table!$I95,Specs!$A:$R,MATCH(Table!Q$3,Specs!$A$1:$R$1,0),FALSE)</f>
        <v>0.5</v>
      </c>
      <c r="R95" s="19">
        <v>25</v>
      </c>
      <c r="S95" s="19">
        <f>VLOOKUP(Table!$I95,Specs!$A:$R,MATCH(Table!S$3,Specs!$A$1:$R$1,0),FALSE)</f>
        <v>2</v>
      </c>
      <c r="T95" s="74">
        <v>0.31901927272727276</v>
      </c>
      <c r="V95" s="57"/>
      <c r="AA95" s="55">
        <v>150.9433962264151</v>
      </c>
      <c r="AB95" s="57">
        <v>1</v>
      </c>
      <c r="AC95">
        <f t="shared" ref="AC95" si="161">SIGN(AB95)</f>
        <v>1</v>
      </c>
      <c r="AD95" s="54">
        <f t="shared" si="158"/>
        <v>0.31901927272727276</v>
      </c>
      <c r="AE95" t="str">
        <f t="shared" ref="AE95" si="162">L95</f>
        <v>T.mm</v>
      </c>
      <c r="AF95" s="57">
        <f t="shared" ref="AF95" si="163">IF(F95="DIP",360/(2000*PI()),IF(F95="QUAD",1000/AA95,IF(RIGHT(F95,3)="COR",1,0)))*c_*AD95/A95</f>
        <v>0.39849821633450611</v>
      </c>
      <c r="AG95" s="56" t="str">
        <f t="shared" ref="AG95" si="164">IF(F95="DIP","°",IF(F95="QUAD","m⁻²",IF(RIGHT(F95,3)="COR","mrad","")))</f>
        <v>mrad</v>
      </c>
      <c r="AH95" s="26">
        <f t="shared" si="104"/>
        <v>2.1135026818181819</v>
      </c>
      <c r="AI95" t="str">
        <f t="shared" si="101"/>
        <v>mT</v>
      </c>
    </row>
    <row r="96" spans="1:35" hidden="1" x14ac:dyDescent="0.25">
      <c r="A96">
        <v>240</v>
      </c>
      <c r="B96" s="38">
        <v>11</v>
      </c>
      <c r="C96" t="s">
        <v>65</v>
      </c>
      <c r="D96" t="s">
        <v>86</v>
      </c>
      <c r="E96" t="s">
        <v>67</v>
      </c>
      <c r="F96" t="s">
        <v>70</v>
      </c>
      <c r="G96" s="22">
        <v>6</v>
      </c>
      <c r="H96" s="22" t="s">
        <v>78</v>
      </c>
      <c r="I96" t="s">
        <v>105</v>
      </c>
      <c r="J96" s="80">
        <v>3</v>
      </c>
      <c r="K96" s="28">
        <f>20*0.15</f>
        <v>3</v>
      </c>
      <c r="L96" s="5" t="str">
        <f t="shared" si="32"/>
        <v>T</v>
      </c>
      <c r="M96" s="5">
        <f>VLOOKUP(Table!$I96,Specs!$A:$R,MATCH(Table!M$3,Specs!$A$1:$R$1,0),FALSE)</f>
        <v>13.232514177693764</v>
      </c>
      <c r="N96" s="5">
        <f>VLOOKUP(Table!$I96,Specs!$A:$R,MATCH(Table!N$3,Specs!$A$1:$R$1,0),FALSE)</f>
        <v>94.517958412098309</v>
      </c>
      <c r="O96" s="13">
        <f>(N96*M96)/1000</f>
        <v>1.2507102247347606</v>
      </c>
      <c r="P96" s="19">
        <f>VLOOKUP(Table!$I96,Specs!$A:$R,MATCH(Table!P$3,Specs!$A$1:$R$1,0),FALSE)</f>
        <v>6</v>
      </c>
      <c r="Q96" s="19">
        <f>VLOOKUP(Table!$I96,Specs!$A:$R,MATCH(Table!Q$3,Specs!$A$1:$R$1,0),FALSE)</f>
        <v>0.6</v>
      </c>
      <c r="R96" s="19">
        <v>25</v>
      </c>
      <c r="S96" s="19">
        <f>VLOOKUP(Table!$I96,Specs!$A:$R,MATCH(Table!S$3,Specs!$A$1:$R$1,0),FALSE)</f>
        <v>0</v>
      </c>
      <c r="T96" s="74">
        <v>3.8179247906256458E-2</v>
      </c>
      <c r="V96" s="57">
        <v>86.683172350823668</v>
      </c>
      <c r="W96" s="14">
        <v>0</v>
      </c>
      <c r="X96" s="14">
        <v>-1.05175752221088E-4</v>
      </c>
      <c r="Y96" s="55">
        <v>276.83934324438246</v>
      </c>
      <c r="Z96">
        <v>7.1045011906834175</v>
      </c>
      <c r="AA96" s="55">
        <v>173</v>
      </c>
      <c r="AC96">
        <f t="shared" si="123"/>
        <v>0</v>
      </c>
      <c r="AE96" t="str">
        <f t="shared" si="120"/>
        <v>T</v>
      </c>
      <c r="AF96" s="57">
        <f t="shared" si="121"/>
        <v>0</v>
      </c>
      <c r="AG96" s="56" t="str">
        <f t="shared" si="124"/>
        <v>m⁻²</v>
      </c>
      <c r="AH96" s="26">
        <f t="shared" si="104"/>
        <v>0</v>
      </c>
      <c r="AI96" t="str">
        <f t="shared" si="101"/>
        <v>T/m</v>
      </c>
    </row>
    <row r="97" spans="1:36" hidden="1" x14ac:dyDescent="0.25">
      <c r="A97">
        <v>240</v>
      </c>
      <c r="B97" s="38">
        <v>11</v>
      </c>
      <c r="C97" t="s">
        <v>65</v>
      </c>
      <c r="D97" t="s">
        <v>86</v>
      </c>
      <c r="E97" t="s">
        <v>67</v>
      </c>
      <c r="F97" t="s">
        <v>70</v>
      </c>
      <c r="G97" s="22">
        <v>7</v>
      </c>
      <c r="H97" s="22" t="s">
        <v>78</v>
      </c>
      <c r="I97" t="s">
        <v>105</v>
      </c>
      <c r="J97" s="80">
        <v>14</v>
      </c>
      <c r="K97" s="28">
        <f>20*0.15</f>
        <v>3</v>
      </c>
      <c r="L97" s="5" t="str">
        <f t="shared" si="32"/>
        <v>T</v>
      </c>
      <c r="M97" s="5">
        <f>VLOOKUP(Table!$I97,Specs!$A:$R,MATCH(Table!M$3,Specs!$A$1:$R$1,0),FALSE)</f>
        <v>13.232514177693764</v>
      </c>
      <c r="N97" s="5">
        <f>VLOOKUP(Table!$I97,Specs!$A:$R,MATCH(Table!N$3,Specs!$A$1:$R$1,0),FALSE)</f>
        <v>94.517958412098309</v>
      </c>
      <c r="O97" s="13">
        <f>(N97*M97)/1000</f>
        <v>1.2507102247347606</v>
      </c>
      <c r="P97" s="19">
        <f>VLOOKUP(Table!$I97,Specs!$A:$R,MATCH(Table!P$3,Specs!$A$1:$R$1,0),FALSE)</f>
        <v>6</v>
      </c>
      <c r="Q97" s="19">
        <f>VLOOKUP(Table!$I97,Specs!$A:$R,MATCH(Table!Q$3,Specs!$A$1:$R$1,0),FALSE)</f>
        <v>0.6</v>
      </c>
      <c r="R97" s="19">
        <v>25</v>
      </c>
      <c r="S97" s="19">
        <f>VLOOKUP(Table!$I97,Specs!$A:$R,MATCH(Table!S$3,Specs!$A$1:$R$1,0),FALSE)</f>
        <v>0</v>
      </c>
      <c r="T97" s="74">
        <v>3.8179247906256458E-2</v>
      </c>
      <c r="V97" s="57">
        <v>86.683172350823668</v>
      </c>
      <c r="W97" s="14">
        <v>0</v>
      </c>
      <c r="X97" s="14">
        <v>-1.05175752221088E-4</v>
      </c>
      <c r="Y97" s="55">
        <v>276.83934324438246</v>
      </c>
      <c r="Z97">
        <v>7.1045011906834175</v>
      </c>
      <c r="AA97" s="55">
        <v>173</v>
      </c>
      <c r="AC97">
        <f t="shared" si="123"/>
        <v>0</v>
      </c>
      <c r="AE97" t="str">
        <f t="shared" si="120"/>
        <v>T</v>
      </c>
      <c r="AF97" s="57">
        <f t="shared" si="121"/>
        <v>0</v>
      </c>
      <c r="AG97" s="56" t="str">
        <f t="shared" si="124"/>
        <v>m⁻²</v>
      </c>
      <c r="AH97" s="26">
        <f t="shared" si="104"/>
        <v>0</v>
      </c>
      <c r="AI97" t="str">
        <f t="shared" si="101"/>
        <v>T/m</v>
      </c>
    </row>
    <row r="98" spans="1:36" hidden="1" x14ac:dyDescent="0.25">
      <c r="A98">
        <v>240</v>
      </c>
      <c r="B98" s="38">
        <v>11</v>
      </c>
      <c r="C98" t="s">
        <v>65</v>
      </c>
      <c r="D98" t="s">
        <v>86</v>
      </c>
      <c r="E98" t="s">
        <v>67</v>
      </c>
      <c r="F98" t="s">
        <v>112</v>
      </c>
      <c r="G98" s="22">
        <v>5</v>
      </c>
      <c r="I98" t="s">
        <v>118</v>
      </c>
      <c r="J98" s="80">
        <v>16632</v>
      </c>
      <c r="K98" s="28">
        <v>3.2</v>
      </c>
      <c r="L98" s="5" t="str">
        <f t="shared" si="32"/>
        <v>T.mm</v>
      </c>
      <c r="M98" s="5">
        <f>VLOOKUP(Table!$I98,Specs!$A:$R,MATCH(Table!M$3,Specs!$A$1:$R$1,0),FALSE)</f>
        <v>3.2</v>
      </c>
      <c r="N98" s="5">
        <f>VLOOKUP(Table!$I98,Specs!$A:$R,MATCH(Table!N$3,Specs!$A$1:$R$1,0),FALSE)</f>
        <v>10</v>
      </c>
      <c r="O98" s="13">
        <f t="shared" ref="O98:O103" si="165">(N98*M98)/1000</f>
        <v>3.2000000000000001E-2</v>
      </c>
      <c r="P98" s="19">
        <f>VLOOKUP(Table!$I98,Specs!$A:$R,MATCH(Table!P$3,Specs!$A$1:$R$1,0),FALSE)</f>
        <v>0.1</v>
      </c>
      <c r="Q98" s="19">
        <f>VLOOKUP(Table!$I98,Specs!$A:$R,MATCH(Table!Q$3,Specs!$A$1:$R$1,0),FALSE)</f>
        <v>0.5</v>
      </c>
      <c r="R98" s="19">
        <v>25</v>
      </c>
      <c r="S98" s="19">
        <f>VLOOKUP(Table!$I98,Specs!$A:$R,MATCH(Table!S$3,Specs!$A$1:$R$1,0),FALSE)</f>
        <v>2</v>
      </c>
      <c r="T98" s="74">
        <v>0.31756009090909099</v>
      </c>
      <c r="V98" s="57"/>
      <c r="AA98" s="55">
        <v>150.9433962264151</v>
      </c>
      <c r="AB98" s="57">
        <v>1</v>
      </c>
      <c r="AC98">
        <f t="shared" si="123"/>
        <v>1</v>
      </c>
      <c r="AD98" s="54">
        <f t="shared" ref="AD98:AD99" si="166">IF(OR(V98=0,ABS(AB98)&lt;V98),T98*AB98,AC98*W98*AB98^3+AC98*X98*(AB98-AC98*Y98)^2+AC98*Z98)</f>
        <v>0.31756009090909099</v>
      </c>
      <c r="AE98" t="str">
        <f t="shared" si="120"/>
        <v>T.mm</v>
      </c>
      <c r="AF98" s="57">
        <f t="shared" si="121"/>
        <v>0.39667550090141607</v>
      </c>
      <c r="AG98" s="56" t="str">
        <f t="shared" si="124"/>
        <v>mrad</v>
      </c>
      <c r="AH98" s="26">
        <f t="shared" si="104"/>
        <v>2.1038356022727278</v>
      </c>
      <c r="AI98" t="str">
        <f t="shared" si="101"/>
        <v>mT</v>
      </c>
    </row>
    <row r="99" spans="1:36" hidden="1" x14ac:dyDescent="0.25">
      <c r="A99">
        <v>240</v>
      </c>
      <c r="B99" s="38">
        <v>11</v>
      </c>
      <c r="C99" t="s">
        <v>65</v>
      </c>
      <c r="D99" t="s">
        <v>86</v>
      </c>
      <c r="E99" t="s">
        <v>67</v>
      </c>
      <c r="F99" t="s">
        <v>68</v>
      </c>
      <c r="G99" s="22">
        <v>5</v>
      </c>
      <c r="I99" t="s">
        <v>118</v>
      </c>
      <c r="J99" s="80">
        <v>16632</v>
      </c>
      <c r="K99" s="28">
        <v>3.2</v>
      </c>
      <c r="L99" s="5" t="str">
        <f t="shared" ref="L99" si="167">IF(F99="QUAD","T","T.mm")</f>
        <v>T.mm</v>
      </c>
      <c r="M99" s="5">
        <f>VLOOKUP(Table!$I99,Specs!$A:$R,MATCH(Table!M$3,Specs!$A$1:$R$1,0),FALSE)</f>
        <v>3.2</v>
      </c>
      <c r="N99" s="5">
        <f>VLOOKUP(Table!$I99,Specs!$A:$R,MATCH(Table!N$3,Specs!$A$1:$R$1,0),FALSE)</f>
        <v>10</v>
      </c>
      <c r="O99" s="13">
        <f t="shared" ref="O99" si="168">(N99*M99)/1000</f>
        <v>3.2000000000000001E-2</v>
      </c>
      <c r="P99" s="19">
        <f>VLOOKUP(Table!$I99,Specs!$A:$R,MATCH(Table!P$3,Specs!$A$1:$R$1,0),FALSE)</f>
        <v>0.1</v>
      </c>
      <c r="Q99" s="19">
        <f>VLOOKUP(Table!$I99,Specs!$A:$R,MATCH(Table!Q$3,Specs!$A$1:$R$1,0),FALSE)</f>
        <v>0.5</v>
      </c>
      <c r="R99" s="19">
        <v>25</v>
      </c>
      <c r="S99" s="19">
        <f>VLOOKUP(Table!$I99,Specs!$A:$R,MATCH(Table!S$3,Specs!$A$1:$R$1,0),FALSE)</f>
        <v>2</v>
      </c>
      <c r="T99" s="74">
        <v>0.31790054545454471</v>
      </c>
      <c r="V99" s="57"/>
      <c r="AA99" s="55">
        <v>150.9433962264151</v>
      </c>
      <c r="AB99" s="57">
        <v>1</v>
      </c>
      <c r="AC99">
        <f t="shared" ref="AC99" si="169">SIGN(AB99)</f>
        <v>1</v>
      </c>
      <c r="AD99" s="54">
        <f t="shared" si="166"/>
        <v>0.31790054545454471</v>
      </c>
      <c r="AE99" t="str">
        <f t="shared" ref="AE99" si="170">L99</f>
        <v>T.mm</v>
      </c>
      <c r="AF99" s="57">
        <f t="shared" ref="AF99" si="171">IF(F99="DIP",360/(2000*PI()),IF(F99="QUAD",1000/AA99,IF(RIGHT(F99,3)="COR",1,0)))*c_*AD99/A99</f>
        <v>0.39710077467232791</v>
      </c>
      <c r="AG99" s="56" t="str">
        <f t="shared" ref="AG99" si="172">IF(F99="DIP","°",IF(F99="QUAD","m⁻²",IF(RIGHT(F99,3)="COR","mrad","")))</f>
        <v>mrad</v>
      </c>
      <c r="AH99" s="26">
        <f t="shared" si="104"/>
        <v>2.1060911136363587</v>
      </c>
      <c r="AI99" t="str">
        <f t="shared" si="101"/>
        <v>mT</v>
      </c>
    </row>
    <row r="100" spans="1:36" hidden="1" x14ac:dyDescent="0.25">
      <c r="A100">
        <v>240</v>
      </c>
      <c r="B100" s="38">
        <v>11</v>
      </c>
      <c r="C100" t="s">
        <v>65</v>
      </c>
      <c r="D100" t="s">
        <v>92</v>
      </c>
      <c r="E100" t="s">
        <v>67</v>
      </c>
      <c r="F100" t="s">
        <v>72</v>
      </c>
      <c r="G100" s="22">
        <v>1</v>
      </c>
      <c r="H100" s="22" t="s">
        <v>77</v>
      </c>
      <c r="I100" t="s">
        <v>106</v>
      </c>
      <c r="J100" s="80" t="s">
        <v>203</v>
      </c>
      <c r="K100" s="28">
        <v>453.59999999999997</v>
      </c>
      <c r="L100" s="5" t="str">
        <f t="shared" si="32"/>
        <v>T.mm</v>
      </c>
      <c r="M100" s="5">
        <f>VLOOKUP(Table!$I100,Specs!$A:$R,MATCH(Table!M$3,Specs!$A$1:$R$1,0),FALSE)</f>
        <v>37</v>
      </c>
      <c r="N100" s="5">
        <f>VLOOKUP(Table!$I100,Specs!$A:$R,MATCH(Table!N$3,Specs!$A$1:$R$1,0),FALSE)</f>
        <v>332</v>
      </c>
      <c r="O100" s="13">
        <f t="shared" si="165"/>
        <v>12.284000000000001</v>
      </c>
      <c r="P100" s="19">
        <f>VLOOKUP(Table!$I100,Specs!$A:$R,MATCH(Table!P$3,Specs!$A$1:$R$1,0),FALSE)</f>
        <v>4</v>
      </c>
      <c r="Q100" s="19">
        <f>VLOOKUP(Table!$I100,Specs!$A:$R,MATCH(Table!Q$3,Specs!$A$1:$R$1,0),FALSE)</f>
        <v>16</v>
      </c>
      <c r="R100" s="19">
        <v>25</v>
      </c>
      <c r="S100" s="19">
        <f>VLOOKUP(Table!$I100,Specs!$A:$R,MATCH(Table!S$3,Specs!$A$1:$R$1,0),FALSE)</f>
        <v>11.1</v>
      </c>
      <c r="T100" s="74">
        <v>1.3966746927879516</v>
      </c>
      <c r="V100" s="57">
        <v>246.90388362886958</v>
      </c>
      <c r="W100" s="14">
        <v>0</v>
      </c>
      <c r="X100" s="14">
        <v>-2.0829194836779275E-3</v>
      </c>
      <c r="Y100" s="55">
        <v>596.15893585516051</v>
      </c>
      <c r="Z100">
        <v>598.73469143113516</v>
      </c>
      <c r="AA100" s="55">
        <v>400</v>
      </c>
      <c r="AC100">
        <f t="shared" si="123"/>
        <v>0</v>
      </c>
      <c r="AE100" t="str">
        <f t="shared" si="120"/>
        <v>T.mm</v>
      </c>
      <c r="AF100" s="57">
        <f t="shared" si="121"/>
        <v>0</v>
      </c>
      <c r="AG100" s="56" t="str">
        <f t="shared" si="124"/>
        <v>°</v>
      </c>
      <c r="AH100" s="26">
        <f t="shared" si="104"/>
        <v>0</v>
      </c>
      <c r="AI100" t="str">
        <f t="shared" si="101"/>
        <v>mT</v>
      </c>
    </row>
    <row r="101" spans="1:36" s="25" customFormat="1" hidden="1" x14ac:dyDescent="0.25">
      <c r="A101">
        <v>240</v>
      </c>
      <c r="B101" s="38" t="s">
        <v>92</v>
      </c>
      <c r="C101" t="s">
        <v>65</v>
      </c>
      <c r="D101" t="s">
        <v>92</v>
      </c>
      <c r="E101" t="s">
        <v>67</v>
      </c>
      <c r="F101" t="s">
        <v>68</v>
      </c>
      <c r="G101" s="22">
        <v>1</v>
      </c>
      <c r="H101" s="22"/>
      <c r="I101" t="s">
        <v>119</v>
      </c>
      <c r="J101" s="80">
        <v>17002</v>
      </c>
      <c r="K101" s="28"/>
      <c r="L101" s="5" t="str">
        <f t="shared" si="32"/>
        <v>T.mm</v>
      </c>
      <c r="M101" s="5">
        <f>VLOOKUP(Table!$I101,Specs!$A:$R,MATCH(Table!M$3,Specs!$A$1:$R$1,0),FALSE)</f>
        <v>3.9</v>
      </c>
      <c r="N101" s="5">
        <f>VLOOKUP(Table!$I101,Specs!$A:$R,MATCH(Table!N$3,Specs!$A$1:$R$1,0),FALSE)</f>
        <v>10</v>
      </c>
      <c r="O101" s="13">
        <f t="shared" si="165"/>
        <v>3.9E-2</v>
      </c>
      <c r="P101" s="19">
        <f>VLOOKUP(Table!$I101,Specs!$A:$R,MATCH(Table!P$3,Specs!$A$1:$R$1,0),FALSE)</f>
        <v>0.1</v>
      </c>
      <c r="Q101" s="19">
        <f>VLOOKUP(Table!$I101,Specs!$A:$R,MATCH(Table!Q$3,Specs!$A$1:$R$1,0),FALSE)</f>
        <v>0.5</v>
      </c>
      <c r="R101" s="19">
        <v>25</v>
      </c>
      <c r="S101" s="19">
        <f>VLOOKUP(Table!$I101,Specs!$A:$R,MATCH(Table!S$3,Specs!$A$1:$R$1,0),FALSE)</f>
        <v>2</v>
      </c>
      <c r="T101" s="74">
        <v>0.29904199999999997</v>
      </c>
      <c r="U101" s="14"/>
      <c r="V101" s="57"/>
      <c r="W101" s="14"/>
      <c r="X101" s="14"/>
      <c r="Y101" s="55"/>
      <c r="Z101"/>
      <c r="AA101" s="55">
        <v>179.77528089887642</v>
      </c>
      <c r="AB101" s="57">
        <v>1</v>
      </c>
      <c r="AC101">
        <f t="shared" si="123"/>
        <v>1</v>
      </c>
      <c r="AD101" s="54">
        <f t="shared" ref="AD101:AD110" si="173">IF(OR(V101=0,ABS(AB101)&lt;V101),T101*AB101,AC101*W101*AB101^3+AC101*X101*(AB101-AC101*Y101)^2+AC101*Z101)</f>
        <v>0.29904199999999997</v>
      </c>
      <c r="AE101" t="str">
        <f t="shared" si="120"/>
        <v>T.mm</v>
      </c>
      <c r="AF101" s="57">
        <f t="shared" si="121"/>
        <v>0.37354390093848333</v>
      </c>
      <c r="AG101" s="56" t="str">
        <f t="shared" si="124"/>
        <v>mrad</v>
      </c>
      <c r="AH101" s="26">
        <f t="shared" si="104"/>
        <v>1.6634211249999997</v>
      </c>
      <c r="AI101" t="str">
        <f t="shared" si="101"/>
        <v>mT</v>
      </c>
    </row>
    <row r="102" spans="1:36" s="25" customFormat="1" hidden="1" x14ac:dyDescent="0.25">
      <c r="A102">
        <v>240</v>
      </c>
      <c r="B102" s="38" t="s">
        <v>92</v>
      </c>
      <c r="C102" t="s">
        <v>65</v>
      </c>
      <c r="D102" t="s">
        <v>92</v>
      </c>
      <c r="E102" t="s">
        <v>67</v>
      </c>
      <c r="F102" t="s">
        <v>70</v>
      </c>
      <c r="G102" s="22">
        <v>1</v>
      </c>
      <c r="H102" s="22" t="s">
        <v>78</v>
      </c>
      <c r="I102" t="s">
        <v>94</v>
      </c>
      <c r="J102" s="80">
        <v>16620</v>
      </c>
      <c r="K102" s="28"/>
      <c r="L102" s="5" t="str">
        <f t="shared" si="32"/>
        <v>T</v>
      </c>
      <c r="M102" s="5">
        <f>VLOOKUP(Table!$I102,Specs!$A:$R,MATCH(Table!M$3,Specs!$A$1:$R$1,0),FALSE)</f>
        <v>7.97</v>
      </c>
      <c r="N102" s="5">
        <f>VLOOKUP(Table!$I102,Specs!$A:$R,MATCH(Table!N$3,Specs!$A$1:$R$1,0),FALSE)</f>
        <v>93.1</v>
      </c>
      <c r="O102" s="13">
        <f t="shared" si="165"/>
        <v>0.74200699999999997</v>
      </c>
      <c r="P102" s="19">
        <f>VLOOKUP(Table!$I102,Specs!$A:$R,MATCH(Table!P$3,Specs!$A$1:$R$1,0),FALSE)</f>
        <v>4</v>
      </c>
      <c r="Q102" s="19">
        <f>VLOOKUP(Table!$I102,Specs!$A:$R,MATCH(Table!Q$3,Specs!$A$1:$R$1,0),FALSE)</f>
        <v>1.2</v>
      </c>
      <c r="R102" s="19">
        <v>25</v>
      </c>
      <c r="S102" s="19">
        <f>VLOOKUP(Table!$I102,Specs!$A:$R,MATCH(Table!S$3,Specs!$A$1:$R$1,0),FALSE)</f>
        <v>9.2000000000000028</v>
      </c>
      <c r="T102" s="74">
        <v>3.3135446454447305E-2</v>
      </c>
      <c r="U102" s="14"/>
      <c r="V102" s="57">
        <v>35.853227906345296</v>
      </c>
      <c r="W102" s="14"/>
      <c r="X102" s="14">
        <v>-2.4902772819262723E-5</v>
      </c>
      <c r="Y102" s="55">
        <v>701.14955243484246</v>
      </c>
      <c r="Z102">
        <v>12.210458082387108</v>
      </c>
      <c r="AA102" s="55">
        <v>178.61333243621272</v>
      </c>
      <c r="AB102" s="57">
        <v>93.5</v>
      </c>
      <c r="AC102">
        <f t="shared" si="123"/>
        <v>1</v>
      </c>
      <c r="AD102" s="54">
        <f t="shared" si="173"/>
        <v>3.0154085857084052</v>
      </c>
      <c r="AE102" t="str">
        <f t="shared" si="120"/>
        <v>T</v>
      </c>
      <c r="AF102" s="57">
        <f t="shared" si="121"/>
        <v>21.088308924406729</v>
      </c>
      <c r="AG102" s="56" t="str">
        <f t="shared" si="124"/>
        <v>m⁻²</v>
      </c>
      <c r="AH102" s="26">
        <f t="shared" si="104"/>
        <v>16.882326445509229</v>
      </c>
      <c r="AI102" t="str">
        <f t="shared" si="101"/>
        <v>T/m</v>
      </c>
    </row>
    <row r="103" spans="1:36" s="25" customFormat="1" hidden="1" x14ac:dyDescent="0.25">
      <c r="A103">
        <v>240</v>
      </c>
      <c r="B103" s="38" t="s">
        <v>92</v>
      </c>
      <c r="C103" t="s">
        <v>65</v>
      </c>
      <c r="D103" t="s">
        <v>92</v>
      </c>
      <c r="E103" t="s">
        <v>67</v>
      </c>
      <c r="F103" t="s">
        <v>70</v>
      </c>
      <c r="G103" s="22">
        <v>2</v>
      </c>
      <c r="H103" s="22" t="s">
        <v>78</v>
      </c>
      <c r="I103" t="s">
        <v>94</v>
      </c>
      <c r="J103" s="80">
        <v>16622</v>
      </c>
      <c r="K103" s="28"/>
      <c r="L103" s="5" t="str">
        <f t="shared" si="32"/>
        <v>T</v>
      </c>
      <c r="M103" s="5">
        <f>VLOOKUP(Table!$I103,Specs!$A:$R,MATCH(Table!M$3,Specs!$A$1:$R$1,0),FALSE)</f>
        <v>7.97</v>
      </c>
      <c r="N103" s="5">
        <f>VLOOKUP(Table!$I103,Specs!$A:$R,MATCH(Table!N$3,Specs!$A$1:$R$1,0),FALSE)</f>
        <v>93.1</v>
      </c>
      <c r="O103" s="13">
        <f t="shared" si="165"/>
        <v>0.74200699999999997</v>
      </c>
      <c r="P103" s="19">
        <f>VLOOKUP(Table!$I103,Specs!$A:$R,MATCH(Table!P$3,Specs!$A$1:$R$1,0),FALSE)</f>
        <v>4</v>
      </c>
      <c r="Q103" s="19">
        <f>VLOOKUP(Table!$I103,Specs!$A:$R,MATCH(Table!Q$3,Specs!$A$1:$R$1,0),FALSE)</f>
        <v>1.2</v>
      </c>
      <c r="R103" s="19">
        <v>25</v>
      </c>
      <c r="S103" s="19">
        <f>VLOOKUP(Table!$I103,Specs!$A:$R,MATCH(Table!S$3,Specs!$A$1:$R$1,0),FALSE)</f>
        <v>9.2000000000000028</v>
      </c>
      <c r="T103" s="74">
        <v>3.3073284825390639E-2</v>
      </c>
      <c r="U103" s="14"/>
      <c r="V103" s="57">
        <v>34.344835742484179</v>
      </c>
      <c r="W103" s="14"/>
      <c r="X103" s="14">
        <v>-2.2305184660138388E-5</v>
      </c>
      <c r="Y103" s="55">
        <v>775.72593904480141</v>
      </c>
      <c r="Z103">
        <v>13.395850731632384</v>
      </c>
      <c r="AA103" s="55">
        <v>178.86229867703756</v>
      </c>
      <c r="AB103" s="57">
        <v>93.5</v>
      </c>
      <c r="AC103">
        <f t="shared" si="123"/>
        <v>1</v>
      </c>
      <c r="AD103" s="54">
        <f t="shared" si="173"/>
        <v>3.0142988521984915</v>
      </c>
      <c r="AE103" t="str">
        <f t="shared" si="120"/>
        <v>T</v>
      </c>
      <c r="AF103" s="57">
        <f t="shared" si="121"/>
        <v>21.051205050178112</v>
      </c>
      <c r="AG103" s="56" t="str">
        <f t="shared" si="124"/>
        <v>m⁻²</v>
      </c>
      <c r="AH103" s="26">
        <f t="shared" si="104"/>
        <v>16.852622796944235</v>
      </c>
      <c r="AI103" t="str">
        <f t="shared" si="101"/>
        <v>T/m</v>
      </c>
    </row>
    <row r="104" spans="1:36" s="25" customFormat="1" hidden="1" x14ac:dyDescent="0.25">
      <c r="A104">
        <v>240</v>
      </c>
      <c r="B104" s="38">
        <v>11</v>
      </c>
      <c r="C104" t="s">
        <v>65</v>
      </c>
      <c r="D104" t="s">
        <v>86</v>
      </c>
      <c r="E104" t="s">
        <v>67</v>
      </c>
      <c r="F104" t="s">
        <v>112</v>
      </c>
      <c r="G104" s="22">
        <v>6</v>
      </c>
      <c r="H104" s="22"/>
      <c r="I104" t="s">
        <v>118</v>
      </c>
      <c r="J104" s="80">
        <v>16630</v>
      </c>
      <c r="K104" s="28">
        <v>3.2</v>
      </c>
      <c r="L104" s="5" t="str">
        <f t="shared" si="32"/>
        <v>T.mm</v>
      </c>
      <c r="M104" s="5">
        <f>VLOOKUP(Table!$I104,Specs!$A:$R,MATCH(Table!M$3,Specs!$A$1:$R$1,0),FALSE)</f>
        <v>3.2</v>
      </c>
      <c r="N104" s="5">
        <f>VLOOKUP(Table!$I104,Specs!$A:$R,MATCH(Table!N$3,Specs!$A$1:$R$1,0),FALSE)</f>
        <v>10</v>
      </c>
      <c r="O104" s="13">
        <f t="shared" ref="O104" si="174">(N104*M104)/1000</f>
        <v>3.2000000000000001E-2</v>
      </c>
      <c r="P104" s="19">
        <f>VLOOKUP(Table!$I104,Specs!$A:$R,MATCH(Table!P$3,Specs!$A$1:$R$1,0),FALSE)</f>
        <v>0.1</v>
      </c>
      <c r="Q104" s="19">
        <f>VLOOKUP(Table!$I104,Specs!$A:$R,MATCH(Table!Q$3,Specs!$A$1:$R$1,0),FALSE)</f>
        <v>0.5</v>
      </c>
      <c r="R104" s="19">
        <v>25</v>
      </c>
      <c r="S104" s="19">
        <f>VLOOKUP(Table!$I104,Specs!$A:$R,MATCH(Table!S$3,Specs!$A$1:$R$1,0),FALSE)</f>
        <v>2</v>
      </c>
      <c r="T104" s="74">
        <v>0.31824545454545461</v>
      </c>
      <c r="U104" s="14"/>
      <c r="V104" s="57"/>
      <c r="W104" s="14"/>
      <c r="X104" s="14"/>
      <c r="Y104" s="55"/>
      <c r="Z104"/>
      <c r="AA104" s="55">
        <v>150.9433962264151</v>
      </c>
      <c r="AB104" s="26">
        <v>1</v>
      </c>
      <c r="AC104">
        <f t="shared" si="123"/>
        <v>1</v>
      </c>
      <c r="AD104" s="54">
        <f t="shared" si="173"/>
        <v>0.31824545454545461</v>
      </c>
      <c r="AE104" t="str">
        <f t="shared" si="120"/>
        <v>T.mm</v>
      </c>
      <c r="AF104" s="57">
        <f t="shared" si="121"/>
        <v>0.39753161277295468</v>
      </c>
      <c r="AG104" s="56" t="str">
        <f t="shared" si="124"/>
        <v>mrad</v>
      </c>
      <c r="AH104" s="26">
        <f t="shared" si="104"/>
        <v>2.1083761363636366</v>
      </c>
      <c r="AI104" t="str">
        <f t="shared" si="101"/>
        <v>mT</v>
      </c>
      <c r="AJ104" s="25" t="s">
        <v>152</v>
      </c>
    </row>
    <row r="105" spans="1:36" s="25" customFormat="1" hidden="1" x14ac:dyDescent="0.25">
      <c r="A105">
        <v>240</v>
      </c>
      <c r="B105" s="38">
        <v>11</v>
      </c>
      <c r="C105" t="s">
        <v>65</v>
      </c>
      <c r="D105" t="s">
        <v>86</v>
      </c>
      <c r="E105" t="s">
        <v>67</v>
      </c>
      <c r="F105" t="s">
        <v>68</v>
      </c>
      <c r="G105" s="22">
        <v>6</v>
      </c>
      <c r="H105" s="22"/>
      <c r="I105" t="s">
        <v>118</v>
      </c>
      <c r="J105" s="80">
        <v>16630</v>
      </c>
      <c r="K105" s="28">
        <v>3.2</v>
      </c>
      <c r="L105" s="5" t="str">
        <f t="shared" ref="L105" si="175">IF(F105="QUAD","T","T.mm")</f>
        <v>T.mm</v>
      </c>
      <c r="M105" s="5">
        <f>VLOOKUP(Table!$I105,Specs!$A:$R,MATCH(Table!M$3,Specs!$A$1:$R$1,0),FALSE)</f>
        <v>3.2</v>
      </c>
      <c r="N105" s="5">
        <f>VLOOKUP(Table!$I105,Specs!$A:$R,MATCH(Table!N$3,Specs!$A$1:$R$1,0),FALSE)</f>
        <v>10</v>
      </c>
      <c r="O105" s="13">
        <f t="shared" ref="O105" si="176">(N105*M105)/1000</f>
        <v>3.2000000000000001E-2</v>
      </c>
      <c r="P105" s="19">
        <f>VLOOKUP(Table!$I105,Specs!$A:$R,MATCH(Table!P$3,Specs!$A$1:$R$1,0),FALSE)</f>
        <v>0.1</v>
      </c>
      <c r="Q105" s="19">
        <f>VLOOKUP(Table!$I105,Specs!$A:$R,MATCH(Table!Q$3,Specs!$A$1:$R$1,0),FALSE)</f>
        <v>0.5</v>
      </c>
      <c r="R105" s="19">
        <v>25</v>
      </c>
      <c r="S105" s="19">
        <f>VLOOKUP(Table!$I105,Specs!$A:$R,MATCH(Table!S$3,Specs!$A$1:$R$1,0),FALSE)</f>
        <v>2</v>
      </c>
      <c r="T105" s="74">
        <v>0.31946990909090905</v>
      </c>
      <c r="U105" s="14"/>
      <c r="V105" s="57"/>
      <c r="W105" s="14"/>
      <c r="X105" s="14"/>
      <c r="Y105" s="55"/>
      <c r="Z105"/>
      <c r="AA105" s="55">
        <v>150.9433962264151</v>
      </c>
      <c r="AB105" s="26">
        <v>1</v>
      </c>
      <c r="AC105">
        <f t="shared" ref="AC105" si="177">SIGN(AB105)</f>
        <v>1</v>
      </c>
      <c r="AD105" s="54">
        <f t="shared" si="173"/>
        <v>0.31946990909090905</v>
      </c>
      <c r="AE105" t="str">
        <f t="shared" ref="AE105" si="178">L105</f>
        <v>T.mm</v>
      </c>
      <c r="AF105" s="57">
        <f t="shared" ref="AF105" si="179">IF(F105="DIP",360/(2000*PI()),IF(F105="QUAD",1000/AA105,IF(RIGHT(F105,3)="COR",1,0)))*c_*AD105/A105</f>
        <v>0.39906112209750072</v>
      </c>
      <c r="AG105" s="56" t="str">
        <f t="shared" ref="AG105" si="180">IF(F105="DIP","°",IF(F105="QUAD","m⁻²",IF(RIGHT(F105,3)="COR","mrad","")))</f>
        <v>mrad</v>
      </c>
      <c r="AH105" s="26">
        <f t="shared" si="104"/>
        <v>2.1164881477272721</v>
      </c>
      <c r="AI105" t="str">
        <f t="shared" si="101"/>
        <v>mT</v>
      </c>
      <c r="AJ105" s="25" t="s">
        <v>152</v>
      </c>
    </row>
    <row r="106" spans="1:36" s="25" customFormat="1" hidden="1" x14ac:dyDescent="0.25">
      <c r="A106">
        <v>240</v>
      </c>
      <c r="B106" s="38">
        <v>12</v>
      </c>
      <c r="C106" t="s">
        <v>65</v>
      </c>
      <c r="D106" t="s">
        <v>86</v>
      </c>
      <c r="E106" t="s">
        <v>67</v>
      </c>
      <c r="F106" t="s">
        <v>70</v>
      </c>
      <c r="G106" s="22">
        <v>8</v>
      </c>
      <c r="H106" s="22" t="s">
        <v>78</v>
      </c>
      <c r="I106" t="s">
        <v>94</v>
      </c>
      <c r="J106" s="80">
        <v>17052</v>
      </c>
      <c r="K106" s="28"/>
      <c r="L106" s="5" t="str">
        <f t="shared" si="32"/>
        <v>T</v>
      </c>
      <c r="M106" s="5">
        <f>VLOOKUP(Table!$I106,Specs!$A:$R,MATCH(Table!M$3,Specs!$A$1:$R$1,0),FALSE)</f>
        <v>7.97</v>
      </c>
      <c r="N106" s="5">
        <f>VLOOKUP(Table!$I106,Specs!$A:$R,MATCH(Table!N$3,Specs!$A$1:$R$1,0),FALSE)</f>
        <v>93.1</v>
      </c>
      <c r="O106" s="13">
        <f>(N106*M106)/1000</f>
        <v>0.74200699999999997</v>
      </c>
      <c r="P106" s="19">
        <f>VLOOKUP(Table!$I106,Specs!$A:$R,MATCH(Table!P$3,Specs!$A$1:$R$1,0),FALSE)</f>
        <v>4</v>
      </c>
      <c r="Q106" s="19">
        <f>VLOOKUP(Table!$I106,Specs!$A:$R,MATCH(Table!Q$3,Specs!$A$1:$R$1,0),FALSE)</f>
        <v>1.2</v>
      </c>
      <c r="R106" s="19">
        <v>25</v>
      </c>
      <c r="S106" s="19">
        <f>VLOOKUP(Table!$I106,Specs!$A:$R,MATCH(Table!S$3,Specs!$A$1:$R$1,0),FALSE)</f>
        <v>9.2000000000000028</v>
      </c>
      <c r="T106" s="74">
        <v>3.3130542946536778E-2</v>
      </c>
      <c r="U106" s="14"/>
      <c r="V106" s="57">
        <v>37.561240479767662</v>
      </c>
      <c r="W106" s="14"/>
      <c r="X106" s="14">
        <v>-2.4662986904790006E-5</v>
      </c>
      <c r="Y106" s="55">
        <v>709.22649891815695</v>
      </c>
      <c r="Z106">
        <v>12.370741636035028</v>
      </c>
      <c r="AA106" s="55">
        <v>178.96633363154066</v>
      </c>
      <c r="AB106" s="26">
        <v>93.5</v>
      </c>
      <c r="AC106">
        <f t="shared" si="123"/>
        <v>1</v>
      </c>
      <c r="AD106" s="54">
        <f t="shared" si="173"/>
        <v>3.0205317078646523</v>
      </c>
      <c r="AE106" t="str">
        <f t="shared" si="120"/>
        <v>T</v>
      </c>
      <c r="AF106" s="57">
        <f t="shared" si="121"/>
        <v>21.082471369354728</v>
      </c>
      <c r="AG106" s="56" t="str">
        <f t="shared" si="124"/>
        <v>m⁻²</v>
      </c>
      <c r="AH106" s="26">
        <f t="shared" si="104"/>
        <v>16.877653168463411</v>
      </c>
      <c r="AI106" t="str">
        <f t="shared" si="101"/>
        <v>T/m</v>
      </c>
      <c r="AJ106" s="25" t="s">
        <v>252</v>
      </c>
    </row>
    <row r="107" spans="1:36" s="25" customFormat="1" hidden="1" x14ac:dyDescent="0.25">
      <c r="A107">
        <v>240</v>
      </c>
      <c r="B107" s="38">
        <v>12</v>
      </c>
      <c r="C107" t="s">
        <v>65</v>
      </c>
      <c r="D107" t="s">
        <v>86</v>
      </c>
      <c r="E107" t="s">
        <v>67</v>
      </c>
      <c r="F107" t="s">
        <v>70</v>
      </c>
      <c r="G107" s="22">
        <v>9</v>
      </c>
      <c r="H107" s="22" t="s">
        <v>78</v>
      </c>
      <c r="I107" t="s">
        <v>94</v>
      </c>
      <c r="J107" s="80">
        <v>16619</v>
      </c>
      <c r="K107" s="28"/>
      <c r="L107" s="5" t="str">
        <f t="shared" si="32"/>
        <v>T</v>
      </c>
      <c r="M107" s="5">
        <f>VLOOKUP(Table!$I107,Specs!$A:$R,MATCH(Table!M$3,Specs!$A$1:$R$1,0),FALSE)</f>
        <v>7.97</v>
      </c>
      <c r="N107" s="5">
        <f>VLOOKUP(Table!$I107,Specs!$A:$R,MATCH(Table!N$3,Specs!$A$1:$R$1,0),FALSE)</f>
        <v>93.1</v>
      </c>
      <c r="O107" s="13">
        <f t="shared" ref="O107" si="181">(N107*M107)/1000</f>
        <v>0.74200699999999997</v>
      </c>
      <c r="P107" s="19">
        <f>VLOOKUP(Table!$I107,Specs!$A:$R,MATCH(Table!P$3,Specs!$A$1:$R$1,0),FALSE)</f>
        <v>4</v>
      </c>
      <c r="Q107" s="19">
        <f>VLOOKUP(Table!$I107,Specs!$A:$R,MATCH(Table!Q$3,Specs!$A$1:$R$1,0),FALSE)</f>
        <v>1.2</v>
      </c>
      <c r="R107" s="19">
        <v>25</v>
      </c>
      <c r="S107" s="19">
        <f>VLOOKUP(Table!$I107,Specs!$A:$R,MATCH(Table!S$3,Specs!$A$1:$R$1,0),FALSE)</f>
        <v>9.2000000000000028</v>
      </c>
      <c r="T107" s="74">
        <v>3.3086736902546626E-2</v>
      </c>
      <c r="U107" s="14"/>
      <c r="V107" s="57">
        <v>32.69100529320059</v>
      </c>
      <c r="W107" s="14"/>
      <c r="X107" s="14">
        <v>-2.1622586213792814E-5</v>
      </c>
      <c r="Y107" s="55">
        <v>797.78766337568641</v>
      </c>
      <c r="Z107">
        <v>13.738914606712326</v>
      </c>
      <c r="AA107" s="55">
        <v>177.46849133094705</v>
      </c>
      <c r="AB107" s="26">
        <v>93.5</v>
      </c>
      <c r="AC107">
        <f t="shared" si="123"/>
        <v>1</v>
      </c>
      <c r="AD107" s="54">
        <f t="shared" si="173"/>
        <v>3.0136553316964783</v>
      </c>
      <c r="AE107" t="str">
        <f t="shared" si="120"/>
        <v>T</v>
      </c>
      <c r="AF107" s="57">
        <f t="shared" si="121"/>
        <v>21.212008130720331</v>
      </c>
      <c r="AG107" s="56" t="str">
        <f t="shared" si="124"/>
        <v>m⁻²</v>
      </c>
      <c r="AH107" s="26">
        <f t="shared" si="104"/>
        <v>16.981354318702969</v>
      </c>
      <c r="AI107" t="str">
        <f t="shared" si="101"/>
        <v>T/m</v>
      </c>
    </row>
    <row r="108" spans="1:36" s="25" customFormat="1" hidden="1" x14ac:dyDescent="0.25">
      <c r="A108">
        <v>240</v>
      </c>
      <c r="B108" s="38">
        <v>12</v>
      </c>
      <c r="C108" t="s">
        <v>65</v>
      </c>
      <c r="D108" t="s">
        <v>86</v>
      </c>
      <c r="E108" t="s">
        <v>67</v>
      </c>
      <c r="F108" t="s">
        <v>112</v>
      </c>
      <c r="G108" s="22">
        <v>7</v>
      </c>
      <c r="H108" s="22"/>
      <c r="I108" t="s">
        <v>120</v>
      </c>
      <c r="J108" s="80">
        <v>20259</v>
      </c>
      <c r="K108" s="28">
        <v>3.2</v>
      </c>
      <c r="L108" s="5" t="str">
        <f t="shared" si="32"/>
        <v>T.mm</v>
      </c>
      <c r="M108" s="5">
        <f>VLOOKUP(Table!$I108,Specs!$A:$R,MATCH(Table!M$3,Specs!$A$1:$R$1,0),FALSE)</f>
        <v>1.6</v>
      </c>
      <c r="N108" s="5">
        <f>VLOOKUP(Table!$I108,Specs!$A:$R,MATCH(Table!N$3,Specs!$A$1:$R$1,0),FALSE)</f>
        <v>9.6</v>
      </c>
      <c r="O108" s="13">
        <f t="shared" ref="O108:O175" si="182">(N108*M108)/1000</f>
        <v>1.5359999999999999E-2</v>
      </c>
      <c r="P108" s="19" t="str">
        <f>VLOOKUP(Table!$I108,Specs!$A:$R,MATCH(Table!P$3,Specs!$A$1:$R$1,0),FALSE)</f>
        <v>Air-cooled</v>
      </c>
      <c r="Q108" s="19">
        <f>VLOOKUP(Table!$I108,Specs!$A:$R,MATCH(Table!Q$3,Specs!$A$1:$R$1,0),FALSE)</f>
        <v>0</v>
      </c>
      <c r="R108" s="19">
        <v>25</v>
      </c>
      <c r="S108" s="19">
        <f>VLOOKUP(Table!$I108,Specs!$A:$R,MATCH(Table!S$3,Specs!$A$1:$R$1,0),FALSE)</f>
        <v>0</v>
      </c>
      <c r="T108" s="74">
        <v>0.49664000000000003</v>
      </c>
      <c r="U108" s="14"/>
      <c r="V108" s="57"/>
      <c r="W108" s="14"/>
      <c r="X108" s="14"/>
      <c r="Y108" s="55"/>
      <c r="Z108"/>
      <c r="AA108" s="55">
        <v>194</v>
      </c>
      <c r="AB108" s="26">
        <v>1</v>
      </c>
      <c r="AC108">
        <f t="shared" si="123"/>
        <v>1</v>
      </c>
      <c r="AD108" s="54">
        <f t="shared" si="173"/>
        <v>0.49664000000000003</v>
      </c>
      <c r="AE108" t="str">
        <f t="shared" si="120"/>
        <v>T.mm</v>
      </c>
      <c r="AF108" s="57">
        <f t="shared" si="121"/>
        <v>0.62037052642133339</v>
      </c>
      <c r="AG108" s="56" t="str">
        <f t="shared" si="124"/>
        <v>mrad</v>
      </c>
      <c r="AH108" s="26">
        <f t="shared" si="104"/>
        <v>2.56</v>
      </c>
      <c r="AI108" t="str">
        <f t="shared" si="101"/>
        <v>mT</v>
      </c>
      <c r="AJ108" s="25" t="s">
        <v>253</v>
      </c>
    </row>
    <row r="109" spans="1:36" s="25" customFormat="1" hidden="1" x14ac:dyDescent="0.25">
      <c r="A109">
        <v>240</v>
      </c>
      <c r="B109" s="38">
        <v>12</v>
      </c>
      <c r="C109" t="s">
        <v>65</v>
      </c>
      <c r="D109" t="s">
        <v>86</v>
      </c>
      <c r="E109" t="s">
        <v>67</v>
      </c>
      <c r="F109" t="s">
        <v>68</v>
      </c>
      <c r="G109" s="22">
        <v>7</v>
      </c>
      <c r="H109" s="22"/>
      <c r="I109" t="s">
        <v>120</v>
      </c>
      <c r="J109" s="80">
        <v>20259</v>
      </c>
      <c r="K109" s="28">
        <v>3.2</v>
      </c>
      <c r="L109" s="5" t="str">
        <f t="shared" ref="L109" si="183">IF(F109="QUAD","T","T.mm")</f>
        <v>T.mm</v>
      </c>
      <c r="M109" s="5">
        <f>VLOOKUP(Table!$I109,Specs!$A:$R,MATCH(Table!M$3,Specs!$A$1:$R$1,0),FALSE)</f>
        <v>1.6</v>
      </c>
      <c r="N109" s="5">
        <f>VLOOKUP(Table!$I109,Specs!$A:$R,MATCH(Table!N$3,Specs!$A$1:$R$1,0),FALSE)</f>
        <v>9.6</v>
      </c>
      <c r="O109" s="13">
        <f t="shared" ref="O109" si="184">(N109*M109)/1000</f>
        <v>1.5359999999999999E-2</v>
      </c>
      <c r="P109" s="19" t="str">
        <f>VLOOKUP(Table!$I109,Specs!$A:$R,MATCH(Table!P$3,Specs!$A$1:$R$1,0),FALSE)</f>
        <v>Air-cooled</v>
      </c>
      <c r="Q109" s="19">
        <f>VLOOKUP(Table!$I109,Specs!$A:$R,MATCH(Table!Q$3,Specs!$A$1:$R$1,0),FALSE)</f>
        <v>0</v>
      </c>
      <c r="R109" s="19">
        <v>25</v>
      </c>
      <c r="S109" s="19">
        <f>VLOOKUP(Table!$I109,Specs!$A:$R,MATCH(Table!S$3,Specs!$A$1:$R$1,0),FALSE)</f>
        <v>0</v>
      </c>
      <c r="T109" s="74">
        <v>0.54513999999999996</v>
      </c>
      <c r="U109" s="14"/>
      <c r="V109" s="57"/>
      <c r="W109" s="14"/>
      <c r="X109" s="14"/>
      <c r="Y109" s="55"/>
      <c r="Z109"/>
      <c r="AA109" s="55">
        <v>194</v>
      </c>
      <c r="AB109" s="26">
        <v>1</v>
      </c>
      <c r="AC109">
        <f t="shared" ref="AC109" si="185">SIGN(AB109)</f>
        <v>1</v>
      </c>
      <c r="AD109" s="54">
        <f t="shared" si="173"/>
        <v>0.54513999999999996</v>
      </c>
      <c r="AE109" t="str">
        <f t="shared" ref="AE109" si="186">L109</f>
        <v>T.mm</v>
      </c>
      <c r="AF109" s="57">
        <f t="shared" ref="AF109" si="187">IF(F109="DIP",360/(2000*PI()),IF(F109="QUAD",1000/AA109,IF(RIGHT(F109,3)="COR",1,0)))*c_*AD109/A109</f>
        <v>0.68095358564216668</v>
      </c>
      <c r="AG109" s="56" t="str">
        <f t="shared" ref="AG109" si="188">IF(F109="DIP","°",IF(F109="QUAD","m⁻²",IF(RIGHT(F109,3)="COR","mrad","")))</f>
        <v>mrad</v>
      </c>
      <c r="AH109" s="26">
        <f t="shared" si="104"/>
        <v>2.81</v>
      </c>
      <c r="AI109" t="str">
        <f t="shared" si="101"/>
        <v>mT</v>
      </c>
      <c r="AJ109" s="25" t="s">
        <v>253</v>
      </c>
    </row>
    <row r="110" spans="1:36" s="25" customFormat="1" hidden="1" x14ac:dyDescent="0.25">
      <c r="A110">
        <v>240</v>
      </c>
      <c r="B110" s="38">
        <v>12</v>
      </c>
      <c r="C110" t="s">
        <v>65</v>
      </c>
      <c r="D110" t="s">
        <v>86</v>
      </c>
      <c r="E110" t="s">
        <v>67</v>
      </c>
      <c r="F110" t="s">
        <v>70</v>
      </c>
      <c r="G110" s="22">
        <v>10</v>
      </c>
      <c r="H110" s="22" t="s">
        <v>78</v>
      </c>
      <c r="I110" t="s">
        <v>94</v>
      </c>
      <c r="J110" s="80">
        <v>16617</v>
      </c>
      <c r="K110" s="28"/>
      <c r="L110" s="5" t="str">
        <f t="shared" si="32"/>
        <v>T</v>
      </c>
      <c r="M110" s="5">
        <f>VLOOKUP(Table!$I110,Specs!$A:$R,MATCH(Table!M$3,Specs!$A$1:$R$1,0),FALSE)</f>
        <v>7.97</v>
      </c>
      <c r="N110" s="5">
        <f>VLOOKUP(Table!$I110,Specs!$A:$R,MATCH(Table!N$3,Specs!$A$1:$R$1,0),FALSE)</f>
        <v>93.1</v>
      </c>
      <c r="O110" s="13">
        <f t="shared" si="182"/>
        <v>0.74200699999999997</v>
      </c>
      <c r="P110" s="19">
        <f>VLOOKUP(Table!$I110,Specs!$A:$R,MATCH(Table!P$3,Specs!$A$1:$R$1,0),FALSE)</f>
        <v>4</v>
      </c>
      <c r="Q110" s="19">
        <f>VLOOKUP(Table!$I110,Specs!$A:$R,MATCH(Table!Q$3,Specs!$A$1:$R$1,0),FALSE)</f>
        <v>1.2</v>
      </c>
      <c r="R110" s="19">
        <v>25</v>
      </c>
      <c r="S110" s="19">
        <f>VLOOKUP(Table!$I110,Specs!$A:$R,MATCH(Table!S$3,Specs!$A$1:$R$1,0),FALSE)</f>
        <v>9.2000000000000028</v>
      </c>
      <c r="T110" s="74">
        <v>3.3048298135529036E-2</v>
      </c>
      <c r="U110" s="14"/>
      <c r="V110" s="57">
        <v>34.204173548115648</v>
      </c>
      <c r="W110" s="14"/>
      <c r="X110" s="14">
        <v>-2.2459892899711881E-5</v>
      </c>
      <c r="Y110" s="55">
        <v>769.92224404597164</v>
      </c>
      <c r="Z110">
        <v>13.287504793652161</v>
      </c>
      <c r="AA110" s="55">
        <v>178.08104749967819</v>
      </c>
      <c r="AB110" s="26">
        <v>93.5</v>
      </c>
      <c r="AC110">
        <f t="shared" si="123"/>
        <v>1</v>
      </c>
      <c r="AD110" s="54">
        <f t="shared" si="173"/>
        <v>3.0110470037586623</v>
      </c>
      <c r="AE110" t="str">
        <f t="shared" si="120"/>
        <v>T</v>
      </c>
      <c r="AF110" s="57">
        <f t="shared" si="121"/>
        <v>21.120747993783933</v>
      </c>
      <c r="AG110" s="56" t="str">
        <f t="shared" si="124"/>
        <v>m⁻²</v>
      </c>
      <c r="AH110" s="26">
        <f t="shared" si="104"/>
        <v>16.908295666691334</v>
      </c>
      <c r="AI110" t="str">
        <f t="shared" si="101"/>
        <v>T/m</v>
      </c>
    </row>
    <row r="111" spans="1:36" s="25" customFormat="1" hidden="1" x14ac:dyDescent="0.25">
      <c r="A111">
        <v>240</v>
      </c>
      <c r="B111" s="38" t="s">
        <v>257</v>
      </c>
      <c r="C111" t="s">
        <v>65</v>
      </c>
      <c r="D111" t="s">
        <v>248</v>
      </c>
      <c r="E111" t="s">
        <v>67</v>
      </c>
      <c r="F111" t="s">
        <v>72</v>
      </c>
      <c r="G111" s="22">
        <v>1</v>
      </c>
      <c r="H111" s="22"/>
      <c r="I111" t="s">
        <v>166</v>
      </c>
      <c r="J111" s="81">
        <v>4</v>
      </c>
      <c r="K111" s="28">
        <v>203.76271046752458</v>
      </c>
      <c r="L111" s="5" t="str">
        <f t="shared" si="32"/>
        <v>T.mm</v>
      </c>
      <c r="M111" s="5">
        <f>VLOOKUP(Table!$I111,Specs!$A:$R,MATCH(Table!M$3,Specs!$A$1:$R$1,0),FALSE)</f>
        <v>7.8</v>
      </c>
      <c r="N111" s="5">
        <f>VLOOKUP(Table!$I111,Specs!$A:$R,MATCH(Table!N$3,Specs!$A$1:$R$1,0),FALSE)</f>
        <v>337.4</v>
      </c>
      <c r="O111" s="13">
        <f t="shared" ref="O111" si="189">(N111*M111)/1000</f>
        <v>2.6317199999999996</v>
      </c>
      <c r="P111" s="19">
        <f>VLOOKUP(Table!$I111,Specs!$A:$R,MATCH(Table!P$3,Specs!$A$1:$R$1,0),FALSE)</f>
        <v>1</v>
      </c>
      <c r="Q111" s="19">
        <f>VLOOKUP(Table!$I111,Specs!$A:$R,MATCH(Table!Q$3,Specs!$A$1:$R$1,0),FALSE)</f>
        <v>11.8</v>
      </c>
      <c r="R111" s="19">
        <v>25</v>
      </c>
      <c r="S111" s="19">
        <f>VLOOKUP(Table!$I111,Specs!$A:$R,MATCH(Table!S$3,Specs!$A$1:$R$1,0),FALSE)</f>
        <v>6.5</v>
      </c>
      <c r="T111" s="74">
        <v>0.58714079223795035</v>
      </c>
      <c r="U111" s="14"/>
      <c r="V111" s="57">
        <v>263.21063042188337</v>
      </c>
      <c r="W111" s="14">
        <v>0</v>
      </c>
      <c r="X111" s="14">
        <v>-3.6646910497203678E-4</v>
      </c>
      <c r="Y111" s="55">
        <v>1067.1267532482045</v>
      </c>
      <c r="Z111">
        <v>391.37551651637182</v>
      </c>
      <c r="AA111" s="54">
        <v>243.15</v>
      </c>
      <c r="AB111" s="26"/>
      <c r="AC111">
        <f t="shared" si="123"/>
        <v>0</v>
      </c>
      <c r="AD111" s="59"/>
      <c r="AE111" t="str">
        <f t="shared" si="120"/>
        <v>T.mm</v>
      </c>
      <c r="AF111" s="57">
        <f t="shared" si="121"/>
        <v>0</v>
      </c>
      <c r="AG111" s="56" t="str">
        <f t="shared" si="124"/>
        <v>°</v>
      </c>
      <c r="AH111" s="26">
        <f t="shared" si="104"/>
        <v>0</v>
      </c>
      <c r="AI111" t="str">
        <f t="shared" si="101"/>
        <v>mT</v>
      </c>
    </row>
    <row r="112" spans="1:36" s="25" customFormat="1" x14ac:dyDescent="0.25">
      <c r="A112">
        <v>240</v>
      </c>
      <c r="B112" s="38" t="s">
        <v>257</v>
      </c>
      <c r="C112" t="s">
        <v>65</v>
      </c>
      <c r="D112" t="s">
        <v>248</v>
      </c>
      <c r="E112" t="s">
        <v>67</v>
      </c>
      <c r="F112" t="s">
        <v>70</v>
      </c>
      <c r="G112" s="22">
        <v>1</v>
      </c>
      <c r="H112" s="22"/>
      <c r="I112" t="s">
        <v>94</v>
      </c>
      <c r="J112" s="80">
        <v>19381</v>
      </c>
      <c r="K112" s="28">
        <v>2.1264711068882192</v>
      </c>
      <c r="L112" s="5" t="str">
        <f>IF(F112="QUAD","T","T.mm")</f>
        <v>T</v>
      </c>
      <c r="M112" s="5">
        <f>VLOOKUP(Table!$I112,Specs!$A:$R,MATCH(Table!M$3,Specs!$A$1:$R$1,0),FALSE)</f>
        <v>7.97</v>
      </c>
      <c r="N112" s="5">
        <f>VLOOKUP(Table!$I112,Specs!$A:$R,MATCH(Table!N$3,Specs!$A$1:$R$1,0),FALSE)</f>
        <v>93.1</v>
      </c>
      <c r="O112" s="13">
        <f t="shared" ref="O112:O143" si="190">(N112*M112)/1000</f>
        <v>0.74200699999999997</v>
      </c>
      <c r="P112" s="19">
        <f>VLOOKUP(Table!$I112,Specs!$A:$R,MATCH(Table!P$3,Specs!$A$1:$R$1,0),FALSE)</f>
        <v>4</v>
      </c>
      <c r="Q112" s="19">
        <f>VLOOKUP(Table!$I112,Specs!$A:$R,MATCH(Table!Q$3,Specs!$A$1:$R$1,0),FALSE)</f>
        <v>1.2</v>
      </c>
      <c r="R112" s="19">
        <v>25</v>
      </c>
      <c r="S112" s="19">
        <f>VLOOKUP(Table!$I112,Specs!$A:$R,MATCH(Table!S$3,Specs!$A$1:$R$1,0),FALSE)</f>
        <v>9.2000000000000028</v>
      </c>
      <c r="T112" s="86">
        <v>2.730793127612784E-2</v>
      </c>
      <c r="U112" s="14"/>
      <c r="V112" s="74">
        <v>64.571863745326453</v>
      </c>
      <c r="W112" s="14">
        <v>0</v>
      </c>
      <c r="X112" s="85">
        <v>-2.8658521040016382E-5</v>
      </c>
      <c r="Y112" s="55">
        <v>550.81998342026566</v>
      </c>
      <c r="Z112">
        <v>8.5544975820269045</v>
      </c>
      <c r="AA112" s="55">
        <v>178.58</v>
      </c>
      <c r="AB112" s="26"/>
      <c r="AC112">
        <f t="shared" ref="AC112:AC143" si="191">SIGN(AB112)</f>
        <v>0</v>
      </c>
      <c r="AD112" s="59"/>
      <c r="AE112" t="str">
        <f t="shared" ref="AE112:AE143" si="192">L112</f>
        <v>T</v>
      </c>
      <c r="AF112" s="57">
        <f t="shared" ref="AF112:AF143" si="193">IF(F112="DIP",360/(2000*PI()),IF(F112="QUAD",1000/AA112,IF(RIGHT(F112,3)="COR",1,0)))*c_*AD112/A112</f>
        <v>0</v>
      </c>
      <c r="AG112" s="56" t="str">
        <f t="shared" ref="AG112:AG143" si="194">IF(F112="DIP","°",IF(F112="QUAD","m⁻²",IF(RIGHT(F112,3)="COR","mrad","")))</f>
        <v>m⁻²</v>
      </c>
      <c r="AH112" s="26">
        <f t="shared" ref="AH112:AH143" si="195">1000*AD112/AA112</f>
        <v>0</v>
      </c>
      <c r="AI112" t="str">
        <f t="shared" ref="AI112:AI143" si="196">IF(F112="QUAD","T/m","mT")</f>
        <v>T/m</v>
      </c>
    </row>
    <row r="113" spans="1:35" s="25" customFormat="1" x14ac:dyDescent="0.25">
      <c r="A113">
        <v>240</v>
      </c>
      <c r="B113" s="38" t="s">
        <v>257</v>
      </c>
      <c r="C113" t="s">
        <v>65</v>
      </c>
      <c r="D113" t="s">
        <v>248</v>
      </c>
      <c r="E113" t="s">
        <v>67</v>
      </c>
      <c r="F113" t="s">
        <v>70</v>
      </c>
      <c r="G113" s="22">
        <v>2</v>
      </c>
      <c r="H113" s="22"/>
      <c r="I113" t="s">
        <v>94</v>
      </c>
      <c r="J113" s="80">
        <v>19376</v>
      </c>
      <c r="K113" s="28">
        <v>2.1264711068882192</v>
      </c>
      <c r="L113" s="5" t="str">
        <f>IF(F113="QUAD","T","T.mm")</f>
        <v>T</v>
      </c>
      <c r="M113" s="5">
        <f>VLOOKUP(Table!$I113,Specs!$A:$R,MATCH(Table!M$3,Specs!$A$1:$R$1,0),FALSE)</f>
        <v>7.97</v>
      </c>
      <c r="N113" s="5">
        <f>VLOOKUP(Table!$I113,Specs!$A:$R,MATCH(Table!N$3,Specs!$A$1:$R$1,0),FALSE)</f>
        <v>93.1</v>
      </c>
      <c r="O113" s="13">
        <f t="shared" si="190"/>
        <v>0.74200699999999997</v>
      </c>
      <c r="P113" s="19">
        <f>VLOOKUP(Table!$I113,Specs!$A:$R,MATCH(Table!P$3,Specs!$A$1:$R$1,0),FALSE)</f>
        <v>4</v>
      </c>
      <c r="Q113" s="19">
        <f>VLOOKUP(Table!$I113,Specs!$A:$R,MATCH(Table!Q$3,Specs!$A$1:$R$1,0),FALSE)</f>
        <v>1.2</v>
      </c>
      <c r="R113" s="19">
        <v>25</v>
      </c>
      <c r="S113" s="19">
        <f>VLOOKUP(Table!$I113,Specs!$A:$R,MATCH(Table!S$3,Specs!$A$1:$R$1,0),FALSE)</f>
        <v>9.2000000000000028</v>
      </c>
      <c r="T113" s="86">
        <v>2.7310518252156833E-2</v>
      </c>
      <c r="U113" s="14"/>
      <c r="V113" s="74">
        <v>48.667549878467497</v>
      </c>
      <c r="W113" s="14">
        <v>0</v>
      </c>
      <c r="X113" s="85">
        <v>-1.8682918692733237E-5</v>
      </c>
      <c r="Y113" s="55">
        <v>797.5647918320393</v>
      </c>
      <c r="Z113">
        <v>11.821592957513696</v>
      </c>
      <c r="AA113" s="55">
        <v>178.85</v>
      </c>
      <c r="AB113" s="26"/>
      <c r="AC113">
        <f t="shared" si="191"/>
        <v>0</v>
      </c>
      <c r="AD113" s="59"/>
      <c r="AE113" t="str">
        <f t="shared" si="192"/>
        <v>T</v>
      </c>
      <c r="AF113" s="57">
        <f t="shared" si="193"/>
        <v>0</v>
      </c>
      <c r="AG113" s="56" t="str">
        <f t="shared" si="194"/>
        <v>m⁻²</v>
      </c>
      <c r="AH113" s="26">
        <f t="shared" si="195"/>
        <v>0</v>
      </c>
      <c r="AI113" t="str">
        <f t="shared" si="196"/>
        <v>T/m</v>
      </c>
    </row>
    <row r="114" spans="1:35" s="25" customFormat="1" hidden="1" x14ac:dyDescent="0.25">
      <c r="A114">
        <v>240</v>
      </c>
      <c r="B114" s="38" t="s">
        <v>257</v>
      </c>
      <c r="C114" t="s">
        <v>65</v>
      </c>
      <c r="D114" t="s">
        <v>248</v>
      </c>
      <c r="E114" t="s">
        <v>67</v>
      </c>
      <c r="F114" t="s">
        <v>112</v>
      </c>
      <c r="G114" s="22">
        <v>1</v>
      </c>
      <c r="H114" s="22"/>
      <c r="I114" t="s">
        <v>294</v>
      </c>
      <c r="J114" s="80">
        <v>16643</v>
      </c>
      <c r="K114" s="28">
        <v>4.1695511899769002</v>
      </c>
      <c r="L114" s="5" t="str">
        <f>IF(F114="QUAD","T","T.mm")</f>
        <v>T.mm</v>
      </c>
      <c r="M114" s="5">
        <f>(VLOOKUP(Table!$I114,Specs!$A:$R,MATCH(Table!M$3,Specs!$A$1:$R$1,0),FALSE))</f>
        <v>4.16</v>
      </c>
      <c r="N114" s="5">
        <f>(VLOOKUP(Table!$I114,Specs!$A:$R,MATCH(Table!N$3,Specs!$A$1:$R$1,0),FALSE))</f>
        <v>13</v>
      </c>
      <c r="O114" s="13">
        <f t="shared" si="190"/>
        <v>5.4079999999999996E-2</v>
      </c>
      <c r="P114" s="19">
        <f>VLOOKUP(Table!$I114,Specs!$A:$R,MATCH(Table!P$3,Specs!$A$1:$R$1,0),FALSE)</f>
        <v>0.1</v>
      </c>
      <c r="Q114" s="19">
        <f>VLOOKUP(Table!$I114,Specs!$A:$R,MATCH(Table!Q$3,Specs!$A$1:$R$1,0),FALSE)</f>
        <v>0.5</v>
      </c>
      <c r="R114" s="19">
        <v>25</v>
      </c>
      <c r="S114" s="19">
        <f>VLOOKUP(Table!$I114,Specs!$A:$R,MATCH(Table!S$3,Specs!$A$1:$R$1,0),FALSE)</f>
        <v>2</v>
      </c>
      <c r="T114" s="74"/>
      <c r="U114" s="14"/>
      <c r="V114" s="57"/>
      <c r="W114" s="14"/>
      <c r="X114" s="14"/>
      <c r="Y114" s="55"/>
      <c r="Z114"/>
      <c r="AA114" s="54"/>
      <c r="AB114" s="26"/>
      <c r="AC114">
        <f t="shared" si="191"/>
        <v>0</v>
      </c>
      <c r="AD114" s="59"/>
      <c r="AE114" t="str">
        <f t="shared" si="192"/>
        <v>T.mm</v>
      </c>
      <c r="AF114" s="57">
        <f t="shared" si="193"/>
        <v>0</v>
      </c>
      <c r="AG114" s="56" t="str">
        <f t="shared" si="194"/>
        <v>mrad</v>
      </c>
      <c r="AH114" s="26" t="e">
        <f t="shared" si="195"/>
        <v>#DIV/0!</v>
      </c>
      <c r="AI114" t="str">
        <f t="shared" si="196"/>
        <v>mT</v>
      </c>
    </row>
    <row r="115" spans="1:35" s="25" customFormat="1" hidden="1" x14ac:dyDescent="0.25">
      <c r="A115">
        <v>240</v>
      </c>
      <c r="B115" s="38" t="s">
        <v>257</v>
      </c>
      <c r="C115" t="s">
        <v>65</v>
      </c>
      <c r="D115" t="s">
        <v>248</v>
      </c>
      <c r="E115" t="s">
        <v>67</v>
      </c>
      <c r="F115" t="s">
        <v>68</v>
      </c>
      <c r="G115" s="22">
        <v>1</v>
      </c>
      <c r="H115" s="22"/>
      <c r="I115" t="s">
        <v>294</v>
      </c>
      <c r="J115" s="80">
        <v>16643</v>
      </c>
      <c r="K115" s="28">
        <v>4.1695511899769002</v>
      </c>
      <c r="L115" s="5" t="str">
        <f>IF(F115="QUAD","T","T.mm")</f>
        <v>T.mm</v>
      </c>
      <c r="M115" s="5">
        <f>(VLOOKUP(Table!$I115,Specs!$A:$R,MATCH(Table!M$3,Specs!$A$1:$R$1,0),FALSE))</f>
        <v>4.16</v>
      </c>
      <c r="N115" s="5">
        <f>(VLOOKUP(Table!$I115,Specs!$A:$R,MATCH(Table!N$3,Specs!$A$1:$R$1,0),FALSE))</f>
        <v>13</v>
      </c>
      <c r="O115" s="13">
        <f t="shared" si="190"/>
        <v>5.4079999999999996E-2</v>
      </c>
      <c r="P115" s="19">
        <f>VLOOKUP(Table!$I115,Specs!$A:$R,MATCH(Table!P$3,Specs!$A$1:$R$1,0),FALSE)</f>
        <v>0.1</v>
      </c>
      <c r="Q115" s="19">
        <f>VLOOKUP(Table!$I115,Specs!$A:$R,MATCH(Table!Q$3,Specs!$A$1:$R$1,0),FALSE)</f>
        <v>0.5</v>
      </c>
      <c r="R115" s="19">
        <v>25</v>
      </c>
      <c r="S115" s="19">
        <f>VLOOKUP(Table!$I115,Specs!$A:$R,MATCH(Table!S$3,Specs!$A$1:$R$1,0),FALSE)</f>
        <v>2</v>
      </c>
      <c r="T115" s="74"/>
      <c r="U115" s="14"/>
      <c r="V115" s="57"/>
      <c r="W115" s="14"/>
      <c r="X115" s="14"/>
      <c r="Y115" s="55"/>
      <c r="Z115"/>
      <c r="AA115" s="54"/>
      <c r="AB115" s="26"/>
      <c r="AC115">
        <f t="shared" si="191"/>
        <v>0</v>
      </c>
      <c r="AD115" s="59"/>
      <c r="AE115" t="str">
        <f t="shared" si="192"/>
        <v>T.mm</v>
      </c>
      <c r="AF115" s="57">
        <f t="shared" si="193"/>
        <v>0</v>
      </c>
      <c r="AG115" s="56" t="str">
        <f t="shared" si="194"/>
        <v>mrad</v>
      </c>
      <c r="AH115" s="26" t="e">
        <f t="shared" si="195"/>
        <v>#DIV/0!</v>
      </c>
      <c r="AI115" t="str">
        <f t="shared" si="196"/>
        <v>mT</v>
      </c>
    </row>
    <row r="116" spans="1:35" s="25" customFormat="1" x14ac:dyDescent="0.25">
      <c r="A116">
        <v>240</v>
      </c>
      <c r="B116" s="38" t="s">
        <v>259</v>
      </c>
      <c r="C116" t="s">
        <v>65</v>
      </c>
      <c r="D116" t="s">
        <v>248</v>
      </c>
      <c r="E116" t="s">
        <v>67</v>
      </c>
      <c r="F116" t="s">
        <v>70</v>
      </c>
      <c r="G116" s="22">
        <v>3</v>
      </c>
      <c r="H116" s="22"/>
      <c r="I116" t="s">
        <v>94</v>
      </c>
      <c r="J116" s="80">
        <v>17053</v>
      </c>
      <c r="K116" s="28">
        <v>2.1264711068882192</v>
      </c>
      <c r="L116" s="5" t="str">
        <f>IF(F116="QUAD","T","T.mm")</f>
        <v>T</v>
      </c>
      <c r="M116" s="5">
        <f>(VLOOKUP(Table!$I116,Specs!$A:$R,MATCH(Table!M$3,Specs!$A$1:$R$1,0),FALSE))</f>
        <v>7.97</v>
      </c>
      <c r="N116" s="5">
        <f>(VLOOKUP(Table!$I116,Specs!$A:$R,MATCH(Table!N$3,Specs!$A$1:$R$1,0),FALSE))</f>
        <v>93.1</v>
      </c>
      <c r="O116" s="13">
        <f t="shared" si="190"/>
        <v>0.74200699999999997</v>
      </c>
      <c r="P116" s="19">
        <f>VLOOKUP(Table!$I116,Specs!$A:$R,MATCH(Table!P$3,Specs!$A$1:$R$1,0),FALSE)</f>
        <v>4</v>
      </c>
      <c r="Q116" s="19">
        <f>VLOOKUP(Table!$I116,Specs!$A:$R,MATCH(Table!Q$3,Specs!$A$1:$R$1,0),FALSE)</f>
        <v>1.2</v>
      </c>
      <c r="R116" s="19">
        <v>25</v>
      </c>
      <c r="S116" s="19">
        <f>VLOOKUP(Table!$I116,Specs!$A:$R,MATCH(Table!S$3,Specs!$A$1:$R$1,0),FALSE)</f>
        <v>9.2000000000000028</v>
      </c>
      <c r="T116" s="86"/>
      <c r="U116" s="14"/>
      <c r="V116" s="74"/>
      <c r="W116" s="14"/>
      <c r="X116" s="85"/>
      <c r="Y116" s="55"/>
      <c r="Z116"/>
      <c r="AA116" s="55"/>
      <c r="AB116" s="26"/>
      <c r="AC116">
        <f t="shared" si="191"/>
        <v>0</v>
      </c>
      <c r="AD116" s="59"/>
      <c r="AE116" t="str">
        <f t="shared" si="192"/>
        <v>T</v>
      </c>
      <c r="AF116" s="57" t="e">
        <f t="shared" si="193"/>
        <v>#DIV/0!</v>
      </c>
      <c r="AG116" s="56" t="str">
        <f t="shared" si="194"/>
        <v>m⁻²</v>
      </c>
      <c r="AH116" s="26" t="e">
        <f t="shared" si="195"/>
        <v>#DIV/0!</v>
      </c>
      <c r="AI116" t="str">
        <f t="shared" si="196"/>
        <v>T/m</v>
      </c>
    </row>
    <row r="117" spans="1:35" s="25" customFormat="1" hidden="1" x14ac:dyDescent="0.25">
      <c r="A117">
        <v>240</v>
      </c>
      <c r="B117" s="38" t="s">
        <v>259</v>
      </c>
      <c r="C117" t="s">
        <v>65</v>
      </c>
      <c r="D117" t="s">
        <v>248</v>
      </c>
      <c r="E117" t="s">
        <v>67</v>
      </c>
      <c r="F117" t="s">
        <v>270</v>
      </c>
      <c r="G117" s="22">
        <v>1</v>
      </c>
      <c r="H117" s="22"/>
      <c r="I117" t="s">
        <v>271</v>
      </c>
      <c r="J117" s="80"/>
      <c r="K117" s="28">
        <v>25</v>
      </c>
      <c r="L117" s="5" t="s">
        <v>26</v>
      </c>
      <c r="M117" s="5">
        <f>(VLOOKUP(Table!$I117,Specs!$A:$R,MATCH(Table!M$3,Specs!$A$1:$R$1,0),FALSE))</f>
        <v>0.6</v>
      </c>
      <c r="N117" s="5">
        <f>(VLOOKUP(Table!$I117,Specs!$A:$R,MATCH(Table!N$3,Specs!$A$1:$R$1,0),FALSE))</f>
        <v>8</v>
      </c>
      <c r="O117" s="13">
        <f t="shared" si="190"/>
        <v>4.7999999999999996E-3</v>
      </c>
      <c r="P117" s="19">
        <f>VLOOKUP(Table!$I117,Specs!$A:$R,MATCH(Table!P$3,Specs!$A$1:$R$1,0),FALSE)</f>
        <v>0</v>
      </c>
      <c r="Q117" s="19">
        <f>VLOOKUP(Table!$I117,Specs!$A:$R,MATCH(Table!Q$3,Specs!$A$1:$R$1,0),FALSE)</f>
        <v>0</v>
      </c>
      <c r="R117" s="19">
        <v>25</v>
      </c>
      <c r="S117" s="19">
        <f>VLOOKUP(Table!$I117,Specs!$A:$R,MATCH(Table!S$3,Specs!$A$1:$R$1,0),FALSE)</f>
        <v>0</v>
      </c>
      <c r="T117" s="74"/>
      <c r="U117" s="14"/>
      <c r="V117" s="57"/>
      <c r="W117" s="14"/>
      <c r="X117" s="14"/>
      <c r="Y117" s="55"/>
      <c r="Z117"/>
      <c r="AA117" s="54"/>
      <c r="AB117" s="26"/>
      <c r="AC117">
        <f t="shared" si="191"/>
        <v>0</v>
      </c>
      <c r="AD117" s="59"/>
      <c r="AE117" t="str">
        <f t="shared" si="192"/>
        <v>T/m</v>
      </c>
      <c r="AF117" s="57">
        <f t="shared" si="193"/>
        <v>0</v>
      </c>
      <c r="AG117" s="56" t="str">
        <f t="shared" si="194"/>
        <v/>
      </c>
      <c r="AH117" s="26" t="e">
        <f t="shared" si="195"/>
        <v>#DIV/0!</v>
      </c>
      <c r="AI117" t="str">
        <f t="shared" si="196"/>
        <v>mT</v>
      </c>
    </row>
    <row r="118" spans="1:35" s="25" customFormat="1" x14ac:dyDescent="0.25">
      <c r="A118">
        <v>240</v>
      </c>
      <c r="B118" s="38" t="s">
        <v>259</v>
      </c>
      <c r="C118" t="s">
        <v>65</v>
      </c>
      <c r="D118" t="s">
        <v>248</v>
      </c>
      <c r="E118" t="s">
        <v>67</v>
      </c>
      <c r="F118" t="s">
        <v>70</v>
      </c>
      <c r="G118" s="22">
        <v>4</v>
      </c>
      <c r="H118" s="22"/>
      <c r="I118" t="s">
        <v>94</v>
      </c>
      <c r="J118" s="80">
        <v>16627</v>
      </c>
      <c r="K118" s="28">
        <v>2.1264711068882192</v>
      </c>
      <c r="L118" s="5" t="str">
        <f t="shared" ref="L118:L131" si="197">IF(F118="QUAD","T","T.mm")</f>
        <v>T</v>
      </c>
      <c r="M118" s="5">
        <f>(VLOOKUP(Table!$I118,Specs!$A:$R,MATCH(Table!M$3,Specs!$A$1:$R$1,0),FALSE))</f>
        <v>7.97</v>
      </c>
      <c r="N118" s="5">
        <f>(VLOOKUP(Table!$I118,Specs!$A:$R,MATCH(Table!N$3,Specs!$A$1:$R$1,0),FALSE))</f>
        <v>93.1</v>
      </c>
      <c r="O118" s="13">
        <f t="shared" si="190"/>
        <v>0.74200699999999997</v>
      </c>
      <c r="P118" s="19">
        <f>VLOOKUP(Table!$I118,Specs!$A:$R,MATCH(Table!P$3,Specs!$A$1:$R$1,0),FALSE)</f>
        <v>4</v>
      </c>
      <c r="Q118" s="19">
        <f>VLOOKUP(Table!$I118,Specs!$A:$R,MATCH(Table!Q$3,Specs!$A$1:$R$1,0),FALSE)</f>
        <v>1.2</v>
      </c>
      <c r="R118" s="19">
        <v>25</v>
      </c>
      <c r="S118" s="19">
        <f>VLOOKUP(Table!$I118,Specs!$A:$R,MATCH(Table!S$3,Specs!$A$1:$R$1,0),FALSE)</f>
        <v>9.2000000000000028</v>
      </c>
      <c r="T118" s="86">
        <f>0.185199234917307*AA118/1000</f>
        <v>3.3075926092693955E-2</v>
      </c>
      <c r="U118" s="14"/>
      <c r="V118" s="74">
        <v>35.144819448040302</v>
      </c>
      <c r="W118" s="14">
        <v>0</v>
      </c>
      <c r="X118" s="85">
        <f>-0.00013143023757663*AA118/1000</f>
        <v>-2.3472973991338962E-5</v>
      </c>
      <c r="Y118" s="55">
        <v>739.69819442511766</v>
      </c>
      <c r="Z118">
        <f>71.7501666751646*AA118/1000</f>
        <v>12.814325130154412</v>
      </c>
      <c r="AA118" s="55">
        <v>178.59645104615379</v>
      </c>
      <c r="AB118" s="26"/>
      <c r="AC118">
        <f t="shared" si="191"/>
        <v>0</v>
      </c>
      <c r="AD118" s="59"/>
      <c r="AE118" t="str">
        <f t="shared" si="192"/>
        <v>T</v>
      </c>
      <c r="AF118" s="57">
        <f t="shared" si="193"/>
        <v>0</v>
      </c>
      <c r="AG118" s="56" t="str">
        <f t="shared" si="194"/>
        <v>m⁻²</v>
      </c>
      <c r="AH118" s="26">
        <f t="shared" si="195"/>
        <v>0</v>
      </c>
      <c r="AI118" t="str">
        <f t="shared" si="196"/>
        <v>T/m</v>
      </c>
    </row>
    <row r="119" spans="1:35" s="25" customFormat="1" hidden="1" x14ac:dyDescent="0.25">
      <c r="A119">
        <v>240</v>
      </c>
      <c r="B119" s="38" t="s">
        <v>260</v>
      </c>
      <c r="C119" t="s">
        <v>65</v>
      </c>
      <c r="D119" t="s">
        <v>248</v>
      </c>
      <c r="E119" t="s">
        <v>67</v>
      </c>
      <c r="F119" t="s">
        <v>72</v>
      </c>
      <c r="G119" s="22">
        <v>2</v>
      </c>
      <c r="H119" s="22"/>
      <c r="I119" t="s">
        <v>166</v>
      </c>
      <c r="J119" s="80">
        <v>1</v>
      </c>
      <c r="K119" s="28">
        <v>203.76271046752458</v>
      </c>
      <c r="L119" s="5" t="str">
        <f t="shared" si="197"/>
        <v>T.mm</v>
      </c>
      <c r="M119" s="5">
        <f>(VLOOKUP(Table!$I119,Specs!$A:$R,MATCH(Table!M$3,Specs!$A$1:$R$1,0),FALSE))</f>
        <v>7.8</v>
      </c>
      <c r="N119" s="5">
        <f>(VLOOKUP(Table!$I119,Specs!$A:$R,MATCH(Table!N$3,Specs!$A$1:$R$1,0),FALSE))</f>
        <v>337.4</v>
      </c>
      <c r="O119" s="13">
        <f t="shared" si="190"/>
        <v>2.6317199999999996</v>
      </c>
      <c r="P119" s="19">
        <f>VLOOKUP(Table!$I119,Specs!$A:$R,MATCH(Table!P$3,Specs!$A$1:$R$1,0),FALSE)</f>
        <v>1</v>
      </c>
      <c r="Q119" s="19">
        <f>VLOOKUP(Table!$I119,Specs!$A:$R,MATCH(Table!Q$3,Specs!$A$1:$R$1,0),FALSE)</f>
        <v>11.8</v>
      </c>
      <c r="R119" s="19">
        <v>25</v>
      </c>
      <c r="S119" s="19">
        <f>VLOOKUP(Table!$I119,Specs!$A:$R,MATCH(Table!S$3,Specs!$A$1:$R$1,0),FALSE)</f>
        <v>6.5</v>
      </c>
      <c r="T119" s="74">
        <v>0.589343451390555</v>
      </c>
      <c r="U119" s="14"/>
      <c r="V119" s="57">
        <v>251.70639977150086</v>
      </c>
      <c r="W119" s="14">
        <v>0</v>
      </c>
      <c r="X119" s="14">
        <v>-3.7548341418629873E-4</v>
      </c>
      <c r="Y119" s="55">
        <v>1054.1282168142934</v>
      </c>
      <c r="Z119">
        <v>390.01615447336007</v>
      </c>
      <c r="AA119" s="54">
        <v>243.15</v>
      </c>
      <c r="AB119" s="26"/>
      <c r="AC119">
        <f t="shared" si="191"/>
        <v>0</v>
      </c>
      <c r="AD119" s="59"/>
      <c r="AE119" t="str">
        <f t="shared" si="192"/>
        <v>T.mm</v>
      </c>
      <c r="AF119" s="57">
        <f t="shared" si="193"/>
        <v>0</v>
      </c>
      <c r="AG119" s="56" t="str">
        <f t="shared" si="194"/>
        <v>°</v>
      </c>
      <c r="AH119" s="26">
        <f t="shared" si="195"/>
        <v>0</v>
      </c>
      <c r="AI119" t="str">
        <f t="shared" si="196"/>
        <v>mT</v>
      </c>
    </row>
    <row r="120" spans="1:35" s="25" customFormat="1" x14ac:dyDescent="0.25">
      <c r="A120">
        <v>240</v>
      </c>
      <c r="B120" s="38" t="s">
        <v>260</v>
      </c>
      <c r="C120" t="s">
        <v>65</v>
      </c>
      <c r="D120" t="s">
        <v>248</v>
      </c>
      <c r="E120" t="s">
        <v>67</v>
      </c>
      <c r="F120" t="s">
        <v>70</v>
      </c>
      <c r="G120" s="22">
        <v>5</v>
      </c>
      <c r="H120" s="22"/>
      <c r="I120" t="s">
        <v>94</v>
      </c>
      <c r="J120" s="80">
        <v>16626</v>
      </c>
      <c r="K120" s="28">
        <v>2.1264711068882192</v>
      </c>
      <c r="L120" s="5" t="str">
        <f t="shared" si="197"/>
        <v>T</v>
      </c>
      <c r="M120" s="5">
        <f>(VLOOKUP(Table!$I120,Specs!$A:$R,MATCH(Table!M$3,Specs!$A$1:$R$1,0),FALSE))</f>
        <v>7.97</v>
      </c>
      <c r="N120" s="5">
        <f>(VLOOKUP(Table!$I120,Specs!$A:$R,MATCH(Table!N$3,Specs!$A$1:$R$1,0),FALSE))</f>
        <v>93.1</v>
      </c>
      <c r="O120" s="13">
        <f t="shared" si="190"/>
        <v>0.74200699999999997</v>
      </c>
      <c r="P120" s="19">
        <f>VLOOKUP(Table!$I120,Specs!$A:$R,MATCH(Table!P$3,Specs!$A$1:$R$1,0),FALSE)</f>
        <v>4</v>
      </c>
      <c r="Q120" s="19">
        <f>VLOOKUP(Table!$I120,Specs!$A:$R,MATCH(Table!Q$3,Specs!$A$1:$R$1,0),FALSE)</f>
        <v>1.2</v>
      </c>
      <c r="R120" s="19">
        <v>25</v>
      </c>
      <c r="S120" s="19">
        <f>VLOOKUP(Table!$I120,Specs!$A:$R,MATCH(Table!S$3,Specs!$A$1:$R$1,0),FALSE)</f>
        <v>9.2000000000000028</v>
      </c>
      <c r="T120" s="86">
        <f>0.18518906186706*AA120/1000</f>
        <v>3.3098104053540217E-2</v>
      </c>
      <c r="U120" s="14"/>
      <c r="V120" s="74">
        <v>35.488116139502267</v>
      </c>
      <c r="W120" s="14">
        <v>0</v>
      </c>
      <c r="X120" s="85">
        <f>-0.000132133901370005*AA120/1000</f>
        <v>-2.3615766354948793E-5</v>
      </c>
      <c r="Y120" s="55">
        <v>736.25097845932487</v>
      </c>
      <c r="Z120">
        <f>71.4588194674457*AA120/1000</f>
        <v>12.771550427608478</v>
      </c>
      <c r="AA120" s="55">
        <v>178.72602042392793</v>
      </c>
      <c r="AB120" s="26"/>
      <c r="AC120">
        <f t="shared" si="191"/>
        <v>0</v>
      </c>
      <c r="AD120" s="59"/>
      <c r="AE120" t="str">
        <f t="shared" si="192"/>
        <v>T</v>
      </c>
      <c r="AF120" s="57">
        <f t="shared" si="193"/>
        <v>0</v>
      </c>
      <c r="AG120" s="56" t="str">
        <f t="shared" si="194"/>
        <v>m⁻²</v>
      </c>
      <c r="AH120" s="26">
        <f t="shared" si="195"/>
        <v>0</v>
      </c>
      <c r="AI120" t="str">
        <f t="shared" si="196"/>
        <v>T/m</v>
      </c>
    </row>
    <row r="121" spans="1:35" s="25" customFormat="1" x14ac:dyDescent="0.25">
      <c r="A121">
        <v>240</v>
      </c>
      <c r="B121" s="38" t="s">
        <v>260</v>
      </c>
      <c r="C121" t="s">
        <v>65</v>
      </c>
      <c r="D121" t="s">
        <v>248</v>
      </c>
      <c r="E121" t="s">
        <v>67</v>
      </c>
      <c r="F121" t="s">
        <v>70</v>
      </c>
      <c r="G121" s="22">
        <v>6</v>
      </c>
      <c r="H121" s="22"/>
      <c r="I121" t="s">
        <v>94</v>
      </c>
      <c r="J121" s="80">
        <v>16621</v>
      </c>
      <c r="K121" s="28">
        <v>2.1264711068882192</v>
      </c>
      <c r="L121" s="5" t="str">
        <f t="shared" si="197"/>
        <v>T</v>
      </c>
      <c r="M121" s="5">
        <f>(VLOOKUP(Table!$I121,Specs!$A:$R,MATCH(Table!M$3,Specs!$A$1:$R$1,0),FALSE))</f>
        <v>7.97</v>
      </c>
      <c r="N121" s="5">
        <f>(VLOOKUP(Table!$I121,Specs!$A:$R,MATCH(Table!N$3,Specs!$A$1:$R$1,0),FALSE))</f>
        <v>93.1</v>
      </c>
      <c r="O121" s="13">
        <f t="shared" si="190"/>
        <v>0.74200699999999997</v>
      </c>
      <c r="P121" s="19">
        <f>VLOOKUP(Table!$I121,Specs!$A:$R,MATCH(Table!P$3,Specs!$A$1:$R$1,0),FALSE)</f>
        <v>4</v>
      </c>
      <c r="Q121" s="19">
        <f>VLOOKUP(Table!$I121,Specs!$A:$R,MATCH(Table!Q$3,Specs!$A$1:$R$1,0),FALSE)</f>
        <v>1.2</v>
      </c>
      <c r="R121" s="19">
        <v>25</v>
      </c>
      <c r="S121" s="19">
        <f>VLOOKUP(Table!$I121,Specs!$A:$R,MATCH(Table!S$3,Specs!$A$1:$R$1,0),FALSE)</f>
        <v>9.2000000000000028</v>
      </c>
      <c r="T121" s="86">
        <f>0.18622624225584*AA121/1000</f>
        <v>3.3124998666137828E-2</v>
      </c>
      <c r="U121" s="14"/>
      <c r="V121" s="74">
        <v>31.967364083913196</v>
      </c>
      <c r="W121" s="14">
        <v>0</v>
      </c>
      <c r="X121" s="85">
        <f>-0.000125702841325427*AA121/1000</f>
        <v>-2.2359396832558517E-5</v>
      </c>
      <c r="Y121" s="55">
        <v>772.70735170967669</v>
      </c>
      <c r="Z121">
        <f>74.9257742802633*AA121/1000</f>
        <v>13.327424443668779</v>
      </c>
      <c r="AA121" s="55">
        <v>177.87503127851485</v>
      </c>
      <c r="AB121" s="26"/>
      <c r="AC121">
        <f t="shared" si="191"/>
        <v>0</v>
      </c>
      <c r="AD121" s="59"/>
      <c r="AE121" t="str">
        <f t="shared" si="192"/>
        <v>T</v>
      </c>
      <c r="AF121" s="57">
        <f t="shared" si="193"/>
        <v>0</v>
      </c>
      <c r="AG121" s="56" t="str">
        <f t="shared" si="194"/>
        <v>m⁻²</v>
      </c>
      <c r="AH121" s="26">
        <f t="shared" si="195"/>
        <v>0</v>
      </c>
      <c r="AI121" t="str">
        <f t="shared" si="196"/>
        <v>T/m</v>
      </c>
    </row>
    <row r="122" spans="1:35" s="25" customFormat="1" hidden="1" x14ac:dyDescent="0.25">
      <c r="A122">
        <v>240</v>
      </c>
      <c r="B122" s="38" t="s">
        <v>260</v>
      </c>
      <c r="C122" t="s">
        <v>65</v>
      </c>
      <c r="D122" t="s">
        <v>248</v>
      </c>
      <c r="E122" t="s">
        <v>67</v>
      </c>
      <c r="F122" t="s">
        <v>112</v>
      </c>
      <c r="G122" s="22">
        <v>2</v>
      </c>
      <c r="H122" s="22"/>
      <c r="I122" t="s">
        <v>294</v>
      </c>
      <c r="J122" s="80">
        <v>16628</v>
      </c>
      <c r="K122" s="28">
        <v>4.1695511899769002</v>
      </c>
      <c r="L122" s="5" t="str">
        <f t="shared" si="197"/>
        <v>T.mm</v>
      </c>
      <c r="M122" s="5">
        <f>(VLOOKUP(Table!$I122,Specs!$A:$R,MATCH(Table!M$3,Specs!$A$1:$R$1,0),FALSE))</f>
        <v>4.16</v>
      </c>
      <c r="N122" s="5">
        <f>(VLOOKUP(Table!$I122,Specs!$A:$R,MATCH(Table!N$3,Specs!$A$1:$R$1,0),FALSE))</f>
        <v>13</v>
      </c>
      <c r="O122" s="13">
        <f t="shared" si="190"/>
        <v>5.4079999999999996E-2</v>
      </c>
      <c r="P122" s="19">
        <f>VLOOKUP(Table!$I122,Specs!$A:$R,MATCH(Table!P$3,Specs!$A$1:$R$1,0),FALSE)</f>
        <v>0.1</v>
      </c>
      <c r="Q122" s="19">
        <f>VLOOKUP(Table!$I122,Specs!$A:$R,MATCH(Table!Q$3,Specs!$A$1:$R$1,0),FALSE)</f>
        <v>0.5</v>
      </c>
      <c r="R122" s="19">
        <v>25</v>
      </c>
      <c r="S122" s="19">
        <f>VLOOKUP(Table!$I122,Specs!$A:$R,MATCH(Table!S$3,Specs!$A$1:$R$1,0),FALSE)</f>
        <v>2</v>
      </c>
      <c r="T122" s="74"/>
      <c r="U122" s="14"/>
      <c r="V122" s="57"/>
      <c r="W122" s="14"/>
      <c r="X122" s="14"/>
      <c r="Y122" s="55"/>
      <c r="Z122"/>
      <c r="AA122" s="54"/>
      <c r="AB122" s="26"/>
      <c r="AC122">
        <f t="shared" si="191"/>
        <v>0</v>
      </c>
      <c r="AD122" s="59"/>
      <c r="AE122" t="str">
        <f t="shared" si="192"/>
        <v>T.mm</v>
      </c>
      <c r="AF122" s="57">
        <f t="shared" si="193"/>
        <v>0</v>
      </c>
      <c r="AG122" s="56" t="str">
        <f t="shared" si="194"/>
        <v>mrad</v>
      </c>
      <c r="AH122" s="26" t="e">
        <f t="shared" si="195"/>
        <v>#DIV/0!</v>
      </c>
      <c r="AI122" t="str">
        <f t="shared" si="196"/>
        <v>mT</v>
      </c>
    </row>
    <row r="123" spans="1:35" s="25" customFormat="1" hidden="1" x14ac:dyDescent="0.25">
      <c r="A123">
        <v>240</v>
      </c>
      <c r="B123" s="38" t="s">
        <v>260</v>
      </c>
      <c r="C123" t="s">
        <v>65</v>
      </c>
      <c r="D123" t="s">
        <v>248</v>
      </c>
      <c r="E123" t="s">
        <v>67</v>
      </c>
      <c r="F123" t="s">
        <v>68</v>
      </c>
      <c r="G123" s="22">
        <v>2</v>
      </c>
      <c r="H123" s="22"/>
      <c r="I123" t="s">
        <v>294</v>
      </c>
      <c r="J123" s="80">
        <v>16628</v>
      </c>
      <c r="K123" s="28">
        <v>4.1695511899769002</v>
      </c>
      <c r="L123" s="5" t="str">
        <f t="shared" si="197"/>
        <v>T.mm</v>
      </c>
      <c r="M123" s="5">
        <f>(VLOOKUP(Table!$I123,Specs!$A:$R,MATCH(Table!M$3,Specs!$A$1:$R$1,0),FALSE))</f>
        <v>4.16</v>
      </c>
      <c r="N123" s="5">
        <f>(VLOOKUP(Table!$I123,Specs!$A:$R,MATCH(Table!N$3,Specs!$A$1:$R$1,0),FALSE))</f>
        <v>13</v>
      </c>
      <c r="O123" s="13">
        <f t="shared" si="190"/>
        <v>5.4079999999999996E-2</v>
      </c>
      <c r="P123" s="19">
        <f>VLOOKUP(Table!$I123,Specs!$A:$R,MATCH(Table!P$3,Specs!$A$1:$R$1,0),FALSE)</f>
        <v>0.1</v>
      </c>
      <c r="Q123" s="19">
        <f>VLOOKUP(Table!$I123,Specs!$A:$R,MATCH(Table!Q$3,Specs!$A$1:$R$1,0),FALSE)</f>
        <v>0.5</v>
      </c>
      <c r="R123" s="19">
        <v>25</v>
      </c>
      <c r="S123" s="19">
        <f>VLOOKUP(Table!$I123,Specs!$A:$R,MATCH(Table!S$3,Specs!$A$1:$R$1,0),FALSE)</f>
        <v>2</v>
      </c>
      <c r="T123" s="74"/>
      <c r="U123" s="14"/>
      <c r="V123" s="57"/>
      <c r="W123" s="14"/>
      <c r="X123" s="14"/>
      <c r="Y123" s="55"/>
      <c r="Z123"/>
      <c r="AA123" s="54"/>
      <c r="AB123" s="26"/>
      <c r="AC123">
        <f t="shared" si="191"/>
        <v>0</v>
      </c>
      <c r="AD123" s="59"/>
      <c r="AE123" t="str">
        <f t="shared" si="192"/>
        <v>T.mm</v>
      </c>
      <c r="AF123" s="57">
        <f t="shared" si="193"/>
        <v>0</v>
      </c>
      <c r="AG123" s="56" t="str">
        <f t="shared" si="194"/>
        <v>mrad</v>
      </c>
      <c r="AH123" s="26" t="e">
        <f t="shared" si="195"/>
        <v>#DIV/0!</v>
      </c>
      <c r="AI123" t="str">
        <f t="shared" si="196"/>
        <v>mT</v>
      </c>
    </row>
    <row r="124" spans="1:35" s="25" customFormat="1" x14ac:dyDescent="0.25">
      <c r="A124">
        <v>240</v>
      </c>
      <c r="B124" s="38" t="s">
        <v>260</v>
      </c>
      <c r="C124" t="s">
        <v>65</v>
      </c>
      <c r="D124" t="s">
        <v>248</v>
      </c>
      <c r="E124" t="s">
        <v>67</v>
      </c>
      <c r="F124" t="s">
        <v>70</v>
      </c>
      <c r="G124" s="22">
        <v>7</v>
      </c>
      <c r="H124" s="22"/>
      <c r="I124" t="s">
        <v>94</v>
      </c>
      <c r="J124" s="80">
        <v>19410</v>
      </c>
      <c r="K124" s="28">
        <v>2.1264711068882192</v>
      </c>
      <c r="L124" s="5" t="str">
        <f t="shared" si="197"/>
        <v>T</v>
      </c>
      <c r="M124" s="5">
        <f>(VLOOKUP(Table!$I124,Specs!$A:$R,MATCH(Table!M$3,Specs!$A$1:$R$1,0),FALSE))</f>
        <v>7.97</v>
      </c>
      <c r="N124" s="5">
        <f>(VLOOKUP(Table!$I124,Specs!$A:$R,MATCH(Table!N$3,Specs!$A$1:$R$1,0),FALSE))</f>
        <v>93.1</v>
      </c>
      <c r="O124" s="13">
        <f t="shared" si="190"/>
        <v>0.74200699999999997</v>
      </c>
      <c r="P124" s="19">
        <f>VLOOKUP(Table!$I124,Specs!$A:$R,MATCH(Table!P$3,Specs!$A$1:$R$1,0),FALSE)</f>
        <v>4</v>
      </c>
      <c r="Q124" s="19">
        <f>VLOOKUP(Table!$I124,Specs!$A:$R,MATCH(Table!Q$3,Specs!$A$1:$R$1,0),FALSE)</f>
        <v>1.2</v>
      </c>
      <c r="R124" s="19">
        <v>25</v>
      </c>
      <c r="S124" s="19">
        <f>VLOOKUP(Table!$I124,Specs!$A:$R,MATCH(Table!S$3,Specs!$A$1:$R$1,0),FALSE)</f>
        <v>9.2000000000000028</v>
      </c>
      <c r="T124" s="86">
        <v>2.7358075276655028E-2</v>
      </c>
      <c r="U124" s="14"/>
      <c r="V124" s="74">
        <v>58.072027039869383</v>
      </c>
      <c r="W124" s="14">
        <v>0</v>
      </c>
      <c r="X124" s="85">
        <v>-2.5730879737073587E-5</v>
      </c>
      <c r="Y124" s="55">
        <v>604.25913153347562</v>
      </c>
      <c r="Z124">
        <v>9.2803794680589853</v>
      </c>
      <c r="AA124" s="55">
        <v>178.11</v>
      </c>
      <c r="AB124" s="26"/>
      <c r="AC124">
        <f t="shared" si="191"/>
        <v>0</v>
      </c>
      <c r="AD124" s="59"/>
      <c r="AE124" t="str">
        <f t="shared" si="192"/>
        <v>T</v>
      </c>
      <c r="AF124" s="57">
        <f t="shared" si="193"/>
        <v>0</v>
      </c>
      <c r="AG124" s="56" t="str">
        <f t="shared" si="194"/>
        <v>m⁻²</v>
      </c>
      <c r="AH124" s="26">
        <f t="shared" si="195"/>
        <v>0</v>
      </c>
      <c r="AI124" t="str">
        <f t="shared" si="196"/>
        <v>T/m</v>
      </c>
    </row>
    <row r="125" spans="1:35" s="25" customFormat="1" x14ac:dyDescent="0.25">
      <c r="A125">
        <v>240</v>
      </c>
      <c r="B125" s="38" t="s">
        <v>260</v>
      </c>
      <c r="C125" t="s">
        <v>65</v>
      </c>
      <c r="D125" t="s">
        <v>248</v>
      </c>
      <c r="E125" t="s">
        <v>67</v>
      </c>
      <c r="F125" t="s">
        <v>70</v>
      </c>
      <c r="G125" s="22">
        <v>8</v>
      </c>
      <c r="H125" s="22"/>
      <c r="I125" t="s">
        <v>94</v>
      </c>
      <c r="J125" s="80">
        <v>19378</v>
      </c>
      <c r="K125" s="28">
        <v>2.1264711068882192</v>
      </c>
      <c r="L125" s="5" t="str">
        <f t="shared" si="197"/>
        <v>T</v>
      </c>
      <c r="M125" s="5">
        <f>(VLOOKUP(Table!$I125,Specs!$A:$R,MATCH(Table!M$3,Specs!$A$1:$R$1,0),FALSE))</f>
        <v>7.97</v>
      </c>
      <c r="N125" s="5">
        <f>(VLOOKUP(Table!$I125,Specs!$A:$R,MATCH(Table!N$3,Specs!$A$1:$R$1,0),FALSE))</f>
        <v>93.1</v>
      </c>
      <c r="O125" s="13">
        <f t="shared" si="190"/>
        <v>0.74200699999999997</v>
      </c>
      <c r="P125" s="19">
        <f>VLOOKUP(Table!$I125,Specs!$A:$R,MATCH(Table!P$3,Specs!$A$1:$R$1,0),FALSE)</f>
        <v>4</v>
      </c>
      <c r="Q125" s="19">
        <f>VLOOKUP(Table!$I125,Specs!$A:$R,MATCH(Table!Q$3,Specs!$A$1:$R$1,0),FALSE)</f>
        <v>1.2</v>
      </c>
      <c r="R125" s="19">
        <v>25</v>
      </c>
      <c r="S125" s="19">
        <f>VLOOKUP(Table!$I125,Specs!$A:$R,MATCH(Table!S$3,Specs!$A$1:$R$1,0),FALSE)</f>
        <v>9.2000000000000028</v>
      </c>
      <c r="T125" s="86">
        <v>2.7347230397275487E-2</v>
      </c>
      <c r="U125" s="14"/>
      <c r="V125" s="74">
        <v>54.960873920921749</v>
      </c>
      <c r="W125" s="14">
        <v>0</v>
      </c>
      <c r="X125" s="85">
        <v>-1.8371491690119054E-5</v>
      </c>
      <c r="Y125" s="55">
        <v>813.65909007092898</v>
      </c>
      <c r="Z125">
        <v>12.091309398312097</v>
      </c>
      <c r="AA125" s="55">
        <v>178.64</v>
      </c>
      <c r="AB125" s="26"/>
      <c r="AC125">
        <f t="shared" si="191"/>
        <v>0</v>
      </c>
      <c r="AD125" s="59"/>
      <c r="AE125" t="str">
        <f t="shared" si="192"/>
        <v>T</v>
      </c>
      <c r="AF125" s="57">
        <f t="shared" si="193"/>
        <v>0</v>
      </c>
      <c r="AG125" s="56" t="str">
        <f t="shared" si="194"/>
        <v>m⁻²</v>
      </c>
      <c r="AH125" s="26">
        <f t="shared" si="195"/>
        <v>0</v>
      </c>
      <c r="AI125" t="str">
        <f t="shared" si="196"/>
        <v>T/m</v>
      </c>
    </row>
    <row r="126" spans="1:35" s="25" customFormat="1" hidden="1" x14ac:dyDescent="0.25">
      <c r="A126">
        <v>240</v>
      </c>
      <c r="B126" s="38" t="s">
        <v>258</v>
      </c>
      <c r="C126" t="s">
        <v>65</v>
      </c>
      <c r="D126" t="s">
        <v>248</v>
      </c>
      <c r="E126" t="s">
        <v>67</v>
      </c>
      <c r="F126" t="s">
        <v>72</v>
      </c>
      <c r="G126" s="22">
        <v>3</v>
      </c>
      <c r="H126" s="22"/>
      <c r="I126" t="s">
        <v>166</v>
      </c>
      <c r="J126" s="81">
        <v>2</v>
      </c>
      <c r="K126" s="28">
        <v>203.76271046752458</v>
      </c>
      <c r="L126" s="5" t="str">
        <f t="shared" si="197"/>
        <v>T.mm</v>
      </c>
      <c r="M126" s="5">
        <f>(VLOOKUP(Table!$I126,Specs!$A:$R,MATCH(Table!M$3,Specs!$A$1:$R$1,0),FALSE))</f>
        <v>7.8</v>
      </c>
      <c r="N126" s="5">
        <f>(VLOOKUP(Table!$I126,Specs!$A:$R,MATCH(Table!N$3,Specs!$A$1:$R$1,0),FALSE))</f>
        <v>337.4</v>
      </c>
      <c r="O126" s="13">
        <f t="shared" si="190"/>
        <v>2.6317199999999996</v>
      </c>
      <c r="P126" s="19">
        <f>VLOOKUP(Table!$I126,Specs!$A:$R,MATCH(Table!P$3,Specs!$A$1:$R$1,0),FALSE)</f>
        <v>1</v>
      </c>
      <c r="Q126" s="19">
        <f>VLOOKUP(Table!$I126,Specs!$A:$R,MATCH(Table!Q$3,Specs!$A$1:$R$1,0),FALSE)</f>
        <v>11.8</v>
      </c>
      <c r="R126" s="19">
        <v>25</v>
      </c>
      <c r="S126" s="19">
        <f>VLOOKUP(Table!$I126,Specs!$A:$R,MATCH(Table!S$3,Specs!$A$1:$R$1,0),FALSE)</f>
        <v>6.5</v>
      </c>
      <c r="T126" s="74">
        <v>0.58676136993220929</v>
      </c>
      <c r="U126" s="14"/>
      <c r="V126" s="57">
        <v>254.2799916046815</v>
      </c>
      <c r="W126" s="14">
        <v>0</v>
      </c>
      <c r="X126" s="14">
        <v>-3.7741883666226543E-4</v>
      </c>
      <c r="Y126" s="55">
        <v>1044.0565788012586</v>
      </c>
      <c r="Z126">
        <v>384.55752324861629</v>
      </c>
      <c r="AA126" s="54">
        <v>243.15</v>
      </c>
      <c r="AB126" s="26"/>
      <c r="AC126">
        <f t="shared" si="191"/>
        <v>0</v>
      </c>
      <c r="AD126" s="59"/>
      <c r="AE126" t="str">
        <f t="shared" si="192"/>
        <v>T.mm</v>
      </c>
      <c r="AF126" s="57">
        <f t="shared" si="193"/>
        <v>0</v>
      </c>
      <c r="AG126" s="56" t="str">
        <f t="shared" si="194"/>
        <v>°</v>
      </c>
      <c r="AH126" s="26">
        <f t="shared" si="195"/>
        <v>0</v>
      </c>
      <c r="AI126" t="str">
        <f t="shared" si="196"/>
        <v>mT</v>
      </c>
    </row>
    <row r="127" spans="1:35" s="25" customFormat="1" x14ac:dyDescent="0.25">
      <c r="A127">
        <v>240</v>
      </c>
      <c r="B127" s="38" t="s">
        <v>258</v>
      </c>
      <c r="C127" t="s">
        <v>65</v>
      </c>
      <c r="D127" t="s">
        <v>248</v>
      </c>
      <c r="E127" t="s">
        <v>67</v>
      </c>
      <c r="F127" t="s">
        <v>70</v>
      </c>
      <c r="G127" s="22">
        <v>9</v>
      </c>
      <c r="H127" s="22"/>
      <c r="I127" t="s">
        <v>94</v>
      </c>
      <c r="J127" s="80">
        <v>16625</v>
      </c>
      <c r="K127" s="28">
        <v>2.1264711068882192</v>
      </c>
      <c r="L127" s="5" t="str">
        <f t="shared" si="197"/>
        <v>T</v>
      </c>
      <c r="M127" s="5">
        <f>(VLOOKUP(Table!$I127,Specs!$A:$R,MATCH(Table!M$3,Specs!$A$1:$R$1,0),FALSE))</f>
        <v>7.97</v>
      </c>
      <c r="N127" s="5">
        <f>(VLOOKUP(Table!$I127,Specs!$A:$R,MATCH(Table!N$3,Specs!$A$1:$R$1,0),FALSE))</f>
        <v>93.1</v>
      </c>
      <c r="O127" s="13">
        <f t="shared" si="190"/>
        <v>0.74200699999999997</v>
      </c>
      <c r="P127" s="19">
        <f>VLOOKUP(Table!$I127,Specs!$A:$R,MATCH(Table!P$3,Specs!$A$1:$R$1,0),FALSE)</f>
        <v>4</v>
      </c>
      <c r="Q127" s="19">
        <f>VLOOKUP(Table!$I127,Specs!$A:$R,MATCH(Table!Q$3,Specs!$A$1:$R$1,0),FALSE)</f>
        <v>1.2</v>
      </c>
      <c r="R127" s="19">
        <v>25</v>
      </c>
      <c r="S127" s="19">
        <f>VLOOKUP(Table!$I127,Specs!$A:$R,MATCH(Table!S$3,Specs!$A$1:$R$1,0),FALSE)</f>
        <v>9.2000000000000028</v>
      </c>
      <c r="T127" s="86">
        <f>0.184381367953734*AA127/1000</f>
        <v>3.3064823732394957E-2</v>
      </c>
      <c r="U127" s="14"/>
      <c r="V127" s="74">
        <v>34.569548247827697</v>
      </c>
      <c r="W127" s="14">
        <v>0</v>
      </c>
      <c r="X127" s="85">
        <f>-0.000134376380084688*AA127/1000</f>
        <v>-2.4097507088744519E-5</v>
      </c>
      <c r="Y127" s="55">
        <v>720.63270844581609</v>
      </c>
      <c r="Z127">
        <f>69.6226125854607*AA127/1000</f>
        <v>12.485314749941146</v>
      </c>
      <c r="AA127" s="55">
        <v>179.328443537157</v>
      </c>
      <c r="AB127" s="26"/>
      <c r="AC127">
        <f t="shared" si="191"/>
        <v>0</v>
      </c>
      <c r="AD127" s="59"/>
      <c r="AE127" t="str">
        <f t="shared" si="192"/>
        <v>T</v>
      </c>
      <c r="AF127" s="57">
        <f t="shared" si="193"/>
        <v>0</v>
      </c>
      <c r="AG127" s="56" t="str">
        <f t="shared" si="194"/>
        <v>m⁻²</v>
      </c>
      <c r="AH127" s="26">
        <f t="shared" si="195"/>
        <v>0</v>
      </c>
      <c r="AI127" t="str">
        <f t="shared" si="196"/>
        <v>T/m</v>
      </c>
    </row>
    <row r="128" spans="1:35" s="25" customFormat="1" x14ac:dyDescent="0.25">
      <c r="A128">
        <v>240</v>
      </c>
      <c r="B128" s="38" t="s">
        <v>258</v>
      </c>
      <c r="C128" t="s">
        <v>65</v>
      </c>
      <c r="D128" t="s">
        <v>248</v>
      </c>
      <c r="E128" t="s">
        <v>67</v>
      </c>
      <c r="F128" t="s">
        <v>70</v>
      </c>
      <c r="G128" s="22">
        <v>10</v>
      </c>
      <c r="H128" s="22"/>
      <c r="I128" t="s">
        <v>94</v>
      </c>
      <c r="J128" s="80">
        <v>16623</v>
      </c>
      <c r="K128" s="28">
        <v>2.1264711068882192</v>
      </c>
      <c r="L128" s="5" t="str">
        <f t="shared" si="197"/>
        <v>T</v>
      </c>
      <c r="M128" s="5">
        <f>(VLOOKUP(Table!$I128,Specs!$A:$R,MATCH(Table!M$3,Specs!$A$1:$R$1,0),FALSE))</f>
        <v>7.97</v>
      </c>
      <c r="N128" s="5">
        <f>(VLOOKUP(Table!$I128,Specs!$A:$R,MATCH(Table!N$3,Specs!$A$1:$R$1,0),FALSE))</f>
        <v>93.1</v>
      </c>
      <c r="O128" s="13">
        <f t="shared" si="190"/>
        <v>0.74200699999999997</v>
      </c>
      <c r="P128" s="19">
        <f>VLOOKUP(Table!$I128,Specs!$A:$R,MATCH(Table!P$3,Specs!$A$1:$R$1,0),FALSE)</f>
        <v>4</v>
      </c>
      <c r="Q128" s="19">
        <f>VLOOKUP(Table!$I128,Specs!$A:$R,MATCH(Table!Q$3,Specs!$A$1:$R$1,0),FALSE)</f>
        <v>1.2</v>
      </c>
      <c r="R128" s="19">
        <v>25</v>
      </c>
      <c r="S128" s="19">
        <f>VLOOKUP(Table!$I128,Specs!$A:$R,MATCH(Table!S$3,Specs!$A$1:$R$1,0),FALSE)</f>
        <v>9.2000000000000028</v>
      </c>
      <c r="T128" s="86">
        <f>0.185491179297525*AA128/1000</f>
        <v>3.3044404457498837E-2</v>
      </c>
      <c r="U128" s="14"/>
      <c r="V128" s="74">
        <v>37.211245709818627</v>
      </c>
      <c r="W128" s="14">
        <v>0</v>
      </c>
      <c r="X128" s="85">
        <f>-0.000136115647499107*AA128/1000</f>
        <v>-2.4248379497012803E-5</v>
      </c>
      <c r="Y128" s="55">
        <v>718.58470535831998</v>
      </c>
      <c r="Z128">
        <f>70.0967411359619*AA128/1000</f>
        <v>12.487413547217809</v>
      </c>
      <c r="AA128" s="55">
        <v>178.14542223862901</v>
      </c>
      <c r="AB128" s="26"/>
      <c r="AC128">
        <f t="shared" si="191"/>
        <v>0</v>
      </c>
      <c r="AD128" s="59"/>
      <c r="AE128" t="str">
        <f t="shared" si="192"/>
        <v>T</v>
      </c>
      <c r="AF128" s="57">
        <f t="shared" si="193"/>
        <v>0</v>
      </c>
      <c r="AG128" s="56" t="str">
        <f t="shared" si="194"/>
        <v>m⁻²</v>
      </c>
      <c r="AH128" s="26">
        <f t="shared" si="195"/>
        <v>0</v>
      </c>
      <c r="AI128" t="str">
        <f t="shared" si="196"/>
        <v>T/m</v>
      </c>
    </row>
    <row r="129" spans="1:35" s="25" customFormat="1" hidden="1" x14ac:dyDescent="0.25">
      <c r="A129">
        <v>240</v>
      </c>
      <c r="B129" s="38" t="s">
        <v>258</v>
      </c>
      <c r="C129" t="s">
        <v>65</v>
      </c>
      <c r="D129" t="s">
        <v>248</v>
      </c>
      <c r="E129" t="s">
        <v>67</v>
      </c>
      <c r="F129" t="s">
        <v>112</v>
      </c>
      <c r="G129" s="22">
        <v>3</v>
      </c>
      <c r="H129" s="22"/>
      <c r="I129" t="s">
        <v>294</v>
      </c>
      <c r="J129" s="80">
        <v>16639</v>
      </c>
      <c r="K129" s="28">
        <v>4.1695511899769002</v>
      </c>
      <c r="L129" s="5" t="str">
        <f t="shared" si="197"/>
        <v>T.mm</v>
      </c>
      <c r="M129" s="5">
        <f>(VLOOKUP(Table!$I129,Specs!$A:$R,MATCH(Table!M$3,Specs!$A$1:$R$1,0),FALSE))</f>
        <v>4.16</v>
      </c>
      <c r="N129" s="5">
        <f>(VLOOKUP(Table!$I129,Specs!$A:$R,MATCH(Table!N$3,Specs!$A$1:$R$1,0),FALSE))</f>
        <v>13</v>
      </c>
      <c r="O129" s="13">
        <f t="shared" si="190"/>
        <v>5.4079999999999996E-2</v>
      </c>
      <c r="P129" s="19">
        <f>VLOOKUP(Table!$I129,Specs!$A:$R,MATCH(Table!P$3,Specs!$A$1:$R$1,0),FALSE)</f>
        <v>0.1</v>
      </c>
      <c r="Q129" s="19">
        <f>VLOOKUP(Table!$I129,Specs!$A:$R,MATCH(Table!Q$3,Specs!$A$1:$R$1,0),FALSE)</f>
        <v>0.5</v>
      </c>
      <c r="R129" s="19">
        <v>25</v>
      </c>
      <c r="S129" s="19">
        <f>VLOOKUP(Table!$I129,Specs!$A:$R,MATCH(Table!S$3,Specs!$A$1:$R$1,0),FALSE)</f>
        <v>2</v>
      </c>
      <c r="T129" s="74"/>
      <c r="U129" s="14"/>
      <c r="V129" s="57"/>
      <c r="W129" s="14"/>
      <c r="X129" s="14"/>
      <c r="Y129" s="55"/>
      <c r="Z129"/>
      <c r="AA129" s="54"/>
      <c r="AB129" s="26"/>
      <c r="AC129">
        <f t="shared" si="191"/>
        <v>0</v>
      </c>
      <c r="AD129" s="59"/>
      <c r="AE129" t="str">
        <f t="shared" si="192"/>
        <v>T.mm</v>
      </c>
      <c r="AF129" s="57">
        <f t="shared" si="193"/>
        <v>0</v>
      </c>
      <c r="AG129" s="56" t="str">
        <f t="shared" si="194"/>
        <v>mrad</v>
      </c>
      <c r="AH129" s="26" t="e">
        <f t="shared" si="195"/>
        <v>#DIV/0!</v>
      </c>
      <c r="AI129" t="str">
        <f t="shared" si="196"/>
        <v>mT</v>
      </c>
    </row>
    <row r="130" spans="1:35" s="25" customFormat="1" hidden="1" x14ac:dyDescent="0.25">
      <c r="A130">
        <v>240</v>
      </c>
      <c r="B130" s="38" t="s">
        <v>258</v>
      </c>
      <c r="C130" t="s">
        <v>65</v>
      </c>
      <c r="D130" t="s">
        <v>248</v>
      </c>
      <c r="E130" t="s">
        <v>67</v>
      </c>
      <c r="F130" t="s">
        <v>68</v>
      </c>
      <c r="G130" s="22">
        <v>3</v>
      </c>
      <c r="H130" s="22"/>
      <c r="I130" t="s">
        <v>294</v>
      </c>
      <c r="J130" s="80">
        <v>16639</v>
      </c>
      <c r="K130" s="28">
        <v>4.1695511899769002</v>
      </c>
      <c r="L130" s="5" t="str">
        <f t="shared" si="197"/>
        <v>T.mm</v>
      </c>
      <c r="M130" s="5">
        <f>(VLOOKUP(Table!$I130,Specs!$A:$R,MATCH(Table!M$3,Specs!$A$1:$R$1,0),FALSE))</f>
        <v>4.16</v>
      </c>
      <c r="N130" s="5">
        <f>(VLOOKUP(Table!$I130,Specs!$A:$R,MATCH(Table!N$3,Specs!$A$1:$R$1,0),FALSE))</f>
        <v>13</v>
      </c>
      <c r="O130" s="13">
        <f t="shared" si="190"/>
        <v>5.4079999999999996E-2</v>
      </c>
      <c r="P130" s="19">
        <f>VLOOKUP(Table!$I130,Specs!$A:$R,MATCH(Table!P$3,Specs!$A$1:$R$1,0),FALSE)</f>
        <v>0.1</v>
      </c>
      <c r="Q130" s="19">
        <f>VLOOKUP(Table!$I130,Specs!$A:$R,MATCH(Table!Q$3,Specs!$A$1:$R$1,0),FALSE)</f>
        <v>0.5</v>
      </c>
      <c r="R130" s="19">
        <v>25</v>
      </c>
      <c r="S130" s="19">
        <f>VLOOKUP(Table!$I130,Specs!$A:$R,MATCH(Table!S$3,Specs!$A$1:$R$1,0),FALSE)</f>
        <v>2</v>
      </c>
      <c r="T130" s="74"/>
      <c r="U130" s="14"/>
      <c r="V130" s="57"/>
      <c r="W130" s="14"/>
      <c r="X130" s="14"/>
      <c r="Y130" s="55"/>
      <c r="Z130"/>
      <c r="AA130" s="54"/>
      <c r="AB130" s="26"/>
      <c r="AC130">
        <f t="shared" si="191"/>
        <v>0</v>
      </c>
      <c r="AD130" s="59"/>
      <c r="AE130" t="str">
        <f t="shared" si="192"/>
        <v>T.mm</v>
      </c>
      <c r="AF130" s="57">
        <f t="shared" si="193"/>
        <v>0</v>
      </c>
      <c r="AG130" s="56" t="str">
        <f t="shared" si="194"/>
        <v>mrad</v>
      </c>
      <c r="AH130" s="26" t="e">
        <f t="shared" si="195"/>
        <v>#DIV/0!</v>
      </c>
      <c r="AI130" t="str">
        <f t="shared" si="196"/>
        <v>mT</v>
      </c>
    </row>
    <row r="131" spans="1:35" s="25" customFormat="1" x14ac:dyDescent="0.25">
      <c r="A131">
        <v>240</v>
      </c>
      <c r="B131" s="38" t="s">
        <v>258</v>
      </c>
      <c r="C131" t="s">
        <v>65</v>
      </c>
      <c r="D131" t="s">
        <v>248</v>
      </c>
      <c r="E131" t="s">
        <v>67</v>
      </c>
      <c r="F131" t="s">
        <v>70</v>
      </c>
      <c r="G131" s="22">
        <v>11</v>
      </c>
      <c r="H131" s="22"/>
      <c r="I131" t="s">
        <v>94</v>
      </c>
      <c r="J131" s="80">
        <v>16614</v>
      </c>
      <c r="K131" s="28">
        <v>2.1264711068882192</v>
      </c>
      <c r="L131" s="5" t="str">
        <f t="shared" si="197"/>
        <v>T</v>
      </c>
      <c r="M131" s="5">
        <f>(VLOOKUP(Table!$I131,Specs!$A:$R,MATCH(Table!M$3,Specs!$A$1:$R$1,0),FALSE))</f>
        <v>7.97</v>
      </c>
      <c r="N131" s="5">
        <f>(VLOOKUP(Table!$I131,Specs!$A:$R,MATCH(Table!N$3,Specs!$A$1:$R$1,0),FALSE))</f>
        <v>93.1</v>
      </c>
      <c r="O131" s="13">
        <f t="shared" si="190"/>
        <v>0.74200699999999997</v>
      </c>
      <c r="P131" s="19">
        <f>VLOOKUP(Table!$I131,Specs!$A:$R,MATCH(Table!P$3,Specs!$A$1:$R$1,0),FALSE)</f>
        <v>4</v>
      </c>
      <c r="Q131" s="19">
        <f>VLOOKUP(Table!$I131,Specs!$A:$R,MATCH(Table!Q$3,Specs!$A$1:$R$1,0),FALSE)</f>
        <v>1.2</v>
      </c>
      <c r="R131" s="19">
        <v>25</v>
      </c>
      <c r="S131" s="19">
        <f>VLOOKUP(Table!$I131,Specs!$A:$R,MATCH(Table!S$3,Specs!$A$1:$R$1,0),FALSE)</f>
        <v>9.2000000000000028</v>
      </c>
      <c r="T131" s="86">
        <f>0.185499667122834*AA131/1000</f>
        <v>3.3078058199193669E-2</v>
      </c>
      <c r="U131" s="14"/>
      <c r="V131" s="74">
        <v>34.612036651059327</v>
      </c>
      <c r="W131" s="14">
        <v>0</v>
      </c>
      <c r="X131" s="85">
        <f>-0.000131185492224321*AA131/1000</f>
        <v>-2.3392825518185567E-5</v>
      </c>
      <c r="Y131" s="55">
        <v>741.62492343292297</v>
      </c>
      <c r="Z131">
        <f>71.9958488520096*AA131/1000</f>
        <v>12.838205671011561</v>
      </c>
      <c r="AA131" s="55">
        <v>178.318693031886</v>
      </c>
      <c r="AB131" s="26"/>
      <c r="AC131">
        <f t="shared" si="191"/>
        <v>0</v>
      </c>
      <c r="AD131" s="59"/>
      <c r="AE131" t="str">
        <f t="shared" si="192"/>
        <v>T</v>
      </c>
      <c r="AF131" s="57">
        <f t="shared" si="193"/>
        <v>0</v>
      </c>
      <c r="AG131" s="56" t="str">
        <f t="shared" si="194"/>
        <v>m⁻²</v>
      </c>
      <c r="AH131" s="26">
        <f t="shared" si="195"/>
        <v>0</v>
      </c>
      <c r="AI131" t="str">
        <f t="shared" si="196"/>
        <v>T/m</v>
      </c>
    </row>
    <row r="132" spans="1:35" s="25" customFormat="1" hidden="1" x14ac:dyDescent="0.25">
      <c r="A132">
        <v>240</v>
      </c>
      <c r="B132" s="38" t="s">
        <v>258</v>
      </c>
      <c r="C132" t="s">
        <v>65</v>
      </c>
      <c r="D132" t="s">
        <v>248</v>
      </c>
      <c r="E132" t="s">
        <v>67</v>
      </c>
      <c r="F132" t="s">
        <v>270</v>
      </c>
      <c r="G132" s="22">
        <v>2</v>
      </c>
      <c r="H132" s="22"/>
      <c r="I132" t="s">
        <v>271</v>
      </c>
      <c r="J132" s="80"/>
      <c r="K132" s="28">
        <v>25</v>
      </c>
      <c r="L132" s="5" t="s">
        <v>26</v>
      </c>
      <c r="M132" s="5">
        <f>(VLOOKUP(Table!$I132,Specs!$A:$R,MATCH(Table!M$3,Specs!$A$1:$R$1,0),FALSE))</f>
        <v>0.6</v>
      </c>
      <c r="N132" s="5">
        <f>(VLOOKUP(Table!$I132,Specs!$A:$R,MATCH(Table!N$3,Specs!$A$1:$R$1,0),FALSE))</f>
        <v>8</v>
      </c>
      <c r="O132" s="13">
        <f t="shared" si="190"/>
        <v>4.7999999999999996E-3</v>
      </c>
      <c r="P132" s="19">
        <f>VLOOKUP(Table!$I132,Specs!$A:$R,MATCH(Table!P$3,Specs!$A$1:$R$1,0),FALSE)</f>
        <v>0</v>
      </c>
      <c r="Q132" s="19">
        <f>VLOOKUP(Table!$I132,Specs!$A:$R,MATCH(Table!Q$3,Specs!$A$1:$R$1,0),FALSE)</f>
        <v>0</v>
      </c>
      <c r="R132" s="19">
        <v>25</v>
      </c>
      <c r="S132" s="19">
        <f>VLOOKUP(Table!$I132,Specs!$A:$R,MATCH(Table!S$3,Specs!$A$1:$R$1,0),FALSE)</f>
        <v>0</v>
      </c>
      <c r="T132" s="74"/>
      <c r="U132" s="14"/>
      <c r="V132" s="57"/>
      <c r="W132" s="14"/>
      <c r="X132" s="14"/>
      <c r="Y132" s="55"/>
      <c r="Z132"/>
      <c r="AA132" s="54"/>
      <c r="AB132" s="26"/>
      <c r="AC132">
        <f t="shared" si="191"/>
        <v>0</v>
      </c>
      <c r="AD132" s="59"/>
      <c r="AE132" t="str">
        <f t="shared" si="192"/>
        <v>T/m</v>
      </c>
      <c r="AF132" s="57">
        <f t="shared" si="193"/>
        <v>0</v>
      </c>
      <c r="AG132" s="56" t="str">
        <f t="shared" si="194"/>
        <v/>
      </c>
      <c r="AH132" s="26" t="e">
        <f t="shared" si="195"/>
        <v>#DIV/0!</v>
      </c>
      <c r="AI132" t="str">
        <f t="shared" si="196"/>
        <v>mT</v>
      </c>
    </row>
    <row r="133" spans="1:35" s="25" customFormat="1" x14ac:dyDescent="0.25">
      <c r="A133">
        <v>240</v>
      </c>
      <c r="B133" s="38" t="s">
        <v>258</v>
      </c>
      <c r="C133" t="s">
        <v>65</v>
      </c>
      <c r="D133" t="s">
        <v>248</v>
      </c>
      <c r="E133" t="s">
        <v>67</v>
      </c>
      <c r="F133" t="s">
        <v>70</v>
      </c>
      <c r="G133" s="22">
        <v>12</v>
      </c>
      <c r="H133" s="22"/>
      <c r="I133" t="s">
        <v>94</v>
      </c>
      <c r="J133" s="80">
        <v>19379</v>
      </c>
      <c r="K133" s="28">
        <v>2.1264711068882192</v>
      </c>
      <c r="L133" s="5" t="str">
        <f t="shared" ref="L133:L170" si="198">IF(F133="QUAD","T","T.mm")</f>
        <v>T</v>
      </c>
      <c r="M133" s="5">
        <f>(VLOOKUP(Table!$I133,Specs!$A:$R,MATCH(Table!M$3,Specs!$A$1:$R$1,0),FALSE))</f>
        <v>7.97</v>
      </c>
      <c r="N133" s="5">
        <f>(VLOOKUP(Table!$I133,Specs!$A:$R,MATCH(Table!N$3,Specs!$A$1:$R$1,0),FALSE))</f>
        <v>93.1</v>
      </c>
      <c r="O133" s="13">
        <f t="shared" si="190"/>
        <v>0.74200699999999997</v>
      </c>
      <c r="P133" s="19">
        <f>VLOOKUP(Table!$I133,Specs!$A:$R,MATCH(Table!P$3,Specs!$A$1:$R$1,0),FALSE)</f>
        <v>4</v>
      </c>
      <c r="Q133" s="19">
        <f>VLOOKUP(Table!$I133,Specs!$A:$R,MATCH(Table!Q$3,Specs!$A$1:$R$1,0),FALSE)</f>
        <v>1.2</v>
      </c>
      <c r="R133" s="19">
        <v>25</v>
      </c>
      <c r="S133" s="19">
        <f>VLOOKUP(Table!$I133,Specs!$A:$R,MATCH(Table!S$3,Specs!$A$1:$R$1,0),FALSE)</f>
        <v>9.2000000000000028</v>
      </c>
      <c r="T133" s="86">
        <v>2.7268443068279823E-2</v>
      </c>
      <c r="U133" s="14"/>
      <c r="V133" s="74">
        <v>75.698494306838157</v>
      </c>
      <c r="W133" s="14">
        <v>0</v>
      </c>
      <c r="X133" s="85">
        <v>-3.8718409593788144E-5</v>
      </c>
      <c r="Y133" s="55">
        <v>431.59338779359587</v>
      </c>
      <c r="Z133">
        <v>6.9865638537714263</v>
      </c>
      <c r="AA133" s="55">
        <v>178.6</v>
      </c>
      <c r="AB133" s="26"/>
      <c r="AC133">
        <f t="shared" si="191"/>
        <v>0</v>
      </c>
      <c r="AD133" s="59"/>
      <c r="AE133" t="str">
        <f t="shared" si="192"/>
        <v>T</v>
      </c>
      <c r="AF133" s="57">
        <f t="shared" si="193"/>
        <v>0</v>
      </c>
      <c r="AG133" s="56" t="str">
        <f t="shared" si="194"/>
        <v>m⁻²</v>
      </c>
      <c r="AH133" s="26">
        <f t="shared" si="195"/>
        <v>0</v>
      </c>
      <c r="AI133" t="str">
        <f t="shared" si="196"/>
        <v>T/m</v>
      </c>
    </row>
    <row r="134" spans="1:35" s="25" customFormat="1" hidden="1" x14ac:dyDescent="0.25">
      <c r="A134">
        <v>240</v>
      </c>
      <c r="B134" s="38" t="s">
        <v>261</v>
      </c>
      <c r="C134" t="s">
        <v>65</v>
      </c>
      <c r="D134" t="s">
        <v>248</v>
      </c>
      <c r="E134" t="s">
        <v>67</v>
      </c>
      <c r="F134" t="s">
        <v>72</v>
      </c>
      <c r="G134" s="22">
        <v>4</v>
      </c>
      <c r="H134" s="22"/>
      <c r="I134" t="s">
        <v>166</v>
      </c>
      <c r="J134" s="80">
        <v>3</v>
      </c>
      <c r="K134" s="28">
        <v>203.76271046752458</v>
      </c>
      <c r="L134" s="5" t="str">
        <f t="shared" si="198"/>
        <v>T.mm</v>
      </c>
      <c r="M134" s="5">
        <f>(VLOOKUP(Table!$I134,Specs!$A:$R,MATCH(Table!M$3,Specs!$A$1:$R$1,0),FALSE))</f>
        <v>7.8</v>
      </c>
      <c r="N134" s="5">
        <f>(VLOOKUP(Table!$I134,Specs!$A:$R,MATCH(Table!N$3,Specs!$A$1:$R$1,0),FALSE))</f>
        <v>337.4</v>
      </c>
      <c r="O134" s="13">
        <f t="shared" si="190"/>
        <v>2.6317199999999996</v>
      </c>
      <c r="P134" s="19">
        <f>VLOOKUP(Table!$I134,Specs!$A:$R,MATCH(Table!P$3,Specs!$A$1:$R$1,0),FALSE)</f>
        <v>1</v>
      </c>
      <c r="Q134" s="19">
        <f>VLOOKUP(Table!$I134,Specs!$A:$R,MATCH(Table!Q$3,Specs!$A$1:$R$1,0),FALSE)</f>
        <v>11.8</v>
      </c>
      <c r="R134" s="19">
        <v>25</v>
      </c>
      <c r="S134" s="19">
        <f>VLOOKUP(Table!$I134,Specs!$A:$R,MATCH(Table!S$3,Specs!$A$1:$R$1,0),FALSE)</f>
        <v>6.5</v>
      </c>
      <c r="T134" s="74">
        <v>0.58777605287147405</v>
      </c>
      <c r="U134" s="14"/>
      <c r="V134" s="57">
        <v>254.62467851024135</v>
      </c>
      <c r="W134" s="14">
        <v>0</v>
      </c>
      <c r="X134" s="14">
        <v>-3.8479413753886689E-4</v>
      </c>
      <c r="Y134" s="55">
        <v>1030.8475727847231</v>
      </c>
      <c r="Z134">
        <v>381.30958329328109</v>
      </c>
      <c r="AA134" s="54">
        <v>243.15</v>
      </c>
      <c r="AB134" s="26"/>
      <c r="AC134">
        <f t="shared" si="191"/>
        <v>0</v>
      </c>
      <c r="AD134" s="59"/>
      <c r="AE134" t="str">
        <f t="shared" si="192"/>
        <v>T.mm</v>
      </c>
      <c r="AF134" s="57">
        <f t="shared" si="193"/>
        <v>0</v>
      </c>
      <c r="AG134" s="56" t="str">
        <f t="shared" si="194"/>
        <v>°</v>
      </c>
      <c r="AH134" s="26">
        <f t="shared" si="195"/>
        <v>0</v>
      </c>
      <c r="AI134" t="str">
        <f t="shared" si="196"/>
        <v>mT</v>
      </c>
    </row>
    <row r="135" spans="1:35" s="25" customFormat="1" x14ac:dyDescent="0.25">
      <c r="A135">
        <v>240</v>
      </c>
      <c r="B135" s="38" t="s">
        <v>261</v>
      </c>
      <c r="C135" t="s">
        <v>65</v>
      </c>
      <c r="D135" t="s">
        <v>248</v>
      </c>
      <c r="E135" t="s">
        <v>67</v>
      </c>
      <c r="F135" t="s">
        <v>70</v>
      </c>
      <c r="G135" s="22">
        <v>13</v>
      </c>
      <c r="H135" s="22"/>
      <c r="I135" t="s">
        <v>94</v>
      </c>
      <c r="J135" s="80">
        <v>19383</v>
      </c>
      <c r="K135" s="28">
        <v>2.1264711068882192</v>
      </c>
      <c r="L135" s="5" t="str">
        <f t="shared" si="198"/>
        <v>T</v>
      </c>
      <c r="M135" s="5">
        <f>(VLOOKUP(Table!$I135,Specs!$A:$R,MATCH(Table!M$3,Specs!$A$1:$R$1,0),FALSE))</f>
        <v>7.97</v>
      </c>
      <c r="N135" s="5">
        <f>(VLOOKUP(Table!$I135,Specs!$A:$R,MATCH(Table!N$3,Specs!$A$1:$R$1,0),FALSE))</f>
        <v>93.1</v>
      </c>
      <c r="O135" s="13">
        <f t="shared" si="190"/>
        <v>0.74200699999999997</v>
      </c>
      <c r="P135" s="19">
        <f>VLOOKUP(Table!$I135,Specs!$A:$R,MATCH(Table!P$3,Specs!$A$1:$R$1,0),FALSE)</f>
        <v>4</v>
      </c>
      <c r="Q135" s="19">
        <f>VLOOKUP(Table!$I135,Specs!$A:$R,MATCH(Table!Q$3,Specs!$A$1:$R$1,0),FALSE)</f>
        <v>1.2</v>
      </c>
      <c r="R135" s="19">
        <v>25</v>
      </c>
      <c r="S135" s="19">
        <f>VLOOKUP(Table!$I135,Specs!$A:$R,MATCH(Table!S$3,Specs!$A$1:$R$1,0),FALSE)</f>
        <v>9.2000000000000028</v>
      </c>
      <c r="T135" s="86">
        <v>2.7312783620680469E-2</v>
      </c>
      <c r="U135" s="14"/>
      <c r="V135" s="74">
        <v>63.471820934094538</v>
      </c>
      <c r="W135" s="14">
        <v>0</v>
      </c>
      <c r="X135" s="85">
        <v>-2.5006263844227178E-5</v>
      </c>
      <c r="Y135" s="55">
        <v>619.36560737137938</v>
      </c>
      <c r="Z135">
        <v>9.4772967036673084</v>
      </c>
      <c r="AA135" s="55">
        <v>178.51</v>
      </c>
      <c r="AB135" s="26"/>
      <c r="AC135">
        <f t="shared" si="191"/>
        <v>0</v>
      </c>
      <c r="AD135" s="59"/>
      <c r="AE135" t="str">
        <f t="shared" si="192"/>
        <v>T</v>
      </c>
      <c r="AF135" s="57">
        <f t="shared" si="193"/>
        <v>0</v>
      </c>
      <c r="AG135" s="56" t="str">
        <f t="shared" si="194"/>
        <v>m⁻²</v>
      </c>
      <c r="AH135" s="26">
        <f t="shared" si="195"/>
        <v>0</v>
      </c>
      <c r="AI135" t="str">
        <f t="shared" si="196"/>
        <v>T/m</v>
      </c>
    </row>
    <row r="136" spans="1:35" s="25" customFormat="1" x14ac:dyDescent="0.25">
      <c r="A136">
        <v>240</v>
      </c>
      <c r="B136" s="38" t="s">
        <v>261</v>
      </c>
      <c r="C136" t="s">
        <v>65</v>
      </c>
      <c r="D136" t="s">
        <v>248</v>
      </c>
      <c r="E136" t="s">
        <v>67</v>
      </c>
      <c r="F136" t="s">
        <v>70</v>
      </c>
      <c r="G136" s="22">
        <v>14</v>
      </c>
      <c r="H136" s="22"/>
      <c r="I136" t="s">
        <v>94</v>
      </c>
      <c r="J136" s="80">
        <v>19382</v>
      </c>
      <c r="K136" s="28">
        <v>2.1264711068882192</v>
      </c>
      <c r="L136" s="5" t="str">
        <f t="shared" si="198"/>
        <v>T</v>
      </c>
      <c r="M136" s="5">
        <f>(VLOOKUP(Table!$I136,Specs!$A:$R,MATCH(Table!M$3,Specs!$A$1:$R$1,0),FALSE))</f>
        <v>7.97</v>
      </c>
      <c r="N136" s="5">
        <f>(VLOOKUP(Table!$I136,Specs!$A:$R,MATCH(Table!N$3,Specs!$A$1:$R$1,0),FALSE))</f>
        <v>93.1</v>
      </c>
      <c r="O136" s="13">
        <f t="shared" si="190"/>
        <v>0.74200699999999997</v>
      </c>
      <c r="P136" s="19">
        <f>VLOOKUP(Table!$I136,Specs!$A:$R,MATCH(Table!P$3,Specs!$A$1:$R$1,0),FALSE)</f>
        <v>4</v>
      </c>
      <c r="Q136" s="19">
        <f>VLOOKUP(Table!$I136,Specs!$A:$R,MATCH(Table!Q$3,Specs!$A$1:$R$1,0),FALSE)</f>
        <v>1.2</v>
      </c>
      <c r="R136" s="19">
        <v>25</v>
      </c>
      <c r="S136" s="19">
        <f>VLOOKUP(Table!$I136,Specs!$A:$R,MATCH(Table!S$3,Specs!$A$1:$R$1,0),FALSE)</f>
        <v>9.2000000000000028</v>
      </c>
      <c r="T136" s="86">
        <v>2.7181533756454018E-2</v>
      </c>
      <c r="U136" s="14"/>
      <c r="V136" s="74">
        <v>47.793518420485952</v>
      </c>
      <c r="W136" s="14">
        <v>0</v>
      </c>
      <c r="X136" s="85">
        <v>-2.0373864061066511E-5</v>
      </c>
      <c r="Y136" s="55">
        <v>740.06744973681703</v>
      </c>
      <c r="Z136">
        <v>11.082786757245914</v>
      </c>
      <c r="AA136" s="55">
        <v>178.08</v>
      </c>
      <c r="AB136" s="26"/>
      <c r="AC136">
        <f t="shared" si="191"/>
        <v>0</v>
      </c>
      <c r="AD136" s="59"/>
      <c r="AE136" t="str">
        <f t="shared" si="192"/>
        <v>T</v>
      </c>
      <c r="AF136" s="57">
        <f t="shared" si="193"/>
        <v>0</v>
      </c>
      <c r="AG136" s="56" t="str">
        <f t="shared" si="194"/>
        <v>m⁻²</v>
      </c>
      <c r="AH136" s="26">
        <f t="shared" si="195"/>
        <v>0</v>
      </c>
      <c r="AI136" t="str">
        <f t="shared" si="196"/>
        <v>T/m</v>
      </c>
    </row>
    <row r="137" spans="1:35" s="25" customFormat="1" hidden="1" x14ac:dyDescent="0.25">
      <c r="A137">
        <v>240</v>
      </c>
      <c r="B137" s="38" t="s">
        <v>261</v>
      </c>
      <c r="C137" t="s">
        <v>65</v>
      </c>
      <c r="D137" t="s">
        <v>248</v>
      </c>
      <c r="E137" t="s">
        <v>67</v>
      </c>
      <c r="F137" t="s">
        <v>112</v>
      </c>
      <c r="G137" s="22">
        <v>4</v>
      </c>
      <c r="H137" s="22"/>
      <c r="I137" t="s">
        <v>294</v>
      </c>
      <c r="J137" s="80">
        <v>16634</v>
      </c>
      <c r="K137" s="28">
        <v>4.1695511899769002</v>
      </c>
      <c r="L137" s="5" t="str">
        <f t="shared" si="198"/>
        <v>T.mm</v>
      </c>
      <c r="M137" s="5">
        <f>(VLOOKUP(Table!$I137,Specs!$A:$R,MATCH(Table!M$3,Specs!$A$1:$R$1,0),FALSE))</f>
        <v>4.16</v>
      </c>
      <c r="N137" s="5">
        <f>(VLOOKUP(Table!$I137,Specs!$A:$R,MATCH(Table!N$3,Specs!$A$1:$R$1,0),FALSE))</f>
        <v>13</v>
      </c>
      <c r="O137" s="13">
        <f t="shared" si="190"/>
        <v>5.4079999999999996E-2</v>
      </c>
      <c r="P137" s="19">
        <f>VLOOKUP(Table!$I137,Specs!$A:$R,MATCH(Table!P$3,Specs!$A$1:$R$1,0),FALSE)</f>
        <v>0.1</v>
      </c>
      <c r="Q137" s="19">
        <f>VLOOKUP(Table!$I137,Specs!$A:$R,MATCH(Table!Q$3,Specs!$A$1:$R$1,0),FALSE)</f>
        <v>0.5</v>
      </c>
      <c r="R137" s="19">
        <v>25</v>
      </c>
      <c r="S137" s="19">
        <f>VLOOKUP(Table!$I137,Specs!$A:$R,MATCH(Table!S$3,Specs!$A$1:$R$1,0),FALSE)</f>
        <v>2</v>
      </c>
      <c r="T137" s="74"/>
      <c r="U137" s="14"/>
      <c r="V137" s="57"/>
      <c r="W137" s="14"/>
      <c r="X137" s="14"/>
      <c r="Y137" s="55"/>
      <c r="Z137"/>
      <c r="AA137" s="54"/>
      <c r="AB137" s="26"/>
      <c r="AC137">
        <f t="shared" si="191"/>
        <v>0</v>
      </c>
      <c r="AD137" s="59"/>
      <c r="AE137" t="str">
        <f t="shared" si="192"/>
        <v>T.mm</v>
      </c>
      <c r="AF137" s="57">
        <f t="shared" si="193"/>
        <v>0</v>
      </c>
      <c r="AG137" s="56" t="str">
        <f t="shared" si="194"/>
        <v>mrad</v>
      </c>
      <c r="AH137" s="26" t="e">
        <f t="shared" si="195"/>
        <v>#DIV/0!</v>
      </c>
      <c r="AI137" t="str">
        <f t="shared" si="196"/>
        <v>mT</v>
      </c>
    </row>
    <row r="138" spans="1:35" s="25" customFormat="1" hidden="1" x14ac:dyDescent="0.25">
      <c r="A138">
        <v>240</v>
      </c>
      <c r="B138" s="38" t="s">
        <v>261</v>
      </c>
      <c r="C138" t="s">
        <v>65</v>
      </c>
      <c r="D138" t="s">
        <v>248</v>
      </c>
      <c r="E138" t="s">
        <v>67</v>
      </c>
      <c r="F138" t="s">
        <v>68</v>
      </c>
      <c r="G138" s="22">
        <v>4</v>
      </c>
      <c r="H138" s="22"/>
      <c r="I138" t="s">
        <v>294</v>
      </c>
      <c r="J138" s="80">
        <v>16634</v>
      </c>
      <c r="K138" s="28">
        <v>4.1695511899769002</v>
      </c>
      <c r="L138" s="5" t="str">
        <f t="shared" si="198"/>
        <v>T.mm</v>
      </c>
      <c r="M138" s="5">
        <f>(VLOOKUP(Table!$I138,Specs!$A:$R,MATCH(Table!M$3,Specs!$A$1:$R$1,0),FALSE))</f>
        <v>4.16</v>
      </c>
      <c r="N138" s="5">
        <f>(VLOOKUP(Table!$I138,Specs!$A:$R,MATCH(Table!N$3,Specs!$A$1:$R$1,0),FALSE))</f>
        <v>13</v>
      </c>
      <c r="O138" s="13">
        <f t="shared" si="190"/>
        <v>5.4079999999999996E-2</v>
      </c>
      <c r="P138" s="19">
        <f>VLOOKUP(Table!$I138,Specs!$A:$R,MATCH(Table!P$3,Specs!$A$1:$R$1,0),FALSE)</f>
        <v>0.1</v>
      </c>
      <c r="Q138" s="19">
        <f>VLOOKUP(Table!$I138,Specs!$A:$R,MATCH(Table!Q$3,Specs!$A$1:$R$1,0),FALSE)</f>
        <v>0.5</v>
      </c>
      <c r="R138" s="19">
        <v>25</v>
      </c>
      <c r="S138" s="19">
        <f>VLOOKUP(Table!$I138,Specs!$A:$R,MATCH(Table!S$3,Specs!$A$1:$R$1,0),FALSE)</f>
        <v>2</v>
      </c>
      <c r="T138" s="74"/>
      <c r="U138" s="14"/>
      <c r="V138" s="57"/>
      <c r="W138" s="14"/>
      <c r="X138" s="14"/>
      <c r="Y138" s="55"/>
      <c r="Z138"/>
      <c r="AA138" s="54"/>
      <c r="AB138" s="26"/>
      <c r="AC138">
        <f t="shared" si="191"/>
        <v>0</v>
      </c>
      <c r="AD138" s="59"/>
      <c r="AE138" t="str">
        <f t="shared" si="192"/>
        <v>T.mm</v>
      </c>
      <c r="AF138" s="57">
        <f t="shared" si="193"/>
        <v>0</v>
      </c>
      <c r="AG138" s="56" t="str">
        <f t="shared" si="194"/>
        <v>mrad</v>
      </c>
      <c r="AH138" s="26" t="e">
        <f t="shared" si="195"/>
        <v>#DIV/0!</v>
      </c>
      <c r="AI138" t="str">
        <f t="shared" si="196"/>
        <v>mT</v>
      </c>
    </row>
    <row r="139" spans="1:35" s="25" customFormat="1" x14ac:dyDescent="0.25">
      <c r="A139">
        <v>240</v>
      </c>
      <c r="B139" s="38" t="s">
        <v>261</v>
      </c>
      <c r="C139" t="s">
        <v>65</v>
      </c>
      <c r="D139" t="s">
        <v>248</v>
      </c>
      <c r="E139" t="s">
        <v>67</v>
      </c>
      <c r="F139" t="s">
        <v>70</v>
      </c>
      <c r="G139" s="22">
        <v>15</v>
      </c>
      <c r="H139" s="22"/>
      <c r="I139" t="s">
        <v>94</v>
      </c>
      <c r="J139" s="80">
        <v>19386</v>
      </c>
      <c r="K139" s="28">
        <v>1.8762980354896053</v>
      </c>
      <c r="L139" s="5" t="str">
        <f t="shared" si="198"/>
        <v>T</v>
      </c>
      <c r="M139" s="5">
        <f>VLOOKUP(Table!$I139,Specs!$A:$R,MATCH(Table!M$3,Specs!$A$1:$R$1,0),FALSE)</f>
        <v>7.97</v>
      </c>
      <c r="N139" s="5">
        <f>VLOOKUP(Table!$I139,Specs!$A:$R,MATCH(Table!N$3,Specs!$A$1:$R$1,0),FALSE)</f>
        <v>93.1</v>
      </c>
      <c r="O139" s="13">
        <f t="shared" si="190"/>
        <v>0.74200699999999997</v>
      </c>
      <c r="P139" s="19">
        <f>VLOOKUP(Table!$I139,Specs!$A:$R,MATCH(Table!P$3,Specs!$A$1:$R$1,0),FALSE)</f>
        <v>4</v>
      </c>
      <c r="Q139" s="19">
        <f>VLOOKUP(Table!$I139,Specs!$A:$R,MATCH(Table!Q$3,Specs!$A$1:$R$1,0),FALSE)</f>
        <v>1.2</v>
      </c>
      <c r="R139" s="19">
        <v>25</v>
      </c>
      <c r="S139" s="19">
        <f>VLOOKUP(Table!$I139,Specs!$A:$R,MATCH(Table!S$3,Specs!$A$1:$R$1,0),FALSE)</f>
        <v>9.2000000000000028</v>
      </c>
      <c r="T139" s="86">
        <v>2.7252835564738349E-2</v>
      </c>
      <c r="U139" s="14"/>
      <c r="V139" s="74">
        <v>57.502732241243422</v>
      </c>
      <c r="W139" s="14">
        <v>0</v>
      </c>
      <c r="X139" s="85">
        <v>-2.5835693766931757E-5</v>
      </c>
      <c r="Y139" s="55">
        <v>599.700710395888</v>
      </c>
      <c r="Z139">
        <v>9.1795210062442791</v>
      </c>
      <c r="AA139" s="55">
        <v>178.77</v>
      </c>
      <c r="AB139" s="26"/>
      <c r="AC139">
        <f t="shared" si="191"/>
        <v>0</v>
      </c>
      <c r="AD139" s="59"/>
      <c r="AE139" t="str">
        <f t="shared" si="192"/>
        <v>T</v>
      </c>
      <c r="AF139" s="57">
        <f t="shared" si="193"/>
        <v>0</v>
      </c>
      <c r="AG139" s="56" t="str">
        <f t="shared" si="194"/>
        <v>m⁻²</v>
      </c>
      <c r="AH139" s="26">
        <f t="shared" si="195"/>
        <v>0</v>
      </c>
      <c r="AI139" t="str">
        <f t="shared" si="196"/>
        <v>T/m</v>
      </c>
    </row>
    <row r="140" spans="1:35" s="25" customFormat="1" x14ac:dyDescent="0.25">
      <c r="A140">
        <v>240</v>
      </c>
      <c r="B140" s="38" t="s">
        <v>261</v>
      </c>
      <c r="C140" t="s">
        <v>65</v>
      </c>
      <c r="D140" t="s">
        <v>248</v>
      </c>
      <c r="E140" t="s">
        <v>67</v>
      </c>
      <c r="F140" t="s">
        <v>70</v>
      </c>
      <c r="G140" s="22">
        <v>16</v>
      </c>
      <c r="H140" s="22"/>
      <c r="I140" t="s">
        <v>94</v>
      </c>
      <c r="J140" s="80">
        <v>19375</v>
      </c>
      <c r="K140" s="28">
        <v>1.8762980354896053</v>
      </c>
      <c r="L140" s="5" t="str">
        <f t="shared" si="198"/>
        <v>T</v>
      </c>
      <c r="M140" s="5">
        <f>VLOOKUP(Table!$I140,Specs!$A:$R,MATCH(Table!M$3,Specs!$A$1:$R$1,0),FALSE)</f>
        <v>7.97</v>
      </c>
      <c r="N140" s="5">
        <f>VLOOKUP(Table!$I140,Specs!$A:$R,MATCH(Table!N$3,Specs!$A$1:$R$1,0),FALSE)</f>
        <v>93.1</v>
      </c>
      <c r="O140" s="13">
        <f t="shared" si="190"/>
        <v>0.74200699999999997</v>
      </c>
      <c r="P140" s="19">
        <f>VLOOKUP(Table!$I140,Specs!$A:$R,MATCH(Table!P$3,Specs!$A$1:$R$1,0),FALSE)</f>
        <v>4</v>
      </c>
      <c r="Q140" s="19">
        <f>VLOOKUP(Table!$I140,Specs!$A:$R,MATCH(Table!Q$3,Specs!$A$1:$R$1,0),FALSE)</f>
        <v>1.2</v>
      </c>
      <c r="R140" s="19">
        <v>25</v>
      </c>
      <c r="S140" s="19">
        <f>VLOOKUP(Table!$I140,Specs!$A:$R,MATCH(Table!S$3,Specs!$A$1:$R$1,0),FALSE)</f>
        <v>9.2000000000000028</v>
      </c>
      <c r="T140" s="86">
        <v>2.7353292239417452E-2</v>
      </c>
      <c r="U140" s="14"/>
      <c r="V140" s="74">
        <v>77.15153542455316</v>
      </c>
      <c r="W140" s="14">
        <v>0</v>
      </c>
      <c r="X140" s="85">
        <v>-3.9020089285712371E-5</v>
      </c>
      <c r="Y140" s="55">
        <v>431.56192437505206</v>
      </c>
      <c r="Z140">
        <v>7.0287009727304248</v>
      </c>
      <c r="AA140" s="55">
        <v>178.08</v>
      </c>
      <c r="AB140" s="26"/>
      <c r="AC140">
        <f t="shared" si="191"/>
        <v>0</v>
      </c>
      <c r="AD140" s="59"/>
      <c r="AE140" t="str">
        <f t="shared" si="192"/>
        <v>T</v>
      </c>
      <c r="AF140" s="57">
        <f t="shared" si="193"/>
        <v>0</v>
      </c>
      <c r="AG140" s="56" t="str">
        <f t="shared" si="194"/>
        <v>m⁻²</v>
      </c>
      <c r="AH140" s="26">
        <f t="shared" si="195"/>
        <v>0</v>
      </c>
      <c r="AI140" t="str">
        <f t="shared" si="196"/>
        <v>T/m</v>
      </c>
    </row>
    <row r="141" spans="1:35" s="25" customFormat="1" hidden="1" x14ac:dyDescent="0.25">
      <c r="A141">
        <v>240</v>
      </c>
      <c r="B141" s="38" t="s">
        <v>261</v>
      </c>
      <c r="C141" t="s">
        <v>65</v>
      </c>
      <c r="D141" t="s">
        <v>248</v>
      </c>
      <c r="E141" t="s">
        <v>67</v>
      </c>
      <c r="F141" t="s">
        <v>112</v>
      </c>
      <c r="G141" s="22">
        <v>5</v>
      </c>
      <c r="H141" s="22"/>
      <c r="I141" t="s">
        <v>215</v>
      </c>
      <c r="J141" s="80" t="s">
        <v>281</v>
      </c>
      <c r="K141" s="28">
        <v>5.0034614279722804</v>
      </c>
      <c r="L141" s="5" t="str">
        <f t="shared" si="198"/>
        <v>T.mm</v>
      </c>
      <c r="M141" s="5">
        <f>VLOOKUP(Table!$I141,Specs!$A:$R,MATCH(Table!M$3,Specs!$A$1:$R$1,0),FALSE)</f>
        <v>0</v>
      </c>
      <c r="N141" s="5">
        <f>VLOOKUP(Table!$I141,Specs!$A:$R,MATCH(Table!N$3,Specs!$A$1:$R$1,0),FALSE)</f>
        <v>20</v>
      </c>
      <c r="O141" s="13">
        <f t="shared" si="190"/>
        <v>0</v>
      </c>
      <c r="P141" s="19">
        <f>VLOOKUP(Table!$I141,Specs!$A:$R,MATCH(Table!P$3,Specs!$A$1:$R$1,0),FALSE)</f>
        <v>0</v>
      </c>
      <c r="Q141" s="19">
        <f>VLOOKUP(Table!$I141,Specs!$A:$R,MATCH(Table!Q$3,Specs!$A$1:$R$1,0),FALSE)</f>
        <v>0</v>
      </c>
      <c r="R141" s="19">
        <v>25</v>
      </c>
      <c r="S141" s="19">
        <f>VLOOKUP(Table!$I141,Specs!$A:$R,MATCH(Table!S$3,Specs!$A$1:$R$1,0),FALSE)</f>
        <v>0</v>
      </c>
      <c r="T141" s="74"/>
      <c r="U141" s="14"/>
      <c r="V141" s="57"/>
      <c r="W141" s="14"/>
      <c r="X141" s="14"/>
      <c r="Y141" s="55"/>
      <c r="Z141"/>
      <c r="AA141" s="54"/>
      <c r="AB141" s="26"/>
      <c r="AC141">
        <f t="shared" si="191"/>
        <v>0</v>
      </c>
      <c r="AD141" s="59"/>
      <c r="AE141" t="str">
        <f t="shared" si="192"/>
        <v>T.mm</v>
      </c>
      <c r="AF141" s="57">
        <f t="shared" si="193"/>
        <v>0</v>
      </c>
      <c r="AG141" s="56" t="str">
        <f t="shared" si="194"/>
        <v>mrad</v>
      </c>
      <c r="AH141" s="26" t="e">
        <f t="shared" si="195"/>
        <v>#DIV/0!</v>
      </c>
      <c r="AI141" t="str">
        <f t="shared" si="196"/>
        <v>mT</v>
      </c>
    </row>
    <row r="142" spans="1:35" s="25" customFormat="1" hidden="1" x14ac:dyDescent="0.25">
      <c r="A142">
        <v>240</v>
      </c>
      <c r="B142" s="38" t="s">
        <v>261</v>
      </c>
      <c r="C142" t="s">
        <v>65</v>
      </c>
      <c r="D142" t="s">
        <v>248</v>
      </c>
      <c r="E142" t="s">
        <v>67</v>
      </c>
      <c r="F142" t="s">
        <v>68</v>
      </c>
      <c r="G142" s="22">
        <v>5</v>
      </c>
      <c r="H142" s="22"/>
      <c r="I142" t="s">
        <v>215</v>
      </c>
      <c r="J142" s="80" t="s">
        <v>281</v>
      </c>
      <c r="K142" s="28">
        <v>5.0034614279722804</v>
      </c>
      <c r="L142" s="5" t="str">
        <f t="shared" si="198"/>
        <v>T.mm</v>
      </c>
      <c r="M142" s="5">
        <f>VLOOKUP(Table!$I142,Specs!$A:$R,MATCH(Table!M$3,Specs!$A$1:$R$1,0),FALSE)</f>
        <v>0</v>
      </c>
      <c r="N142" s="5">
        <f>VLOOKUP(Table!$I142,Specs!$A:$R,MATCH(Table!N$3,Specs!$A$1:$R$1,0),FALSE)</f>
        <v>20</v>
      </c>
      <c r="O142" s="13">
        <f t="shared" si="190"/>
        <v>0</v>
      </c>
      <c r="P142" s="19">
        <f>VLOOKUP(Table!$I142,Specs!$A:$R,MATCH(Table!P$3,Specs!$A$1:$R$1,0),FALSE)</f>
        <v>0</v>
      </c>
      <c r="Q142" s="19">
        <f>VLOOKUP(Table!$I142,Specs!$A:$R,MATCH(Table!Q$3,Specs!$A$1:$R$1,0),FALSE)</f>
        <v>0</v>
      </c>
      <c r="R142" s="19">
        <v>25</v>
      </c>
      <c r="S142" s="19">
        <f>VLOOKUP(Table!$I142,Specs!$A:$R,MATCH(Table!S$3,Specs!$A$1:$R$1,0),FALSE)</f>
        <v>0</v>
      </c>
      <c r="T142" s="74"/>
      <c r="U142" s="14"/>
      <c r="V142" s="57"/>
      <c r="W142" s="14"/>
      <c r="X142" s="14"/>
      <c r="Y142" s="55"/>
      <c r="Z142"/>
      <c r="AA142" s="54"/>
      <c r="AB142" s="26"/>
      <c r="AC142">
        <f t="shared" si="191"/>
        <v>0</v>
      </c>
      <c r="AD142" s="59"/>
      <c r="AE142" t="str">
        <f t="shared" si="192"/>
        <v>T.mm</v>
      </c>
      <c r="AF142" s="57">
        <f t="shared" si="193"/>
        <v>0</v>
      </c>
      <c r="AG142" s="56" t="str">
        <f t="shared" si="194"/>
        <v>mrad</v>
      </c>
      <c r="AH142" s="26" t="e">
        <f t="shared" si="195"/>
        <v>#DIV/0!</v>
      </c>
      <c r="AI142" t="str">
        <f t="shared" si="196"/>
        <v>mT</v>
      </c>
    </row>
    <row r="143" spans="1:35" s="25" customFormat="1" hidden="1" x14ac:dyDescent="0.25">
      <c r="A143">
        <v>240</v>
      </c>
      <c r="B143" s="38" t="s">
        <v>277</v>
      </c>
      <c r="C143" t="s">
        <v>65</v>
      </c>
      <c r="D143" t="s">
        <v>248</v>
      </c>
      <c r="E143" t="s">
        <v>67</v>
      </c>
      <c r="F143" t="s">
        <v>112</v>
      </c>
      <c r="G143" s="22">
        <v>6</v>
      </c>
      <c r="H143" s="22"/>
      <c r="I143" t="s">
        <v>215</v>
      </c>
      <c r="J143" s="80" t="s">
        <v>282</v>
      </c>
      <c r="K143" s="28">
        <v>5.0034614279722804</v>
      </c>
      <c r="L143" s="5" t="str">
        <f t="shared" si="198"/>
        <v>T.mm</v>
      </c>
      <c r="M143" s="5">
        <f>VLOOKUP(Table!$I143,Specs!$A:$R,MATCH(Table!M$3,Specs!$A$1:$R$1,0),FALSE)</f>
        <v>0</v>
      </c>
      <c r="N143" s="5">
        <f>VLOOKUP(Table!$I143,Specs!$A:$R,MATCH(Table!N$3,Specs!$A$1:$R$1,0),FALSE)</f>
        <v>20</v>
      </c>
      <c r="O143" s="13">
        <f t="shared" si="190"/>
        <v>0</v>
      </c>
      <c r="P143" s="19">
        <f>VLOOKUP(Table!$I143,Specs!$A:$R,MATCH(Table!P$3,Specs!$A$1:$R$1,0),FALSE)</f>
        <v>0</v>
      </c>
      <c r="Q143" s="19">
        <f>VLOOKUP(Table!$I143,Specs!$A:$R,MATCH(Table!Q$3,Specs!$A$1:$R$1,0),FALSE)</f>
        <v>0</v>
      </c>
      <c r="R143" s="19">
        <v>25</v>
      </c>
      <c r="S143" s="19">
        <f>VLOOKUP(Table!$I143,Specs!$A:$R,MATCH(Table!S$3,Specs!$A$1:$R$1,0),FALSE)</f>
        <v>0</v>
      </c>
      <c r="T143" s="74"/>
      <c r="U143" s="14"/>
      <c r="V143" s="57"/>
      <c r="W143" s="14"/>
      <c r="X143" s="14"/>
      <c r="Y143" s="55"/>
      <c r="Z143"/>
      <c r="AA143" s="54"/>
      <c r="AB143" s="26"/>
      <c r="AC143">
        <f t="shared" si="191"/>
        <v>0</v>
      </c>
      <c r="AD143" s="59"/>
      <c r="AE143" t="str">
        <f t="shared" si="192"/>
        <v>T.mm</v>
      </c>
      <c r="AF143" s="57">
        <f t="shared" si="193"/>
        <v>0</v>
      </c>
      <c r="AG143" s="56" t="str">
        <f t="shared" si="194"/>
        <v>mrad</v>
      </c>
      <c r="AH143" s="26" t="e">
        <f t="shared" si="195"/>
        <v>#DIV/0!</v>
      </c>
      <c r="AI143" t="str">
        <f t="shared" si="196"/>
        <v>mT</v>
      </c>
    </row>
    <row r="144" spans="1:35" s="25" customFormat="1" hidden="1" x14ac:dyDescent="0.25">
      <c r="A144">
        <v>240</v>
      </c>
      <c r="B144" s="38" t="s">
        <v>277</v>
      </c>
      <c r="C144" t="s">
        <v>65</v>
      </c>
      <c r="D144" t="s">
        <v>248</v>
      </c>
      <c r="E144" t="s">
        <v>67</v>
      </c>
      <c r="F144" t="s">
        <v>68</v>
      </c>
      <c r="G144" s="22">
        <v>6</v>
      </c>
      <c r="H144" s="22"/>
      <c r="I144" t="s">
        <v>215</v>
      </c>
      <c r="J144" s="80" t="s">
        <v>282</v>
      </c>
      <c r="K144" s="28">
        <v>5.0034614279722804</v>
      </c>
      <c r="L144" s="5" t="str">
        <f t="shared" si="198"/>
        <v>T.mm</v>
      </c>
      <c r="M144" s="5">
        <f>VLOOKUP(Table!$I144,Specs!$A:$R,MATCH(Table!M$3,Specs!$A$1:$R$1,0),FALSE)</f>
        <v>0</v>
      </c>
      <c r="N144" s="5">
        <f>VLOOKUP(Table!$I144,Specs!$A:$R,MATCH(Table!N$3,Specs!$A$1:$R$1,0),FALSE)</f>
        <v>20</v>
      </c>
      <c r="O144" s="13">
        <f t="shared" ref="O144:O170" si="199">(N144*M144)/1000</f>
        <v>0</v>
      </c>
      <c r="P144" s="19">
        <f>VLOOKUP(Table!$I144,Specs!$A:$R,MATCH(Table!P$3,Specs!$A$1:$R$1,0),FALSE)</f>
        <v>0</v>
      </c>
      <c r="Q144" s="19">
        <f>VLOOKUP(Table!$I144,Specs!$A:$R,MATCH(Table!Q$3,Specs!$A$1:$R$1,0),FALSE)</f>
        <v>0</v>
      </c>
      <c r="R144" s="19">
        <v>25</v>
      </c>
      <c r="S144" s="19">
        <f>VLOOKUP(Table!$I144,Specs!$A:$R,MATCH(Table!S$3,Specs!$A$1:$R$1,0),FALSE)</f>
        <v>0</v>
      </c>
      <c r="T144" s="74"/>
      <c r="U144" s="14"/>
      <c r="V144" s="57"/>
      <c r="W144" s="14"/>
      <c r="X144" s="14"/>
      <c r="Y144" s="55"/>
      <c r="Z144"/>
      <c r="AA144" s="54"/>
      <c r="AB144" s="26"/>
      <c r="AC144">
        <f t="shared" ref="AC144:AC170" si="200">SIGN(AB144)</f>
        <v>0</v>
      </c>
      <c r="AD144" s="59"/>
      <c r="AE144" t="str">
        <f t="shared" ref="AE144:AE170" si="201">L144</f>
        <v>T.mm</v>
      </c>
      <c r="AF144" s="57">
        <f t="shared" ref="AF144:AF170" si="202">IF(F144="DIP",360/(2000*PI()),IF(F144="QUAD",1000/AA144,IF(RIGHT(F144,3)="COR",1,0)))*c_*AD144/A144</f>
        <v>0</v>
      </c>
      <c r="AG144" s="56" t="str">
        <f t="shared" ref="AG144:AG170" si="203">IF(F144="DIP","°",IF(F144="QUAD","m⁻²",IF(RIGHT(F144,3)="COR","mrad","")))</f>
        <v>mrad</v>
      </c>
      <c r="AH144" s="26" t="e">
        <f t="shared" ref="AH144:AH170" si="204">1000*AD144/AA144</f>
        <v>#DIV/0!</v>
      </c>
      <c r="AI144" t="str">
        <f t="shared" ref="AI144:AI170" si="205">IF(F144="QUAD","T/m","mT")</f>
        <v>mT</v>
      </c>
    </row>
    <row r="145" spans="1:35" s="25" customFormat="1" x14ac:dyDescent="0.25">
      <c r="A145">
        <v>240</v>
      </c>
      <c r="B145" s="38" t="s">
        <v>276</v>
      </c>
      <c r="C145" t="s">
        <v>65</v>
      </c>
      <c r="D145" t="s">
        <v>249</v>
      </c>
      <c r="E145" t="s">
        <v>67</v>
      </c>
      <c r="F145" t="s">
        <v>70</v>
      </c>
      <c r="G145" s="22">
        <v>1</v>
      </c>
      <c r="H145" s="22"/>
      <c r="I145" t="s">
        <v>167</v>
      </c>
      <c r="J145" s="80" t="s">
        <v>283</v>
      </c>
      <c r="K145" s="28">
        <v>2.1264711068882192</v>
      </c>
      <c r="L145" s="5" t="str">
        <f t="shared" si="198"/>
        <v>T</v>
      </c>
      <c r="M145" s="5">
        <f>VLOOKUP(Table!$I145,Specs!$A:$R,MATCH(Table!M$3,Specs!$A$1:$R$1,0),FALSE)</f>
        <v>0</v>
      </c>
      <c r="N145" s="5">
        <f>VLOOKUP(Table!$I145,Specs!$A:$R,MATCH(Table!N$3,Specs!$A$1:$R$1,0),FALSE)</f>
        <v>176.4</v>
      </c>
      <c r="O145" s="13">
        <f t="shared" si="199"/>
        <v>0</v>
      </c>
      <c r="P145" s="19">
        <f>VLOOKUP(Table!$I145,Specs!$A:$R,MATCH(Table!P$3,Specs!$A$1:$R$1,0),FALSE)</f>
        <v>0</v>
      </c>
      <c r="Q145" s="19">
        <f>VLOOKUP(Table!$I145,Specs!$A:$R,MATCH(Table!Q$3,Specs!$A$1:$R$1,0),FALSE)</f>
        <v>0</v>
      </c>
      <c r="R145" s="19">
        <v>25</v>
      </c>
      <c r="S145" s="19">
        <f>VLOOKUP(Table!$I145,Specs!$A:$R,MATCH(Table!S$3,Specs!$A$1:$R$1,0),FALSE)</f>
        <v>0</v>
      </c>
      <c r="T145" s="86">
        <v>2.6242308819220624E-2</v>
      </c>
      <c r="U145" s="14"/>
      <c r="V145" s="74">
        <v>21.628457870458096</v>
      </c>
      <c r="W145" s="14">
        <v>0</v>
      </c>
      <c r="X145" s="85">
        <v>-3.3264621947538455E-6</v>
      </c>
      <c r="Y145" s="55">
        <v>4002.9454427808723</v>
      </c>
      <c r="Z145">
        <v>53.303777289738377</v>
      </c>
      <c r="AA145" s="54">
        <v>256.23</v>
      </c>
      <c r="AB145" s="26"/>
      <c r="AC145">
        <f t="shared" si="200"/>
        <v>0</v>
      </c>
      <c r="AD145" s="59"/>
      <c r="AE145" t="str">
        <f t="shared" si="201"/>
        <v>T</v>
      </c>
      <c r="AF145" s="57">
        <f t="shared" si="202"/>
        <v>0</v>
      </c>
      <c r="AG145" s="56" t="str">
        <f t="shared" si="203"/>
        <v>m⁻²</v>
      </c>
      <c r="AH145" s="26">
        <f t="shared" si="204"/>
        <v>0</v>
      </c>
      <c r="AI145" t="str">
        <f t="shared" si="205"/>
        <v>T/m</v>
      </c>
    </row>
    <row r="146" spans="1:35" s="25" customFormat="1" hidden="1" x14ac:dyDescent="0.25">
      <c r="A146">
        <v>240</v>
      </c>
      <c r="B146" s="38" t="s">
        <v>276</v>
      </c>
      <c r="C146" t="s">
        <v>65</v>
      </c>
      <c r="D146" t="s">
        <v>249</v>
      </c>
      <c r="E146" t="s">
        <v>67</v>
      </c>
      <c r="F146" t="s">
        <v>112</v>
      </c>
      <c r="G146" s="22">
        <v>1</v>
      </c>
      <c r="H146" s="22"/>
      <c r="I146" t="s">
        <v>214</v>
      </c>
      <c r="J146" s="80" t="s">
        <v>283</v>
      </c>
      <c r="K146" s="28">
        <v>4.1695511899769002</v>
      </c>
      <c r="L146" s="5" t="str">
        <f t="shared" si="198"/>
        <v>T.mm</v>
      </c>
      <c r="M146" s="5">
        <f>VLOOKUP(Table!$I146,Specs!$A:$R,MATCH(Table!M$3,Specs!$A$1:$R$1,0),FALSE)</f>
        <v>0</v>
      </c>
      <c r="N146" s="5">
        <f>VLOOKUP(Table!$I146,Specs!$A:$R,MATCH(Table!N$3,Specs!$A$1:$R$1,0),FALSE)</f>
        <v>30</v>
      </c>
      <c r="O146" s="13">
        <f t="shared" si="199"/>
        <v>0</v>
      </c>
      <c r="P146" s="19">
        <f>VLOOKUP(Table!$I146,Specs!$A:$R,MATCH(Table!P$3,Specs!$A$1:$R$1,0),FALSE)</f>
        <v>0</v>
      </c>
      <c r="Q146" s="19">
        <f>VLOOKUP(Table!$I146,Specs!$A:$R,MATCH(Table!Q$3,Specs!$A$1:$R$1,0),FALSE)</f>
        <v>0</v>
      </c>
      <c r="R146" s="19">
        <v>25</v>
      </c>
      <c r="S146" s="19">
        <f>VLOOKUP(Table!$I146,Specs!$A:$R,MATCH(Table!S$3,Specs!$A$1:$R$1,0),FALSE)</f>
        <v>0</v>
      </c>
      <c r="T146" s="74">
        <v>0.33089333333333332</v>
      </c>
      <c r="U146" s="14"/>
      <c r="V146" s="57"/>
      <c r="W146" s="14"/>
      <c r="X146" s="14"/>
      <c r="Y146" s="55"/>
      <c r="Z146"/>
      <c r="AA146" s="54"/>
      <c r="AB146" s="26"/>
      <c r="AC146">
        <f t="shared" si="200"/>
        <v>0</v>
      </c>
      <c r="AD146" s="59"/>
      <c r="AE146" t="str">
        <f t="shared" si="201"/>
        <v>T.mm</v>
      </c>
      <c r="AF146" s="57">
        <f t="shared" si="202"/>
        <v>0</v>
      </c>
      <c r="AG146" s="56" t="str">
        <f t="shared" si="203"/>
        <v>mrad</v>
      </c>
      <c r="AH146" s="26" t="e">
        <f t="shared" si="204"/>
        <v>#DIV/0!</v>
      </c>
      <c r="AI146" t="str">
        <f t="shared" si="205"/>
        <v>mT</v>
      </c>
    </row>
    <row r="147" spans="1:35" s="25" customFormat="1" hidden="1" x14ac:dyDescent="0.25">
      <c r="A147">
        <v>240</v>
      </c>
      <c r="B147" s="38" t="s">
        <v>276</v>
      </c>
      <c r="C147" t="s">
        <v>65</v>
      </c>
      <c r="D147" t="s">
        <v>249</v>
      </c>
      <c r="E147" t="s">
        <v>67</v>
      </c>
      <c r="F147" t="s">
        <v>68</v>
      </c>
      <c r="G147" s="22">
        <v>1</v>
      </c>
      <c r="H147" s="22"/>
      <c r="I147" t="s">
        <v>214</v>
      </c>
      <c r="J147" s="80" t="s">
        <v>283</v>
      </c>
      <c r="K147" s="28">
        <v>4.1695511899769002</v>
      </c>
      <c r="L147" s="5" t="str">
        <f t="shared" si="198"/>
        <v>T.mm</v>
      </c>
      <c r="M147" s="5">
        <f>VLOOKUP(Table!$I147,Specs!$A:$R,MATCH(Table!M$3,Specs!$A$1:$R$1,0),FALSE)</f>
        <v>0</v>
      </c>
      <c r="N147" s="5">
        <f>VLOOKUP(Table!$I147,Specs!$A:$R,MATCH(Table!N$3,Specs!$A$1:$R$1,0),FALSE)</f>
        <v>30</v>
      </c>
      <c r="O147" s="13">
        <f t="shared" si="199"/>
        <v>0</v>
      </c>
      <c r="P147" s="19">
        <f>VLOOKUP(Table!$I147,Specs!$A:$R,MATCH(Table!P$3,Specs!$A$1:$R$1,0),FALSE)</f>
        <v>0</v>
      </c>
      <c r="Q147" s="19">
        <f>VLOOKUP(Table!$I147,Specs!$A:$R,MATCH(Table!Q$3,Specs!$A$1:$R$1,0),FALSE)</f>
        <v>0</v>
      </c>
      <c r="R147" s="19">
        <v>25</v>
      </c>
      <c r="S147" s="19">
        <f>VLOOKUP(Table!$I147,Specs!$A:$R,MATCH(Table!S$3,Specs!$A$1:$R$1,0),FALSE)</f>
        <v>0</v>
      </c>
      <c r="T147" s="74">
        <v>0.32790333333333332</v>
      </c>
      <c r="U147" s="14"/>
      <c r="V147" s="57"/>
      <c r="W147" s="14"/>
      <c r="X147" s="14"/>
      <c r="Y147" s="55"/>
      <c r="Z147"/>
      <c r="AA147" s="54"/>
      <c r="AB147" s="26"/>
      <c r="AC147">
        <f t="shared" si="200"/>
        <v>0</v>
      </c>
      <c r="AD147" s="59"/>
      <c r="AE147" t="str">
        <f t="shared" si="201"/>
        <v>T.mm</v>
      </c>
      <c r="AF147" s="57">
        <f t="shared" si="202"/>
        <v>0</v>
      </c>
      <c r="AG147" s="56" t="str">
        <f t="shared" si="203"/>
        <v>mrad</v>
      </c>
      <c r="AH147" s="26" t="e">
        <f t="shared" si="204"/>
        <v>#DIV/0!</v>
      </c>
      <c r="AI147" t="str">
        <f t="shared" si="205"/>
        <v>mT</v>
      </c>
    </row>
    <row r="148" spans="1:35" s="25" customFormat="1" x14ac:dyDescent="0.25">
      <c r="A148">
        <v>240</v>
      </c>
      <c r="B148" s="38" t="s">
        <v>276</v>
      </c>
      <c r="C148" t="s">
        <v>65</v>
      </c>
      <c r="D148" t="s">
        <v>249</v>
      </c>
      <c r="E148" t="s">
        <v>67</v>
      </c>
      <c r="F148" t="s">
        <v>70</v>
      </c>
      <c r="G148" s="22">
        <v>2</v>
      </c>
      <c r="H148" s="22"/>
      <c r="I148" t="s">
        <v>167</v>
      </c>
      <c r="J148" s="80" t="s">
        <v>284</v>
      </c>
      <c r="K148" s="28">
        <v>2.1264711068882192</v>
      </c>
      <c r="L148" s="5" t="str">
        <f t="shared" si="198"/>
        <v>T</v>
      </c>
      <c r="M148" s="5">
        <f>VLOOKUP(Table!$I148,Specs!$A:$R,MATCH(Table!M$3,Specs!$A$1:$R$1,0),FALSE)</f>
        <v>0</v>
      </c>
      <c r="N148" s="5">
        <f>VLOOKUP(Table!$I148,Specs!$A:$R,MATCH(Table!N$3,Specs!$A$1:$R$1,0),FALSE)</f>
        <v>176.4</v>
      </c>
      <c r="O148" s="13">
        <f t="shared" si="199"/>
        <v>0</v>
      </c>
      <c r="P148" s="19">
        <f>VLOOKUP(Table!$I148,Specs!$A:$R,MATCH(Table!P$3,Specs!$A$1:$R$1,0),FALSE)</f>
        <v>0</v>
      </c>
      <c r="Q148" s="19">
        <f>VLOOKUP(Table!$I148,Specs!$A:$R,MATCH(Table!Q$3,Specs!$A$1:$R$1,0),FALSE)</f>
        <v>0</v>
      </c>
      <c r="R148" s="19">
        <v>25</v>
      </c>
      <c r="S148" s="19">
        <f>VLOOKUP(Table!$I148,Specs!$A:$R,MATCH(Table!S$3,Specs!$A$1:$R$1,0),FALSE)</f>
        <v>0</v>
      </c>
      <c r="T148" s="86">
        <v>2.621007910928802E-2</v>
      </c>
      <c r="U148" s="14"/>
      <c r="V148" s="74">
        <v>21.849693731232595</v>
      </c>
      <c r="W148" s="14">
        <v>0</v>
      </c>
      <c r="X148" s="85">
        <v>-3.3205408182931224E-6</v>
      </c>
      <c r="Y148" s="55">
        <v>4005.7399003847222</v>
      </c>
      <c r="Z148">
        <v>53.28331588288917</v>
      </c>
      <c r="AA148" s="54">
        <v>256.23</v>
      </c>
      <c r="AB148" s="26"/>
      <c r="AC148">
        <f t="shared" si="200"/>
        <v>0</v>
      </c>
      <c r="AD148" s="59"/>
      <c r="AE148" t="str">
        <f t="shared" si="201"/>
        <v>T</v>
      </c>
      <c r="AF148" s="57">
        <f t="shared" si="202"/>
        <v>0</v>
      </c>
      <c r="AG148" s="56" t="str">
        <f t="shared" si="203"/>
        <v>m⁻²</v>
      </c>
      <c r="AH148" s="26">
        <f t="shared" si="204"/>
        <v>0</v>
      </c>
      <c r="AI148" t="str">
        <f t="shared" si="205"/>
        <v>T/m</v>
      </c>
    </row>
    <row r="149" spans="1:35" s="25" customFormat="1" hidden="1" x14ac:dyDescent="0.25">
      <c r="A149">
        <v>240</v>
      </c>
      <c r="B149" s="38" t="s">
        <v>276</v>
      </c>
      <c r="C149" t="s">
        <v>65</v>
      </c>
      <c r="D149" t="s">
        <v>249</v>
      </c>
      <c r="E149" t="s">
        <v>67</v>
      </c>
      <c r="F149" t="s">
        <v>112</v>
      </c>
      <c r="G149" s="22">
        <v>2</v>
      </c>
      <c r="H149" s="22"/>
      <c r="I149" t="s">
        <v>214</v>
      </c>
      <c r="J149" s="80" t="s">
        <v>284</v>
      </c>
      <c r="K149" s="28">
        <v>4.1695511899769002</v>
      </c>
      <c r="L149" s="5" t="str">
        <f t="shared" si="198"/>
        <v>T.mm</v>
      </c>
      <c r="M149" s="5">
        <f>VLOOKUP(Table!$I149,Specs!$A:$R,MATCH(Table!M$3,Specs!$A$1:$R$1,0),FALSE)</f>
        <v>0</v>
      </c>
      <c r="N149" s="5">
        <f>VLOOKUP(Table!$I149,Specs!$A:$R,MATCH(Table!N$3,Specs!$A$1:$R$1,0),FALSE)</f>
        <v>30</v>
      </c>
      <c r="O149" s="13">
        <f t="shared" si="199"/>
        <v>0</v>
      </c>
      <c r="P149" s="19">
        <f>VLOOKUP(Table!$I149,Specs!$A:$R,MATCH(Table!P$3,Specs!$A$1:$R$1,0),FALSE)</f>
        <v>0</v>
      </c>
      <c r="Q149" s="19">
        <f>VLOOKUP(Table!$I149,Specs!$A:$R,MATCH(Table!Q$3,Specs!$A$1:$R$1,0),FALSE)</f>
        <v>0</v>
      </c>
      <c r="R149" s="19">
        <v>25</v>
      </c>
      <c r="S149" s="19">
        <f>VLOOKUP(Table!$I149,Specs!$A:$R,MATCH(Table!S$3,Specs!$A$1:$R$1,0),FALSE)</f>
        <v>0</v>
      </c>
      <c r="T149" s="74">
        <v>0.33126666666666671</v>
      </c>
      <c r="U149" s="14"/>
      <c r="V149" s="57"/>
      <c r="W149" s="14"/>
      <c r="X149" s="14"/>
      <c r="Y149" s="55"/>
      <c r="Z149"/>
      <c r="AA149" s="54"/>
      <c r="AB149" s="26"/>
      <c r="AC149">
        <f t="shared" si="200"/>
        <v>0</v>
      </c>
      <c r="AD149" s="59"/>
      <c r="AE149" t="str">
        <f t="shared" si="201"/>
        <v>T.mm</v>
      </c>
      <c r="AF149" s="57">
        <f t="shared" si="202"/>
        <v>0</v>
      </c>
      <c r="AG149" s="56" t="str">
        <f t="shared" si="203"/>
        <v>mrad</v>
      </c>
      <c r="AH149" s="26" t="e">
        <f t="shared" si="204"/>
        <v>#DIV/0!</v>
      </c>
      <c r="AI149" t="str">
        <f t="shared" si="205"/>
        <v>mT</v>
      </c>
    </row>
    <row r="150" spans="1:35" s="25" customFormat="1" hidden="1" x14ac:dyDescent="0.25">
      <c r="A150">
        <v>240</v>
      </c>
      <c r="B150" s="38" t="s">
        <v>276</v>
      </c>
      <c r="C150" t="s">
        <v>65</v>
      </c>
      <c r="D150" t="s">
        <v>249</v>
      </c>
      <c r="E150" t="s">
        <v>67</v>
      </c>
      <c r="F150" t="s">
        <v>68</v>
      </c>
      <c r="G150" s="22">
        <v>2</v>
      </c>
      <c r="H150" s="22"/>
      <c r="I150" t="s">
        <v>214</v>
      </c>
      <c r="J150" s="80" t="s">
        <v>284</v>
      </c>
      <c r="K150" s="28">
        <v>4.1695511899769002</v>
      </c>
      <c r="L150" s="5" t="str">
        <f t="shared" si="198"/>
        <v>T.mm</v>
      </c>
      <c r="M150" s="5">
        <f>VLOOKUP(Table!$I150,Specs!$A:$R,MATCH(Table!M$3,Specs!$A$1:$R$1,0),FALSE)</f>
        <v>0</v>
      </c>
      <c r="N150" s="5">
        <f>VLOOKUP(Table!$I150,Specs!$A:$R,MATCH(Table!N$3,Specs!$A$1:$R$1,0),FALSE)</f>
        <v>30</v>
      </c>
      <c r="O150" s="13">
        <f t="shared" si="199"/>
        <v>0</v>
      </c>
      <c r="P150" s="19">
        <f>VLOOKUP(Table!$I150,Specs!$A:$R,MATCH(Table!P$3,Specs!$A$1:$R$1,0),FALSE)</f>
        <v>0</v>
      </c>
      <c r="Q150" s="19">
        <f>VLOOKUP(Table!$I150,Specs!$A:$R,MATCH(Table!Q$3,Specs!$A$1:$R$1,0),FALSE)</f>
        <v>0</v>
      </c>
      <c r="R150" s="19">
        <v>25</v>
      </c>
      <c r="S150" s="19">
        <f>VLOOKUP(Table!$I150,Specs!$A:$R,MATCH(Table!S$3,Specs!$A$1:$R$1,0),FALSE)</f>
        <v>0</v>
      </c>
      <c r="T150" s="74">
        <v>0.33001333333333333</v>
      </c>
      <c r="U150" s="14"/>
      <c r="V150" s="57"/>
      <c r="W150" s="14"/>
      <c r="X150" s="14"/>
      <c r="Y150" s="55"/>
      <c r="Z150"/>
      <c r="AA150" s="54"/>
      <c r="AB150" s="26"/>
      <c r="AC150">
        <f t="shared" si="200"/>
        <v>0</v>
      </c>
      <c r="AD150" s="59"/>
      <c r="AE150" t="str">
        <f t="shared" si="201"/>
        <v>T.mm</v>
      </c>
      <c r="AF150" s="57">
        <f t="shared" si="202"/>
        <v>0</v>
      </c>
      <c r="AG150" s="56" t="str">
        <f t="shared" si="203"/>
        <v>mrad</v>
      </c>
      <c r="AH150" s="26" t="e">
        <f t="shared" si="204"/>
        <v>#DIV/0!</v>
      </c>
      <c r="AI150" t="str">
        <f t="shared" si="205"/>
        <v>mT</v>
      </c>
    </row>
    <row r="151" spans="1:35" s="25" customFormat="1" x14ac:dyDescent="0.25">
      <c r="A151">
        <v>600</v>
      </c>
      <c r="B151" s="38" t="s">
        <v>276</v>
      </c>
      <c r="C151" t="s">
        <v>65</v>
      </c>
      <c r="D151" t="s">
        <v>249</v>
      </c>
      <c r="E151" t="s">
        <v>67</v>
      </c>
      <c r="F151" t="s">
        <v>70</v>
      </c>
      <c r="G151" s="22">
        <v>3</v>
      </c>
      <c r="H151" s="22"/>
      <c r="I151" t="s">
        <v>167</v>
      </c>
      <c r="J151" s="80" t="s">
        <v>285</v>
      </c>
      <c r="K151" s="28">
        <v>4.5031152851750527</v>
      </c>
      <c r="L151" s="5" t="str">
        <f t="shared" si="198"/>
        <v>T</v>
      </c>
      <c r="M151" s="5">
        <f>VLOOKUP(Table!$I151,Specs!$A:$R,MATCH(Table!M$3,Specs!$A$1:$R$1,0),FALSE)</f>
        <v>0</v>
      </c>
      <c r="N151" s="5">
        <f>VLOOKUP(Table!$I151,Specs!$A:$R,MATCH(Table!N$3,Specs!$A$1:$R$1,0),FALSE)</f>
        <v>176.4</v>
      </c>
      <c r="O151" s="13">
        <f t="shared" si="199"/>
        <v>0</v>
      </c>
      <c r="P151" s="19">
        <f>VLOOKUP(Table!$I151,Specs!$A:$R,MATCH(Table!P$3,Specs!$A$1:$R$1,0),FALSE)</f>
        <v>0</v>
      </c>
      <c r="Q151" s="19">
        <f>VLOOKUP(Table!$I151,Specs!$A:$R,MATCH(Table!Q$3,Specs!$A$1:$R$1,0),FALSE)</f>
        <v>0</v>
      </c>
      <c r="R151" s="19">
        <v>25</v>
      </c>
      <c r="S151" s="19">
        <f>VLOOKUP(Table!$I151,Specs!$A:$R,MATCH(Table!S$3,Specs!$A$1:$R$1,0),FALSE)</f>
        <v>0</v>
      </c>
      <c r="T151" s="86">
        <v>2.6784353940814524E-2</v>
      </c>
      <c r="U151" s="14"/>
      <c r="V151" s="74">
        <v>18.98709636907472</v>
      </c>
      <c r="W151" s="14">
        <v>0</v>
      </c>
      <c r="X151" s="85">
        <v>-9.6106532536160901E-6</v>
      </c>
      <c r="Y151" s="55">
        <v>1445.6824437081405</v>
      </c>
      <c r="Z151">
        <v>20.068559151544662</v>
      </c>
      <c r="AA151" s="54">
        <v>256.23</v>
      </c>
      <c r="AB151" s="26"/>
      <c r="AC151">
        <f t="shared" si="200"/>
        <v>0</v>
      </c>
      <c r="AD151" s="59"/>
      <c r="AE151" t="str">
        <f t="shared" si="201"/>
        <v>T</v>
      </c>
      <c r="AF151" s="57">
        <f t="shared" si="202"/>
        <v>0</v>
      </c>
      <c r="AG151" s="56" t="str">
        <f t="shared" si="203"/>
        <v>m⁻²</v>
      </c>
      <c r="AH151" s="26">
        <f t="shared" si="204"/>
        <v>0</v>
      </c>
      <c r="AI151" t="str">
        <f t="shared" si="205"/>
        <v>T/m</v>
      </c>
    </row>
    <row r="152" spans="1:35" s="25" customFormat="1" hidden="1" x14ac:dyDescent="0.25">
      <c r="A152">
        <v>600</v>
      </c>
      <c r="B152" s="38" t="s">
        <v>276</v>
      </c>
      <c r="C152" t="s">
        <v>65</v>
      </c>
      <c r="D152" t="s">
        <v>249</v>
      </c>
      <c r="E152" t="s">
        <v>67</v>
      </c>
      <c r="F152" t="s">
        <v>112</v>
      </c>
      <c r="G152" s="22">
        <v>3</v>
      </c>
      <c r="H152" s="22"/>
      <c r="I152" t="s">
        <v>214</v>
      </c>
      <c r="J152" s="80" t="s">
        <v>285</v>
      </c>
      <c r="K152" s="28">
        <v>10.006922855944561</v>
      </c>
      <c r="L152" s="5" t="str">
        <f t="shared" si="198"/>
        <v>T.mm</v>
      </c>
      <c r="M152" s="5">
        <f>VLOOKUP(Table!$I152,Specs!$A:$R,MATCH(Table!M$3,Specs!$A$1:$R$1,0),FALSE)</f>
        <v>0</v>
      </c>
      <c r="N152" s="5">
        <f>VLOOKUP(Table!$I152,Specs!$A:$R,MATCH(Table!N$3,Specs!$A$1:$R$1,0),FALSE)</f>
        <v>30</v>
      </c>
      <c r="O152" s="13">
        <f t="shared" si="199"/>
        <v>0</v>
      </c>
      <c r="P152" s="19">
        <f>VLOOKUP(Table!$I152,Specs!$A:$R,MATCH(Table!P$3,Specs!$A$1:$R$1,0),FALSE)</f>
        <v>0</v>
      </c>
      <c r="Q152" s="19">
        <f>VLOOKUP(Table!$I152,Specs!$A:$R,MATCH(Table!Q$3,Specs!$A$1:$R$1,0),FALSE)</f>
        <v>0</v>
      </c>
      <c r="R152" s="19">
        <v>25</v>
      </c>
      <c r="S152" s="19">
        <f>VLOOKUP(Table!$I152,Specs!$A:$R,MATCH(Table!S$3,Specs!$A$1:$R$1,0),FALSE)</f>
        <v>0</v>
      </c>
      <c r="T152" s="74">
        <v>0.33212333333333333</v>
      </c>
      <c r="U152" s="14"/>
      <c r="V152" s="57"/>
      <c r="W152" s="14"/>
      <c r="X152" s="14"/>
      <c r="Y152" s="55"/>
      <c r="Z152"/>
      <c r="AA152" s="54"/>
      <c r="AB152" s="26"/>
      <c r="AC152">
        <f t="shared" si="200"/>
        <v>0</v>
      </c>
      <c r="AD152" s="59"/>
      <c r="AE152" t="str">
        <f t="shared" si="201"/>
        <v>T.mm</v>
      </c>
      <c r="AF152" s="57">
        <f t="shared" si="202"/>
        <v>0</v>
      </c>
      <c r="AG152" s="56" t="str">
        <f t="shared" si="203"/>
        <v>mrad</v>
      </c>
      <c r="AH152" s="26" t="e">
        <f t="shared" si="204"/>
        <v>#DIV/0!</v>
      </c>
      <c r="AI152" t="str">
        <f t="shared" si="205"/>
        <v>mT</v>
      </c>
    </row>
    <row r="153" spans="1:35" s="25" customFormat="1" hidden="1" x14ac:dyDescent="0.25">
      <c r="A153">
        <v>600</v>
      </c>
      <c r="B153" s="38" t="s">
        <v>276</v>
      </c>
      <c r="C153" t="s">
        <v>65</v>
      </c>
      <c r="D153" t="s">
        <v>249</v>
      </c>
      <c r="E153" t="s">
        <v>67</v>
      </c>
      <c r="F153" t="s">
        <v>68</v>
      </c>
      <c r="G153" s="22">
        <v>3</v>
      </c>
      <c r="H153" s="22"/>
      <c r="I153" t="s">
        <v>214</v>
      </c>
      <c r="J153" s="80" t="s">
        <v>285</v>
      </c>
      <c r="K153" s="28">
        <v>10.006922855944561</v>
      </c>
      <c r="L153" s="5" t="str">
        <f t="shared" si="198"/>
        <v>T.mm</v>
      </c>
      <c r="M153" s="5">
        <f>VLOOKUP(Table!$I153,Specs!$A:$R,MATCH(Table!M$3,Specs!$A$1:$R$1,0),FALSE)</f>
        <v>0</v>
      </c>
      <c r="N153" s="5">
        <f>VLOOKUP(Table!$I153,Specs!$A:$R,MATCH(Table!N$3,Specs!$A$1:$R$1,0),FALSE)</f>
        <v>30</v>
      </c>
      <c r="O153" s="13">
        <f t="shared" si="199"/>
        <v>0</v>
      </c>
      <c r="P153" s="19">
        <f>VLOOKUP(Table!$I153,Specs!$A:$R,MATCH(Table!P$3,Specs!$A$1:$R$1,0),FALSE)</f>
        <v>0</v>
      </c>
      <c r="Q153" s="19">
        <f>VLOOKUP(Table!$I153,Specs!$A:$R,MATCH(Table!Q$3,Specs!$A$1:$R$1,0),FALSE)</f>
        <v>0</v>
      </c>
      <c r="R153" s="19">
        <v>25</v>
      </c>
      <c r="S153" s="19">
        <f>VLOOKUP(Table!$I153,Specs!$A:$R,MATCH(Table!S$3,Specs!$A$1:$R$1,0),FALSE)</f>
        <v>0</v>
      </c>
      <c r="T153" s="74">
        <v>0.32812333333333332</v>
      </c>
      <c r="U153" s="14"/>
      <c r="V153" s="57"/>
      <c r="W153" s="14"/>
      <c r="X153" s="14"/>
      <c r="Y153" s="55"/>
      <c r="Z153"/>
      <c r="AA153" s="54"/>
      <c r="AB153" s="26"/>
      <c r="AC153">
        <f t="shared" si="200"/>
        <v>0</v>
      </c>
      <c r="AD153" s="59"/>
      <c r="AE153" t="str">
        <f t="shared" si="201"/>
        <v>T.mm</v>
      </c>
      <c r="AF153" s="57">
        <f t="shared" si="202"/>
        <v>0</v>
      </c>
      <c r="AG153" s="56" t="str">
        <f t="shared" si="203"/>
        <v>mrad</v>
      </c>
      <c r="AH153" s="26" t="e">
        <f t="shared" si="204"/>
        <v>#DIV/0!</v>
      </c>
      <c r="AI153" t="str">
        <f t="shared" si="205"/>
        <v>mT</v>
      </c>
    </row>
    <row r="154" spans="1:35" s="25" customFormat="1" x14ac:dyDescent="0.25">
      <c r="A154">
        <v>600</v>
      </c>
      <c r="B154" s="38" t="s">
        <v>276</v>
      </c>
      <c r="C154" t="s">
        <v>65</v>
      </c>
      <c r="D154" t="s">
        <v>249</v>
      </c>
      <c r="E154" t="s">
        <v>67</v>
      </c>
      <c r="F154" t="s">
        <v>70</v>
      </c>
      <c r="G154" s="22">
        <v>4</v>
      </c>
      <c r="H154" s="22"/>
      <c r="I154" t="s">
        <v>167</v>
      </c>
      <c r="J154" s="80" t="s">
        <v>286</v>
      </c>
      <c r="K154" s="28">
        <v>4.5031152851750527</v>
      </c>
      <c r="L154" s="5" t="str">
        <f t="shared" si="198"/>
        <v>T</v>
      </c>
      <c r="M154" s="5">
        <f>VLOOKUP(Table!$I154,Specs!$A:$R,MATCH(Table!M$3,Specs!$A$1:$R$1,0),FALSE)</f>
        <v>0</v>
      </c>
      <c r="N154" s="5">
        <f>VLOOKUP(Table!$I154,Specs!$A:$R,MATCH(Table!N$3,Specs!$A$1:$R$1,0),FALSE)</f>
        <v>176.4</v>
      </c>
      <c r="O154" s="13">
        <f t="shared" si="199"/>
        <v>0</v>
      </c>
      <c r="P154" s="19">
        <f>VLOOKUP(Table!$I154,Specs!$A:$R,MATCH(Table!P$3,Specs!$A$1:$R$1,0),FALSE)</f>
        <v>0</v>
      </c>
      <c r="Q154" s="19">
        <f>VLOOKUP(Table!$I154,Specs!$A:$R,MATCH(Table!Q$3,Specs!$A$1:$R$1,0),FALSE)</f>
        <v>0</v>
      </c>
      <c r="R154" s="19">
        <v>25</v>
      </c>
      <c r="S154" s="19">
        <f>VLOOKUP(Table!$I154,Specs!$A:$R,MATCH(Table!S$3,Specs!$A$1:$R$1,0),FALSE)</f>
        <v>0</v>
      </c>
      <c r="T154" s="86">
        <v>2.6249633753296215E-2</v>
      </c>
      <c r="U154" s="14"/>
      <c r="V154" s="74">
        <v>21.618806560300868</v>
      </c>
      <c r="W154" s="14">
        <v>0</v>
      </c>
      <c r="X154" s="85">
        <v>-3.3368647976197701E-6</v>
      </c>
      <c r="Y154" s="55">
        <v>3991.7198099627994</v>
      </c>
      <c r="Z154">
        <v>53.170736477102146</v>
      </c>
      <c r="AA154" s="54">
        <v>256.23</v>
      </c>
      <c r="AB154" s="26"/>
      <c r="AC154">
        <f t="shared" si="200"/>
        <v>0</v>
      </c>
      <c r="AD154" s="59"/>
      <c r="AE154" t="str">
        <f t="shared" si="201"/>
        <v>T</v>
      </c>
      <c r="AF154" s="57">
        <f t="shared" si="202"/>
        <v>0</v>
      </c>
      <c r="AG154" s="56" t="str">
        <f t="shared" si="203"/>
        <v>m⁻²</v>
      </c>
      <c r="AH154" s="26">
        <f t="shared" si="204"/>
        <v>0</v>
      </c>
      <c r="AI154" t="str">
        <f t="shared" si="205"/>
        <v>T/m</v>
      </c>
    </row>
    <row r="155" spans="1:35" s="25" customFormat="1" hidden="1" x14ac:dyDescent="0.25">
      <c r="A155">
        <v>600</v>
      </c>
      <c r="B155" s="38" t="s">
        <v>276</v>
      </c>
      <c r="C155" t="s">
        <v>65</v>
      </c>
      <c r="D155" t="s">
        <v>249</v>
      </c>
      <c r="E155" t="s">
        <v>67</v>
      </c>
      <c r="F155" t="s">
        <v>112</v>
      </c>
      <c r="G155" s="22">
        <v>4</v>
      </c>
      <c r="H155" s="22"/>
      <c r="I155" t="s">
        <v>214</v>
      </c>
      <c r="J155" s="80" t="s">
        <v>286</v>
      </c>
      <c r="K155" s="28">
        <v>10.006922855944561</v>
      </c>
      <c r="L155" s="5" t="str">
        <f t="shared" si="198"/>
        <v>T.mm</v>
      </c>
      <c r="M155" s="5">
        <f>VLOOKUP(Table!$I155,Specs!$A:$R,MATCH(Table!M$3,Specs!$A$1:$R$1,0),FALSE)</f>
        <v>0</v>
      </c>
      <c r="N155" s="5">
        <f>VLOOKUP(Table!$I155,Specs!$A:$R,MATCH(Table!N$3,Specs!$A$1:$R$1,0),FALSE)</f>
        <v>30</v>
      </c>
      <c r="O155" s="13">
        <f t="shared" si="199"/>
        <v>0</v>
      </c>
      <c r="P155" s="19">
        <f>VLOOKUP(Table!$I155,Specs!$A:$R,MATCH(Table!P$3,Specs!$A$1:$R$1,0),FALSE)</f>
        <v>0</v>
      </c>
      <c r="Q155" s="19">
        <f>VLOOKUP(Table!$I155,Specs!$A:$R,MATCH(Table!Q$3,Specs!$A$1:$R$1,0),FALSE)</f>
        <v>0</v>
      </c>
      <c r="R155" s="19">
        <v>25</v>
      </c>
      <c r="S155" s="19">
        <f>VLOOKUP(Table!$I155,Specs!$A:$R,MATCH(Table!S$3,Specs!$A$1:$R$1,0),FALSE)</f>
        <v>0</v>
      </c>
      <c r="T155" s="74">
        <v>0.33195333333333338</v>
      </c>
      <c r="U155" s="14"/>
      <c r="V155" s="57"/>
      <c r="W155" s="14"/>
      <c r="X155" s="14"/>
      <c r="Y155" s="55"/>
      <c r="Z155"/>
      <c r="AA155" s="54"/>
      <c r="AB155" s="26"/>
      <c r="AC155">
        <f t="shared" si="200"/>
        <v>0</v>
      </c>
      <c r="AD155" s="59"/>
      <c r="AE155" t="str">
        <f t="shared" si="201"/>
        <v>T.mm</v>
      </c>
      <c r="AF155" s="57">
        <f t="shared" si="202"/>
        <v>0</v>
      </c>
      <c r="AG155" s="56" t="str">
        <f t="shared" si="203"/>
        <v>mrad</v>
      </c>
      <c r="AH155" s="26" t="e">
        <f t="shared" si="204"/>
        <v>#DIV/0!</v>
      </c>
      <c r="AI155" t="str">
        <f t="shared" si="205"/>
        <v>mT</v>
      </c>
    </row>
    <row r="156" spans="1:35" s="25" customFormat="1" hidden="1" x14ac:dyDescent="0.25">
      <c r="A156">
        <v>600</v>
      </c>
      <c r="B156" s="38" t="s">
        <v>276</v>
      </c>
      <c r="C156" t="s">
        <v>65</v>
      </c>
      <c r="D156" t="s">
        <v>249</v>
      </c>
      <c r="E156" t="s">
        <v>67</v>
      </c>
      <c r="F156" t="s">
        <v>68</v>
      </c>
      <c r="G156" s="22">
        <v>4</v>
      </c>
      <c r="H156" s="22"/>
      <c r="I156" t="s">
        <v>214</v>
      </c>
      <c r="J156" s="80" t="s">
        <v>286</v>
      </c>
      <c r="K156" s="28">
        <v>10.006922855944561</v>
      </c>
      <c r="L156" s="5" t="str">
        <f t="shared" si="198"/>
        <v>T.mm</v>
      </c>
      <c r="M156" s="5">
        <f>VLOOKUP(Table!$I156,Specs!$A:$R,MATCH(Table!M$3,Specs!$A$1:$R$1,0),FALSE)</f>
        <v>0</v>
      </c>
      <c r="N156" s="5">
        <f>VLOOKUP(Table!$I156,Specs!$A:$R,MATCH(Table!N$3,Specs!$A$1:$R$1,0),FALSE)</f>
        <v>30</v>
      </c>
      <c r="O156" s="13">
        <f t="shared" si="199"/>
        <v>0</v>
      </c>
      <c r="P156" s="19">
        <f>VLOOKUP(Table!$I156,Specs!$A:$R,MATCH(Table!P$3,Specs!$A$1:$R$1,0),FALSE)</f>
        <v>0</v>
      </c>
      <c r="Q156" s="19">
        <f>VLOOKUP(Table!$I156,Specs!$A:$R,MATCH(Table!Q$3,Specs!$A$1:$R$1,0),FALSE)</f>
        <v>0</v>
      </c>
      <c r="R156" s="19">
        <v>25</v>
      </c>
      <c r="S156" s="19">
        <f>VLOOKUP(Table!$I156,Specs!$A:$R,MATCH(Table!S$3,Specs!$A$1:$R$1,0),FALSE)</f>
        <v>0</v>
      </c>
      <c r="T156" s="74">
        <v>0.32897333333333328</v>
      </c>
      <c r="U156" s="14"/>
      <c r="V156" s="57"/>
      <c r="W156" s="14"/>
      <c r="X156" s="14"/>
      <c r="Y156" s="55"/>
      <c r="Z156"/>
      <c r="AA156" s="54"/>
      <c r="AB156" s="26"/>
      <c r="AC156">
        <f t="shared" si="200"/>
        <v>0</v>
      </c>
      <c r="AD156" s="59"/>
      <c r="AE156" t="str">
        <f t="shared" si="201"/>
        <v>T.mm</v>
      </c>
      <c r="AF156" s="57">
        <f t="shared" si="202"/>
        <v>0</v>
      </c>
      <c r="AG156" s="56" t="str">
        <f t="shared" si="203"/>
        <v>mrad</v>
      </c>
      <c r="AH156" s="26" t="e">
        <f t="shared" si="204"/>
        <v>#DIV/0!</v>
      </c>
      <c r="AI156" t="str">
        <f t="shared" si="205"/>
        <v>mT</v>
      </c>
    </row>
    <row r="157" spans="1:35" s="25" customFormat="1" x14ac:dyDescent="0.25">
      <c r="A157">
        <v>600</v>
      </c>
      <c r="B157" s="38" t="s">
        <v>276</v>
      </c>
      <c r="C157" t="s">
        <v>65</v>
      </c>
      <c r="D157" t="s">
        <v>249</v>
      </c>
      <c r="E157" t="s">
        <v>67</v>
      </c>
      <c r="F157" t="s">
        <v>70</v>
      </c>
      <c r="G157" s="22">
        <v>5</v>
      </c>
      <c r="H157" s="22"/>
      <c r="I157" t="s">
        <v>167</v>
      </c>
      <c r="J157" s="80" t="s">
        <v>287</v>
      </c>
      <c r="K157" s="28">
        <v>2.1264711068882192</v>
      </c>
      <c r="L157" s="5" t="str">
        <f t="shared" si="198"/>
        <v>T</v>
      </c>
      <c r="M157" s="5">
        <f>VLOOKUP(Table!$I157,Specs!$A:$R,MATCH(Table!M$3,Specs!$A$1:$R$1,0),FALSE)</f>
        <v>0</v>
      </c>
      <c r="N157" s="5">
        <f>VLOOKUP(Table!$I157,Specs!$A:$R,MATCH(Table!N$3,Specs!$A$1:$R$1,0),FALSE)</f>
        <v>176.4</v>
      </c>
      <c r="O157" s="13">
        <f t="shared" si="199"/>
        <v>0</v>
      </c>
      <c r="P157" s="19">
        <f>VLOOKUP(Table!$I157,Specs!$A:$R,MATCH(Table!P$3,Specs!$A$1:$R$1,0),FALSE)</f>
        <v>0</v>
      </c>
      <c r="Q157" s="19">
        <f>VLOOKUP(Table!$I157,Specs!$A:$R,MATCH(Table!Q$3,Specs!$A$1:$R$1,0),FALSE)</f>
        <v>0</v>
      </c>
      <c r="R157" s="19">
        <v>25</v>
      </c>
      <c r="S157" s="19">
        <f>VLOOKUP(Table!$I157,Specs!$A:$R,MATCH(Table!S$3,Specs!$A$1:$R$1,0),FALSE)</f>
        <v>0</v>
      </c>
      <c r="T157" s="86">
        <v>2.6218869030178723E-2</v>
      </c>
      <c r="U157" s="14"/>
      <c r="V157" s="74">
        <v>21.382601919634698</v>
      </c>
      <c r="W157" s="14">
        <v>0</v>
      </c>
      <c r="X157" s="85">
        <v>-3.3964117291842617E-6</v>
      </c>
      <c r="Y157" s="55">
        <v>3917.5949983276068</v>
      </c>
      <c r="Z157">
        <v>52.129348297582602</v>
      </c>
      <c r="AA157" s="54">
        <v>256.23</v>
      </c>
      <c r="AB157" s="26"/>
      <c r="AC157">
        <f t="shared" si="200"/>
        <v>0</v>
      </c>
      <c r="AD157" s="59"/>
      <c r="AE157" t="str">
        <f t="shared" si="201"/>
        <v>T</v>
      </c>
      <c r="AF157" s="57">
        <f t="shared" si="202"/>
        <v>0</v>
      </c>
      <c r="AG157" s="56" t="str">
        <f t="shared" si="203"/>
        <v>m⁻²</v>
      </c>
      <c r="AH157" s="26">
        <f t="shared" si="204"/>
        <v>0</v>
      </c>
      <c r="AI157" t="str">
        <f t="shared" si="205"/>
        <v>T/m</v>
      </c>
    </row>
    <row r="158" spans="1:35" s="25" customFormat="1" hidden="1" x14ac:dyDescent="0.25">
      <c r="A158">
        <v>600</v>
      </c>
      <c r="B158" s="38" t="s">
        <v>276</v>
      </c>
      <c r="C158" t="s">
        <v>65</v>
      </c>
      <c r="D158" t="s">
        <v>249</v>
      </c>
      <c r="E158" t="s">
        <v>67</v>
      </c>
      <c r="F158" t="s">
        <v>112</v>
      </c>
      <c r="G158" s="22">
        <v>5</v>
      </c>
      <c r="H158" s="22"/>
      <c r="I158" t="s">
        <v>214</v>
      </c>
      <c r="J158" s="80" t="s">
        <v>287</v>
      </c>
      <c r="K158" s="28">
        <v>10.006922855944561</v>
      </c>
      <c r="L158" s="5" t="str">
        <f t="shared" si="198"/>
        <v>T.mm</v>
      </c>
      <c r="M158" s="5">
        <f>VLOOKUP(Table!$I158,Specs!$A:$R,MATCH(Table!M$3,Specs!$A$1:$R$1,0),FALSE)</f>
        <v>0</v>
      </c>
      <c r="N158" s="5">
        <f>VLOOKUP(Table!$I158,Specs!$A:$R,MATCH(Table!N$3,Specs!$A$1:$R$1,0),FALSE)</f>
        <v>30</v>
      </c>
      <c r="O158" s="13">
        <f t="shared" si="199"/>
        <v>0</v>
      </c>
      <c r="P158" s="19">
        <f>VLOOKUP(Table!$I158,Specs!$A:$R,MATCH(Table!P$3,Specs!$A$1:$R$1,0),FALSE)</f>
        <v>0</v>
      </c>
      <c r="Q158" s="19">
        <f>VLOOKUP(Table!$I158,Specs!$A:$R,MATCH(Table!Q$3,Specs!$A$1:$R$1,0),FALSE)</f>
        <v>0</v>
      </c>
      <c r="R158" s="19">
        <v>25</v>
      </c>
      <c r="S158" s="19">
        <f>VLOOKUP(Table!$I158,Specs!$A:$R,MATCH(Table!S$3,Specs!$A$1:$R$1,0),FALSE)</f>
        <v>0</v>
      </c>
      <c r="T158" s="74">
        <v>0.33072333333333331</v>
      </c>
      <c r="U158" s="14"/>
      <c r="V158" s="57"/>
      <c r="W158" s="14"/>
      <c r="X158" s="14"/>
      <c r="Y158" s="55"/>
      <c r="Z158"/>
      <c r="AA158" s="54"/>
      <c r="AB158" s="26"/>
      <c r="AC158">
        <f t="shared" si="200"/>
        <v>0</v>
      </c>
      <c r="AD158" s="59"/>
      <c r="AE158" t="str">
        <f t="shared" si="201"/>
        <v>T.mm</v>
      </c>
      <c r="AF158" s="57">
        <f t="shared" si="202"/>
        <v>0</v>
      </c>
      <c r="AG158" s="56" t="str">
        <f t="shared" si="203"/>
        <v>mrad</v>
      </c>
      <c r="AH158" s="26" t="e">
        <f t="shared" si="204"/>
        <v>#DIV/0!</v>
      </c>
      <c r="AI158" t="str">
        <f t="shared" si="205"/>
        <v>mT</v>
      </c>
    </row>
    <row r="159" spans="1:35" s="25" customFormat="1" hidden="1" x14ac:dyDescent="0.25">
      <c r="A159">
        <v>600</v>
      </c>
      <c r="B159" s="38" t="s">
        <v>276</v>
      </c>
      <c r="C159" t="s">
        <v>65</v>
      </c>
      <c r="D159" t="s">
        <v>249</v>
      </c>
      <c r="E159" t="s">
        <v>67</v>
      </c>
      <c r="F159" t="s">
        <v>68</v>
      </c>
      <c r="G159" s="22">
        <v>5</v>
      </c>
      <c r="H159" s="22"/>
      <c r="I159" t="s">
        <v>214</v>
      </c>
      <c r="J159" s="80" t="s">
        <v>287</v>
      </c>
      <c r="K159" s="28">
        <v>10.006922855944561</v>
      </c>
      <c r="L159" s="5" t="str">
        <f t="shared" si="198"/>
        <v>T.mm</v>
      </c>
      <c r="M159" s="5">
        <f>VLOOKUP(Table!$I159,Specs!$A:$R,MATCH(Table!M$3,Specs!$A$1:$R$1,0),FALSE)</f>
        <v>0</v>
      </c>
      <c r="N159" s="5">
        <f>VLOOKUP(Table!$I159,Specs!$A:$R,MATCH(Table!N$3,Specs!$A$1:$R$1,0),FALSE)</f>
        <v>30</v>
      </c>
      <c r="O159" s="13">
        <f t="shared" si="199"/>
        <v>0</v>
      </c>
      <c r="P159" s="19">
        <f>VLOOKUP(Table!$I159,Specs!$A:$R,MATCH(Table!P$3,Specs!$A$1:$R$1,0),FALSE)</f>
        <v>0</v>
      </c>
      <c r="Q159" s="19">
        <f>VLOOKUP(Table!$I159,Specs!$A:$R,MATCH(Table!Q$3,Specs!$A$1:$R$1,0),FALSE)</f>
        <v>0</v>
      </c>
      <c r="R159" s="19">
        <v>25</v>
      </c>
      <c r="S159" s="19">
        <f>VLOOKUP(Table!$I159,Specs!$A:$R,MATCH(Table!S$3,Specs!$A$1:$R$1,0),FALSE)</f>
        <v>0</v>
      </c>
      <c r="T159" s="74">
        <v>0.32934999999999998</v>
      </c>
      <c r="U159" s="14"/>
      <c r="V159" s="57"/>
      <c r="W159" s="14"/>
      <c r="X159" s="14"/>
      <c r="Y159" s="55"/>
      <c r="Z159"/>
      <c r="AA159" s="54"/>
      <c r="AB159" s="26"/>
      <c r="AC159">
        <f t="shared" si="200"/>
        <v>0</v>
      </c>
      <c r="AD159" s="59"/>
      <c r="AE159" t="str">
        <f t="shared" si="201"/>
        <v>T.mm</v>
      </c>
      <c r="AF159" s="57">
        <f t="shared" si="202"/>
        <v>0</v>
      </c>
      <c r="AG159" s="56" t="str">
        <f t="shared" si="203"/>
        <v>mrad</v>
      </c>
      <c r="AH159" s="26" t="e">
        <f t="shared" si="204"/>
        <v>#DIV/0!</v>
      </c>
      <c r="AI159" t="str">
        <f t="shared" si="205"/>
        <v>mT</v>
      </c>
    </row>
    <row r="160" spans="1:35" s="25" customFormat="1" x14ac:dyDescent="0.25">
      <c r="A160">
        <v>600</v>
      </c>
      <c r="B160" s="38" t="s">
        <v>276</v>
      </c>
      <c r="C160" t="s">
        <v>65</v>
      </c>
      <c r="D160" t="s">
        <v>249</v>
      </c>
      <c r="E160" t="s">
        <v>67</v>
      </c>
      <c r="F160" t="s">
        <v>70</v>
      </c>
      <c r="G160" s="22">
        <v>6</v>
      </c>
      <c r="H160" s="22"/>
      <c r="I160" t="s">
        <v>167</v>
      </c>
      <c r="J160" s="80" t="s">
        <v>288</v>
      </c>
      <c r="K160" s="28">
        <v>2.1264711068882192</v>
      </c>
      <c r="L160" s="5" t="str">
        <f t="shared" si="198"/>
        <v>T</v>
      </c>
      <c r="M160" s="5">
        <f>VLOOKUP(Table!$I160,Specs!$A:$R,MATCH(Table!M$3,Specs!$A$1:$R$1,0),FALSE)</f>
        <v>0</v>
      </c>
      <c r="N160" s="5">
        <f>VLOOKUP(Table!$I160,Specs!$A:$R,MATCH(Table!N$3,Specs!$A$1:$R$1,0),FALSE)</f>
        <v>176.4</v>
      </c>
      <c r="O160" s="13">
        <f t="shared" si="199"/>
        <v>0</v>
      </c>
      <c r="P160" s="19">
        <f>VLOOKUP(Table!$I160,Specs!$A:$R,MATCH(Table!P$3,Specs!$A$1:$R$1,0),FALSE)</f>
        <v>0</v>
      </c>
      <c r="Q160" s="19">
        <f>VLOOKUP(Table!$I160,Specs!$A:$R,MATCH(Table!Q$3,Specs!$A$1:$R$1,0),FALSE)</f>
        <v>0</v>
      </c>
      <c r="R160" s="19">
        <v>25</v>
      </c>
      <c r="S160" s="19">
        <f>VLOOKUP(Table!$I160,Specs!$A:$R,MATCH(Table!S$3,Specs!$A$1:$R$1,0),FALSE)</f>
        <v>0</v>
      </c>
      <c r="T160" s="86">
        <v>2.6226193964254324E-2</v>
      </c>
      <c r="U160" s="14"/>
      <c r="V160" s="74">
        <v>21.131061590225194</v>
      </c>
      <c r="W160" s="14">
        <v>0</v>
      </c>
      <c r="X160" s="85">
        <v>-3.187375376391955E-6</v>
      </c>
      <c r="Y160" s="55">
        <v>4171.2206628947861</v>
      </c>
      <c r="Z160">
        <v>55.46047607065519</v>
      </c>
      <c r="AA160" s="54">
        <v>256.23</v>
      </c>
      <c r="AB160" s="26"/>
      <c r="AC160">
        <f t="shared" si="200"/>
        <v>0</v>
      </c>
      <c r="AD160" s="59"/>
      <c r="AE160" t="str">
        <f t="shared" si="201"/>
        <v>T</v>
      </c>
      <c r="AF160" s="57">
        <f t="shared" si="202"/>
        <v>0</v>
      </c>
      <c r="AG160" s="56" t="str">
        <f t="shared" si="203"/>
        <v>m⁻²</v>
      </c>
      <c r="AH160" s="26">
        <f t="shared" si="204"/>
        <v>0</v>
      </c>
      <c r="AI160" t="str">
        <f t="shared" si="205"/>
        <v>T/m</v>
      </c>
    </row>
    <row r="161" spans="1:35" s="25" customFormat="1" hidden="1" x14ac:dyDescent="0.25">
      <c r="A161">
        <v>600</v>
      </c>
      <c r="B161" s="38" t="s">
        <v>276</v>
      </c>
      <c r="C161" t="s">
        <v>65</v>
      </c>
      <c r="D161" t="s">
        <v>249</v>
      </c>
      <c r="E161" t="s">
        <v>67</v>
      </c>
      <c r="F161" t="s">
        <v>112</v>
      </c>
      <c r="G161" s="22">
        <v>6</v>
      </c>
      <c r="H161" s="22"/>
      <c r="I161" t="s">
        <v>214</v>
      </c>
      <c r="J161" s="80" t="s">
        <v>288</v>
      </c>
      <c r="K161" s="28">
        <v>10.006922855944561</v>
      </c>
      <c r="L161" s="5" t="str">
        <f t="shared" si="198"/>
        <v>T.mm</v>
      </c>
      <c r="M161" s="5">
        <f>VLOOKUP(Table!$I161,Specs!$A:$R,MATCH(Table!M$3,Specs!$A$1:$R$1,0),FALSE)</f>
        <v>0</v>
      </c>
      <c r="N161" s="5">
        <f>VLOOKUP(Table!$I161,Specs!$A:$R,MATCH(Table!N$3,Specs!$A$1:$R$1,0),FALSE)</f>
        <v>30</v>
      </c>
      <c r="O161" s="13">
        <f t="shared" si="199"/>
        <v>0</v>
      </c>
      <c r="P161" s="19">
        <f>VLOOKUP(Table!$I161,Specs!$A:$R,MATCH(Table!P$3,Specs!$A$1:$R$1,0),FALSE)</f>
        <v>0</v>
      </c>
      <c r="Q161" s="19">
        <f>VLOOKUP(Table!$I161,Specs!$A:$R,MATCH(Table!Q$3,Specs!$A$1:$R$1,0),FALSE)</f>
        <v>0</v>
      </c>
      <c r="R161" s="19">
        <v>25</v>
      </c>
      <c r="S161" s="19">
        <f>VLOOKUP(Table!$I161,Specs!$A:$R,MATCH(Table!S$3,Specs!$A$1:$R$1,0),FALSE)</f>
        <v>0</v>
      </c>
      <c r="T161" s="74">
        <v>0.33312666666666668</v>
      </c>
      <c r="U161" s="14"/>
      <c r="V161" s="57"/>
      <c r="W161" s="14"/>
      <c r="X161" s="14"/>
      <c r="Y161" s="55"/>
      <c r="Z161"/>
      <c r="AA161" s="54"/>
      <c r="AB161" s="26"/>
      <c r="AC161">
        <f t="shared" si="200"/>
        <v>0</v>
      </c>
      <c r="AD161" s="59"/>
      <c r="AE161" t="str">
        <f t="shared" si="201"/>
        <v>T.mm</v>
      </c>
      <c r="AF161" s="57">
        <f t="shared" si="202"/>
        <v>0</v>
      </c>
      <c r="AG161" s="56" t="str">
        <f t="shared" si="203"/>
        <v>mrad</v>
      </c>
      <c r="AH161" s="26" t="e">
        <f t="shared" si="204"/>
        <v>#DIV/0!</v>
      </c>
      <c r="AI161" t="str">
        <f t="shared" si="205"/>
        <v>mT</v>
      </c>
    </row>
    <row r="162" spans="1:35" s="25" customFormat="1" hidden="1" x14ac:dyDescent="0.25">
      <c r="A162">
        <v>600</v>
      </c>
      <c r="B162" s="38" t="s">
        <v>276</v>
      </c>
      <c r="C162" t="s">
        <v>65</v>
      </c>
      <c r="D162" t="s">
        <v>249</v>
      </c>
      <c r="E162" t="s">
        <v>67</v>
      </c>
      <c r="F162" t="s">
        <v>68</v>
      </c>
      <c r="G162" s="22">
        <v>6</v>
      </c>
      <c r="H162" s="22"/>
      <c r="I162" t="s">
        <v>214</v>
      </c>
      <c r="J162" s="80" t="s">
        <v>288</v>
      </c>
      <c r="K162" s="28">
        <v>10.006922855944561</v>
      </c>
      <c r="L162" s="5" t="str">
        <f t="shared" si="198"/>
        <v>T.mm</v>
      </c>
      <c r="M162" s="5">
        <f>VLOOKUP(Table!$I162,Specs!$A:$R,MATCH(Table!M$3,Specs!$A$1:$R$1,0),FALSE)</f>
        <v>0</v>
      </c>
      <c r="N162" s="5">
        <f>VLOOKUP(Table!$I162,Specs!$A:$R,MATCH(Table!N$3,Specs!$A$1:$R$1,0),FALSE)</f>
        <v>30</v>
      </c>
      <c r="O162" s="13">
        <f t="shared" si="199"/>
        <v>0</v>
      </c>
      <c r="P162" s="19">
        <f>VLOOKUP(Table!$I162,Specs!$A:$R,MATCH(Table!P$3,Specs!$A$1:$R$1,0),FALSE)</f>
        <v>0</v>
      </c>
      <c r="Q162" s="19">
        <f>VLOOKUP(Table!$I162,Specs!$A:$R,MATCH(Table!Q$3,Specs!$A$1:$R$1,0),FALSE)</f>
        <v>0</v>
      </c>
      <c r="R162" s="19">
        <v>25</v>
      </c>
      <c r="S162" s="19">
        <f>VLOOKUP(Table!$I162,Specs!$A:$R,MATCH(Table!S$3,Specs!$A$1:$R$1,0),FALSE)</f>
        <v>0</v>
      </c>
      <c r="T162" s="74">
        <v>0.3278666666666667</v>
      </c>
      <c r="U162" s="14"/>
      <c r="V162" s="57"/>
      <c r="W162" s="14"/>
      <c r="X162" s="14"/>
      <c r="Y162" s="55"/>
      <c r="Z162"/>
      <c r="AA162" s="54"/>
      <c r="AB162" s="26"/>
      <c r="AC162">
        <f t="shared" si="200"/>
        <v>0</v>
      </c>
      <c r="AD162" s="59"/>
      <c r="AE162" t="str">
        <f t="shared" si="201"/>
        <v>T.mm</v>
      </c>
      <c r="AF162" s="57">
        <f t="shared" si="202"/>
        <v>0</v>
      </c>
      <c r="AG162" s="56" t="str">
        <f t="shared" si="203"/>
        <v>mrad</v>
      </c>
      <c r="AH162" s="26" t="e">
        <f t="shared" si="204"/>
        <v>#DIV/0!</v>
      </c>
      <c r="AI162" t="str">
        <f t="shared" si="205"/>
        <v>mT</v>
      </c>
    </row>
    <row r="163" spans="1:35" s="25" customFormat="1" x14ac:dyDescent="0.25">
      <c r="A163">
        <v>600</v>
      </c>
      <c r="B163" s="38" t="s">
        <v>276</v>
      </c>
      <c r="C163" t="s">
        <v>65</v>
      </c>
      <c r="D163" t="s">
        <v>249</v>
      </c>
      <c r="E163" t="s">
        <v>67</v>
      </c>
      <c r="F163" t="s">
        <v>70</v>
      </c>
      <c r="G163" s="22">
        <v>7</v>
      </c>
      <c r="H163" s="22"/>
      <c r="I163" t="s">
        <v>167</v>
      </c>
      <c r="J163" s="80" t="s">
        <v>289</v>
      </c>
      <c r="K163" s="28">
        <v>2.1264711068882192</v>
      </c>
      <c r="L163" s="5" t="str">
        <f t="shared" si="198"/>
        <v>T</v>
      </c>
      <c r="M163" s="5">
        <f>VLOOKUP(Table!$I163,Specs!$A:$R,MATCH(Table!M$3,Specs!$A$1:$R$1,0),FALSE)</f>
        <v>0</v>
      </c>
      <c r="N163" s="5">
        <f>VLOOKUP(Table!$I163,Specs!$A:$R,MATCH(Table!N$3,Specs!$A$1:$R$1,0),FALSE)</f>
        <v>176.4</v>
      </c>
      <c r="O163" s="13">
        <f t="shared" si="199"/>
        <v>0</v>
      </c>
      <c r="P163" s="19">
        <f>VLOOKUP(Table!$I163,Specs!$A:$R,MATCH(Table!P$3,Specs!$A$1:$R$1,0),FALSE)</f>
        <v>0</v>
      </c>
      <c r="Q163" s="19">
        <f>VLOOKUP(Table!$I163,Specs!$A:$R,MATCH(Table!Q$3,Specs!$A$1:$R$1,0),FALSE)</f>
        <v>0</v>
      </c>
      <c r="R163" s="19">
        <v>25</v>
      </c>
      <c r="S163" s="19">
        <f>VLOOKUP(Table!$I163,Specs!$A:$R,MATCH(Table!S$3,Specs!$A$1:$R$1,0),FALSE)</f>
        <v>0</v>
      </c>
      <c r="T163" s="86">
        <v>2.6215939056548489E-2</v>
      </c>
      <c r="U163" s="14"/>
      <c r="V163" s="74">
        <v>21.373478687435771</v>
      </c>
      <c r="W163" s="14">
        <v>0</v>
      </c>
      <c r="X163" s="85">
        <v>-3.1031560337693933E-6</v>
      </c>
      <c r="Y163" s="55">
        <v>4281.8580607569611</v>
      </c>
      <c r="Z163">
        <v>56.897021519018743</v>
      </c>
      <c r="AA163" s="54">
        <v>256.23</v>
      </c>
      <c r="AB163" s="26"/>
      <c r="AC163">
        <f t="shared" si="200"/>
        <v>0</v>
      </c>
      <c r="AD163" s="59"/>
      <c r="AE163" t="str">
        <f t="shared" si="201"/>
        <v>T</v>
      </c>
      <c r="AF163" s="57">
        <f t="shared" si="202"/>
        <v>0</v>
      </c>
      <c r="AG163" s="56" t="str">
        <f t="shared" si="203"/>
        <v>m⁻²</v>
      </c>
      <c r="AH163" s="26">
        <f t="shared" si="204"/>
        <v>0</v>
      </c>
      <c r="AI163" t="str">
        <f t="shared" si="205"/>
        <v>T/m</v>
      </c>
    </row>
    <row r="164" spans="1:35" s="25" customFormat="1" hidden="1" x14ac:dyDescent="0.25">
      <c r="A164">
        <v>600</v>
      </c>
      <c r="B164" s="38" t="s">
        <v>276</v>
      </c>
      <c r="C164" t="s">
        <v>65</v>
      </c>
      <c r="D164" t="s">
        <v>249</v>
      </c>
      <c r="E164" t="s">
        <v>67</v>
      </c>
      <c r="F164" t="s">
        <v>112</v>
      </c>
      <c r="G164" s="22">
        <v>7</v>
      </c>
      <c r="H164" s="22"/>
      <c r="I164" t="s">
        <v>214</v>
      </c>
      <c r="J164" s="80" t="s">
        <v>289</v>
      </c>
      <c r="K164" s="28">
        <v>10.006922855944561</v>
      </c>
      <c r="L164" s="5" t="str">
        <f t="shared" si="198"/>
        <v>T.mm</v>
      </c>
      <c r="M164" s="5">
        <f>VLOOKUP(Table!$I164,Specs!$A:$R,MATCH(Table!M$3,Specs!$A$1:$R$1,0),FALSE)</f>
        <v>0</v>
      </c>
      <c r="N164" s="5">
        <f>VLOOKUP(Table!$I164,Specs!$A:$R,MATCH(Table!N$3,Specs!$A$1:$R$1,0),FALSE)</f>
        <v>30</v>
      </c>
      <c r="O164" s="13">
        <f t="shared" si="199"/>
        <v>0</v>
      </c>
      <c r="P164" s="19">
        <f>VLOOKUP(Table!$I164,Specs!$A:$R,MATCH(Table!P$3,Specs!$A$1:$R$1,0),FALSE)</f>
        <v>0</v>
      </c>
      <c r="Q164" s="19">
        <f>VLOOKUP(Table!$I164,Specs!$A:$R,MATCH(Table!Q$3,Specs!$A$1:$R$1,0),FALSE)</f>
        <v>0</v>
      </c>
      <c r="R164" s="19">
        <v>25</v>
      </c>
      <c r="S164" s="19">
        <f>VLOOKUP(Table!$I164,Specs!$A:$R,MATCH(Table!S$3,Specs!$A$1:$R$1,0),FALSE)</f>
        <v>0</v>
      </c>
      <c r="T164" s="74">
        <v>0.33065666666666671</v>
      </c>
      <c r="U164" s="14"/>
      <c r="V164" s="57"/>
      <c r="W164" s="14"/>
      <c r="X164" s="14"/>
      <c r="Y164" s="55"/>
      <c r="Z164"/>
      <c r="AA164" s="54"/>
      <c r="AB164" s="26"/>
      <c r="AC164">
        <f t="shared" si="200"/>
        <v>0</v>
      </c>
      <c r="AD164" s="59"/>
      <c r="AE164" t="str">
        <f t="shared" si="201"/>
        <v>T.mm</v>
      </c>
      <c r="AF164" s="57">
        <f t="shared" si="202"/>
        <v>0</v>
      </c>
      <c r="AG164" s="56" t="str">
        <f t="shared" si="203"/>
        <v>mrad</v>
      </c>
      <c r="AH164" s="26" t="e">
        <f t="shared" si="204"/>
        <v>#DIV/0!</v>
      </c>
      <c r="AI164" t="str">
        <f t="shared" si="205"/>
        <v>mT</v>
      </c>
    </row>
    <row r="165" spans="1:35" s="25" customFormat="1" hidden="1" x14ac:dyDescent="0.25">
      <c r="A165">
        <v>600</v>
      </c>
      <c r="B165" s="38" t="s">
        <v>276</v>
      </c>
      <c r="C165" t="s">
        <v>65</v>
      </c>
      <c r="D165" t="s">
        <v>249</v>
      </c>
      <c r="E165" t="s">
        <v>67</v>
      </c>
      <c r="F165" t="s">
        <v>68</v>
      </c>
      <c r="G165" s="22">
        <v>7</v>
      </c>
      <c r="H165" s="22"/>
      <c r="I165" t="s">
        <v>214</v>
      </c>
      <c r="J165" s="80" t="s">
        <v>289</v>
      </c>
      <c r="K165" s="28">
        <v>10.006922855944561</v>
      </c>
      <c r="L165" s="5" t="str">
        <f t="shared" si="198"/>
        <v>T.mm</v>
      </c>
      <c r="M165" s="5">
        <f>VLOOKUP(Table!$I165,Specs!$A:$R,MATCH(Table!M$3,Specs!$A$1:$R$1,0),FALSE)</f>
        <v>0</v>
      </c>
      <c r="N165" s="5">
        <f>VLOOKUP(Table!$I165,Specs!$A:$R,MATCH(Table!N$3,Specs!$A$1:$R$1,0),FALSE)</f>
        <v>30</v>
      </c>
      <c r="O165" s="13">
        <f t="shared" si="199"/>
        <v>0</v>
      </c>
      <c r="P165" s="19">
        <f>VLOOKUP(Table!$I165,Specs!$A:$R,MATCH(Table!P$3,Specs!$A$1:$R$1,0),FALSE)</f>
        <v>0</v>
      </c>
      <c r="Q165" s="19">
        <f>VLOOKUP(Table!$I165,Specs!$A:$R,MATCH(Table!Q$3,Specs!$A$1:$R$1,0),FALSE)</f>
        <v>0</v>
      </c>
      <c r="R165" s="19">
        <v>25</v>
      </c>
      <c r="S165" s="19">
        <f>VLOOKUP(Table!$I165,Specs!$A:$R,MATCH(Table!S$3,Specs!$A$1:$R$1,0),FALSE)</f>
        <v>0</v>
      </c>
      <c r="T165" s="74">
        <v>0.32776666666666665</v>
      </c>
      <c r="U165" s="14"/>
      <c r="V165" s="57"/>
      <c r="W165" s="14"/>
      <c r="X165" s="14"/>
      <c r="Y165" s="55"/>
      <c r="Z165"/>
      <c r="AA165" s="54"/>
      <c r="AB165" s="26"/>
      <c r="AC165">
        <f t="shared" si="200"/>
        <v>0</v>
      </c>
      <c r="AD165" s="59"/>
      <c r="AE165" t="str">
        <f t="shared" si="201"/>
        <v>T.mm</v>
      </c>
      <c r="AF165" s="57">
        <f t="shared" si="202"/>
        <v>0</v>
      </c>
      <c r="AG165" s="56" t="str">
        <f t="shared" si="203"/>
        <v>mrad</v>
      </c>
      <c r="AH165" s="26" t="e">
        <f t="shared" si="204"/>
        <v>#DIV/0!</v>
      </c>
      <c r="AI165" t="str">
        <f t="shared" si="205"/>
        <v>mT</v>
      </c>
    </row>
    <row r="166" spans="1:35" s="25" customFormat="1" x14ac:dyDescent="0.25">
      <c r="A166">
        <v>600</v>
      </c>
      <c r="B166" s="38" t="s">
        <v>276</v>
      </c>
      <c r="C166" t="s">
        <v>65</v>
      </c>
      <c r="D166" t="s">
        <v>249</v>
      </c>
      <c r="E166" t="s">
        <v>67</v>
      </c>
      <c r="F166" t="s">
        <v>70</v>
      </c>
      <c r="G166" s="22">
        <v>8</v>
      </c>
      <c r="H166" s="22"/>
      <c r="I166" t="s">
        <v>167</v>
      </c>
      <c r="J166" s="80" t="s">
        <v>290</v>
      </c>
      <c r="K166" s="28">
        <v>2.1264711068882192</v>
      </c>
      <c r="L166" s="5" t="str">
        <f t="shared" si="198"/>
        <v>T</v>
      </c>
      <c r="M166" s="5">
        <f>VLOOKUP(Table!$I166,Specs!$A:$R,MATCH(Table!M$3,Specs!$A$1:$R$1,0),FALSE)</f>
        <v>0</v>
      </c>
      <c r="N166" s="5">
        <f>VLOOKUP(Table!$I166,Specs!$A:$R,MATCH(Table!N$3,Specs!$A$1:$R$1,0),FALSE)</f>
        <v>176.4</v>
      </c>
      <c r="O166" s="13">
        <f t="shared" si="199"/>
        <v>0</v>
      </c>
      <c r="P166" s="19">
        <f>VLOOKUP(Table!$I166,Specs!$A:$R,MATCH(Table!P$3,Specs!$A$1:$R$1,0),FALSE)</f>
        <v>0</v>
      </c>
      <c r="Q166" s="19">
        <f>VLOOKUP(Table!$I166,Specs!$A:$R,MATCH(Table!Q$3,Specs!$A$1:$R$1,0),FALSE)</f>
        <v>0</v>
      </c>
      <c r="R166" s="19">
        <v>25</v>
      </c>
      <c r="S166" s="19">
        <f>VLOOKUP(Table!$I166,Specs!$A:$R,MATCH(Table!S$3,Specs!$A$1:$R$1,0),FALSE)</f>
        <v>0</v>
      </c>
      <c r="T166" s="86">
        <v>2.6325036603221084E-2</v>
      </c>
      <c r="U166" s="14"/>
      <c r="V166" s="74">
        <v>22.766996524425227</v>
      </c>
      <c r="W166" s="14">
        <v>0</v>
      </c>
      <c r="X166" s="85">
        <v>-4.8684772013435149E-6</v>
      </c>
      <c r="Y166" s="55">
        <v>2765.0030303954072</v>
      </c>
      <c r="Z166">
        <v>37.223900781210723</v>
      </c>
      <c r="AA166" s="54">
        <v>256.23</v>
      </c>
      <c r="AB166" s="26"/>
      <c r="AC166">
        <f t="shared" si="200"/>
        <v>0</v>
      </c>
      <c r="AD166" s="59"/>
      <c r="AE166" t="str">
        <f t="shared" si="201"/>
        <v>T</v>
      </c>
      <c r="AF166" s="57">
        <f t="shared" si="202"/>
        <v>0</v>
      </c>
      <c r="AG166" s="56" t="str">
        <f t="shared" si="203"/>
        <v>m⁻²</v>
      </c>
      <c r="AH166" s="26">
        <f t="shared" si="204"/>
        <v>0</v>
      </c>
      <c r="AI166" t="str">
        <f t="shared" si="205"/>
        <v>T/m</v>
      </c>
    </row>
    <row r="167" spans="1:35" s="25" customFormat="1" hidden="1" x14ac:dyDescent="0.25">
      <c r="A167">
        <v>600</v>
      </c>
      <c r="B167" s="38" t="s">
        <v>276</v>
      </c>
      <c r="C167" t="s">
        <v>65</v>
      </c>
      <c r="D167" t="s">
        <v>249</v>
      </c>
      <c r="E167" t="s">
        <v>67</v>
      </c>
      <c r="F167" t="s">
        <v>112</v>
      </c>
      <c r="G167" s="22">
        <v>8</v>
      </c>
      <c r="H167" s="22"/>
      <c r="I167" t="s">
        <v>214</v>
      </c>
      <c r="J167" s="80" t="s">
        <v>290</v>
      </c>
      <c r="K167" s="28">
        <v>10.006922855944561</v>
      </c>
      <c r="L167" s="5" t="str">
        <f t="shared" si="198"/>
        <v>T.mm</v>
      </c>
      <c r="M167" s="5">
        <f>VLOOKUP(Table!$I167,Specs!$A:$R,MATCH(Table!M$3,Specs!$A$1:$R$1,0),FALSE)</f>
        <v>0</v>
      </c>
      <c r="N167" s="5">
        <f>VLOOKUP(Table!$I167,Specs!$A:$R,MATCH(Table!N$3,Specs!$A$1:$R$1,0),FALSE)</f>
        <v>30</v>
      </c>
      <c r="O167" s="13">
        <f t="shared" si="199"/>
        <v>0</v>
      </c>
      <c r="P167" s="19">
        <f>VLOOKUP(Table!$I167,Specs!$A:$R,MATCH(Table!P$3,Specs!$A$1:$R$1,0),FALSE)</f>
        <v>0</v>
      </c>
      <c r="Q167" s="19">
        <f>VLOOKUP(Table!$I167,Specs!$A:$R,MATCH(Table!Q$3,Specs!$A$1:$R$1,0),FALSE)</f>
        <v>0</v>
      </c>
      <c r="R167" s="19">
        <v>25</v>
      </c>
      <c r="S167" s="19">
        <f>VLOOKUP(Table!$I167,Specs!$A:$R,MATCH(Table!S$3,Specs!$A$1:$R$1,0),FALSE)</f>
        <v>0</v>
      </c>
      <c r="T167" s="74">
        <v>0.33112666666666668</v>
      </c>
      <c r="U167" s="14"/>
      <c r="V167" s="57"/>
      <c r="W167" s="14"/>
      <c r="X167" s="14"/>
      <c r="Y167" s="55"/>
      <c r="Z167"/>
      <c r="AA167" s="54"/>
      <c r="AB167" s="26"/>
      <c r="AC167">
        <f t="shared" si="200"/>
        <v>0</v>
      </c>
      <c r="AD167" s="59"/>
      <c r="AE167" t="str">
        <f t="shared" si="201"/>
        <v>T.mm</v>
      </c>
      <c r="AF167" s="57">
        <f t="shared" si="202"/>
        <v>0</v>
      </c>
      <c r="AG167" s="56" t="str">
        <f t="shared" si="203"/>
        <v>mrad</v>
      </c>
      <c r="AH167" s="26" t="e">
        <f t="shared" si="204"/>
        <v>#DIV/0!</v>
      </c>
      <c r="AI167" t="str">
        <f t="shared" si="205"/>
        <v>mT</v>
      </c>
    </row>
    <row r="168" spans="1:35" s="25" customFormat="1" hidden="1" x14ac:dyDescent="0.25">
      <c r="A168">
        <v>600</v>
      </c>
      <c r="B168" s="38" t="s">
        <v>276</v>
      </c>
      <c r="C168" t="s">
        <v>65</v>
      </c>
      <c r="D168" t="s">
        <v>249</v>
      </c>
      <c r="E168" t="s">
        <v>67</v>
      </c>
      <c r="F168" t="s">
        <v>68</v>
      </c>
      <c r="G168" s="22">
        <v>8</v>
      </c>
      <c r="H168" s="22"/>
      <c r="I168" t="s">
        <v>214</v>
      </c>
      <c r="J168" s="80" t="s">
        <v>290</v>
      </c>
      <c r="K168" s="28">
        <v>10.006922855944561</v>
      </c>
      <c r="L168" s="5" t="str">
        <f t="shared" si="198"/>
        <v>T.mm</v>
      </c>
      <c r="M168" s="5">
        <f>VLOOKUP(Table!$I168,Specs!$A:$R,MATCH(Table!M$3,Specs!$A$1:$R$1,0),FALSE)</f>
        <v>0</v>
      </c>
      <c r="N168" s="5">
        <f>VLOOKUP(Table!$I168,Specs!$A:$R,MATCH(Table!N$3,Specs!$A$1:$R$1,0),FALSE)</f>
        <v>30</v>
      </c>
      <c r="O168" s="13">
        <f t="shared" si="199"/>
        <v>0</v>
      </c>
      <c r="P168" s="19">
        <f>VLOOKUP(Table!$I168,Specs!$A:$R,MATCH(Table!P$3,Specs!$A$1:$R$1,0),FALSE)</f>
        <v>0</v>
      </c>
      <c r="Q168" s="19">
        <f>VLOOKUP(Table!$I168,Specs!$A:$R,MATCH(Table!Q$3,Specs!$A$1:$R$1,0),FALSE)</f>
        <v>0</v>
      </c>
      <c r="R168" s="19">
        <v>25</v>
      </c>
      <c r="S168" s="19">
        <f>VLOOKUP(Table!$I168,Specs!$A:$R,MATCH(Table!S$3,Specs!$A$1:$R$1,0),FALSE)</f>
        <v>0</v>
      </c>
      <c r="T168" s="74">
        <v>0.32671</v>
      </c>
      <c r="U168" s="14"/>
      <c r="V168" s="57"/>
      <c r="W168" s="14"/>
      <c r="X168" s="14"/>
      <c r="Y168" s="55"/>
      <c r="Z168"/>
      <c r="AA168" s="54"/>
      <c r="AB168" s="26"/>
      <c r="AC168">
        <f t="shared" si="200"/>
        <v>0</v>
      </c>
      <c r="AD168" s="59"/>
      <c r="AE168" t="str">
        <f t="shared" si="201"/>
        <v>T.mm</v>
      </c>
      <c r="AF168" s="57">
        <f t="shared" si="202"/>
        <v>0</v>
      </c>
      <c r="AG168" s="56" t="str">
        <f t="shared" si="203"/>
        <v>mrad</v>
      </c>
      <c r="AH168" s="26" t="e">
        <f t="shared" si="204"/>
        <v>#DIV/0!</v>
      </c>
      <c r="AI168" t="str">
        <f t="shared" si="205"/>
        <v>mT</v>
      </c>
    </row>
    <row r="169" spans="1:35" s="25" customFormat="1" x14ac:dyDescent="0.25">
      <c r="A169">
        <v>600</v>
      </c>
      <c r="B169" s="38" t="s">
        <v>278</v>
      </c>
      <c r="C169" t="s">
        <v>65</v>
      </c>
      <c r="D169" t="s">
        <v>250</v>
      </c>
      <c r="E169" t="s">
        <v>67</v>
      </c>
      <c r="F169" t="s">
        <v>70</v>
      </c>
      <c r="G169" s="22">
        <v>1</v>
      </c>
      <c r="H169" s="22"/>
      <c r="I169" t="s">
        <v>94</v>
      </c>
      <c r="J169" s="80">
        <v>19374</v>
      </c>
      <c r="K169" s="28">
        <v>2.1264711068882192</v>
      </c>
      <c r="L169" s="5" t="str">
        <f t="shared" si="198"/>
        <v>T</v>
      </c>
      <c r="M169" s="5">
        <f>VLOOKUP(Table!$I169,Specs!$A:$R,MATCH(Table!M$3,Specs!$A$1:$R$1,0),FALSE)</f>
        <v>7.97</v>
      </c>
      <c r="N169" s="5">
        <f>VLOOKUP(Table!$I169,Specs!$A:$R,MATCH(Table!N$3,Specs!$A$1:$R$1,0),FALSE)</f>
        <v>93.1</v>
      </c>
      <c r="O169" s="13">
        <f t="shared" si="199"/>
        <v>0.74200699999999997</v>
      </c>
      <c r="P169" s="19">
        <f>VLOOKUP(Table!$I169,Specs!$A:$R,MATCH(Table!P$3,Specs!$A$1:$R$1,0),FALSE)</f>
        <v>4</v>
      </c>
      <c r="Q169" s="19">
        <f>VLOOKUP(Table!$I169,Specs!$A:$R,MATCH(Table!Q$3,Specs!$A$1:$R$1,0),FALSE)</f>
        <v>1.2</v>
      </c>
      <c r="R169" s="19">
        <v>25</v>
      </c>
      <c r="S169" s="19">
        <f>VLOOKUP(Table!$I169,Specs!$A:$R,MATCH(Table!S$3,Specs!$A$1:$R$1,0),FALSE)</f>
        <v>9.2000000000000028</v>
      </c>
      <c r="T169" s="86">
        <v>2.7292923309957366E-2</v>
      </c>
      <c r="U169" s="14"/>
      <c r="V169" s="74">
        <v>65.236218664044884</v>
      </c>
      <c r="W169" s="14">
        <v>0</v>
      </c>
      <c r="X169" s="85">
        <v>-2.694747664770561E-5</v>
      </c>
      <c r="Y169" s="55">
        <v>580.86018339098871</v>
      </c>
      <c r="Z169">
        <v>8.962548320478291</v>
      </c>
      <c r="AA169" s="55">
        <v>178.92</v>
      </c>
      <c r="AB169" s="26"/>
      <c r="AC169">
        <f t="shared" si="200"/>
        <v>0</v>
      </c>
      <c r="AD169" s="59"/>
      <c r="AE169" t="str">
        <f t="shared" si="201"/>
        <v>T</v>
      </c>
      <c r="AF169" s="57">
        <f t="shared" si="202"/>
        <v>0</v>
      </c>
      <c r="AG169" s="56" t="str">
        <f t="shared" si="203"/>
        <v>m⁻²</v>
      </c>
      <c r="AH169" s="26">
        <f t="shared" si="204"/>
        <v>0</v>
      </c>
      <c r="AI169" t="str">
        <f t="shared" si="205"/>
        <v>T/m</v>
      </c>
    </row>
    <row r="170" spans="1:35" s="25" customFormat="1" x14ac:dyDescent="0.25">
      <c r="A170">
        <v>600</v>
      </c>
      <c r="B170" s="38" t="s">
        <v>278</v>
      </c>
      <c r="C170" t="s">
        <v>65</v>
      </c>
      <c r="D170" t="s">
        <v>250</v>
      </c>
      <c r="E170" t="s">
        <v>67</v>
      </c>
      <c r="F170" t="s">
        <v>70</v>
      </c>
      <c r="G170" s="22">
        <v>2</v>
      </c>
      <c r="H170" s="22"/>
      <c r="I170" t="s">
        <v>94</v>
      </c>
      <c r="J170" s="80">
        <v>19384</v>
      </c>
      <c r="K170" s="28">
        <v>2.1264711068882192</v>
      </c>
      <c r="L170" s="5" t="str">
        <f t="shared" si="198"/>
        <v>T</v>
      </c>
      <c r="M170" s="5">
        <f>VLOOKUP(Table!$I170,Specs!$A:$R,MATCH(Table!M$3,Specs!$A$1:$R$1,0),FALSE)</f>
        <v>7.97</v>
      </c>
      <c r="N170" s="5">
        <f>VLOOKUP(Table!$I170,Specs!$A:$R,MATCH(Table!N$3,Specs!$A$1:$R$1,0),FALSE)</f>
        <v>93.1</v>
      </c>
      <c r="O170" s="13">
        <f t="shared" si="199"/>
        <v>0.74200699999999997</v>
      </c>
      <c r="P170" s="19">
        <f>VLOOKUP(Table!$I170,Specs!$A:$R,MATCH(Table!P$3,Specs!$A$1:$R$1,0),FALSE)</f>
        <v>4</v>
      </c>
      <c r="Q170" s="19">
        <f>VLOOKUP(Table!$I170,Specs!$A:$R,MATCH(Table!Q$3,Specs!$A$1:$R$1,0),FALSE)</f>
        <v>1.2</v>
      </c>
      <c r="R170" s="19">
        <v>25</v>
      </c>
      <c r="S170" s="19">
        <f>VLOOKUP(Table!$I170,Specs!$A:$R,MATCH(Table!S$3,Specs!$A$1:$R$1,0),FALSE)</f>
        <v>9.2000000000000028</v>
      </c>
      <c r="T170" s="86">
        <v>2.7428898200074069E-2</v>
      </c>
      <c r="U170" s="14"/>
      <c r="V170" s="74">
        <v>55.363938719918508</v>
      </c>
      <c r="W170" s="14">
        <v>0</v>
      </c>
      <c r="X170" s="85">
        <v>-2.1489882671413584E-5</v>
      </c>
      <c r="Y170" s="55">
        <v>706.96068201700177</v>
      </c>
      <c r="Z170">
        <v>10.653781380526469</v>
      </c>
      <c r="AA170" s="55">
        <v>178.67</v>
      </c>
      <c r="AB170" s="26"/>
      <c r="AC170">
        <f t="shared" si="200"/>
        <v>0</v>
      </c>
      <c r="AD170" s="59"/>
      <c r="AE170" t="str">
        <f t="shared" si="201"/>
        <v>T</v>
      </c>
      <c r="AF170" s="57">
        <f t="shared" si="202"/>
        <v>0</v>
      </c>
      <c r="AG170" s="56" t="str">
        <f t="shared" si="203"/>
        <v>m⁻²</v>
      </c>
      <c r="AH170" s="26">
        <f t="shared" si="204"/>
        <v>0</v>
      </c>
      <c r="AI170" t="str">
        <f t="shared" si="205"/>
        <v>T/m</v>
      </c>
    </row>
    <row r="171" spans="1:35" s="25" customFormat="1" hidden="1" x14ac:dyDescent="0.25">
      <c r="A171">
        <v>600</v>
      </c>
      <c r="B171" s="38" t="s">
        <v>278</v>
      </c>
      <c r="C171" t="s">
        <v>65</v>
      </c>
      <c r="D171" t="s">
        <v>250</v>
      </c>
      <c r="E171" t="s">
        <v>67</v>
      </c>
      <c r="F171" t="s">
        <v>112</v>
      </c>
      <c r="G171" s="22">
        <v>1</v>
      </c>
      <c r="H171" s="22"/>
      <c r="I171" t="s">
        <v>217</v>
      </c>
      <c r="J171" s="80" t="s">
        <v>291</v>
      </c>
      <c r="K171" s="28">
        <v>10.006922855944561</v>
      </c>
      <c r="L171" s="5" t="str">
        <f t="shared" ref="L171:L174" si="206">IF(F171="QUAD","T","T.mm")</f>
        <v>T.mm</v>
      </c>
      <c r="M171" s="5">
        <f>VLOOKUP(Table!$I171,Specs!$A:$R,MATCH(Table!M$3,Specs!$A$1:$R$1,0),FALSE)</f>
        <v>0</v>
      </c>
      <c r="N171" s="5">
        <f>VLOOKUP(Table!$I171,Specs!$A:$R,MATCH(Table!N$3,Specs!$A$1:$R$1,0),FALSE)</f>
        <v>20</v>
      </c>
      <c r="O171" s="13">
        <f t="shared" ref="O171:O174" si="207">(N171*M171)/1000</f>
        <v>0</v>
      </c>
      <c r="P171" s="19">
        <f>VLOOKUP(Table!$I171,Specs!$A:$R,MATCH(Table!P$3,Specs!$A$1:$R$1,0),FALSE)</f>
        <v>0</v>
      </c>
      <c r="Q171" s="19">
        <f>VLOOKUP(Table!$I171,Specs!$A:$R,MATCH(Table!Q$3,Specs!$A$1:$R$1,0),FALSE)</f>
        <v>0</v>
      </c>
      <c r="R171" s="19">
        <v>25</v>
      </c>
      <c r="S171" s="19">
        <f>VLOOKUP(Table!$I171,Specs!$A:$R,MATCH(Table!S$3,Specs!$A$1:$R$1,0),FALSE)</f>
        <v>0</v>
      </c>
      <c r="T171" s="74"/>
      <c r="U171" s="14"/>
      <c r="V171" s="57"/>
      <c r="W171" s="14"/>
      <c r="X171" s="14"/>
      <c r="Y171" s="55"/>
      <c r="Z171"/>
      <c r="AA171" s="54"/>
      <c r="AB171" s="26"/>
      <c r="AC171">
        <f t="shared" ref="AC171:AC236" si="208">SIGN(AB171)</f>
        <v>0</v>
      </c>
      <c r="AD171" s="59"/>
      <c r="AE171" t="str">
        <f t="shared" ref="AE171:AE235" si="209">L171</f>
        <v>T.mm</v>
      </c>
      <c r="AF171" s="57">
        <f t="shared" ref="AF171:AF235" si="210">IF(F171="DIP",360/(2000*PI()),IF(F171="QUAD",1000/AA171,IF(RIGHT(F171,3)="COR",1,0)))*c_*AD171/A171</f>
        <v>0</v>
      </c>
      <c r="AG171" s="56" t="str">
        <f t="shared" ref="AG171:AG236" si="211">IF(F171="DIP","°",IF(F171="QUAD","m⁻²",IF(RIGHT(F171,3)="COR","mrad","")))</f>
        <v>mrad</v>
      </c>
      <c r="AH171" s="26" t="e">
        <f t="shared" ref="AH171:AH199" si="212">1000*AD171/AA171</f>
        <v>#DIV/0!</v>
      </c>
      <c r="AI171" t="str">
        <f t="shared" ref="AI171:AI198" si="213">IF(F171="QUAD","T/m","mT")</f>
        <v>mT</v>
      </c>
    </row>
    <row r="172" spans="1:35" s="25" customFormat="1" hidden="1" x14ac:dyDescent="0.25">
      <c r="A172">
        <v>600</v>
      </c>
      <c r="B172" s="38" t="s">
        <v>278</v>
      </c>
      <c r="C172" t="s">
        <v>65</v>
      </c>
      <c r="D172" t="s">
        <v>250</v>
      </c>
      <c r="E172" t="s">
        <v>67</v>
      </c>
      <c r="F172" t="s">
        <v>68</v>
      </c>
      <c r="G172" s="22">
        <v>1</v>
      </c>
      <c r="H172" s="22"/>
      <c r="I172" t="s">
        <v>217</v>
      </c>
      <c r="J172" s="80" t="s">
        <v>291</v>
      </c>
      <c r="K172" s="28">
        <v>10.006922855944561</v>
      </c>
      <c r="L172" s="5" t="str">
        <f t="shared" ref="L172" si="214">IF(F172="QUAD","T","T.mm")</f>
        <v>T.mm</v>
      </c>
      <c r="M172" s="5">
        <f>VLOOKUP(Table!$I172,Specs!$A:$R,MATCH(Table!M$3,Specs!$A$1:$R$1,0),FALSE)</f>
        <v>0</v>
      </c>
      <c r="N172" s="5">
        <f>VLOOKUP(Table!$I172,Specs!$A:$R,MATCH(Table!N$3,Specs!$A$1:$R$1,0),FALSE)</f>
        <v>20</v>
      </c>
      <c r="O172" s="13">
        <f t="shared" ref="O172" si="215">(N172*M172)/1000</f>
        <v>0</v>
      </c>
      <c r="P172" s="19">
        <f>VLOOKUP(Table!$I172,Specs!$A:$R,MATCH(Table!P$3,Specs!$A$1:$R$1,0),FALSE)</f>
        <v>0</v>
      </c>
      <c r="Q172" s="19">
        <f>VLOOKUP(Table!$I172,Specs!$A:$R,MATCH(Table!Q$3,Specs!$A$1:$R$1,0),FALSE)</f>
        <v>0</v>
      </c>
      <c r="R172" s="19">
        <v>25</v>
      </c>
      <c r="S172" s="19">
        <f>VLOOKUP(Table!$I172,Specs!$A:$R,MATCH(Table!S$3,Specs!$A$1:$R$1,0),FALSE)</f>
        <v>0</v>
      </c>
      <c r="T172" s="74"/>
      <c r="U172" s="14"/>
      <c r="V172" s="57"/>
      <c r="W172" s="14"/>
      <c r="X172" s="14"/>
      <c r="Y172" s="55"/>
      <c r="Z172"/>
      <c r="AA172" s="54"/>
      <c r="AB172" s="26"/>
      <c r="AC172">
        <f t="shared" ref="AC172" si="216">SIGN(AB172)</f>
        <v>0</v>
      </c>
      <c r="AD172" s="59"/>
      <c r="AE172" t="str">
        <f t="shared" ref="AE172" si="217">L172</f>
        <v>T.mm</v>
      </c>
      <c r="AF172" s="57">
        <f t="shared" ref="AF172" si="218">IF(F172="DIP",360/(2000*PI()),IF(F172="QUAD",1000/AA172,IF(RIGHT(F172,3)="COR",1,0)))*c_*AD172/A172</f>
        <v>0</v>
      </c>
      <c r="AG172" s="56" t="str">
        <f t="shared" ref="AG172" si="219">IF(F172="DIP","°",IF(F172="QUAD","m⁻²",IF(RIGHT(F172,3)="COR","mrad","")))</f>
        <v>mrad</v>
      </c>
      <c r="AH172" s="26" t="e">
        <f t="shared" si="212"/>
        <v>#DIV/0!</v>
      </c>
      <c r="AI172" t="str">
        <f t="shared" si="213"/>
        <v>mT</v>
      </c>
    </row>
    <row r="173" spans="1:35" s="25" customFormat="1" hidden="1" x14ac:dyDescent="0.25">
      <c r="A173">
        <v>600</v>
      </c>
      <c r="B173" s="38" t="s">
        <v>279</v>
      </c>
      <c r="C173" t="s">
        <v>65</v>
      </c>
      <c r="D173" t="s">
        <v>250</v>
      </c>
      <c r="E173" t="s">
        <v>67</v>
      </c>
      <c r="F173" t="s">
        <v>72</v>
      </c>
      <c r="G173" s="22">
        <v>1</v>
      </c>
      <c r="H173" s="22"/>
      <c r="I173" t="s">
        <v>216</v>
      </c>
      <c r="J173" s="81">
        <v>1</v>
      </c>
      <c r="K173" s="28">
        <v>698.61500731722708</v>
      </c>
      <c r="L173" s="5" t="str">
        <f t="shared" si="206"/>
        <v>T.mm</v>
      </c>
      <c r="M173" s="5">
        <f>VLOOKUP(Table!$I173,Specs!$A:$R,MATCH(Table!M$3,Specs!$A$1:$R$1,0),FALSE)</f>
        <v>23</v>
      </c>
      <c r="N173" s="5">
        <f>VLOOKUP(Table!$I173,Specs!$A:$R,MATCH(Table!N$3,Specs!$A$1:$R$1,0),FALSE)</f>
        <v>309</v>
      </c>
      <c r="O173" s="13">
        <f t="shared" si="207"/>
        <v>7.1070000000000002</v>
      </c>
      <c r="P173" s="19">
        <f>VLOOKUP(Table!$I173,Specs!$A:$R,MATCH(Table!P$3,Specs!$A$1:$R$1,0),FALSE)</f>
        <v>1</v>
      </c>
      <c r="Q173" s="19">
        <f>VLOOKUP(Table!$I173,Specs!$A:$R,MATCH(Table!Q$3,Specs!$A$1:$R$1,0),FALSE)</f>
        <v>18.600000000000001</v>
      </c>
      <c r="R173" s="19">
        <v>25</v>
      </c>
      <c r="S173" s="19">
        <f>VLOOKUP(Table!$I173,Specs!$A:$R,MATCH(Table!S$3,Specs!$A$1:$R$1,0),FALSE)</f>
        <v>6</v>
      </c>
      <c r="T173" s="74"/>
      <c r="U173" s="14"/>
      <c r="V173" s="57"/>
      <c r="W173" s="14"/>
      <c r="X173" s="14"/>
      <c r="Y173" s="55"/>
      <c r="Z173"/>
      <c r="AA173" s="54"/>
      <c r="AB173" s="26"/>
      <c r="AC173">
        <f t="shared" si="208"/>
        <v>0</v>
      </c>
      <c r="AD173" s="59"/>
      <c r="AE173" t="str">
        <f t="shared" si="209"/>
        <v>T.mm</v>
      </c>
      <c r="AF173" s="57">
        <f t="shared" si="210"/>
        <v>0</v>
      </c>
      <c r="AG173" s="56" t="str">
        <f t="shared" si="211"/>
        <v>°</v>
      </c>
      <c r="AH173" s="26" t="e">
        <f t="shared" si="212"/>
        <v>#DIV/0!</v>
      </c>
      <c r="AI173" t="str">
        <f t="shared" si="213"/>
        <v>mT</v>
      </c>
    </row>
    <row r="174" spans="1:35" s="25" customFormat="1" x14ac:dyDescent="0.25">
      <c r="A174">
        <v>600</v>
      </c>
      <c r="B174" s="38" t="s">
        <v>279</v>
      </c>
      <c r="C174" t="s">
        <v>65</v>
      </c>
      <c r="D174" t="s">
        <v>250</v>
      </c>
      <c r="E174" t="s">
        <v>67</v>
      </c>
      <c r="F174" t="s">
        <v>70</v>
      </c>
      <c r="G174" s="22">
        <v>3</v>
      </c>
      <c r="H174" s="22"/>
      <c r="I174" t="s">
        <v>167</v>
      </c>
      <c r="J174" s="80" t="s">
        <v>292</v>
      </c>
      <c r="K174" s="28">
        <v>4.5031152851750536</v>
      </c>
      <c r="L174" s="5" t="str">
        <f t="shared" si="206"/>
        <v>T</v>
      </c>
      <c r="M174" s="5">
        <f>VLOOKUP(Table!$I174,Specs!$A:$R,MATCH(Table!M$3,Specs!$A$1:$R$1,0),FALSE)</f>
        <v>0</v>
      </c>
      <c r="N174" s="5">
        <f>VLOOKUP(Table!$I174,Specs!$A:$R,MATCH(Table!N$3,Specs!$A$1:$R$1,0),FALSE)</f>
        <v>176.4</v>
      </c>
      <c r="O174" s="13">
        <f t="shared" si="207"/>
        <v>0</v>
      </c>
      <c r="P174" s="19">
        <f>VLOOKUP(Table!$I174,Specs!$A:$R,MATCH(Table!P$3,Specs!$A$1:$R$1,0),FALSE)</f>
        <v>0</v>
      </c>
      <c r="Q174" s="19">
        <f>VLOOKUP(Table!$I174,Specs!$A:$R,MATCH(Table!Q$3,Specs!$A$1:$R$1,0),FALSE)</f>
        <v>0</v>
      </c>
      <c r="R174" s="19">
        <v>25</v>
      </c>
      <c r="S174" s="19">
        <f>VLOOKUP(Table!$I174,Specs!$A:$R,MATCH(Table!S$3,Specs!$A$1:$R$1,0),FALSE)</f>
        <v>0</v>
      </c>
      <c r="T174" s="86">
        <v>2.6221799003808961E-2</v>
      </c>
      <c r="U174" s="14"/>
      <c r="V174" s="74">
        <v>21.527626373656222</v>
      </c>
      <c r="W174" s="14">
        <v>0</v>
      </c>
      <c r="X174" s="85">
        <v>-3.3199240491783043E-6</v>
      </c>
      <c r="Y174" s="55">
        <v>4007.3504827231336</v>
      </c>
      <c r="Z174">
        <v>53.316541649313905</v>
      </c>
      <c r="AA174" s="54">
        <v>256.23</v>
      </c>
      <c r="AB174" s="26"/>
      <c r="AC174">
        <f t="shared" si="208"/>
        <v>0</v>
      </c>
      <c r="AD174" s="59"/>
      <c r="AE174" t="str">
        <f t="shared" si="209"/>
        <v>T</v>
      </c>
      <c r="AF174" s="57">
        <f t="shared" si="210"/>
        <v>0</v>
      </c>
      <c r="AG174" s="56" t="str">
        <f t="shared" si="211"/>
        <v>m⁻²</v>
      </c>
      <c r="AH174" s="26">
        <f t="shared" si="212"/>
        <v>0</v>
      </c>
      <c r="AI174" t="str">
        <f t="shared" si="213"/>
        <v>T/m</v>
      </c>
    </row>
    <row r="175" spans="1:35" s="25" customFormat="1" hidden="1" x14ac:dyDescent="0.25">
      <c r="A175">
        <v>240</v>
      </c>
      <c r="B175" s="38" t="s">
        <v>257</v>
      </c>
      <c r="C175" t="s">
        <v>65</v>
      </c>
      <c r="D175" t="s">
        <v>86</v>
      </c>
      <c r="E175" t="s">
        <v>67</v>
      </c>
      <c r="F175" t="s">
        <v>70</v>
      </c>
      <c r="G175" s="22">
        <v>11</v>
      </c>
      <c r="H175" s="22" t="s">
        <v>78</v>
      </c>
      <c r="I175" t="s">
        <v>94</v>
      </c>
      <c r="J175" s="80">
        <v>19380</v>
      </c>
      <c r="K175" s="28"/>
      <c r="L175" s="5" t="str">
        <f t="shared" ref="L175:L176" si="220">IF(F175="QUAD","T","T.mm")</f>
        <v>T</v>
      </c>
      <c r="M175" s="5">
        <f>VLOOKUP(Table!$I175,Specs!$A:$R,MATCH(Table!M$3,Specs!$A$1:$R$1,0),FALSE)</f>
        <v>7.97</v>
      </c>
      <c r="N175" s="5">
        <f>VLOOKUP(Table!$I175,Specs!$A:$R,MATCH(Table!N$3,Specs!$A$1:$R$1,0),FALSE)</f>
        <v>93.1</v>
      </c>
      <c r="O175" s="13">
        <f t="shared" si="182"/>
        <v>0.74200699999999997</v>
      </c>
      <c r="P175" s="19">
        <f>VLOOKUP(Table!$I175,Specs!$A:$R,MATCH(Table!P$3,Specs!$A$1:$R$1,0),FALSE)</f>
        <v>4</v>
      </c>
      <c r="Q175" s="19">
        <f>VLOOKUP(Table!$I175,Specs!$A:$R,MATCH(Table!Q$3,Specs!$A$1:$R$1,0),FALSE)</f>
        <v>1.2</v>
      </c>
      <c r="R175" s="19">
        <v>25</v>
      </c>
      <c r="S175" s="19">
        <f>VLOOKUP(Table!$I175,Specs!$A:$R,MATCH(Table!S$3,Specs!$A$1:$R$1,0),FALSE)</f>
        <v>9.2000000000000028</v>
      </c>
      <c r="T175" s="74"/>
      <c r="U175" s="14"/>
      <c r="V175" s="57"/>
      <c r="W175" s="14"/>
      <c r="X175" s="14"/>
      <c r="Y175" s="55"/>
      <c r="Z175"/>
      <c r="AA175" s="54">
        <v>179.12</v>
      </c>
      <c r="AB175" s="26"/>
      <c r="AC175">
        <f t="shared" si="208"/>
        <v>0</v>
      </c>
      <c r="AD175" s="59"/>
      <c r="AE175" t="str">
        <f t="shared" si="209"/>
        <v>T</v>
      </c>
      <c r="AF175" s="57">
        <f t="shared" si="210"/>
        <v>0</v>
      </c>
      <c r="AG175" s="56" t="str">
        <f t="shared" si="211"/>
        <v>m⁻²</v>
      </c>
      <c r="AH175" s="26">
        <f t="shared" si="212"/>
        <v>0</v>
      </c>
      <c r="AI175" t="str">
        <f t="shared" si="213"/>
        <v>T/m</v>
      </c>
    </row>
    <row r="176" spans="1:35" s="25" customFormat="1" hidden="1" x14ac:dyDescent="0.25">
      <c r="A176">
        <v>240</v>
      </c>
      <c r="B176" s="38" t="s">
        <v>257</v>
      </c>
      <c r="C176" t="s">
        <v>65</v>
      </c>
      <c r="D176" t="s">
        <v>86</v>
      </c>
      <c r="E176" t="s">
        <v>67</v>
      </c>
      <c r="F176" t="s">
        <v>112</v>
      </c>
      <c r="G176" s="22">
        <v>8</v>
      </c>
      <c r="H176" s="22"/>
      <c r="I176" t="s">
        <v>118</v>
      </c>
      <c r="J176" s="80">
        <v>16633</v>
      </c>
      <c r="K176" s="28">
        <v>3.2</v>
      </c>
      <c r="L176" s="5" t="str">
        <f t="shared" si="220"/>
        <v>T.mm</v>
      </c>
      <c r="M176" s="5">
        <f>VLOOKUP(Table!$I176,Specs!$A:$R,MATCH(Table!M$3,Specs!$A$1:$R$1,0),FALSE)</f>
        <v>3.2</v>
      </c>
      <c r="N176" s="5">
        <f>VLOOKUP(Table!$I176,Specs!$A:$R,MATCH(Table!N$3,Specs!$A$1:$R$1,0),FALSE)</f>
        <v>10</v>
      </c>
      <c r="O176" s="13">
        <f t="shared" ref="O176" si="221">(N176*M176)/1000</f>
        <v>3.2000000000000001E-2</v>
      </c>
      <c r="P176" s="19">
        <f>VLOOKUP(Table!$I176,Specs!$A:$R,MATCH(Table!P$3,Specs!$A$1:$R$1,0),FALSE)</f>
        <v>0.1</v>
      </c>
      <c r="Q176" s="19">
        <f>VLOOKUP(Table!$I176,Specs!$A:$R,MATCH(Table!Q$3,Specs!$A$1:$R$1,0),FALSE)</f>
        <v>0.5</v>
      </c>
      <c r="R176" s="19">
        <v>25</v>
      </c>
      <c r="S176" s="19">
        <f>VLOOKUP(Table!$I176,Specs!$A:$R,MATCH(Table!S$3,Specs!$A$1:$R$1,0),FALSE)</f>
        <v>2</v>
      </c>
      <c r="T176" s="74"/>
      <c r="U176" s="14"/>
      <c r="V176" s="57"/>
      <c r="W176" s="14"/>
      <c r="X176" s="14"/>
      <c r="Y176" s="55"/>
      <c r="Z176"/>
      <c r="AA176" s="54"/>
      <c r="AB176" s="26"/>
      <c r="AC176">
        <f t="shared" si="208"/>
        <v>0</v>
      </c>
      <c r="AD176" s="59"/>
      <c r="AE176" t="str">
        <f t="shared" si="209"/>
        <v>T.mm</v>
      </c>
      <c r="AF176" s="57">
        <f t="shared" si="210"/>
        <v>0</v>
      </c>
      <c r="AG176" s="56" t="str">
        <f t="shared" si="211"/>
        <v>mrad</v>
      </c>
      <c r="AH176" s="26" t="e">
        <f t="shared" si="212"/>
        <v>#DIV/0!</v>
      </c>
      <c r="AI176" t="str">
        <f t="shared" si="213"/>
        <v>mT</v>
      </c>
    </row>
    <row r="177" spans="1:35" s="25" customFormat="1" hidden="1" x14ac:dyDescent="0.25">
      <c r="A177">
        <v>240</v>
      </c>
      <c r="B177" s="38" t="s">
        <v>257</v>
      </c>
      <c r="C177" t="s">
        <v>65</v>
      </c>
      <c r="D177" t="s">
        <v>86</v>
      </c>
      <c r="E177" t="s">
        <v>67</v>
      </c>
      <c r="F177" t="s">
        <v>68</v>
      </c>
      <c r="G177" s="22">
        <v>8</v>
      </c>
      <c r="H177" s="22"/>
      <c r="I177" t="s">
        <v>118</v>
      </c>
      <c r="J177" s="80">
        <v>16633</v>
      </c>
      <c r="K177" s="28">
        <v>3.2</v>
      </c>
      <c r="L177" s="5" t="str">
        <f t="shared" ref="L177" si="222">IF(F177="QUAD","T","T.mm")</f>
        <v>T.mm</v>
      </c>
      <c r="M177" s="5">
        <f>VLOOKUP(Table!$I177,Specs!$A:$R,MATCH(Table!M$3,Specs!$A$1:$R$1,0),FALSE)</f>
        <v>3.2</v>
      </c>
      <c r="N177" s="5">
        <f>VLOOKUP(Table!$I177,Specs!$A:$R,MATCH(Table!N$3,Specs!$A$1:$R$1,0),FALSE)</f>
        <v>10</v>
      </c>
      <c r="O177" s="13">
        <f t="shared" ref="O177" si="223">(N177*M177)/1000</f>
        <v>3.2000000000000001E-2</v>
      </c>
      <c r="P177" s="19">
        <f>VLOOKUP(Table!$I177,Specs!$A:$R,MATCH(Table!P$3,Specs!$A$1:$R$1,0),FALSE)</f>
        <v>0.1</v>
      </c>
      <c r="Q177" s="19">
        <f>VLOOKUP(Table!$I177,Specs!$A:$R,MATCH(Table!Q$3,Specs!$A$1:$R$1,0),FALSE)</f>
        <v>0.5</v>
      </c>
      <c r="R177" s="19">
        <v>25</v>
      </c>
      <c r="S177" s="19">
        <f>VLOOKUP(Table!$I177,Specs!$A:$R,MATCH(Table!S$3,Specs!$A$1:$R$1,0),FALSE)</f>
        <v>2</v>
      </c>
      <c r="T177" s="74"/>
      <c r="U177" s="14"/>
      <c r="V177" s="57"/>
      <c r="W177" s="14"/>
      <c r="X177" s="14"/>
      <c r="Y177" s="55"/>
      <c r="Z177"/>
      <c r="AA177" s="54"/>
      <c r="AB177" s="26"/>
      <c r="AC177">
        <f t="shared" ref="AC177" si="224">SIGN(AB177)</f>
        <v>0</v>
      </c>
      <c r="AD177" s="59"/>
      <c r="AE177" t="str">
        <f t="shared" ref="AE177" si="225">L177</f>
        <v>T.mm</v>
      </c>
      <c r="AF177" s="57">
        <f t="shared" ref="AF177" si="226">IF(F177="DIP",360/(2000*PI()),IF(F177="QUAD",1000/AA177,IF(RIGHT(F177,3)="COR",1,0)))*c_*AD177/A177</f>
        <v>0</v>
      </c>
      <c r="AG177" s="56" t="str">
        <f t="shared" ref="AG177" si="227">IF(F177="DIP","°",IF(F177="QUAD","m⁻²",IF(RIGHT(F177,3)="COR","mrad","")))</f>
        <v>mrad</v>
      </c>
      <c r="AH177" s="26" t="e">
        <f t="shared" si="212"/>
        <v>#DIV/0!</v>
      </c>
      <c r="AI177" t="str">
        <f t="shared" si="213"/>
        <v>mT</v>
      </c>
    </row>
    <row r="178" spans="1:35" s="25" customFormat="1" hidden="1" x14ac:dyDescent="0.25">
      <c r="A178">
        <v>240</v>
      </c>
      <c r="B178" s="38"/>
      <c r="C178" t="s">
        <v>65</v>
      </c>
      <c r="D178" t="s">
        <v>87</v>
      </c>
      <c r="E178" t="s">
        <v>67</v>
      </c>
      <c r="F178" t="s">
        <v>72</v>
      </c>
      <c r="G178" s="22">
        <v>1</v>
      </c>
      <c r="H178" s="22" t="s">
        <v>77</v>
      </c>
      <c r="I178"/>
      <c r="J178" s="80"/>
      <c r="K178" s="28"/>
      <c r="L178" s="5"/>
      <c r="M178" s="5"/>
      <c r="N178" s="5"/>
      <c r="O178" s="13"/>
      <c r="P178" s="19"/>
      <c r="Q178" s="19"/>
      <c r="R178" s="19"/>
      <c r="S178" s="19"/>
      <c r="T178" s="74"/>
      <c r="U178" s="14"/>
      <c r="V178" s="57"/>
      <c r="W178" s="14"/>
      <c r="X178" s="14"/>
      <c r="Y178" s="55"/>
      <c r="Z178"/>
      <c r="AA178" s="54"/>
      <c r="AB178" s="26"/>
      <c r="AC178">
        <f t="shared" si="208"/>
        <v>0</v>
      </c>
      <c r="AD178" s="59"/>
      <c r="AE178">
        <f t="shared" si="209"/>
        <v>0</v>
      </c>
      <c r="AF178" s="57">
        <f t="shared" si="210"/>
        <v>0</v>
      </c>
      <c r="AG178" s="56" t="str">
        <f t="shared" si="211"/>
        <v>°</v>
      </c>
      <c r="AH178" s="26" t="e">
        <f t="shared" si="212"/>
        <v>#DIV/0!</v>
      </c>
      <c r="AI178" t="str">
        <f t="shared" si="213"/>
        <v>mT</v>
      </c>
    </row>
    <row r="179" spans="1:35" s="25" customFormat="1" hidden="1" x14ac:dyDescent="0.25">
      <c r="A179">
        <v>240</v>
      </c>
      <c r="B179" s="38"/>
      <c r="C179" t="s">
        <v>65</v>
      </c>
      <c r="D179" t="s">
        <v>87</v>
      </c>
      <c r="E179" t="s">
        <v>67</v>
      </c>
      <c r="F179" t="s">
        <v>72</v>
      </c>
      <c r="G179" s="22">
        <v>2</v>
      </c>
      <c r="H179" s="22" t="s">
        <v>78</v>
      </c>
      <c r="I179"/>
      <c r="J179" s="80"/>
      <c r="K179" s="28"/>
      <c r="L179" s="5"/>
      <c r="M179" s="5"/>
      <c r="N179" s="5"/>
      <c r="O179" s="13"/>
      <c r="P179" s="19"/>
      <c r="Q179" s="19"/>
      <c r="R179" s="19"/>
      <c r="S179" s="19"/>
      <c r="T179" s="74"/>
      <c r="U179" s="14"/>
      <c r="V179" s="57"/>
      <c r="W179" s="14"/>
      <c r="X179" s="14"/>
      <c r="Y179" s="55"/>
      <c r="Z179"/>
      <c r="AA179" s="54"/>
      <c r="AB179" s="26"/>
      <c r="AC179">
        <f t="shared" si="208"/>
        <v>0</v>
      </c>
      <c r="AD179" s="59"/>
      <c r="AE179">
        <f t="shared" si="209"/>
        <v>0</v>
      </c>
      <c r="AF179" s="57">
        <f t="shared" si="210"/>
        <v>0</v>
      </c>
      <c r="AG179" s="56" t="str">
        <f t="shared" si="211"/>
        <v>°</v>
      </c>
      <c r="AH179" s="26" t="e">
        <f t="shared" si="212"/>
        <v>#DIV/0!</v>
      </c>
      <c r="AI179" t="str">
        <f t="shared" si="213"/>
        <v>mT</v>
      </c>
    </row>
    <row r="180" spans="1:35" s="25" customFormat="1" hidden="1" x14ac:dyDescent="0.25">
      <c r="A180">
        <v>240</v>
      </c>
      <c r="B180" s="38"/>
      <c r="C180" t="s">
        <v>65</v>
      </c>
      <c r="D180" t="s">
        <v>87</v>
      </c>
      <c r="E180" t="s">
        <v>67</v>
      </c>
      <c r="F180" t="s">
        <v>72</v>
      </c>
      <c r="G180" s="22">
        <v>3</v>
      </c>
      <c r="H180" s="22" t="s">
        <v>78</v>
      </c>
      <c r="I180"/>
      <c r="J180" s="80"/>
      <c r="K180" s="28"/>
      <c r="L180" s="5"/>
      <c r="M180" s="5"/>
      <c r="N180" s="5"/>
      <c r="O180" s="13"/>
      <c r="P180" s="19"/>
      <c r="Q180" s="19"/>
      <c r="R180" s="19"/>
      <c r="S180" s="19"/>
      <c r="T180" s="74"/>
      <c r="U180" s="14"/>
      <c r="V180" s="57"/>
      <c r="W180" s="14"/>
      <c r="X180" s="14"/>
      <c r="Y180" s="55"/>
      <c r="Z180"/>
      <c r="AA180" s="54"/>
      <c r="AB180" s="26"/>
      <c r="AC180">
        <f t="shared" si="208"/>
        <v>0</v>
      </c>
      <c r="AD180" s="59"/>
      <c r="AE180">
        <f t="shared" si="209"/>
        <v>0</v>
      </c>
      <c r="AF180" s="57">
        <f t="shared" si="210"/>
        <v>0</v>
      </c>
      <c r="AG180" s="56" t="str">
        <f t="shared" si="211"/>
        <v>°</v>
      </c>
      <c r="AH180" s="26" t="e">
        <f t="shared" si="212"/>
        <v>#DIV/0!</v>
      </c>
      <c r="AI180" t="str">
        <f t="shared" si="213"/>
        <v>mT</v>
      </c>
    </row>
    <row r="181" spans="1:35" s="25" customFormat="1" hidden="1" x14ac:dyDescent="0.25">
      <c r="A181">
        <v>240</v>
      </c>
      <c r="B181" s="38"/>
      <c r="C181" t="s">
        <v>65</v>
      </c>
      <c r="D181" t="s">
        <v>87</v>
      </c>
      <c r="E181" t="s">
        <v>67</v>
      </c>
      <c r="F181" t="s">
        <v>72</v>
      </c>
      <c r="G181" s="22">
        <v>4</v>
      </c>
      <c r="H181" s="22" t="s">
        <v>78</v>
      </c>
      <c r="I181"/>
      <c r="J181" s="80"/>
      <c r="K181" s="28"/>
      <c r="L181" s="5"/>
      <c r="M181" s="5"/>
      <c r="N181" s="5"/>
      <c r="O181" s="13"/>
      <c r="P181" s="19"/>
      <c r="Q181" s="19"/>
      <c r="R181" s="19"/>
      <c r="S181" s="19"/>
      <c r="T181" s="74"/>
      <c r="U181" s="14"/>
      <c r="V181" s="57"/>
      <c r="W181" s="14"/>
      <c r="X181" s="14"/>
      <c r="Y181" s="55"/>
      <c r="Z181"/>
      <c r="AA181" s="54"/>
      <c r="AB181" s="26"/>
      <c r="AC181">
        <f t="shared" si="208"/>
        <v>0</v>
      </c>
      <c r="AD181" s="59"/>
      <c r="AE181">
        <f t="shared" si="209"/>
        <v>0</v>
      </c>
      <c r="AF181" s="57">
        <f t="shared" si="210"/>
        <v>0</v>
      </c>
      <c r="AG181" s="56" t="str">
        <f t="shared" si="211"/>
        <v>°</v>
      </c>
      <c r="AH181" s="26" t="e">
        <f t="shared" si="212"/>
        <v>#DIV/0!</v>
      </c>
      <c r="AI181" t="str">
        <f t="shared" si="213"/>
        <v>mT</v>
      </c>
    </row>
    <row r="182" spans="1:35" s="25" customFormat="1" hidden="1" x14ac:dyDescent="0.25">
      <c r="A182">
        <v>240</v>
      </c>
      <c r="B182" s="38"/>
      <c r="C182" t="s">
        <v>65</v>
      </c>
      <c r="D182" t="s">
        <v>87</v>
      </c>
      <c r="E182" t="s">
        <v>67</v>
      </c>
      <c r="F182" t="s">
        <v>88</v>
      </c>
      <c r="G182" s="22"/>
      <c r="H182" s="22" t="s">
        <v>75</v>
      </c>
      <c r="I182" t="s">
        <v>169</v>
      </c>
      <c r="J182" s="80"/>
      <c r="K182" s="28"/>
      <c r="L182" s="5"/>
      <c r="M182" s="5"/>
      <c r="N182" s="5"/>
      <c r="O182" s="13"/>
      <c r="P182" s="19"/>
      <c r="Q182" s="19"/>
      <c r="R182" s="19"/>
      <c r="S182" s="19"/>
      <c r="T182" s="74"/>
      <c r="U182" s="14"/>
      <c r="V182" s="57"/>
      <c r="W182" s="14"/>
      <c r="X182" s="14"/>
      <c r="Y182" s="55"/>
      <c r="Z182"/>
      <c r="AA182" s="54"/>
      <c r="AB182" s="26"/>
      <c r="AC182">
        <f t="shared" si="208"/>
        <v>0</v>
      </c>
      <c r="AD182" s="59"/>
      <c r="AE182">
        <f t="shared" si="209"/>
        <v>0</v>
      </c>
      <c r="AF182" s="57">
        <f t="shared" si="210"/>
        <v>0</v>
      </c>
      <c r="AG182" s="56" t="str">
        <f t="shared" si="211"/>
        <v/>
      </c>
      <c r="AH182" s="26" t="e">
        <f t="shared" si="212"/>
        <v>#DIV/0!</v>
      </c>
      <c r="AI182" t="str">
        <f t="shared" si="213"/>
        <v>mT</v>
      </c>
    </row>
    <row r="183" spans="1:35" s="25" customFormat="1" hidden="1" x14ac:dyDescent="0.25">
      <c r="A183">
        <v>240</v>
      </c>
      <c r="B183" s="38"/>
      <c r="C183" t="s">
        <v>65</v>
      </c>
      <c r="D183" t="s">
        <v>87</v>
      </c>
      <c r="E183" t="s">
        <v>67</v>
      </c>
      <c r="F183" t="s">
        <v>70</v>
      </c>
      <c r="G183" s="22">
        <v>1</v>
      </c>
      <c r="H183" s="22" t="s">
        <v>78</v>
      </c>
      <c r="I183"/>
      <c r="J183" s="80"/>
      <c r="K183" s="28"/>
      <c r="L183" s="5"/>
      <c r="M183" s="5"/>
      <c r="N183" s="5"/>
      <c r="O183" s="13"/>
      <c r="P183" s="19"/>
      <c r="Q183" s="19"/>
      <c r="R183" s="19"/>
      <c r="S183" s="19"/>
      <c r="T183" s="74"/>
      <c r="U183" s="14"/>
      <c r="V183" s="57"/>
      <c r="W183" s="14"/>
      <c r="X183" s="14"/>
      <c r="Y183" s="55"/>
      <c r="Z183"/>
      <c r="AA183" s="54"/>
      <c r="AB183" s="26"/>
      <c r="AC183">
        <f t="shared" si="208"/>
        <v>0</v>
      </c>
      <c r="AD183" s="59"/>
      <c r="AE183">
        <f t="shared" si="209"/>
        <v>0</v>
      </c>
      <c r="AF183" s="57" t="e">
        <f t="shared" si="210"/>
        <v>#DIV/0!</v>
      </c>
      <c r="AG183" s="56" t="str">
        <f t="shared" si="211"/>
        <v>m⁻²</v>
      </c>
      <c r="AH183" s="26" t="e">
        <f t="shared" si="212"/>
        <v>#DIV/0!</v>
      </c>
      <c r="AI183" t="str">
        <f t="shared" si="213"/>
        <v>T/m</v>
      </c>
    </row>
    <row r="184" spans="1:35" s="25" customFormat="1" hidden="1" x14ac:dyDescent="0.25">
      <c r="A184">
        <v>240</v>
      </c>
      <c r="B184" s="38"/>
      <c r="C184" t="s">
        <v>65</v>
      </c>
      <c r="D184" t="s">
        <v>87</v>
      </c>
      <c r="E184" t="s">
        <v>67</v>
      </c>
      <c r="F184" t="s">
        <v>72</v>
      </c>
      <c r="G184" s="22">
        <v>5</v>
      </c>
      <c r="H184" s="22" t="s">
        <v>77</v>
      </c>
      <c r="I184"/>
      <c r="J184" s="80"/>
      <c r="K184" s="28"/>
      <c r="L184" s="5"/>
      <c r="M184" s="5"/>
      <c r="N184" s="5"/>
      <c r="O184" s="13"/>
      <c r="P184" s="19"/>
      <c r="Q184" s="19"/>
      <c r="R184" s="19"/>
      <c r="S184" s="19"/>
      <c r="T184" s="74"/>
      <c r="U184" s="14"/>
      <c r="V184" s="57"/>
      <c r="W184" s="14"/>
      <c r="X184" s="14"/>
      <c r="Y184" s="55"/>
      <c r="Z184"/>
      <c r="AA184" s="54"/>
      <c r="AB184" s="26"/>
      <c r="AC184">
        <f t="shared" si="208"/>
        <v>0</v>
      </c>
      <c r="AD184" s="59"/>
      <c r="AE184">
        <f t="shared" si="209"/>
        <v>0</v>
      </c>
      <c r="AF184" s="57">
        <f t="shared" si="210"/>
        <v>0</v>
      </c>
      <c r="AG184" s="56" t="str">
        <f t="shared" si="211"/>
        <v>°</v>
      </c>
      <c r="AH184" s="26" t="e">
        <f t="shared" si="212"/>
        <v>#DIV/0!</v>
      </c>
      <c r="AI184" t="str">
        <f t="shared" si="213"/>
        <v>mT</v>
      </c>
    </row>
    <row r="185" spans="1:35" s="25" customFormat="1" hidden="1" x14ac:dyDescent="0.25">
      <c r="A185">
        <v>240</v>
      </c>
      <c r="B185" s="38"/>
      <c r="C185" t="s">
        <v>65</v>
      </c>
      <c r="D185" t="s">
        <v>87</v>
      </c>
      <c r="E185" t="s">
        <v>67</v>
      </c>
      <c r="F185" t="s">
        <v>72</v>
      </c>
      <c r="G185" s="22">
        <v>6</v>
      </c>
      <c r="H185" s="22" t="s">
        <v>78</v>
      </c>
      <c r="I185"/>
      <c r="J185" s="80"/>
      <c r="K185" s="28"/>
      <c r="L185" s="5"/>
      <c r="M185" s="5"/>
      <c r="N185" s="5"/>
      <c r="O185" s="13"/>
      <c r="P185" s="19"/>
      <c r="Q185" s="19"/>
      <c r="R185" s="19"/>
      <c r="S185" s="19"/>
      <c r="T185" s="74"/>
      <c r="U185" s="14"/>
      <c r="V185" s="57"/>
      <c r="W185" s="14"/>
      <c r="X185" s="14"/>
      <c r="Y185" s="55"/>
      <c r="Z185"/>
      <c r="AA185" s="54"/>
      <c r="AB185" s="26"/>
      <c r="AC185">
        <f t="shared" si="208"/>
        <v>0</v>
      </c>
      <c r="AD185" s="59"/>
      <c r="AE185">
        <f t="shared" si="209"/>
        <v>0</v>
      </c>
      <c r="AF185" s="57">
        <f t="shared" si="210"/>
        <v>0</v>
      </c>
      <c r="AG185" s="56" t="str">
        <f t="shared" si="211"/>
        <v>°</v>
      </c>
      <c r="AH185" s="26" t="e">
        <f t="shared" si="212"/>
        <v>#DIV/0!</v>
      </c>
      <c r="AI185" t="str">
        <f t="shared" si="213"/>
        <v>mT</v>
      </c>
    </row>
    <row r="186" spans="1:35" s="25" customFormat="1" hidden="1" x14ac:dyDescent="0.25">
      <c r="A186">
        <v>240</v>
      </c>
      <c r="B186" s="38"/>
      <c r="C186" t="s">
        <v>65</v>
      </c>
      <c r="D186" t="s">
        <v>87</v>
      </c>
      <c r="E186" t="s">
        <v>67</v>
      </c>
      <c r="F186" t="s">
        <v>72</v>
      </c>
      <c r="G186" s="22">
        <v>7</v>
      </c>
      <c r="H186" s="22" t="s">
        <v>78</v>
      </c>
      <c r="I186"/>
      <c r="J186" s="80"/>
      <c r="K186" s="28"/>
      <c r="L186" s="5"/>
      <c r="M186" s="5"/>
      <c r="N186" s="5"/>
      <c r="O186" s="13"/>
      <c r="P186" s="19"/>
      <c r="Q186" s="19"/>
      <c r="R186" s="19"/>
      <c r="S186" s="19"/>
      <c r="T186" s="74"/>
      <c r="U186" s="14"/>
      <c r="V186" s="57"/>
      <c r="W186" s="14"/>
      <c r="X186" s="14"/>
      <c r="Y186" s="55"/>
      <c r="Z186"/>
      <c r="AA186" s="54"/>
      <c r="AB186" s="26"/>
      <c r="AC186">
        <f t="shared" si="208"/>
        <v>0</v>
      </c>
      <c r="AD186" s="59"/>
      <c r="AE186">
        <f t="shared" si="209"/>
        <v>0</v>
      </c>
      <c r="AF186" s="57">
        <f t="shared" si="210"/>
        <v>0</v>
      </c>
      <c r="AG186" s="56" t="str">
        <f t="shared" si="211"/>
        <v>°</v>
      </c>
      <c r="AH186" s="26" t="e">
        <f t="shared" si="212"/>
        <v>#DIV/0!</v>
      </c>
      <c r="AI186" t="str">
        <f t="shared" si="213"/>
        <v>mT</v>
      </c>
    </row>
    <row r="187" spans="1:35" s="27" customFormat="1" hidden="1" x14ac:dyDescent="0.25">
      <c r="A187">
        <v>240</v>
      </c>
      <c r="B187" s="38"/>
      <c r="C187" t="s">
        <v>65</v>
      </c>
      <c r="D187" t="s">
        <v>87</v>
      </c>
      <c r="E187" t="s">
        <v>67</v>
      </c>
      <c r="F187" t="s">
        <v>72</v>
      </c>
      <c r="G187" s="22">
        <v>8</v>
      </c>
      <c r="H187" s="22" t="s">
        <v>78</v>
      </c>
      <c r="I187"/>
      <c r="J187" s="80"/>
      <c r="K187" s="28"/>
      <c r="L187" s="5"/>
      <c r="M187" s="5"/>
      <c r="N187" s="5"/>
      <c r="O187" s="13"/>
      <c r="P187" s="19"/>
      <c r="Q187" s="19"/>
      <c r="R187" s="19"/>
      <c r="S187" s="19"/>
      <c r="T187" s="74"/>
      <c r="U187" s="14"/>
      <c r="V187" s="57"/>
      <c r="W187" s="14"/>
      <c r="X187" s="14"/>
      <c r="Y187" s="55"/>
      <c r="Z187"/>
      <c r="AA187" s="54"/>
      <c r="AB187" s="72"/>
      <c r="AC187">
        <f t="shared" si="208"/>
        <v>0</v>
      </c>
      <c r="AD187" s="60"/>
      <c r="AE187">
        <f t="shared" si="209"/>
        <v>0</v>
      </c>
      <c r="AF187" s="57">
        <f t="shared" si="210"/>
        <v>0</v>
      </c>
      <c r="AG187" s="56" t="str">
        <f t="shared" si="211"/>
        <v>°</v>
      </c>
      <c r="AH187" s="26" t="e">
        <f t="shared" si="212"/>
        <v>#DIV/0!</v>
      </c>
      <c r="AI187" t="str">
        <f t="shared" si="213"/>
        <v>mT</v>
      </c>
    </row>
    <row r="188" spans="1:35" s="27" customFormat="1" hidden="1" x14ac:dyDescent="0.25">
      <c r="A188">
        <v>240</v>
      </c>
      <c r="B188" s="38"/>
      <c r="C188" t="s">
        <v>65</v>
      </c>
      <c r="D188" t="s">
        <v>87</v>
      </c>
      <c r="E188" t="s">
        <v>67</v>
      </c>
      <c r="F188" t="s">
        <v>73</v>
      </c>
      <c r="G188" s="22">
        <v>1</v>
      </c>
      <c r="H188" s="22"/>
      <c r="I188"/>
      <c r="J188" s="80"/>
      <c r="K188" s="28"/>
      <c r="L188" s="5"/>
      <c r="M188" s="5"/>
      <c r="N188" s="5"/>
      <c r="O188" s="13"/>
      <c r="P188" s="19"/>
      <c r="Q188" s="19"/>
      <c r="R188" s="19"/>
      <c r="S188" s="19"/>
      <c r="T188" s="74"/>
      <c r="U188" s="14"/>
      <c r="V188" s="57"/>
      <c r="W188" s="14"/>
      <c r="X188" s="14"/>
      <c r="Y188" s="55"/>
      <c r="Z188"/>
      <c r="AA188" s="54"/>
      <c r="AB188" s="72"/>
      <c r="AC188">
        <f t="shared" si="208"/>
        <v>0</v>
      </c>
      <c r="AD188" s="60"/>
      <c r="AE188">
        <f t="shared" si="209"/>
        <v>0</v>
      </c>
      <c r="AF188" s="57">
        <f t="shared" si="210"/>
        <v>0</v>
      </c>
      <c r="AG188" s="56" t="str">
        <f t="shared" si="211"/>
        <v>mrad</v>
      </c>
      <c r="AH188" s="26" t="e">
        <f t="shared" si="212"/>
        <v>#DIV/0!</v>
      </c>
      <c r="AI188" t="str">
        <f t="shared" si="213"/>
        <v>mT</v>
      </c>
    </row>
    <row r="189" spans="1:35" s="27" customFormat="1" hidden="1" x14ac:dyDescent="0.25">
      <c r="A189">
        <v>240</v>
      </c>
      <c r="B189" s="38"/>
      <c r="C189" t="s">
        <v>65</v>
      </c>
      <c r="D189" t="s">
        <v>87</v>
      </c>
      <c r="E189" t="s">
        <v>67</v>
      </c>
      <c r="F189" t="s">
        <v>70</v>
      </c>
      <c r="G189" s="22">
        <v>2</v>
      </c>
      <c r="H189" s="22" t="s">
        <v>78</v>
      </c>
      <c r="I189"/>
      <c r="J189" s="80"/>
      <c r="K189" s="28"/>
      <c r="L189" s="5"/>
      <c r="M189" s="5"/>
      <c r="N189" s="5"/>
      <c r="O189" s="13"/>
      <c r="P189" s="19"/>
      <c r="Q189" s="19"/>
      <c r="R189" s="19"/>
      <c r="S189" s="19"/>
      <c r="T189" s="74"/>
      <c r="U189" s="14"/>
      <c r="V189" s="57"/>
      <c r="W189" s="14"/>
      <c r="X189" s="14"/>
      <c r="Y189" s="55"/>
      <c r="Z189"/>
      <c r="AA189" s="54"/>
      <c r="AB189" s="72"/>
      <c r="AC189">
        <f t="shared" si="208"/>
        <v>0</v>
      </c>
      <c r="AD189" s="60"/>
      <c r="AE189">
        <f t="shared" si="209"/>
        <v>0</v>
      </c>
      <c r="AF189" s="57" t="e">
        <f t="shared" si="210"/>
        <v>#DIV/0!</v>
      </c>
      <c r="AG189" s="56" t="str">
        <f t="shared" si="211"/>
        <v>m⁻²</v>
      </c>
      <c r="AH189" s="26" t="e">
        <f t="shared" si="212"/>
        <v>#DIV/0!</v>
      </c>
      <c r="AI189" t="str">
        <f t="shared" si="213"/>
        <v>T/m</v>
      </c>
    </row>
    <row r="190" spans="1:35" s="27" customFormat="1" hidden="1" x14ac:dyDescent="0.25">
      <c r="A190">
        <v>240</v>
      </c>
      <c r="B190" s="38"/>
      <c r="C190" t="s">
        <v>65</v>
      </c>
      <c r="D190" t="s">
        <v>87</v>
      </c>
      <c r="E190" t="s">
        <v>67</v>
      </c>
      <c r="F190" t="s">
        <v>89</v>
      </c>
      <c r="G190" s="22"/>
      <c r="H190" s="22" t="s">
        <v>75</v>
      </c>
      <c r="I190" t="s">
        <v>170</v>
      </c>
      <c r="J190" s="80"/>
      <c r="K190" s="28"/>
      <c r="L190" s="5"/>
      <c r="M190" s="5"/>
      <c r="N190" s="5"/>
      <c r="O190" s="13"/>
      <c r="P190" s="19"/>
      <c r="Q190" s="19"/>
      <c r="R190" s="19"/>
      <c r="S190" s="19"/>
      <c r="T190" s="74"/>
      <c r="U190" s="14"/>
      <c r="V190" s="57"/>
      <c r="W190" s="14"/>
      <c r="X190" s="14"/>
      <c r="Y190" s="55"/>
      <c r="Z190"/>
      <c r="AA190" s="54"/>
      <c r="AB190" s="72"/>
      <c r="AC190">
        <f t="shared" si="208"/>
        <v>0</v>
      </c>
      <c r="AD190" s="60"/>
      <c r="AE190">
        <f t="shared" si="209"/>
        <v>0</v>
      </c>
      <c r="AF190" s="57">
        <f t="shared" si="210"/>
        <v>0</v>
      </c>
      <c r="AG190" s="56" t="str">
        <f t="shared" si="211"/>
        <v/>
      </c>
      <c r="AH190" s="26" t="e">
        <f t="shared" si="212"/>
        <v>#DIV/0!</v>
      </c>
      <c r="AI190" t="str">
        <f t="shared" si="213"/>
        <v>mT</v>
      </c>
    </row>
    <row r="191" spans="1:35" s="27" customFormat="1" hidden="1" x14ac:dyDescent="0.25">
      <c r="A191">
        <v>240</v>
      </c>
      <c r="B191" s="38"/>
      <c r="C191" t="s">
        <v>65</v>
      </c>
      <c r="D191" t="s">
        <v>87</v>
      </c>
      <c r="E191" t="s">
        <v>67</v>
      </c>
      <c r="F191" t="s">
        <v>172</v>
      </c>
      <c r="G191" s="22">
        <v>1</v>
      </c>
      <c r="H191" s="22" t="s">
        <v>78</v>
      </c>
      <c r="I191" t="s">
        <v>194</v>
      </c>
      <c r="J191" s="80"/>
      <c r="K191" s="28"/>
      <c r="L191" s="5"/>
      <c r="M191" s="5"/>
      <c r="N191" s="5"/>
      <c r="O191" s="13"/>
      <c r="P191" s="19"/>
      <c r="Q191" s="19"/>
      <c r="R191" s="19"/>
      <c r="S191" s="19"/>
      <c r="T191" s="74"/>
      <c r="U191" s="14"/>
      <c r="V191" s="57"/>
      <c r="W191" s="14"/>
      <c r="X191" s="14"/>
      <c r="Y191" s="55"/>
      <c r="Z191"/>
      <c r="AA191" s="54"/>
      <c r="AB191" s="72"/>
      <c r="AC191">
        <f t="shared" si="208"/>
        <v>0</v>
      </c>
      <c r="AD191" s="60"/>
      <c r="AE191">
        <f t="shared" si="209"/>
        <v>0</v>
      </c>
      <c r="AF191" s="57">
        <f t="shared" si="210"/>
        <v>0</v>
      </c>
      <c r="AG191" s="56" t="str">
        <f t="shared" si="211"/>
        <v/>
      </c>
      <c r="AH191" s="26" t="e">
        <f t="shared" si="212"/>
        <v>#DIV/0!</v>
      </c>
      <c r="AI191" t="str">
        <f t="shared" si="213"/>
        <v>mT</v>
      </c>
    </row>
    <row r="192" spans="1:35" s="27" customFormat="1" hidden="1" x14ac:dyDescent="0.25">
      <c r="A192">
        <v>240</v>
      </c>
      <c r="B192" s="38"/>
      <c r="C192" t="s">
        <v>65</v>
      </c>
      <c r="D192" t="s">
        <v>173</v>
      </c>
      <c r="E192" t="s">
        <v>67</v>
      </c>
      <c r="F192" t="s">
        <v>70</v>
      </c>
      <c r="G192" s="22">
        <v>1</v>
      </c>
      <c r="H192" s="22" t="s">
        <v>75</v>
      </c>
      <c r="I192" t="s">
        <v>226</v>
      </c>
      <c r="J192" s="80"/>
      <c r="K192" s="28"/>
      <c r="L192" s="5"/>
      <c r="M192" s="5"/>
      <c r="N192" s="5"/>
      <c r="O192" s="13"/>
      <c r="P192" s="19"/>
      <c r="Q192" s="19"/>
      <c r="R192" s="19"/>
      <c r="S192" s="19"/>
      <c r="T192" s="74"/>
      <c r="U192" s="14"/>
      <c r="V192" s="57"/>
      <c r="W192" s="14"/>
      <c r="X192" s="14"/>
      <c r="Y192" s="55"/>
      <c r="Z192"/>
      <c r="AA192" s="54"/>
      <c r="AB192" s="72"/>
      <c r="AC192">
        <f t="shared" si="208"/>
        <v>0</v>
      </c>
      <c r="AD192" s="60"/>
      <c r="AE192">
        <f t="shared" si="209"/>
        <v>0</v>
      </c>
      <c r="AF192" s="57" t="e">
        <f t="shared" si="210"/>
        <v>#DIV/0!</v>
      </c>
      <c r="AG192" s="56" t="str">
        <f t="shared" si="211"/>
        <v>m⁻²</v>
      </c>
      <c r="AH192" s="26" t="e">
        <f t="shared" si="212"/>
        <v>#DIV/0!</v>
      </c>
      <c r="AI192" t="str">
        <f t="shared" si="213"/>
        <v>T/m</v>
      </c>
    </row>
    <row r="193" spans="1:35" s="27" customFormat="1" hidden="1" x14ac:dyDescent="0.25">
      <c r="A193">
        <v>240</v>
      </c>
      <c r="B193" s="38"/>
      <c r="C193" t="s">
        <v>65</v>
      </c>
      <c r="D193" t="s">
        <v>173</v>
      </c>
      <c r="E193" t="s">
        <v>67</v>
      </c>
      <c r="F193" t="s">
        <v>74</v>
      </c>
      <c r="G193" s="22">
        <v>1</v>
      </c>
      <c r="H193" s="22" t="s">
        <v>76</v>
      </c>
      <c r="I193" t="s">
        <v>193</v>
      </c>
      <c r="J193" s="80"/>
      <c r="K193" s="28"/>
      <c r="L193" s="5"/>
      <c r="M193" s="5"/>
      <c r="N193" s="5"/>
      <c r="O193" s="13"/>
      <c r="P193" s="19"/>
      <c r="Q193" s="19"/>
      <c r="R193" s="19"/>
      <c r="S193" s="19"/>
      <c r="T193" s="74"/>
      <c r="U193" s="14"/>
      <c r="V193" s="57"/>
      <c r="W193" s="14"/>
      <c r="X193" s="14"/>
      <c r="Y193" s="55"/>
      <c r="Z193"/>
      <c r="AA193" s="54"/>
      <c r="AB193" s="72"/>
      <c r="AC193">
        <f t="shared" si="208"/>
        <v>0</v>
      </c>
      <c r="AD193" s="60"/>
      <c r="AE193">
        <f t="shared" si="209"/>
        <v>0</v>
      </c>
      <c r="AF193" s="57">
        <f t="shared" si="210"/>
        <v>0</v>
      </c>
      <c r="AG193" s="56" t="str">
        <f t="shared" si="211"/>
        <v/>
      </c>
      <c r="AH193" s="26" t="e">
        <f t="shared" si="212"/>
        <v>#DIV/0!</v>
      </c>
      <c r="AI193" t="str">
        <f t="shared" si="213"/>
        <v>mT</v>
      </c>
    </row>
    <row r="194" spans="1:35" s="27" customFormat="1" hidden="1" x14ac:dyDescent="0.25">
      <c r="A194">
        <v>240</v>
      </c>
      <c r="B194" s="38"/>
      <c r="C194" t="s">
        <v>65</v>
      </c>
      <c r="D194" t="s">
        <v>173</v>
      </c>
      <c r="E194" t="s">
        <v>67</v>
      </c>
      <c r="F194" t="s">
        <v>172</v>
      </c>
      <c r="G194" s="22">
        <v>1</v>
      </c>
      <c r="H194" s="22" t="s">
        <v>77</v>
      </c>
      <c r="I194" t="s">
        <v>195</v>
      </c>
      <c r="J194" s="80"/>
      <c r="K194" s="28"/>
      <c r="L194" s="5"/>
      <c r="M194" s="5"/>
      <c r="N194" s="5"/>
      <c r="O194" s="13"/>
      <c r="P194" s="19"/>
      <c r="Q194" s="19"/>
      <c r="R194" s="19"/>
      <c r="S194" s="19"/>
      <c r="T194" s="74"/>
      <c r="U194" s="14"/>
      <c r="V194" s="57"/>
      <c r="W194" s="14"/>
      <c r="X194" s="14"/>
      <c r="Y194" s="55"/>
      <c r="Z194"/>
      <c r="AA194" s="54"/>
      <c r="AB194" s="72"/>
      <c r="AC194">
        <f t="shared" si="208"/>
        <v>0</v>
      </c>
      <c r="AD194" s="60"/>
      <c r="AE194">
        <f t="shared" si="209"/>
        <v>0</v>
      </c>
      <c r="AF194" s="57">
        <f t="shared" si="210"/>
        <v>0</v>
      </c>
      <c r="AG194" s="56" t="str">
        <f t="shared" si="211"/>
        <v/>
      </c>
      <c r="AH194" s="26" t="e">
        <f t="shared" si="212"/>
        <v>#DIV/0!</v>
      </c>
      <c r="AI194" t="str">
        <f t="shared" si="213"/>
        <v>mT</v>
      </c>
    </row>
    <row r="195" spans="1:35" s="27" customFormat="1" hidden="1" x14ac:dyDescent="0.25">
      <c r="A195">
        <v>240</v>
      </c>
      <c r="B195" s="38"/>
      <c r="C195" t="s">
        <v>65</v>
      </c>
      <c r="D195" t="s">
        <v>174</v>
      </c>
      <c r="E195" t="s">
        <v>67</v>
      </c>
      <c r="F195" t="s">
        <v>70</v>
      </c>
      <c r="G195" s="22">
        <v>1</v>
      </c>
      <c r="H195" s="22" t="s">
        <v>75</v>
      </c>
      <c r="I195" t="s">
        <v>226</v>
      </c>
      <c r="J195" s="80"/>
      <c r="K195" s="28"/>
      <c r="L195" s="5"/>
      <c r="M195" s="5"/>
      <c r="N195" s="5"/>
      <c r="O195" s="13"/>
      <c r="P195" s="19"/>
      <c r="Q195" s="19"/>
      <c r="R195" s="19"/>
      <c r="S195" s="19"/>
      <c r="T195" s="74"/>
      <c r="U195" s="14"/>
      <c r="V195" s="57"/>
      <c r="W195" s="14"/>
      <c r="X195" s="14"/>
      <c r="Y195" s="55"/>
      <c r="Z195"/>
      <c r="AA195" s="54"/>
      <c r="AB195" s="72"/>
      <c r="AC195">
        <f t="shared" si="208"/>
        <v>0</v>
      </c>
      <c r="AD195" s="60"/>
      <c r="AE195">
        <f t="shared" si="209"/>
        <v>0</v>
      </c>
      <c r="AF195" s="57" t="e">
        <f t="shared" si="210"/>
        <v>#DIV/0!</v>
      </c>
      <c r="AG195" s="56" t="str">
        <f t="shared" si="211"/>
        <v>m⁻²</v>
      </c>
      <c r="AH195" s="26" t="e">
        <f t="shared" si="212"/>
        <v>#DIV/0!</v>
      </c>
      <c r="AI195" t="str">
        <f t="shared" si="213"/>
        <v>T/m</v>
      </c>
    </row>
    <row r="196" spans="1:35" s="27" customFormat="1" hidden="1" x14ac:dyDescent="0.25">
      <c r="A196">
        <v>240</v>
      </c>
      <c r="B196" s="38"/>
      <c r="C196" t="s">
        <v>65</v>
      </c>
      <c r="D196" t="s">
        <v>174</v>
      </c>
      <c r="E196" t="s">
        <v>67</v>
      </c>
      <c r="F196" t="s">
        <v>74</v>
      </c>
      <c r="G196" s="22">
        <v>1</v>
      </c>
      <c r="H196" s="22" t="s">
        <v>76</v>
      </c>
      <c r="I196" t="s">
        <v>193</v>
      </c>
      <c r="J196" s="80"/>
      <c r="K196" s="28"/>
      <c r="L196" s="5"/>
      <c r="M196" s="5"/>
      <c r="N196" s="5"/>
      <c r="O196" s="13"/>
      <c r="P196" s="19"/>
      <c r="Q196" s="19"/>
      <c r="R196" s="19"/>
      <c r="S196" s="19"/>
      <c r="T196" s="74"/>
      <c r="U196" s="14"/>
      <c r="V196" s="57"/>
      <c r="W196" s="14"/>
      <c r="X196" s="14"/>
      <c r="Y196" s="55"/>
      <c r="Z196"/>
      <c r="AA196" s="54"/>
      <c r="AB196" s="72"/>
      <c r="AC196">
        <f t="shared" si="208"/>
        <v>0</v>
      </c>
      <c r="AD196" s="60"/>
      <c r="AE196">
        <f t="shared" si="209"/>
        <v>0</v>
      </c>
      <c r="AF196" s="57">
        <f t="shared" si="210"/>
        <v>0</v>
      </c>
      <c r="AG196" s="56" t="str">
        <f t="shared" si="211"/>
        <v/>
      </c>
      <c r="AH196" s="26" t="e">
        <f t="shared" si="212"/>
        <v>#DIV/0!</v>
      </c>
      <c r="AI196" t="str">
        <f t="shared" si="213"/>
        <v>mT</v>
      </c>
    </row>
    <row r="197" spans="1:35" s="27" customFormat="1" hidden="1" x14ac:dyDescent="0.25">
      <c r="A197">
        <v>240</v>
      </c>
      <c r="B197" s="38"/>
      <c r="C197" t="s">
        <v>65</v>
      </c>
      <c r="D197" t="s">
        <v>174</v>
      </c>
      <c r="E197" t="s">
        <v>67</v>
      </c>
      <c r="F197" t="s">
        <v>172</v>
      </c>
      <c r="G197" s="22">
        <v>1</v>
      </c>
      <c r="H197" s="22" t="s">
        <v>77</v>
      </c>
      <c r="I197" t="s">
        <v>195</v>
      </c>
      <c r="J197" s="80"/>
      <c r="K197" s="28"/>
      <c r="L197" s="5"/>
      <c r="M197" s="5"/>
      <c r="N197" s="5"/>
      <c r="O197" s="13"/>
      <c r="P197" s="19"/>
      <c r="Q197" s="19"/>
      <c r="R197" s="19"/>
      <c r="S197" s="19"/>
      <c r="T197" s="74"/>
      <c r="U197" s="14"/>
      <c r="V197" s="57"/>
      <c r="W197" s="14"/>
      <c r="X197" s="14"/>
      <c r="Y197" s="55"/>
      <c r="Z197"/>
      <c r="AA197" s="54"/>
      <c r="AB197" s="72"/>
      <c r="AC197">
        <f t="shared" si="208"/>
        <v>0</v>
      </c>
      <c r="AD197" s="60"/>
      <c r="AE197">
        <f t="shared" si="209"/>
        <v>0</v>
      </c>
      <c r="AF197" s="57">
        <f t="shared" si="210"/>
        <v>0</v>
      </c>
      <c r="AG197" s="56" t="str">
        <f t="shared" si="211"/>
        <v/>
      </c>
      <c r="AH197" s="26" t="e">
        <f t="shared" si="212"/>
        <v>#DIV/0!</v>
      </c>
      <c r="AI197" t="str">
        <f t="shared" si="213"/>
        <v>mT</v>
      </c>
    </row>
    <row r="198" spans="1:35" s="27" customFormat="1" hidden="1" x14ac:dyDescent="0.25">
      <c r="A198">
        <v>240</v>
      </c>
      <c r="B198" s="38"/>
      <c r="C198" t="s">
        <v>65</v>
      </c>
      <c r="D198" t="s">
        <v>175</v>
      </c>
      <c r="E198" t="s">
        <v>67</v>
      </c>
      <c r="F198" t="s">
        <v>70</v>
      </c>
      <c r="G198" s="22">
        <v>1</v>
      </c>
      <c r="H198" s="22" t="s">
        <v>75</v>
      </c>
      <c r="I198" t="s">
        <v>226</v>
      </c>
      <c r="J198" s="80"/>
      <c r="K198" s="28"/>
      <c r="L198" s="5"/>
      <c r="M198" s="5"/>
      <c r="N198" s="5"/>
      <c r="O198" s="13"/>
      <c r="P198" s="19"/>
      <c r="Q198" s="19"/>
      <c r="R198" s="19"/>
      <c r="S198" s="19"/>
      <c r="T198" s="74"/>
      <c r="U198" s="14"/>
      <c r="V198" s="57"/>
      <c r="W198" s="14"/>
      <c r="X198" s="14"/>
      <c r="Y198" s="55"/>
      <c r="Z198"/>
      <c r="AA198" s="54"/>
      <c r="AB198" s="72"/>
      <c r="AC198">
        <f t="shared" si="208"/>
        <v>0</v>
      </c>
      <c r="AD198" s="60"/>
      <c r="AE198">
        <f t="shared" si="209"/>
        <v>0</v>
      </c>
      <c r="AF198" s="57" t="e">
        <f t="shared" si="210"/>
        <v>#DIV/0!</v>
      </c>
      <c r="AG198" s="56" t="str">
        <f t="shared" si="211"/>
        <v>m⁻²</v>
      </c>
      <c r="AH198" s="26" t="e">
        <f t="shared" si="212"/>
        <v>#DIV/0!</v>
      </c>
      <c r="AI198" t="str">
        <f t="shared" si="213"/>
        <v>T/m</v>
      </c>
    </row>
    <row r="199" spans="1:35" s="27" customFormat="1" hidden="1" x14ac:dyDescent="0.25">
      <c r="A199">
        <v>240</v>
      </c>
      <c r="B199" s="38"/>
      <c r="C199" t="s">
        <v>65</v>
      </c>
      <c r="D199" t="s">
        <v>175</v>
      </c>
      <c r="E199" t="s">
        <v>67</v>
      </c>
      <c r="F199" t="s">
        <v>74</v>
      </c>
      <c r="G199" s="22">
        <v>1</v>
      </c>
      <c r="H199" s="22" t="s">
        <v>76</v>
      </c>
      <c r="I199" t="s">
        <v>193</v>
      </c>
      <c r="J199" s="80"/>
      <c r="K199" s="28"/>
      <c r="L199" s="5"/>
      <c r="M199" s="5"/>
      <c r="N199" s="5"/>
      <c r="O199" s="13"/>
      <c r="P199" s="19"/>
      <c r="Q199" s="19"/>
      <c r="R199" s="19"/>
      <c r="S199" s="19"/>
      <c r="T199" s="74"/>
      <c r="U199" s="14"/>
      <c r="V199" s="57"/>
      <c r="W199" s="14"/>
      <c r="X199" s="14"/>
      <c r="Y199" s="55"/>
      <c r="Z199"/>
      <c r="AA199" s="54"/>
      <c r="AB199" s="72"/>
      <c r="AC199">
        <f t="shared" si="208"/>
        <v>0</v>
      </c>
      <c r="AD199" s="60"/>
      <c r="AE199">
        <f t="shared" si="209"/>
        <v>0</v>
      </c>
      <c r="AF199" s="57">
        <f t="shared" si="210"/>
        <v>0</v>
      </c>
      <c r="AG199" s="56" t="str">
        <f t="shared" si="211"/>
        <v/>
      </c>
      <c r="AH199" s="26" t="e">
        <f t="shared" si="212"/>
        <v>#DIV/0!</v>
      </c>
      <c r="AI199" t="str">
        <f t="shared" ref="AI199:AI262" si="228">IF(F199="QUAD","T/m","mT")</f>
        <v>mT</v>
      </c>
    </row>
    <row r="200" spans="1:35" s="27" customFormat="1" hidden="1" x14ac:dyDescent="0.25">
      <c r="A200">
        <v>240</v>
      </c>
      <c r="B200" s="38"/>
      <c r="C200" t="s">
        <v>65</v>
      </c>
      <c r="D200" t="s">
        <v>175</v>
      </c>
      <c r="E200" t="s">
        <v>67</v>
      </c>
      <c r="F200" t="s">
        <v>172</v>
      </c>
      <c r="G200" s="22">
        <v>1</v>
      </c>
      <c r="H200" s="22" t="s">
        <v>77</v>
      </c>
      <c r="I200" t="s">
        <v>195</v>
      </c>
      <c r="J200" s="80"/>
      <c r="K200" s="28"/>
      <c r="L200" s="5"/>
      <c r="M200" s="5"/>
      <c r="N200" s="5"/>
      <c r="O200" s="13"/>
      <c r="P200" s="19"/>
      <c r="Q200" s="19"/>
      <c r="R200" s="19"/>
      <c r="S200" s="19"/>
      <c r="T200" s="74"/>
      <c r="U200" s="14"/>
      <c r="V200" s="57"/>
      <c r="W200" s="14"/>
      <c r="X200" s="14"/>
      <c r="Y200" s="55"/>
      <c r="Z200"/>
      <c r="AA200" s="54"/>
      <c r="AB200" s="72"/>
      <c r="AC200">
        <f t="shared" si="208"/>
        <v>0</v>
      </c>
      <c r="AD200" s="60"/>
      <c r="AE200">
        <f t="shared" si="209"/>
        <v>0</v>
      </c>
      <c r="AF200" s="57">
        <f t="shared" si="210"/>
        <v>0</v>
      </c>
      <c r="AG200" s="56" t="str">
        <f t="shared" si="211"/>
        <v/>
      </c>
      <c r="AH200" s="26" t="e">
        <f t="shared" ref="AH200:AH263" si="229">1000*AD200/AA200</f>
        <v>#DIV/0!</v>
      </c>
      <c r="AI200" t="str">
        <f t="shared" si="228"/>
        <v>mT</v>
      </c>
    </row>
    <row r="201" spans="1:35" s="27" customFormat="1" hidden="1" x14ac:dyDescent="0.25">
      <c r="A201">
        <v>240</v>
      </c>
      <c r="B201" s="38"/>
      <c r="C201" t="s">
        <v>65</v>
      </c>
      <c r="D201" t="s">
        <v>176</v>
      </c>
      <c r="E201" t="s">
        <v>67</v>
      </c>
      <c r="F201" t="s">
        <v>70</v>
      </c>
      <c r="G201" s="22">
        <v>1</v>
      </c>
      <c r="H201" s="22" t="s">
        <v>75</v>
      </c>
      <c r="I201" t="s">
        <v>226</v>
      </c>
      <c r="J201" s="80"/>
      <c r="K201" s="28"/>
      <c r="L201" s="5"/>
      <c r="M201" s="5"/>
      <c r="N201" s="5"/>
      <c r="O201" s="13"/>
      <c r="P201" s="19"/>
      <c r="Q201" s="19"/>
      <c r="R201" s="19"/>
      <c r="S201" s="19"/>
      <c r="T201" s="74"/>
      <c r="U201" s="14"/>
      <c r="V201" s="57"/>
      <c r="W201" s="14"/>
      <c r="X201" s="14"/>
      <c r="Y201" s="55"/>
      <c r="Z201"/>
      <c r="AA201" s="54"/>
      <c r="AB201" s="72"/>
      <c r="AC201">
        <f t="shared" si="208"/>
        <v>0</v>
      </c>
      <c r="AD201" s="60"/>
      <c r="AE201">
        <f t="shared" si="209"/>
        <v>0</v>
      </c>
      <c r="AF201" s="57" t="e">
        <f t="shared" si="210"/>
        <v>#DIV/0!</v>
      </c>
      <c r="AG201" s="56" t="str">
        <f t="shared" si="211"/>
        <v>m⁻²</v>
      </c>
      <c r="AH201" s="26" t="e">
        <f t="shared" si="229"/>
        <v>#DIV/0!</v>
      </c>
      <c r="AI201" t="str">
        <f t="shared" si="228"/>
        <v>T/m</v>
      </c>
    </row>
    <row r="202" spans="1:35" s="27" customFormat="1" hidden="1" x14ac:dyDescent="0.25">
      <c r="A202">
        <v>240</v>
      </c>
      <c r="B202" s="38"/>
      <c r="C202" t="s">
        <v>65</v>
      </c>
      <c r="D202" t="s">
        <v>176</v>
      </c>
      <c r="E202" t="s">
        <v>67</v>
      </c>
      <c r="F202" t="s">
        <v>74</v>
      </c>
      <c r="G202" s="22">
        <v>1</v>
      </c>
      <c r="H202" s="22" t="s">
        <v>76</v>
      </c>
      <c r="I202" t="s">
        <v>193</v>
      </c>
      <c r="J202" s="80"/>
      <c r="K202" s="28"/>
      <c r="L202" s="5"/>
      <c r="M202" s="5"/>
      <c r="N202" s="5"/>
      <c r="O202" s="13"/>
      <c r="P202" s="19"/>
      <c r="Q202" s="19"/>
      <c r="R202" s="19"/>
      <c r="S202" s="19"/>
      <c r="T202" s="74"/>
      <c r="U202" s="14"/>
      <c r="V202" s="57"/>
      <c r="W202" s="14"/>
      <c r="X202" s="14"/>
      <c r="Y202" s="55"/>
      <c r="Z202"/>
      <c r="AA202" s="54"/>
      <c r="AB202" s="72"/>
      <c r="AC202">
        <f t="shared" si="208"/>
        <v>0</v>
      </c>
      <c r="AD202" s="60"/>
      <c r="AE202">
        <f t="shared" si="209"/>
        <v>0</v>
      </c>
      <c r="AF202" s="57">
        <f t="shared" si="210"/>
        <v>0</v>
      </c>
      <c r="AG202" s="56" t="str">
        <f t="shared" si="211"/>
        <v/>
      </c>
      <c r="AH202" s="26" t="e">
        <f t="shared" si="229"/>
        <v>#DIV/0!</v>
      </c>
      <c r="AI202" t="str">
        <f t="shared" si="228"/>
        <v>mT</v>
      </c>
    </row>
    <row r="203" spans="1:35" s="27" customFormat="1" hidden="1" x14ac:dyDescent="0.25">
      <c r="A203">
        <v>240</v>
      </c>
      <c r="B203" s="38"/>
      <c r="C203" t="s">
        <v>65</v>
      </c>
      <c r="D203" t="s">
        <v>176</v>
      </c>
      <c r="E203" t="s">
        <v>67</v>
      </c>
      <c r="F203" t="s">
        <v>172</v>
      </c>
      <c r="G203" s="22">
        <v>1</v>
      </c>
      <c r="H203" s="22" t="s">
        <v>77</v>
      </c>
      <c r="I203" t="s">
        <v>195</v>
      </c>
      <c r="J203" s="80"/>
      <c r="K203" s="28"/>
      <c r="L203" s="5"/>
      <c r="M203" s="5"/>
      <c r="N203" s="5"/>
      <c r="O203" s="13"/>
      <c r="P203" s="19"/>
      <c r="Q203" s="19"/>
      <c r="R203" s="19"/>
      <c r="S203" s="19"/>
      <c r="T203" s="74"/>
      <c r="U203" s="14"/>
      <c r="V203" s="57"/>
      <c r="W203" s="14"/>
      <c r="X203" s="14"/>
      <c r="Y203" s="55"/>
      <c r="Z203"/>
      <c r="AA203" s="54"/>
      <c r="AB203" s="72"/>
      <c r="AC203">
        <f t="shared" si="208"/>
        <v>0</v>
      </c>
      <c r="AD203" s="60"/>
      <c r="AE203">
        <f t="shared" si="209"/>
        <v>0</v>
      </c>
      <c r="AF203" s="57">
        <f t="shared" si="210"/>
        <v>0</v>
      </c>
      <c r="AG203" s="56" t="str">
        <f t="shared" si="211"/>
        <v/>
      </c>
      <c r="AH203" s="26" t="e">
        <f t="shared" si="229"/>
        <v>#DIV/0!</v>
      </c>
      <c r="AI203" t="str">
        <f t="shared" si="228"/>
        <v>mT</v>
      </c>
    </row>
    <row r="204" spans="1:35" s="27" customFormat="1" hidden="1" x14ac:dyDescent="0.25">
      <c r="A204">
        <v>240</v>
      </c>
      <c r="B204" s="38"/>
      <c r="C204" t="s">
        <v>65</v>
      </c>
      <c r="D204" t="s">
        <v>177</v>
      </c>
      <c r="E204" t="s">
        <v>67</v>
      </c>
      <c r="F204" t="s">
        <v>70</v>
      </c>
      <c r="G204" s="22">
        <v>1</v>
      </c>
      <c r="H204" s="22" t="s">
        <v>75</v>
      </c>
      <c r="I204" t="s">
        <v>226</v>
      </c>
      <c r="J204" s="80"/>
      <c r="K204" s="28"/>
      <c r="L204" s="5"/>
      <c r="M204" s="5"/>
      <c r="N204" s="5"/>
      <c r="O204" s="13"/>
      <c r="P204" s="19"/>
      <c r="Q204" s="19"/>
      <c r="R204" s="19"/>
      <c r="S204" s="19"/>
      <c r="T204" s="74"/>
      <c r="U204" s="14"/>
      <c r="V204" s="57"/>
      <c r="W204" s="14"/>
      <c r="X204" s="14"/>
      <c r="Y204" s="55"/>
      <c r="Z204"/>
      <c r="AA204" s="54"/>
      <c r="AB204" s="72"/>
      <c r="AC204">
        <f t="shared" si="208"/>
        <v>0</v>
      </c>
      <c r="AD204" s="60"/>
      <c r="AE204">
        <f t="shared" si="209"/>
        <v>0</v>
      </c>
      <c r="AF204" s="57" t="e">
        <f t="shared" si="210"/>
        <v>#DIV/0!</v>
      </c>
      <c r="AG204" s="56" t="str">
        <f t="shared" si="211"/>
        <v>m⁻²</v>
      </c>
      <c r="AH204" s="26" t="e">
        <f t="shared" si="229"/>
        <v>#DIV/0!</v>
      </c>
      <c r="AI204" t="str">
        <f t="shared" si="228"/>
        <v>T/m</v>
      </c>
    </row>
    <row r="205" spans="1:35" s="27" customFormat="1" hidden="1" x14ac:dyDescent="0.25">
      <c r="A205">
        <v>240</v>
      </c>
      <c r="B205" s="38"/>
      <c r="C205" t="s">
        <v>65</v>
      </c>
      <c r="D205" t="s">
        <v>177</v>
      </c>
      <c r="E205" t="s">
        <v>67</v>
      </c>
      <c r="F205" t="s">
        <v>74</v>
      </c>
      <c r="G205" s="22">
        <v>1</v>
      </c>
      <c r="H205" s="22" t="s">
        <v>76</v>
      </c>
      <c r="I205" t="s">
        <v>193</v>
      </c>
      <c r="J205" s="80"/>
      <c r="K205" s="28"/>
      <c r="L205" s="5"/>
      <c r="M205" s="5"/>
      <c r="N205" s="5"/>
      <c r="O205" s="13"/>
      <c r="P205" s="19"/>
      <c r="Q205" s="19"/>
      <c r="R205" s="19"/>
      <c r="S205" s="19"/>
      <c r="T205" s="74"/>
      <c r="U205" s="14"/>
      <c r="V205" s="57"/>
      <c r="W205" s="14"/>
      <c r="X205" s="14"/>
      <c r="Y205" s="55"/>
      <c r="Z205"/>
      <c r="AA205" s="54"/>
      <c r="AB205" s="72"/>
      <c r="AC205">
        <f t="shared" si="208"/>
        <v>0</v>
      </c>
      <c r="AD205" s="60"/>
      <c r="AE205">
        <f t="shared" si="209"/>
        <v>0</v>
      </c>
      <c r="AF205" s="57">
        <f t="shared" si="210"/>
        <v>0</v>
      </c>
      <c r="AG205" s="56" t="str">
        <f t="shared" si="211"/>
        <v/>
      </c>
      <c r="AH205" s="26" t="e">
        <f t="shared" si="229"/>
        <v>#DIV/0!</v>
      </c>
      <c r="AI205" t="str">
        <f t="shared" si="228"/>
        <v>mT</v>
      </c>
    </row>
    <row r="206" spans="1:35" s="27" customFormat="1" hidden="1" x14ac:dyDescent="0.25">
      <c r="A206">
        <v>240</v>
      </c>
      <c r="B206" s="38"/>
      <c r="C206" t="s">
        <v>65</v>
      </c>
      <c r="D206" t="s">
        <v>177</v>
      </c>
      <c r="E206" t="s">
        <v>67</v>
      </c>
      <c r="F206" t="s">
        <v>172</v>
      </c>
      <c r="G206" s="22">
        <v>1</v>
      </c>
      <c r="H206" s="22" t="s">
        <v>77</v>
      </c>
      <c r="I206" t="s">
        <v>195</v>
      </c>
      <c r="J206" s="80"/>
      <c r="K206" s="28"/>
      <c r="L206" s="5"/>
      <c r="M206" s="5"/>
      <c r="N206" s="5"/>
      <c r="O206" s="13"/>
      <c r="P206" s="19"/>
      <c r="Q206" s="19"/>
      <c r="R206" s="19"/>
      <c r="S206" s="19"/>
      <c r="T206" s="74"/>
      <c r="U206" s="14"/>
      <c r="V206" s="57"/>
      <c r="W206" s="14"/>
      <c r="X206" s="14"/>
      <c r="Y206" s="55"/>
      <c r="Z206"/>
      <c r="AA206" s="54"/>
      <c r="AB206" s="72"/>
      <c r="AC206">
        <f t="shared" si="208"/>
        <v>0</v>
      </c>
      <c r="AD206" s="60"/>
      <c r="AE206">
        <f t="shared" si="209"/>
        <v>0</v>
      </c>
      <c r="AF206" s="57">
        <f t="shared" si="210"/>
        <v>0</v>
      </c>
      <c r="AG206" s="56" t="str">
        <f t="shared" si="211"/>
        <v/>
      </c>
      <c r="AH206" s="26" t="e">
        <f t="shared" si="229"/>
        <v>#DIV/0!</v>
      </c>
      <c r="AI206" t="str">
        <f t="shared" si="228"/>
        <v>mT</v>
      </c>
    </row>
    <row r="207" spans="1:35" s="27" customFormat="1" hidden="1" x14ac:dyDescent="0.25">
      <c r="A207">
        <v>240</v>
      </c>
      <c r="B207" s="38"/>
      <c r="C207" t="s">
        <v>65</v>
      </c>
      <c r="D207" t="s">
        <v>178</v>
      </c>
      <c r="E207" t="s">
        <v>67</v>
      </c>
      <c r="F207" t="s">
        <v>70</v>
      </c>
      <c r="G207" s="22">
        <v>1</v>
      </c>
      <c r="H207" s="22" t="s">
        <v>75</v>
      </c>
      <c r="I207" t="s">
        <v>226</v>
      </c>
      <c r="J207" s="80"/>
      <c r="K207" s="28"/>
      <c r="L207" s="5"/>
      <c r="M207" s="5"/>
      <c r="N207" s="5"/>
      <c r="O207" s="13"/>
      <c r="P207" s="19"/>
      <c r="Q207" s="19"/>
      <c r="R207" s="19"/>
      <c r="S207" s="19"/>
      <c r="T207" s="74"/>
      <c r="U207" s="14"/>
      <c r="V207" s="57"/>
      <c r="W207" s="14"/>
      <c r="X207" s="14"/>
      <c r="Y207" s="55"/>
      <c r="Z207"/>
      <c r="AA207" s="54"/>
      <c r="AB207" s="72"/>
      <c r="AC207">
        <f t="shared" si="208"/>
        <v>0</v>
      </c>
      <c r="AD207" s="60"/>
      <c r="AE207">
        <f t="shared" si="209"/>
        <v>0</v>
      </c>
      <c r="AF207" s="57" t="e">
        <f t="shared" si="210"/>
        <v>#DIV/0!</v>
      </c>
      <c r="AG207" s="56" t="str">
        <f t="shared" si="211"/>
        <v>m⁻²</v>
      </c>
      <c r="AH207" s="26" t="e">
        <f t="shared" si="229"/>
        <v>#DIV/0!</v>
      </c>
      <c r="AI207" t="str">
        <f t="shared" si="228"/>
        <v>T/m</v>
      </c>
    </row>
    <row r="208" spans="1:35" s="27" customFormat="1" hidden="1" x14ac:dyDescent="0.25">
      <c r="A208">
        <v>240</v>
      </c>
      <c r="B208" s="38"/>
      <c r="C208" t="s">
        <v>65</v>
      </c>
      <c r="D208" t="s">
        <v>178</v>
      </c>
      <c r="E208" t="s">
        <v>67</v>
      </c>
      <c r="F208" t="s">
        <v>74</v>
      </c>
      <c r="G208" s="22">
        <v>1</v>
      </c>
      <c r="H208" s="22" t="s">
        <v>76</v>
      </c>
      <c r="I208" t="s">
        <v>193</v>
      </c>
      <c r="J208" s="80"/>
      <c r="K208" s="28"/>
      <c r="L208" s="5"/>
      <c r="M208" s="5"/>
      <c r="N208" s="5"/>
      <c r="O208" s="13"/>
      <c r="P208" s="19"/>
      <c r="Q208" s="19"/>
      <c r="R208" s="19"/>
      <c r="S208" s="19"/>
      <c r="T208" s="74"/>
      <c r="U208" s="14"/>
      <c r="V208" s="57"/>
      <c r="W208" s="14"/>
      <c r="X208" s="14"/>
      <c r="Y208" s="55"/>
      <c r="Z208"/>
      <c r="AA208" s="54"/>
      <c r="AB208" s="72"/>
      <c r="AC208">
        <f t="shared" si="208"/>
        <v>0</v>
      </c>
      <c r="AD208" s="60"/>
      <c r="AE208">
        <f t="shared" si="209"/>
        <v>0</v>
      </c>
      <c r="AF208" s="57">
        <f t="shared" si="210"/>
        <v>0</v>
      </c>
      <c r="AG208" s="56" t="str">
        <f t="shared" si="211"/>
        <v/>
      </c>
      <c r="AH208" s="26" t="e">
        <f t="shared" si="229"/>
        <v>#DIV/0!</v>
      </c>
      <c r="AI208" t="str">
        <f t="shared" si="228"/>
        <v>mT</v>
      </c>
    </row>
    <row r="209" spans="1:35" s="27" customFormat="1" hidden="1" x14ac:dyDescent="0.25">
      <c r="A209">
        <v>240</v>
      </c>
      <c r="B209" s="38"/>
      <c r="C209" t="s">
        <v>65</v>
      </c>
      <c r="D209" t="s">
        <v>178</v>
      </c>
      <c r="E209" t="s">
        <v>67</v>
      </c>
      <c r="F209" t="s">
        <v>172</v>
      </c>
      <c r="G209" s="22">
        <v>1</v>
      </c>
      <c r="H209" s="22" t="s">
        <v>77</v>
      </c>
      <c r="I209" t="s">
        <v>195</v>
      </c>
      <c r="J209" s="80"/>
      <c r="K209" s="28"/>
      <c r="L209" s="5"/>
      <c r="M209" s="5"/>
      <c r="N209" s="5"/>
      <c r="O209" s="13"/>
      <c r="P209" s="19"/>
      <c r="Q209" s="19"/>
      <c r="R209" s="19"/>
      <c r="S209" s="19"/>
      <c r="T209" s="74"/>
      <c r="U209" s="14"/>
      <c r="V209" s="57"/>
      <c r="W209" s="14"/>
      <c r="X209" s="14"/>
      <c r="Y209" s="55"/>
      <c r="Z209"/>
      <c r="AA209" s="54"/>
      <c r="AB209" s="72"/>
      <c r="AC209">
        <f t="shared" si="208"/>
        <v>0</v>
      </c>
      <c r="AD209" s="60"/>
      <c r="AE209">
        <f t="shared" si="209"/>
        <v>0</v>
      </c>
      <c r="AF209" s="57">
        <f t="shared" si="210"/>
        <v>0</v>
      </c>
      <c r="AG209" s="56" t="str">
        <f t="shared" si="211"/>
        <v/>
      </c>
      <c r="AH209" s="26" t="e">
        <f t="shared" si="229"/>
        <v>#DIV/0!</v>
      </c>
      <c r="AI209" t="str">
        <f t="shared" si="228"/>
        <v>mT</v>
      </c>
    </row>
    <row r="210" spans="1:35" s="27" customFormat="1" hidden="1" x14ac:dyDescent="0.25">
      <c r="A210">
        <v>240</v>
      </c>
      <c r="B210" s="38"/>
      <c r="C210" t="s">
        <v>65</v>
      </c>
      <c r="D210" t="s">
        <v>179</v>
      </c>
      <c r="E210" t="s">
        <v>67</v>
      </c>
      <c r="F210" t="s">
        <v>70</v>
      </c>
      <c r="G210" s="22">
        <v>1</v>
      </c>
      <c r="H210" s="22" t="s">
        <v>75</v>
      </c>
      <c r="I210" t="s">
        <v>226</v>
      </c>
      <c r="J210" s="80"/>
      <c r="K210" s="28"/>
      <c r="L210" s="5"/>
      <c r="M210" s="5"/>
      <c r="N210" s="5"/>
      <c r="O210" s="13"/>
      <c r="P210" s="19"/>
      <c r="Q210" s="19"/>
      <c r="R210" s="19"/>
      <c r="S210" s="19"/>
      <c r="T210" s="74"/>
      <c r="U210" s="14"/>
      <c r="V210" s="57"/>
      <c r="W210" s="14"/>
      <c r="X210" s="14"/>
      <c r="Y210" s="55"/>
      <c r="Z210"/>
      <c r="AA210" s="54"/>
      <c r="AB210" s="72"/>
      <c r="AC210">
        <f t="shared" si="208"/>
        <v>0</v>
      </c>
      <c r="AD210" s="60"/>
      <c r="AE210">
        <f t="shared" si="209"/>
        <v>0</v>
      </c>
      <c r="AF210" s="57" t="e">
        <f t="shared" si="210"/>
        <v>#DIV/0!</v>
      </c>
      <c r="AG210" s="56" t="str">
        <f t="shared" si="211"/>
        <v>m⁻²</v>
      </c>
      <c r="AH210" s="26" t="e">
        <f t="shared" si="229"/>
        <v>#DIV/0!</v>
      </c>
      <c r="AI210" t="str">
        <f t="shared" si="228"/>
        <v>T/m</v>
      </c>
    </row>
    <row r="211" spans="1:35" s="27" customFormat="1" hidden="1" x14ac:dyDescent="0.25">
      <c r="A211">
        <v>240</v>
      </c>
      <c r="B211" s="38"/>
      <c r="C211" t="s">
        <v>65</v>
      </c>
      <c r="D211" t="s">
        <v>179</v>
      </c>
      <c r="E211" t="s">
        <v>67</v>
      </c>
      <c r="F211" t="s">
        <v>74</v>
      </c>
      <c r="G211" s="22">
        <v>1</v>
      </c>
      <c r="H211" s="22" t="s">
        <v>76</v>
      </c>
      <c r="I211" t="s">
        <v>193</v>
      </c>
      <c r="J211" s="80"/>
      <c r="K211" s="28"/>
      <c r="L211" s="5"/>
      <c r="M211" s="5"/>
      <c r="N211" s="5"/>
      <c r="O211" s="13"/>
      <c r="P211" s="19"/>
      <c r="Q211" s="19"/>
      <c r="R211" s="19"/>
      <c r="S211" s="19"/>
      <c r="T211" s="74"/>
      <c r="U211" s="14"/>
      <c r="V211" s="57"/>
      <c r="W211" s="14"/>
      <c r="X211" s="14"/>
      <c r="Y211" s="55"/>
      <c r="Z211"/>
      <c r="AA211" s="54"/>
      <c r="AB211" s="72"/>
      <c r="AC211">
        <f t="shared" si="208"/>
        <v>0</v>
      </c>
      <c r="AD211" s="60"/>
      <c r="AE211">
        <f t="shared" si="209"/>
        <v>0</v>
      </c>
      <c r="AF211" s="57">
        <f t="shared" si="210"/>
        <v>0</v>
      </c>
      <c r="AG211" s="56" t="str">
        <f t="shared" si="211"/>
        <v/>
      </c>
      <c r="AH211" s="26" t="e">
        <f t="shared" si="229"/>
        <v>#DIV/0!</v>
      </c>
      <c r="AI211" t="str">
        <f t="shared" si="228"/>
        <v>mT</v>
      </c>
    </row>
    <row r="212" spans="1:35" s="27" customFormat="1" hidden="1" x14ac:dyDescent="0.25">
      <c r="A212">
        <v>240</v>
      </c>
      <c r="B212" s="38"/>
      <c r="C212" t="s">
        <v>65</v>
      </c>
      <c r="D212" t="s">
        <v>179</v>
      </c>
      <c r="E212" t="s">
        <v>67</v>
      </c>
      <c r="F212" t="s">
        <v>172</v>
      </c>
      <c r="G212" s="22">
        <v>1</v>
      </c>
      <c r="H212" s="22" t="s">
        <v>77</v>
      </c>
      <c r="I212" t="s">
        <v>195</v>
      </c>
      <c r="J212" s="80"/>
      <c r="K212" s="28"/>
      <c r="L212" s="5"/>
      <c r="M212" s="5"/>
      <c r="N212" s="5"/>
      <c r="O212" s="13"/>
      <c r="P212" s="19"/>
      <c r="Q212" s="19"/>
      <c r="R212" s="19"/>
      <c r="S212" s="19"/>
      <c r="T212" s="74"/>
      <c r="U212" s="14"/>
      <c r="V212" s="57"/>
      <c r="W212" s="14"/>
      <c r="X212" s="14"/>
      <c r="Y212" s="55"/>
      <c r="Z212"/>
      <c r="AA212" s="54"/>
      <c r="AB212" s="72"/>
      <c r="AC212">
        <f t="shared" si="208"/>
        <v>0</v>
      </c>
      <c r="AD212" s="60"/>
      <c r="AE212">
        <f t="shared" si="209"/>
        <v>0</v>
      </c>
      <c r="AF212" s="57">
        <f t="shared" si="210"/>
        <v>0</v>
      </c>
      <c r="AG212" s="56" t="str">
        <f t="shared" si="211"/>
        <v/>
      </c>
      <c r="AH212" s="26" t="e">
        <f t="shared" si="229"/>
        <v>#DIV/0!</v>
      </c>
      <c r="AI212" t="str">
        <f t="shared" si="228"/>
        <v>mT</v>
      </c>
    </row>
    <row r="213" spans="1:35" s="27" customFormat="1" hidden="1" x14ac:dyDescent="0.25">
      <c r="A213">
        <v>240</v>
      </c>
      <c r="B213" s="38"/>
      <c r="C213" t="s">
        <v>65</v>
      </c>
      <c r="D213" t="s">
        <v>180</v>
      </c>
      <c r="E213" t="s">
        <v>67</v>
      </c>
      <c r="F213" t="s">
        <v>70</v>
      </c>
      <c r="G213" s="22">
        <v>1</v>
      </c>
      <c r="H213" s="22" t="s">
        <v>75</v>
      </c>
      <c r="I213" t="s">
        <v>226</v>
      </c>
      <c r="J213" s="80"/>
      <c r="K213" s="28"/>
      <c r="L213" s="5"/>
      <c r="M213" s="5"/>
      <c r="N213" s="5"/>
      <c r="O213" s="13"/>
      <c r="P213" s="19"/>
      <c r="Q213" s="19"/>
      <c r="R213" s="19"/>
      <c r="S213" s="19"/>
      <c r="T213" s="74"/>
      <c r="U213" s="14"/>
      <c r="V213" s="57"/>
      <c r="W213" s="14"/>
      <c r="X213" s="14"/>
      <c r="Y213" s="55"/>
      <c r="Z213"/>
      <c r="AA213" s="54"/>
      <c r="AB213" s="72"/>
      <c r="AC213">
        <f t="shared" si="208"/>
        <v>0</v>
      </c>
      <c r="AD213" s="60"/>
      <c r="AE213">
        <f t="shared" si="209"/>
        <v>0</v>
      </c>
      <c r="AF213" s="57" t="e">
        <f t="shared" si="210"/>
        <v>#DIV/0!</v>
      </c>
      <c r="AG213" s="56" t="str">
        <f t="shared" si="211"/>
        <v>m⁻²</v>
      </c>
      <c r="AH213" s="26" t="e">
        <f t="shared" si="229"/>
        <v>#DIV/0!</v>
      </c>
      <c r="AI213" t="str">
        <f t="shared" si="228"/>
        <v>T/m</v>
      </c>
    </row>
    <row r="214" spans="1:35" s="27" customFormat="1" hidden="1" x14ac:dyDescent="0.25">
      <c r="A214">
        <v>240</v>
      </c>
      <c r="B214" s="38"/>
      <c r="C214" t="s">
        <v>65</v>
      </c>
      <c r="D214" t="s">
        <v>180</v>
      </c>
      <c r="E214" t="s">
        <v>67</v>
      </c>
      <c r="F214" t="s">
        <v>74</v>
      </c>
      <c r="G214" s="22">
        <v>1</v>
      </c>
      <c r="H214" s="22" t="s">
        <v>76</v>
      </c>
      <c r="I214" t="s">
        <v>193</v>
      </c>
      <c r="J214" s="80"/>
      <c r="K214" s="28"/>
      <c r="L214" s="5"/>
      <c r="M214" s="5"/>
      <c r="N214" s="5"/>
      <c r="O214" s="13"/>
      <c r="P214" s="19"/>
      <c r="Q214" s="19"/>
      <c r="R214" s="19"/>
      <c r="S214" s="19"/>
      <c r="T214" s="74"/>
      <c r="U214" s="14"/>
      <c r="V214" s="57"/>
      <c r="W214" s="14"/>
      <c r="X214" s="14"/>
      <c r="Y214" s="55"/>
      <c r="Z214"/>
      <c r="AA214" s="54"/>
      <c r="AB214" s="72"/>
      <c r="AC214">
        <f t="shared" si="208"/>
        <v>0</v>
      </c>
      <c r="AD214" s="60"/>
      <c r="AE214">
        <f t="shared" si="209"/>
        <v>0</v>
      </c>
      <c r="AF214" s="57">
        <f t="shared" si="210"/>
        <v>0</v>
      </c>
      <c r="AG214" s="56" t="str">
        <f t="shared" si="211"/>
        <v/>
      </c>
      <c r="AH214" s="26" t="e">
        <f t="shared" si="229"/>
        <v>#DIV/0!</v>
      </c>
      <c r="AI214" t="str">
        <f t="shared" si="228"/>
        <v>mT</v>
      </c>
    </row>
    <row r="215" spans="1:35" s="27" customFormat="1" hidden="1" x14ac:dyDescent="0.25">
      <c r="A215">
        <v>240</v>
      </c>
      <c r="B215" s="38"/>
      <c r="C215" t="s">
        <v>65</v>
      </c>
      <c r="D215" t="s">
        <v>180</v>
      </c>
      <c r="E215" t="s">
        <v>67</v>
      </c>
      <c r="F215" t="s">
        <v>172</v>
      </c>
      <c r="G215" s="22">
        <v>1</v>
      </c>
      <c r="H215" s="22" t="s">
        <v>77</v>
      </c>
      <c r="I215" t="s">
        <v>195</v>
      </c>
      <c r="J215" s="80"/>
      <c r="K215" s="28"/>
      <c r="L215" s="5"/>
      <c r="M215" s="5"/>
      <c r="N215" s="5"/>
      <c r="O215" s="13"/>
      <c r="P215" s="19"/>
      <c r="Q215" s="19"/>
      <c r="R215" s="19"/>
      <c r="S215" s="19"/>
      <c r="T215" s="74"/>
      <c r="U215" s="14"/>
      <c r="V215" s="57"/>
      <c r="W215" s="14"/>
      <c r="X215" s="14"/>
      <c r="Y215" s="55"/>
      <c r="Z215"/>
      <c r="AA215" s="54"/>
      <c r="AB215" s="72"/>
      <c r="AC215">
        <f t="shared" si="208"/>
        <v>0</v>
      </c>
      <c r="AD215" s="60"/>
      <c r="AE215">
        <f t="shared" si="209"/>
        <v>0</v>
      </c>
      <c r="AF215" s="57">
        <f t="shared" si="210"/>
        <v>0</v>
      </c>
      <c r="AG215" s="56" t="str">
        <f t="shared" si="211"/>
        <v/>
      </c>
      <c r="AH215" s="26" t="e">
        <f t="shared" si="229"/>
        <v>#DIV/0!</v>
      </c>
      <c r="AI215" t="str">
        <f t="shared" si="228"/>
        <v>mT</v>
      </c>
    </row>
    <row r="216" spans="1:35" s="27" customFormat="1" hidden="1" x14ac:dyDescent="0.25">
      <c r="A216">
        <v>240</v>
      </c>
      <c r="B216" s="38"/>
      <c r="C216" t="s">
        <v>65</v>
      </c>
      <c r="D216" t="s">
        <v>181</v>
      </c>
      <c r="E216" t="s">
        <v>67</v>
      </c>
      <c r="F216" t="s">
        <v>70</v>
      </c>
      <c r="G216" s="22">
        <v>1</v>
      </c>
      <c r="H216" s="22" t="s">
        <v>75</v>
      </c>
      <c r="I216" t="s">
        <v>226</v>
      </c>
      <c r="J216" s="80"/>
      <c r="K216" s="28"/>
      <c r="L216" s="5"/>
      <c r="M216" s="5"/>
      <c r="N216" s="5"/>
      <c r="O216" s="13"/>
      <c r="P216" s="19"/>
      <c r="Q216" s="19"/>
      <c r="R216" s="19"/>
      <c r="S216" s="19"/>
      <c r="T216" s="74"/>
      <c r="U216" s="14"/>
      <c r="V216" s="57"/>
      <c r="W216" s="14"/>
      <c r="X216" s="14"/>
      <c r="Y216" s="55"/>
      <c r="Z216"/>
      <c r="AA216" s="54"/>
      <c r="AB216" s="72"/>
      <c r="AC216">
        <f t="shared" si="208"/>
        <v>0</v>
      </c>
      <c r="AD216" s="60"/>
      <c r="AE216">
        <f t="shared" si="209"/>
        <v>0</v>
      </c>
      <c r="AF216" s="57" t="e">
        <f t="shared" si="210"/>
        <v>#DIV/0!</v>
      </c>
      <c r="AG216" s="56" t="str">
        <f t="shared" si="211"/>
        <v>m⁻²</v>
      </c>
      <c r="AH216" s="26" t="e">
        <f t="shared" si="229"/>
        <v>#DIV/0!</v>
      </c>
      <c r="AI216" t="str">
        <f t="shared" si="228"/>
        <v>T/m</v>
      </c>
    </row>
    <row r="217" spans="1:35" s="27" customFormat="1" hidden="1" x14ac:dyDescent="0.25">
      <c r="A217">
        <v>240</v>
      </c>
      <c r="B217" s="38"/>
      <c r="C217" t="s">
        <v>65</v>
      </c>
      <c r="D217" t="s">
        <v>181</v>
      </c>
      <c r="E217" t="s">
        <v>67</v>
      </c>
      <c r="F217" t="s">
        <v>74</v>
      </c>
      <c r="G217" s="22">
        <v>1</v>
      </c>
      <c r="H217" s="22" t="s">
        <v>76</v>
      </c>
      <c r="I217" t="s">
        <v>193</v>
      </c>
      <c r="J217" s="80"/>
      <c r="K217" s="28"/>
      <c r="L217" s="5"/>
      <c r="M217" s="5"/>
      <c r="N217" s="5"/>
      <c r="O217" s="13"/>
      <c r="P217" s="19"/>
      <c r="Q217" s="19"/>
      <c r="R217" s="19"/>
      <c r="S217" s="19"/>
      <c r="T217" s="74"/>
      <c r="U217" s="14"/>
      <c r="V217" s="57"/>
      <c r="W217" s="14"/>
      <c r="X217" s="14"/>
      <c r="Y217" s="55"/>
      <c r="Z217"/>
      <c r="AA217" s="54"/>
      <c r="AB217" s="72"/>
      <c r="AC217">
        <f t="shared" si="208"/>
        <v>0</v>
      </c>
      <c r="AD217" s="60"/>
      <c r="AE217">
        <f t="shared" si="209"/>
        <v>0</v>
      </c>
      <c r="AF217" s="57">
        <f t="shared" si="210"/>
        <v>0</v>
      </c>
      <c r="AG217" s="56" t="str">
        <f t="shared" si="211"/>
        <v/>
      </c>
      <c r="AH217" s="26" t="e">
        <f t="shared" si="229"/>
        <v>#DIV/0!</v>
      </c>
      <c r="AI217" t="str">
        <f t="shared" si="228"/>
        <v>mT</v>
      </c>
    </row>
    <row r="218" spans="1:35" s="27" customFormat="1" hidden="1" x14ac:dyDescent="0.25">
      <c r="A218">
        <v>240</v>
      </c>
      <c r="B218" s="38"/>
      <c r="C218" t="s">
        <v>65</v>
      </c>
      <c r="D218" t="s">
        <v>181</v>
      </c>
      <c r="E218" t="s">
        <v>67</v>
      </c>
      <c r="F218" t="s">
        <v>172</v>
      </c>
      <c r="G218" s="22">
        <v>1</v>
      </c>
      <c r="H218" s="22" t="s">
        <v>77</v>
      </c>
      <c r="I218" t="s">
        <v>195</v>
      </c>
      <c r="J218" s="80"/>
      <c r="K218" s="28"/>
      <c r="L218" s="5"/>
      <c r="M218" s="5"/>
      <c r="N218" s="5"/>
      <c r="O218" s="13"/>
      <c r="P218" s="19"/>
      <c r="Q218" s="19"/>
      <c r="R218" s="19"/>
      <c r="S218" s="19"/>
      <c r="T218" s="74"/>
      <c r="U218" s="14"/>
      <c r="V218" s="57"/>
      <c r="W218" s="14"/>
      <c r="X218" s="14"/>
      <c r="Y218" s="55"/>
      <c r="Z218"/>
      <c r="AA218" s="54"/>
      <c r="AB218" s="72"/>
      <c r="AC218">
        <f t="shared" si="208"/>
        <v>0</v>
      </c>
      <c r="AD218" s="60"/>
      <c r="AE218">
        <f t="shared" si="209"/>
        <v>0</v>
      </c>
      <c r="AF218" s="57">
        <f t="shared" si="210"/>
        <v>0</v>
      </c>
      <c r="AG218" s="56" t="str">
        <f t="shared" si="211"/>
        <v/>
      </c>
      <c r="AH218" s="26" t="e">
        <f t="shared" si="229"/>
        <v>#DIV/0!</v>
      </c>
      <c r="AI218" t="str">
        <f t="shared" si="228"/>
        <v>mT</v>
      </c>
    </row>
    <row r="219" spans="1:35" s="27" customFormat="1" hidden="1" x14ac:dyDescent="0.25">
      <c r="A219">
        <v>240</v>
      </c>
      <c r="B219" s="38"/>
      <c r="C219" t="s">
        <v>65</v>
      </c>
      <c r="D219" t="s">
        <v>182</v>
      </c>
      <c r="E219" t="s">
        <v>67</v>
      </c>
      <c r="F219" t="s">
        <v>70</v>
      </c>
      <c r="G219" s="22">
        <v>1</v>
      </c>
      <c r="H219" s="22" t="s">
        <v>75</v>
      </c>
      <c r="I219" t="s">
        <v>226</v>
      </c>
      <c r="J219" s="80"/>
      <c r="K219" s="28"/>
      <c r="L219" s="5"/>
      <c r="M219" s="5"/>
      <c r="N219" s="5"/>
      <c r="O219" s="13"/>
      <c r="P219" s="19"/>
      <c r="Q219" s="19"/>
      <c r="R219" s="19"/>
      <c r="S219" s="19"/>
      <c r="T219" s="74"/>
      <c r="U219" s="14"/>
      <c r="V219" s="57"/>
      <c r="W219" s="14"/>
      <c r="X219" s="14"/>
      <c r="Y219" s="55"/>
      <c r="Z219"/>
      <c r="AA219" s="54"/>
      <c r="AB219" s="72"/>
      <c r="AC219">
        <f t="shared" si="208"/>
        <v>0</v>
      </c>
      <c r="AD219" s="60"/>
      <c r="AE219">
        <f t="shared" si="209"/>
        <v>0</v>
      </c>
      <c r="AF219" s="57" t="e">
        <f t="shared" si="210"/>
        <v>#DIV/0!</v>
      </c>
      <c r="AG219" s="56" t="str">
        <f t="shared" si="211"/>
        <v>m⁻²</v>
      </c>
      <c r="AH219" s="26" t="e">
        <f t="shared" si="229"/>
        <v>#DIV/0!</v>
      </c>
      <c r="AI219" t="str">
        <f t="shared" si="228"/>
        <v>T/m</v>
      </c>
    </row>
    <row r="220" spans="1:35" s="27" customFormat="1" hidden="1" x14ac:dyDescent="0.25">
      <c r="A220">
        <v>240</v>
      </c>
      <c r="B220" s="38"/>
      <c r="C220" t="s">
        <v>65</v>
      </c>
      <c r="D220" t="s">
        <v>182</v>
      </c>
      <c r="E220" t="s">
        <v>67</v>
      </c>
      <c r="F220" t="s">
        <v>74</v>
      </c>
      <c r="G220" s="22">
        <v>1</v>
      </c>
      <c r="H220" s="22" t="s">
        <v>76</v>
      </c>
      <c r="I220" t="s">
        <v>193</v>
      </c>
      <c r="J220" s="80"/>
      <c r="K220" s="28"/>
      <c r="L220" s="5"/>
      <c r="M220" s="5"/>
      <c r="N220" s="5"/>
      <c r="O220" s="13"/>
      <c r="P220" s="19"/>
      <c r="Q220" s="19"/>
      <c r="R220" s="19"/>
      <c r="S220" s="19"/>
      <c r="T220" s="74"/>
      <c r="U220" s="14"/>
      <c r="V220" s="57"/>
      <c r="W220" s="14"/>
      <c r="X220" s="14"/>
      <c r="Y220" s="55"/>
      <c r="Z220"/>
      <c r="AA220" s="54"/>
      <c r="AB220" s="72"/>
      <c r="AC220">
        <f t="shared" si="208"/>
        <v>0</v>
      </c>
      <c r="AD220" s="60"/>
      <c r="AE220">
        <f t="shared" si="209"/>
        <v>0</v>
      </c>
      <c r="AF220" s="57">
        <f t="shared" si="210"/>
        <v>0</v>
      </c>
      <c r="AG220" s="56" t="str">
        <f t="shared" si="211"/>
        <v/>
      </c>
      <c r="AH220" s="26" t="e">
        <f t="shared" si="229"/>
        <v>#DIV/0!</v>
      </c>
      <c r="AI220" t="str">
        <f t="shared" si="228"/>
        <v>mT</v>
      </c>
    </row>
    <row r="221" spans="1:35" s="27" customFormat="1" hidden="1" x14ac:dyDescent="0.25">
      <c r="A221">
        <v>240</v>
      </c>
      <c r="B221" s="38"/>
      <c r="C221" t="s">
        <v>65</v>
      </c>
      <c r="D221" t="s">
        <v>182</v>
      </c>
      <c r="E221" t="s">
        <v>67</v>
      </c>
      <c r="F221" t="s">
        <v>172</v>
      </c>
      <c r="G221" s="22">
        <v>1</v>
      </c>
      <c r="H221" s="22" t="s">
        <v>77</v>
      </c>
      <c r="I221" t="s">
        <v>195</v>
      </c>
      <c r="J221" s="80"/>
      <c r="K221" s="28"/>
      <c r="L221" s="5"/>
      <c r="M221" s="5"/>
      <c r="N221" s="5"/>
      <c r="O221" s="13"/>
      <c r="P221" s="19"/>
      <c r="Q221" s="19"/>
      <c r="R221" s="19"/>
      <c r="S221" s="19"/>
      <c r="T221" s="74"/>
      <c r="U221" s="14"/>
      <c r="V221" s="57"/>
      <c r="W221" s="14"/>
      <c r="X221" s="14"/>
      <c r="Y221" s="55"/>
      <c r="Z221"/>
      <c r="AA221" s="54"/>
      <c r="AB221" s="72"/>
      <c r="AC221">
        <f t="shared" si="208"/>
        <v>0</v>
      </c>
      <c r="AD221" s="60"/>
      <c r="AE221">
        <f t="shared" si="209"/>
        <v>0</v>
      </c>
      <c r="AF221" s="57">
        <f t="shared" si="210"/>
        <v>0</v>
      </c>
      <c r="AG221" s="56" t="str">
        <f t="shared" si="211"/>
        <v/>
      </c>
      <c r="AH221" s="26" t="e">
        <f t="shared" si="229"/>
        <v>#DIV/0!</v>
      </c>
      <c r="AI221" t="str">
        <f t="shared" si="228"/>
        <v>mT</v>
      </c>
    </row>
    <row r="222" spans="1:35" s="27" customFormat="1" hidden="1" x14ac:dyDescent="0.25">
      <c r="A222">
        <v>240</v>
      </c>
      <c r="B222" s="38"/>
      <c r="C222" t="s">
        <v>65</v>
      </c>
      <c r="D222" t="s">
        <v>183</v>
      </c>
      <c r="E222" t="s">
        <v>67</v>
      </c>
      <c r="F222" t="s">
        <v>70</v>
      </c>
      <c r="G222" s="22">
        <v>1</v>
      </c>
      <c r="H222" s="22" t="s">
        <v>75</v>
      </c>
      <c r="I222" t="s">
        <v>226</v>
      </c>
      <c r="J222" s="80"/>
      <c r="K222" s="28"/>
      <c r="L222" s="5"/>
      <c r="M222" s="5"/>
      <c r="N222" s="5"/>
      <c r="O222" s="13"/>
      <c r="P222" s="19"/>
      <c r="Q222" s="19"/>
      <c r="R222" s="19"/>
      <c r="S222" s="19"/>
      <c r="T222" s="74"/>
      <c r="U222" s="14"/>
      <c r="V222" s="57"/>
      <c r="W222" s="14"/>
      <c r="X222" s="14"/>
      <c r="Y222" s="55"/>
      <c r="Z222"/>
      <c r="AA222" s="54"/>
      <c r="AB222" s="72"/>
      <c r="AC222">
        <f t="shared" si="208"/>
        <v>0</v>
      </c>
      <c r="AD222" s="60"/>
      <c r="AE222">
        <f t="shared" si="209"/>
        <v>0</v>
      </c>
      <c r="AF222" s="57" t="e">
        <f t="shared" si="210"/>
        <v>#DIV/0!</v>
      </c>
      <c r="AG222" s="56" t="str">
        <f t="shared" si="211"/>
        <v>m⁻²</v>
      </c>
      <c r="AH222" s="26" t="e">
        <f t="shared" si="229"/>
        <v>#DIV/0!</v>
      </c>
      <c r="AI222" t="str">
        <f t="shared" si="228"/>
        <v>T/m</v>
      </c>
    </row>
    <row r="223" spans="1:35" s="27" customFormat="1" hidden="1" x14ac:dyDescent="0.25">
      <c r="A223">
        <v>240</v>
      </c>
      <c r="B223" s="38"/>
      <c r="C223" t="s">
        <v>65</v>
      </c>
      <c r="D223" t="s">
        <v>183</v>
      </c>
      <c r="E223" t="s">
        <v>67</v>
      </c>
      <c r="F223" t="s">
        <v>74</v>
      </c>
      <c r="G223" s="22">
        <v>1</v>
      </c>
      <c r="H223" s="22" t="s">
        <v>76</v>
      </c>
      <c r="I223" t="s">
        <v>193</v>
      </c>
      <c r="J223" s="80"/>
      <c r="K223" s="28"/>
      <c r="L223" s="5"/>
      <c r="M223" s="5"/>
      <c r="N223" s="5"/>
      <c r="O223" s="13"/>
      <c r="P223" s="19"/>
      <c r="Q223" s="19"/>
      <c r="R223" s="19"/>
      <c r="S223" s="19"/>
      <c r="T223" s="74"/>
      <c r="U223" s="14"/>
      <c r="V223" s="57"/>
      <c r="W223" s="14"/>
      <c r="X223" s="14"/>
      <c r="Y223" s="55"/>
      <c r="Z223"/>
      <c r="AA223" s="54"/>
      <c r="AB223" s="72"/>
      <c r="AC223">
        <f t="shared" si="208"/>
        <v>0</v>
      </c>
      <c r="AD223" s="60"/>
      <c r="AE223">
        <f t="shared" si="209"/>
        <v>0</v>
      </c>
      <c r="AF223" s="57">
        <f t="shared" si="210"/>
        <v>0</v>
      </c>
      <c r="AG223" s="56" t="str">
        <f t="shared" si="211"/>
        <v/>
      </c>
      <c r="AH223" s="26" t="e">
        <f t="shared" si="229"/>
        <v>#DIV/0!</v>
      </c>
      <c r="AI223" t="str">
        <f t="shared" si="228"/>
        <v>mT</v>
      </c>
    </row>
    <row r="224" spans="1:35" s="27" customFormat="1" hidden="1" x14ac:dyDescent="0.25">
      <c r="A224">
        <v>240</v>
      </c>
      <c r="B224" s="38"/>
      <c r="C224" t="s">
        <v>65</v>
      </c>
      <c r="D224" t="s">
        <v>183</v>
      </c>
      <c r="E224" t="s">
        <v>67</v>
      </c>
      <c r="F224" t="s">
        <v>172</v>
      </c>
      <c r="G224" s="22">
        <v>1</v>
      </c>
      <c r="H224" s="22" t="s">
        <v>77</v>
      </c>
      <c r="I224" t="s">
        <v>195</v>
      </c>
      <c r="J224" s="80"/>
      <c r="K224" s="28"/>
      <c r="L224" s="5"/>
      <c r="M224" s="5"/>
      <c r="N224" s="5"/>
      <c r="O224" s="13"/>
      <c r="P224" s="19"/>
      <c r="Q224" s="19"/>
      <c r="R224" s="19"/>
      <c r="S224" s="19"/>
      <c r="T224" s="74"/>
      <c r="U224" s="14"/>
      <c r="V224" s="57"/>
      <c r="W224" s="14"/>
      <c r="X224" s="14"/>
      <c r="Y224" s="55"/>
      <c r="Z224"/>
      <c r="AA224" s="54"/>
      <c r="AB224" s="72"/>
      <c r="AC224">
        <f t="shared" si="208"/>
        <v>0</v>
      </c>
      <c r="AD224" s="60"/>
      <c r="AE224">
        <f t="shared" si="209"/>
        <v>0</v>
      </c>
      <c r="AF224" s="57">
        <f t="shared" si="210"/>
        <v>0</v>
      </c>
      <c r="AG224" s="56" t="str">
        <f t="shared" si="211"/>
        <v/>
      </c>
      <c r="AH224" s="26" t="e">
        <f t="shared" si="229"/>
        <v>#DIV/0!</v>
      </c>
      <c r="AI224" t="str">
        <f t="shared" si="228"/>
        <v>mT</v>
      </c>
    </row>
    <row r="225" spans="1:35" s="27" customFormat="1" hidden="1" x14ac:dyDescent="0.25">
      <c r="A225">
        <v>240</v>
      </c>
      <c r="B225" s="38"/>
      <c r="C225" t="s">
        <v>65</v>
      </c>
      <c r="D225" t="s">
        <v>184</v>
      </c>
      <c r="E225" t="s">
        <v>67</v>
      </c>
      <c r="F225" t="s">
        <v>70</v>
      </c>
      <c r="G225" s="22">
        <v>1</v>
      </c>
      <c r="H225" s="22" t="s">
        <v>75</v>
      </c>
      <c r="I225" t="s">
        <v>226</v>
      </c>
      <c r="J225" s="80"/>
      <c r="K225" s="28"/>
      <c r="L225" s="5"/>
      <c r="M225" s="5"/>
      <c r="N225" s="5"/>
      <c r="O225" s="13"/>
      <c r="P225" s="19"/>
      <c r="Q225" s="19"/>
      <c r="R225" s="19"/>
      <c r="S225" s="19"/>
      <c r="T225" s="74"/>
      <c r="U225" s="14"/>
      <c r="V225" s="57"/>
      <c r="W225" s="14"/>
      <c r="X225" s="14"/>
      <c r="Y225" s="55"/>
      <c r="Z225"/>
      <c r="AA225" s="54"/>
      <c r="AB225" s="72"/>
      <c r="AC225">
        <f t="shared" si="208"/>
        <v>0</v>
      </c>
      <c r="AD225" s="60"/>
      <c r="AE225">
        <f t="shared" si="209"/>
        <v>0</v>
      </c>
      <c r="AF225" s="57" t="e">
        <f t="shared" si="210"/>
        <v>#DIV/0!</v>
      </c>
      <c r="AG225" s="56" t="str">
        <f t="shared" si="211"/>
        <v>m⁻²</v>
      </c>
      <c r="AH225" s="26" t="e">
        <f t="shared" si="229"/>
        <v>#DIV/0!</v>
      </c>
      <c r="AI225" t="str">
        <f t="shared" si="228"/>
        <v>T/m</v>
      </c>
    </row>
    <row r="226" spans="1:35" s="27" customFormat="1" hidden="1" x14ac:dyDescent="0.25">
      <c r="A226">
        <v>240</v>
      </c>
      <c r="B226" s="38"/>
      <c r="C226" t="s">
        <v>65</v>
      </c>
      <c r="D226" t="s">
        <v>184</v>
      </c>
      <c r="E226" t="s">
        <v>67</v>
      </c>
      <c r="F226" t="s">
        <v>74</v>
      </c>
      <c r="G226" s="22">
        <v>1</v>
      </c>
      <c r="H226" s="22" t="s">
        <v>76</v>
      </c>
      <c r="I226" t="s">
        <v>193</v>
      </c>
      <c r="J226" s="80"/>
      <c r="K226" s="28"/>
      <c r="L226" s="5"/>
      <c r="M226" s="5"/>
      <c r="N226" s="5"/>
      <c r="O226" s="13"/>
      <c r="P226" s="19"/>
      <c r="Q226" s="19"/>
      <c r="R226" s="19"/>
      <c r="S226" s="19"/>
      <c r="T226" s="74"/>
      <c r="U226" s="14"/>
      <c r="V226" s="57"/>
      <c r="W226" s="14"/>
      <c r="X226" s="14"/>
      <c r="Y226" s="55"/>
      <c r="Z226"/>
      <c r="AA226" s="54"/>
      <c r="AB226" s="72"/>
      <c r="AC226">
        <f t="shared" si="208"/>
        <v>0</v>
      </c>
      <c r="AD226" s="60"/>
      <c r="AE226">
        <f t="shared" si="209"/>
        <v>0</v>
      </c>
      <c r="AF226" s="57">
        <f t="shared" si="210"/>
        <v>0</v>
      </c>
      <c r="AG226" s="56" t="str">
        <f t="shared" si="211"/>
        <v/>
      </c>
      <c r="AH226" s="26" t="e">
        <f t="shared" si="229"/>
        <v>#DIV/0!</v>
      </c>
      <c r="AI226" t="str">
        <f t="shared" si="228"/>
        <v>mT</v>
      </c>
    </row>
    <row r="227" spans="1:35" s="27" customFormat="1" hidden="1" x14ac:dyDescent="0.25">
      <c r="A227">
        <v>240</v>
      </c>
      <c r="B227" s="38"/>
      <c r="C227" t="s">
        <v>65</v>
      </c>
      <c r="D227" t="s">
        <v>184</v>
      </c>
      <c r="E227" t="s">
        <v>67</v>
      </c>
      <c r="F227" t="s">
        <v>172</v>
      </c>
      <c r="G227" s="22">
        <v>1</v>
      </c>
      <c r="H227" s="22" t="s">
        <v>77</v>
      </c>
      <c r="I227" t="s">
        <v>195</v>
      </c>
      <c r="J227" s="80"/>
      <c r="K227" s="28"/>
      <c r="L227" s="5"/>
      <c r="M227" s="5"/>
      <c r="N227" s="5"/>
      <c r="O227" s="13"/>
      <c r="P227" s="19"/>
      <c r="Q227" s="19"/>
      <c r="R227" s="19"/>
      <c r="S227" s="19"/>
      <c r="T227" s="74"/>
      <c r="U227" s="14"/>
      <c r="V227" s="57"/>
      <c r="W227" s="14"/>
      <c r="X227" s="14"/>
      <c r="Y227" s="55"/>
      <c r="Z227"/>
      <c r="AA227" s="54"/>
      <c r="AB227" s="72"/>
      <c r="AC227">
        <f t="shared" si="208"/>
        <v>0</v>
      </c>
      <c r="AD227" s="60"/>
      <c r="AE227">
        <f t="shared" si="209"/>
        <v>0</v>
      </c>
      <c r="AF227" s="57">
        <f t="shared" si="210"/>
        <v>0</v>
      </c>
      <c r="AG227" s="56" t="str">
        <f t="shared" si="211"/>
        <v/>
      </c>
      <c r="AH227" s="26" t="e">
        <f t="shared" si="229"/>
        <v>#DIV/0!</v>
      </c>
      <c r="AI227" t="str">
        <f t="shared" si="228"/>
        <v>mT</v>
      </c>
    </row>
    <row r="228" spans="1:35" s="27" customFormat="1" hidden="1" x14ac:dyDescent="0.25">
      <c r="A228">
        <v>240</v>
      </c>
      <c r="B228" s="38"/>
      <c r="C228" t="s">
        <v>65</v>
      </c>
      <c r="D228" t="s">
        <v>185</v>
      </c>
      <c r="E228" t="s">
        <v>67</v>
      </c>
      <c r="F228" t="s">
        <v>70</v>
      </c>
      <c r="G228" s="22">
        <v>1</v>
      </c>
      <c r="H228" s="22" t="s">
        <v>75</v>
      </c>
      <c r="I228" t="s">
        <v>226</v>
      </c>
      <c r="J228" s="80"/>
      <c r="K228" s="28"/>
      <c r="L228" s="5"/>
      <c r="M228" s="5"/>
      <c r="N228" s="5"/>
      <c r="O228" s="13"/>
      <c r="P228" s="19"/>
      <c r="Q228" s="19"/>
      <c r="R228" s="19"/>
      <c r="S228" s="19"/>
      <c r="T228" s="74"/>
      <c r="U228" s="14"/>
      <c r="V228" s="57"/>
      <c r="W228" s="14"/>
      <c r="X228" s="14"/>
      <c r="Y228" s="55"/>
      <c r="Z228"/>
      <c r="AA228" s="54"/>
      <c r="AB228" s="72"/>
      <c r="AC228">
        <f t="shared" si="208"/>
        <v>0</v>
      </c>
      <c r="AD228" s="60"/>
      <c r="AE228">
        <f t="shared" si="209"/>
        <v>0</v>
      </c>
      <c r="AF228" s="57" t="e">
        <f t="shared" si="210"/>
        <v>#DIV/0!</v>
      </c>
      <c r="AG228" s="56" t="str">
        <f t="shared" si="211"/>
        <v>m⁻²</v>
      </c>
      <c r="AH228" s="26" t="e">
        <f t="shared" si="229"/>
        <v>#DIV/0!</v>
      </c>
      <c r="AI228" t="str">
        <f t="shared" si="228"/>
        <v>T/m</v>
      </c>
    </row>
    <row r="229" spans="1:35" s="27" customFormat="1" hidden="1" x14ac:dyDescent="0.25">
      <c r="A229">
        <v>240</v>
      </c>
      <c r="B229" s="38"/>
      <c r="C229" t="s">
        <v>65</v>
      </c>
      <c r="D229" t="s">
        <v>185</v>
      </c>
      <c r="E229" t="s">
        <v>67</v>
      </c>
      <c r="F229" t="s">
        <v>74</v>
      </c>
      <c r="G229" s="22">
        <v>1</v>
      </c>
      <c r="H229" s="22" t="s">
        <v>76</v>
      </c>
      <c r="I229" t="s">
        <v>193</v>
      </c>
      <c r="J229" s="80"/>
      <c r="K229" s="28"/>
      <c r="L229" s="5"/>
      <c r="M229" s="5"/>
      <c r="N229" s="5"/>
      <c r="O229" s="13"/>
      <c r="P229" s="19"/>
      <c r="Q229" s="19"/>
      <c r="R229" s="19"/>
      <c r="S229" s="19"/>
      <c r="T229" s="74"/>
      <c r="U229" s="14"/>
      <c r="V229" s="57"/>
      <c r="W229" s="14"/>
      <c r="X229" s="14"/>
      <c r="Y229" s="55"/>
      <c r="Z229"/>
      <c r="AA229" s="54"/>
      <c r="AB229" s="72"/>
      <c r="AC229">
        <f t="shared" si="208"/>
        <v>0</v>
      </c>
      <c r="AD229" s="60"/>
      <c r="AE229">
        <f t="shared" si="209"/>
        <v>0</v>
      </c>
      <c r="AF229" s="57">
        <f t="shared" si="210"/>
        <v>0</v>
      </c>
      <c r="AG229" s="56" t="str">
        <f t="shared" si="211"/>
        <v/>
      </c>
      <c r="AH229" s="26" t="e">
        <f t="shared" si="229"/>
        <v>#DIV/0!</v>
      </c>
      <c r="AI229" t="str">
        <f t="shared" si="228"/>
        <v>mT</v>
      </c>
    </row>
    <row r="230" spans="1:35" s="27" customFormat="1" hidden="1" x14ac:dyDescent="0.25">
      <c r="A230">
        <v>240</v>
      </c>
      <c r="B230" s="38"/>
      <c r="C230" t="s">
        <v>65</v>
      </c>
      <c r="D230" t="s">
        <v>185</v>
      </c>
      <c r="E230" t="s">
        <v>67</v>
      </c>
      <c r="F230" t="s">
        <v>172</v>
      </c>
      <c r="G230" s="22">
        <v>1</v>
      </c>
      <c r="H230" s="22" t="s">
        <v>77</v>
      </c>
      <c r="I230" t="s">
        <v>195</v>
      </c>
      <c r="J230" s="80"/>
      <c r="K230" s="28"/>
      <c r="L230" s="5"/>
      <c r="M230" s="5"/>
      <c r="N230" s="5"/>
      <c r="O230" s="13"/>
      <c r="P230" s="19"/>
      <c r="Q230" s="19"/>
      <c r="R230" s="19"/>
      <c r="S230" s="19"/>
      <c r="T230" s="74"/>
      <c r="U230" s="14"/>
      <c r="V230" s="57"/>
      <c r="W230" s="14"/>
      <c r="X230" s="14"/>
      <c r="Y230" s="55"/>
      <c r="Z230"/>
      <c r="AA230" s="54"/>
      <c r="AB230" s="72"/>
      <c r="AC230">
        <f t="shared" si="208"/>
        <v>0</v>
      </c>
      <c r="AD230" s="60"/>
      <c r="AE230">
        <f t="shared" si="209"/>
        <v>0</v>
      </c>
      <c r="AF230" s="57">
        <f t="shared" si="210"/>
        <v>0</v>
      </c>
      <c r="AG230" s="56" t="str">
        <f t="shared" si="211"/>
        <v/>
      </c>
      <c r="AH230" s="26" t="e">
        <f t="shared" si="229"/>
        <v>#DIV/0!</v>
      </c>
      <c r="AI230" t="str">
        <f t="shared" si="228"/>
        <v>mT</v>
      </c>
    </row>
    <row r="231" spans="1:35" s="27" customFormat="1" hidden="1" x14ac:dyDescent="0.25">
      <c r="A231">
        <v>240</v>
      </c>
      <c r="B231" s="38"/>
      <c r="C231" t="s">
        <v>65</v>
      </c>
      <c r="D231" t="s">
        <v>186</v>
      </c>
      <c r="E231" t="s">
        <v>67</v>
      </c>
      <c r="F231" t="s">
        <v>70</v>
      </c>
      <c r="G231" s="22">
        <v>1</v>
      </c>
      <c r="H231" s="22" t="s">
        <v>75</v>
      </c>
      <c r="I231" t="s">
        <v>226</v>
      </c>
      <c r="J231" s="80"/>
      <c r="K231" s="28"/>
      <c r="L231" s="5"/>
      <c r="M231" s="5"/>
      <c r="N231" s="5"/>
      <c r="O231" s="13"/>
      <c r="P231" s="19"/>
      <c r="Q231" s="19"/>
      <c r="R231" s="19"/>
      <c r="S231" s="19"/>
      <c r="T231" s="74"/>
      <c r="U231" s="14"/>
      <c r="V231" s="57"/>
      <c r="W231" s="14"/>
      <c r="X231" s="14"/>
      <c r="Y231" s="55"/>
      <c r="Z231"/>
      <c r="AA231" s="54"/>
      <c r="AB231" s="72"/>
      <c r="AC231">
        <f t="shared" si="208"/>
        <v>0</v>
      </c>
      <c r="AD231" s="60"/>
      <c r="AE231">
        <f t="shared" si="209"/>
        <v>0</v>
      </c>
      <c r="AF231" s="57" t="e">
        <f t="shared" si="210"/>
        <v>#DIV/0!</v>
      </c>
      <c r="AG231" s="56" t="str">
        <f t="shared" si="211"/>
        <v>m⁻²</v>
      </c>
      <c r="AH231" s="26" t="e">
        <f t="shared" si="229"/>
        <v>#DIV/0!</v>
      </c>
      <c r="AI231" t="str">
        <f t="shared" si="228"/>
        <v>T/m</v>
      </c>
    </row>
    <row r="232" spans="1:35" s="27" customFormat="1" hidden="1" x14ac:dyDescent="0.25">
      <c r="A232">
        <v>240</v>
      </c>
      <c r="B232" s="38"/>
      <c r="C232" t="s">
        <v>65</v>
      </c>
      <c r="D232" t="s">
        <v>186</v>
      </c>
      <c r="E232" t="s">
        <v>67</v>
      </c>
      <c r="F232" t="s">
        <v>74</v>
      </c>
      <c r="G232" s="22">
        <v>1</v>
      </c>
      <c r="H232" s="22" t="s">
        <v>76</v>
      </c>
      <c r="I232" t="s">
        <v>193</v>
      </c>
      <c r="J232" s="80"/>
      <c r="K232" s="28"/>
      <c r="L232" s="5"/>
      <c r="M232" s="5"/>
      <c r="N232" s="5"/>
      <c r="O232" s="13"/>
      <c r="P232" s="19"/>
      <c r="Q232" s="19"/>
      <c r="R232" s="19"/>
      <c r="S232" s="19"/>
      <c r="T232" s="74"/>
      <c r="U232" s="14"/>
      <c r="V232" s="57"/>
      <c r="W232" s="14"/>
      <c r="X232" s="14"/>
      <c r="Y232" s="55"/>
      <c r="Z232"/>
      <c r="AA232" s="54"/>
      <c r="AB232" s="72"/>
      <c r="AC232">
        <f t="shared" si="208"/>
        <v>0</v>
      </c>
      <c r="AD232" s="60"/>
      <c r="AE232">
        <f t="shared" si="209"/>
        <v>0</v>
      </c>
      <c r="AF232" s="57">
        <f t="shared" si="210"/>
        <v>0</v>
      </c>
      <c r="AG232" s="56" t="str">
        <f t="shared" si="211"/>
        <v/>
      </c>
      <c r="AH232" s="26" t="e">
        <f t="shared" si="229"/>
        <v>#DIV/0!</v>
      </c>
      <c r="AI232" t="str">
        <f t="shared" si="228"/>
        <v>mT</v>
      </c>
    </row>
    <row r="233" spans="1:35" s="27" customFormat="1" hidden="1" x14ac:dyDescent="0.25">
      <c r="A233">
        <v>240</v>
      </c>
      <c r="B233" s="38"/>
      <c r="C233" t="s">
        <v>65</v>
      </c>
      <c r="D233" t="s">
        <v>186</v>
      </c>
      <c r="E233" t="s">
        <v>67</v>
      </c>
      <c r="F233" t="s">
        <v>172</v>
      </c>
      <c r="G233" s="22">
        <v>1</v>
      </c>
      <c r="H233" s="22" t="s">
        <v>77</v>
      </c>
      <c r="I233" t="s">
        <v>195</v>
      </c>
      <c r="J233" s="80"/>
      <c r="K233" s="28"/>
      <c r="L233" s="5"/>
      <c r="M233" s="5"/>
      <c r="N233" s="5"/>
      <c r="O233" s="13"/>
      <c r="P233" s="19"/>
      <c r="Q233" s="19"/>
      <c r="R233" s="19"/>
      <c r="S233" s="19"/>
      <c r="T233" s="74"/>
      <c r="U233" s="14"/>
      <c r="V233" s="57"/>
      <c r="W233" s="14"/>
      <c r="X233" s="14"/>
      <c r="Y233" s="55"/>
      <c r="Z233"/>
      <c r="AA233" s="54"/>
      <c r="AB233" s="72"/>
      <c r="AC233">
        <f t="shared" si="208"/>
        <v>0</v>
      </c>
      <c r="AD233" s="60"/>
      <c r="AE233">
        <f t="shared" si="209"/>
        <v>0</v>
      </c>
      <c r="AF233" s="57">
        <f t="shared" si="210"/>
        <v>0</v>
      </c>
      <c r="AG233" s="56" t="str">
        <f t="shared" si="211"/>
        <v/>
      </c>
      <c r="AH233" s="26" t="e">
        <f t="shared" si="229"/>
        <v>#DIV/0!</v>
      </c>
      <c r="AI233" t="str">
        <f t="shared" si="228"/>
        <v>mT</v>
      </c>
    </row>
    <row r="234" spans="1:35" s="27" customFormat="1" hidden="1" x14ac:dyDescent="0.25">
      <c r="A234">
        <v>240</v>
      </c>
      <c r="B234" s="38"/>
      <c r="C234" t="s">
        <v>65</v>
      </c>
      <c r="D234" t="s">
        <v>187</v>
      </c>
      <c r="E234" t="s">
        <v>67</v>
      </c>
      <c r="F234" t="s">
        <v>70</v>
      </c>
      <c r="G234" s="22">
        <v>1</v>
      </c>
      <c r="H234" s="22" t="s">
        <v>75</v>
      </c>
      <c r="I234" t="s">
        <v>226</v>
      </c>
      <c r="J234" s="80"/>
      <c r="K234" s="28"/>
      <c r="L234" s="5"/>
      <c r="M234" s="5"/>
      <c r="N234" s="5"/>
      <c r="O234" s="13"/>
      <c r="P234" s="19"/>
      <c r="Q234" s="19"/>
      <c r="R234" s="19"/>
      <c r="S234" s="19"/>
      <c r="T234" s="74"/>
      <c r="U234" s="14"/>
      <c r="V234" s="57"/>
      <c r="W234" s="14"/>
      <c r="X234" s="14"/>
      <c r="Y234" s="55"/>
      <c r="Z234"/>
      <c r="AA234" s="54"/>
      <c r="AB234" s="72"/>
      <c r="AC234">
        <f t="shared" si="208"/>
        <v>0</v>
      </c>
      <c r="AD234" s="60"/>
      <c r="AE234">
        <f t="shared" si="209"/>
        <v>0</v>
      </c>
      <c r="AF234" s="57" t="e">
        <f t="shared" si="210"/>
        <v>#DIV/0!</v>
      </c>
      <c r="AG234" s="56" t="str">
        <f t="shared" si="211"/>
        <v>m⁻²</v>
      </c>
      <c r="AH234" s="26" t="e">
        <f t="shared" si="229"/>
        <v>#DIV/0!</v>
      </c>
      <c r="AI234" t="str">
        <f t="shared" si="228"/>
        <v>T/m</v>
      </c>
    </row>
    <row r="235" spans="1:35" s="27" customFormat="1" hidden="1" x14ac:dyDescent="0.25">
      <c r="A235">
        <v>240</v>
      </c>
      <c r="B235" s="38"/>
      <c r="C235" t="s">
        <v>65</v>
      </c>
      <c r="D235" t="s">
        <v>187</v>
      </c>
      <c r="E235" t="s">
        <v>67</v>
      </c>
      <c r="F235" t="s">
        <v>74</v>
      </c>
      <c r="G235" s="22">
        <v>1</v>
      </c>
      <c r="H235" s="22" t="s">
        <v>76</v>
      </c>
      <c r="I235" t="s">
        <v>193</v>
      </c>
      <c r="J235" s="80"/>
      <c r="K235" s="28"/>
      <c r="L235" s="5"/>
      <c r="M235" s="5"/>
      <c r="N235" s="5"/>
      <c r="O235" s="13"/>
      <c r="P235" s="19"/>
      <c r="Q235" s="19"/>
      <c r="R235" s="19"/>
      <c r="S235" s="19"/>
      <c r="T235" s="74"/>
      <c r="U235" s="14"/>
      <c r="V235" s="57"/>
      <c r="W235" s="14"/>
      <c r="X235" s="14"/>
      <c r="Y235" s="55"/>
      <c r="Z235"/>
      <c r="AA235" s="54"/>
      <c r="AB235" s="72"/>
      <c r="AC235">
        <f t="shared" si="208"/>
        <v>0</v>
      </c>
      <c r="AD235" s="60"/>
      <c r="AE235">
        <f t="shared" si="209"/>
        <v>0</v>
      </c>
      <c r="AF235" s="57">
        <f t="shared" si="210"/>
        <v>0</v>
      </c>
      <c r="AG235" s="56" t="str">
        <f t="shared" si="211"/>
        <v/>
      </c>
      <c r="AH235" s="26" t="e">
        <f t="shared" si="229"/>
        <v>#DIV/0!</v>
      </c>
      <c r="AI235" t="str">
        <f t="shared" si="228"/>
        <v>mT</v>
      </c>
    </row>
    <row r="236" spans="1:35" s="27" customFormat="1" hidden="1" x14ac:dyDescent="0.25">
      <c r="A236">
        <v>240</v>
      </c>
      <c r="B236" s="38"/>
      <c r="C236" t="s">
        <v>65</v>
      </c>
      <c r="D236" t="s">
        <v>187</v>
      </c>
      <c r="E236" t="s">
        <v>67</v>
      </c>
      <c r="F236" t="s">
        <v>172</v>
      </c>
      <c r="G236" s="22">
        <v>1</v>
      </c>
      <c r="H236" s="22" t="s">
        <v>77</v>
      </c>
      <c r="I236" t="s">
        <v>195</v>
      </c>
      <c r="J236" s="80"/>
      <c r="K236" s="28"/>
      <c r="L236" s="5"/>
      <c r="M236" s="5"/>
      <c r="N236" s="5"/>
      <c r="O236" s="13"/>
      <c r="P236" s="19"/>
      <c r="Q236" s="19"/>
      <c r="R236" s="19"/>
      <c r="S236" s="19"/>
      <c r="T236" s="74"/>
      <c r="U236" s="14"/>
      <c r="V236" s="57"/>
      <c r="W236" s="14"/>
      <c r="X236" s="14"/>
      <c r="Y236" s="55"/>
      <c r="Z236"/>
      <c r="AA236" s="54"/>
      <c r="AB236" s="72"/>
      <c r="AC236">
        <f t="shared" si="208"/>
        <v>0</v>
      </c>
      <c r="AD236" s="60"/>
      <c r="AE236">
        <f t="shared" ref="AE236:AE277" si="230">L236</f>
        <v>0</v>
      </c>
      <c r="AF236" s="57">
        <f t="shared" ref="AF236:AF277" si="231">IF(F236="DIP",360/(2000*PI()),IF(F236="QUAD",1000/AA236,IF(RIGHT(F236,3)="COR",1,0)))*c_*AD236/A236</f>
        <v>0</v>
      </c>
      <c r="AG236" s="56" t="str">
        <f t="shared" si="211"/>
        <v/>
      </c>
      <c r="AH236" s="26" t="e">
        <f t="shared" si="229"/>
        <v>#DIV/0!</v>
      </c>
      <c r="AI236" t="str">
        <f t="shared" si="228"/>
        <v>mT</v>
      </c>
    </row>
    <row r="237" spans="1:35" s="27" customFormat="1" hidden="1" x14ac:dyDescent="0.25">
      <c r="A237">
        <v>240</v>
      </c>
      <c r="B237" s="38"/>
      <c r="C237" t="s">
        <v>65</v>
      </c>
      <c r="D237" t="s">
        <v>188</v>
      </c>
      <c r="E237" t="s">
        <v>67</v>
      </c>
      <c r="F237" t="s">
        <v>70</v>
      </c>
      <c r="G237" s="22">
        <v>1</v>
      </c>
      <c r="H237" s="22" t="s">
        <v>75</v>
      </c>
      <c r="I237" t="s">
        <v>226</v>
      </c>
      <c r="J237" s="80"/>
      <c r="K237" s="28"/>
      <c r="L237" s="5"/>
      <c r="M237" s="5"/>
      <c r="N237" s="5"/>
      <c r="O237" s="13"/>
      <c r="P237" s="19"/>
      <c r="Q237" s="19"/>
      <c r="R237" s="19"/>
      <c r="S237" s="19"/>
      <c r="T237" s="74"/>
      <c r="U237" s="14"/>
      <c r="V237" s="57"/>
      <c r="W237" s="14"/>
      <c r="X237" s="14"/>
      <c r="Y237" s="55"/>
      <c r="Z237"/>
      <c r="AA237" s="54"/>
      <c r="AB237" s="72"/>
      <c r="AC237">
        <f t="shared" ref="AC237:AC277" si="232">SIGN(AB237)</f>
        <v>0</v>
      </c>
      <c r="AD237" s="60"/>
      <c r="AE237">
        <f t="shared" si="230"/>
        <v>0</v>
      </c>
      <c r="AF237" s="57" t="e">
        <f t="shared" si="231"/>
        <v>#DIV/0!</v>
      </c>
      <c r="AG237" s="56" t="str">
        <f t="shared" ref="AG237:AG277" si="233">IF(F237="DIP","°",IF(F237="QUAD","m⁻²",IF(RIGHT(F237,3)="COR","mrad","")))</f>
        <v>m⁻²</v>
      </c>
      <c r="AH237" s="26" t="e">
        <f t="shared" si="229"/>
        <v>#DIV/0!</v>
      </c>
      <c r="AI237" t="str">
        <f t="shared" si="228"/>
        <v>T/m</v>
      </c>
    </row>
    <row r="238" spans="1:35" s="27" customFormat="1" hidden="1" x14ac:dyDescent="0.25">
      <c r="A238">
        <v>240</v>
      </c>
      <c r="B238" s="38"/>
      <c r="C238" t="s">
        <v>65</v>
      </c>
      <c r="D238" t="s">
        <v>188</v>
      </c>
      <c r="E238" t="s">
        <v>67</v>
      </c>
      <c r="F238" t="s">
        <v>74</v>
      </c>
      <c r="G238" s="22">
        <v>1</v>
      </c>
      <c r="H238" s="22" t="s">
        <v>76</v>
      </c>
      <c r="I238" t="s">
        <v>193</v>
      </c>
      <c r="J238" s="80"/>
      <c r="K238" s="28"/>
      <c r="L238" s="5"/>
      <c r="M238" s="5"/>
      <c r="N238" s="5"/>
      <c r="O238" s="13"/>
      <c r="P238" s="19"/>
      <c r="Q238" s="19"/>
      <c r="R238" s="19"/>
      <c r="S238" s="19"/>
      <c r="T238" s="74"/>
      <c r="U238" s="14"/>
      <c r="V238" s="57"/>
      <c r="W238" s="14"/>
      <c r="X238" s="14"/>
      <c r="Y238" s="55"/>
      <c r="Z238"/>
      <c r="AA238" s="54"/>
      <c r="AB238" s="72"/>
      <c r="AC238">
        <f t="shared" si="232"/>
        <v>0</v>
      </c>
      <c r="AD238" s="60"/>
      <c r="AE238">
        <f t="shared" si="230"/>
        <v>0</v>
      </c>
      <c r="AF238" s="57">
        <f t="shared" si="231"/>
        <v>0</v>
      </c>
      <c r="AG238" s="56" t="str">
        <f t="shared" si="233"/>
        <v/>
      </c>
      <c r="AH238" s="26" t="e">
        <f t="shared" si="229"/>
        <v>#DIV/0!</v>
      </c>
      <c r="AI238" t="str">
        <f t="shared" si="228"/>
        <v>mT</v>
      </c>
    </row>
    <row r="239" spans="1:35" s="27" customFormat="1" hidden="1" x14ac:dyDescent="0.25">
      <c r="A239">
        <v>240</v>
      </c>
      <c r="B239" s="38"/>
      <c r="C239" t="s">
        <v>65</v>
      </c>
      <c r="D239" t="s">
        <v>188</v>
      </c>
      <c r="E239" t="s">
        <v>67</v>
      </c>
      <c r="F239" t="s">
        <v>172</v>
      </c>
      <c r="G239" s="22">
        <v>1</v>
      </c>
      <c r="H239" s="22" t="s">
        <v>77</v>
      </c>
      <c r="I239" t="s">
        <v>195</v>
      </c>
      <c r="J239" s="80"/>
      <c r="K239" s="28"/>
      <c r="L239" s="5"/>
      <c r="M239" s="5"/>
      <c r="N239" s="5"/>
      <c r="O239" s="13"/>
      <c r="P239" s="19"/>
      <c r="Q239" s="19"/>
      <c r="R239" s="19"/>
      <c r="S239" s="19"/>
      <c r="T239" s="74"/>
      <c r="U239" s="14"/>
      <c r="V239" s="57"/>
      <c r="W239" s="14"/>
      <c r="X239" s="14"/>
      <c r="Y239" s="55"/>
      <c r="Z239"/>
      <c r="AA239" s="54"/>
      <c r="AB239" s="72"/>
      <c r="AC239">
        <f t="shared" si="232"/>
        <v>0</v>
      </c>
      <c r="AD239" s="60"/>
      <c r="AE239">
        <f t="shared" si="230"/>
        <v>0</v>
      </c>
      <c r="AF239" s="57">
        <f t="shared" si="231"/>
        <v>0</v>
      </c>
      <c r="AG239" s="56" t="str">
        <f t="shared" si="233"/>
        <v/>
      </c>
      <c r="AH239" s="26" t="e">
        <f t="shared" si="229"/>
        <v>#DIV/0!</v>
      </c>
      <c r="AI239" t="str">
        <f t="shared" si="228"/>
        <v>mT</v>
      </c>
    </row>
    <row r="240" spans="1:35" s="27" customFormat="1" hidden="1" x14ac:dyDescent="0.25">
      <c r="A240">
        <v>240</v>
      </c>
      <c r="B240" s="38"/>
      <c r="C240" t="s">
        <v>65</v>
      </c>
      <c r="D240" t="s">
        <v>189</v>
      </c>
      <c r="E240" t="s">
        <v>67</v>
      </c>
      <c r="F240" t="s">
        <v>70</v>
      </c>
      <c r="G240" s="22">
        <v>1</v>
      </c>
      <c r="H240" s="22" t="s">
        <v>75</v>
      </c>
      <c r="I240" t="s">
        <v>226</v>
      </c>
      <c r="J240" s="80"/>
      <c r="K240" s="28"/>
      <c r="L240" s="5"/>
      <c r="M240" s="5"/>
      <c r="N240" s="5"/>
      <c r="O240" s="13"/>
      <c r="P240" s="19"/>
      <c r="Q240" s="19"/>
      <c r="R240" s="19"/>
      <c r="S240" s="19"/>
      <c r="T240" s="74"/>
      <c r="U240" s="14"/>
      <c r="V240" s="57"/>
      <c r="W240" s="14"/>
      <c r="X240" s="14"/>
      <c r="Y240" s="55"/>
      <c r="Z240"/>
      <c r="AA240" s="54"/>
      <c r="AB240" s="72"/>
      <c r="AC240">
        <f t="shared" si="232"/>
        <v>0</v>
      </c>
      <c r="AD240" s="60"/>
      <c r="AE240">
        <f t="shared" si="230"/>
        <v>0</v>
      </c>
      <c r="AF240" s="57" t="e">
        <f t="shared" si="231"/>
        <v>#DIV/0!</v>
      </c>
      <c r="AG240" s="56" t="str">
        <f t="shared" si="233"/>
        <v>m⁻²</v>
      </c>
      <c r="AH240" s="26" t="e">
        <f t="shared" si="229"/>
        <v>#DIV/0!</v>
      </c>
      <c r="AI240" t="str">
        <f t="shared" si="228"/>
        <v>T/m</v>
      </c>
    </row>
    <row r="241" spans="1:35" s="27" customFormat="1" hidden="1" x14ac:dyDescent="0.25">
      <c r="A241">
        <v>240</v>
      </c>
      <c r="B241" s="38"/>
      <c r="C241" t="s">
        <v>65</v>
      </c>
      <c r="D241" t="s">
        <v>189</v>
      </c>
      <c r="E241" t="s">
        <v>67</v>
      </c>
      <c r="F241" t="s">
        <v>74</v>
      </c>
      <c r="G241" s="22">
        <v>1</v>
      </c>
      <c r="H241" s="22" t="s">
        <v>76</v>
      </c>
      <c r="I241" t="s">
        <v>193</v>
      </c>
      <c r="J241" s="80"/>
      <c r="K241" s="28"/>
      <c r="L241" s="5"/>
      <c r="M241" s="5"/>
      <c r="N241" s="5"/>
      <c r="O241" s="13"/>
      <c r="P241" s="19"/>
      <c r="Q241" s="19"/>
      <c r="R241" s="19"/>
      <c r="S241" s="19"/>
      <c r="T241" s="74"/>
      <c r="U241" s="14"/>
      <c r="V241" s="57"/>
      <c r="W241" s="14"/>
      <c r="X241" s="14"/>
      <c r="Y241" s="55"/>
      <c r="Z241"/>
      <c r="AA241" s="54"/>
      <c r="AB241" s="72"/>
      <c r="AC241">
        <f t="shared" si="232"/>
        <v>0</v>
      </c>
      <c r="AD241" s="60"/>
      <c r="AE241">
        <f t="shared" si="230"/>
        <v>0</v>
      </c>
      <c r="AF241" s="57">
        <f t="shared" si="231"/>
        <v>0</v>
      </c>
      <c r="AG241" s="56" t="str">
        <f t="shared" si="233"/>
        <v/>
      </c>
      <c r="AH241" s="26" t="e">
        <f t="shared" si="229"/>
        <v>#DIV/0!</v>
      </c>
      <c r="AI241" t="str">
        <f t="shared" si="228"/>
        <v>mT</v>
      </c>
    </row>
    <row r="242" spans="1:35" s="27" customFormat="1" hidden="1" x14ac:dyDescent="0.25">
      <c r="A242">
        <v>240</v>
      </c>
      <c r="B242" s="38"/>
      <c r="C242" t="s">
        <v>65</v>
      </c>
      <c r="D242" t="s">
        <v>189</v>
      </c>
      <c r="E242" t="s">
        <v>67</v>
      </c>
      <c r="F242" t="s">
        <v>172</v>
      </c>
      <c r="G242" s="22">
        <v>1</v>
      </c>
      <c r="H242" s="22" t="s">
        <v>77</v>
      </c>
      <c r="I242" t="s">
        <v>195</v>
      </c>
      <c r="J242" s="80"/>
      <c r="K242" s="28"/>
      <c r="L242" s="5"/>
      <c r="M242" s="5"/>
      <c r="N242" s="5"/>
      <c r="O242" s="13"/>
      <c r="P242" s="19"/>
      <c r="Q242" s="19"/>
      <c r="R242" s="19"/>
      <c r="S242" s="19"/>
      <c r="T242" s="74"/>
      <c r="U242" s="14"/>
      <c r="V242" s="57"/>
      <c r="W242" s="14"/>
      <c r="X242" s="14"/>
      <c r="Y242" s="55"/>
      <c r="Z242"/>
      <c r="AA242" s="54"/>
      <c r="AB242" s="72"/>
      <c r="AC242">
        <f t="shared" si="232"/>
        <v>0</v>
      </c>
      <c r="AD242" s="60"/>
      <c r="AE242">
        <f t="shared" si="230"/>
        <v>0</v>
      </c>
      <c r="AF242" s="57">
        <f t="shared" si="231"/>
        <v>0</v>
      </c>
      <c r="AG242" s="56" t="str">
        <f t="shared" si="233"/>
        <v/>
      </c>
      <c r="AH242" s="26" t="e">
        <f t="shared" si="229"/>
        <v>#DIV/0!</v>
      </c>
      <c r="AI242" t="str">
        <f t="shared" si="228"/>
        <v>mT</v>
      </c>
    </row>
    <row r="243" spans="1:35" s="27" customFormat="1" hidden="1" x14ac:dyDescent="0.25">
      <c r="A243">
        <v>240</v>
      </c>
      <c r="B243" s="38"/>
      <c r="C243" t="s">
        <v>65</v>
      </c>
      <c r="D243" t="s">
        <v>196</v>
      </c>
      <c r="E243" t="s">
        <v>67</v>
      </c>
      <c r="F243" t="s">
        <v>70</v>
      </c>
      <c r="G243" s="22">
        <v>1</v>
      </c>
      <c r="H243" s="22" t="s">
        <v>77</v>
      </c>
      <c r="I243"/>
      <c r="J243" s="80"/>
      <c r="K243" s="28"/>
      <c r="L243" s="5"/>
      <c r="M243" s="5"/>
      <c r="N243" s="5"/>
      <c r="O243" s="13"/>
      <c r="P243" s="19"/>
      <c r="Q243" s="19"/>
      <c r="R243" s="19"/>
      <c r="S243" s="19"/>
      <c r="T243" s="74"/>
      <c r="U243" s="14"/>
      <c r="V243" s="57"/>
      <c r="W243" s="14"/>
      <c r="X243" s="14"/>
      <c r="Y243" s="55"/>
      <c r="Z243"/>
      <c r="AA243" s="54"/>
      <c r="AB243" s="72"/>
      <c r="AC243">
        <f t="shared" si="232"/>
        <v>0</v>
      </c>
      <c r="AD243" s="60"/>
      <c r="AE243">
        <f t="shared" si="230"/>
        <v>0</v>
      </c>
      <c r="AF243" s="57" t="e">
        <f t="shared" si="231"/>
        <v>#DIV/0!</v>
      </c>
      <c r="AG243" s="56" t="str">
        <f t="shared" si="233"/>
        <v>m⁻²</v>
      </c>
      <c r="AH243" s="26" t="e">
        <f t="shared" si="229"/>
        <v>#DIV/0!</v>
      </c>
      <c r="AI243" t="str">
        <f t="shared" si="228"/>
        <v>T/m</v>
      </c>
    </row>
    <row r="244" spans="1:35" s="27" customFormat="1" hidden="1" x14ac:dyDescent="0.25">
      <c r="A244">
        <v>240</v>
      </c>
      <c r="B244" s="38"/>
      <c r="C244" t="s">
        <v>65</v>
      </c>
      <c r="D244" t="s">
        <v>196</v>
      </c>
      <c r="E244" t="s">
        <v>67</v>
      </c>
      <c r="F244" t="s">
        <v>72</v>
      </c>
      <c r="G244" s="22">
        <v>1</v>
      </c>
      <c r="H244" s="22" t="s">
        <v>77</v>
      </c>
      <c r="I244"/>
      <c r="J244" s="80"/>
      <c r="K244" s="28"/>
      <c r="L244" s="5"/>
      <c r="M244" s="5"/>
      <c r="N244" s="5"/>
      <c r="O244" s="13"/>
      <c r="P244" s="19"/>
      <c r="Q244" s="19"/>
      <c r="R244" s="19"/>
      <c r="S244" s="19"/>
      <c r="T244" s="74"/>
      <c r="U244" s="14"/>
      <c r="V244" s="57"/>
      <c r="W244" s="14"/>
      <c r="X244" s="14"/>
      <c r="Y244" s="55"/>
      <c r="Z244"/>
      <c r="AA244" s="54"/>
      <c r="AB244" s="72"/>
      <c r="AC244">
        <f t="shared" si="232"/>
        <v>0</v>
      </c>
      <c r="AD244" s="60"/>
      <c r="AE244">
        <f t="shared" si="230"/>
        <v>0</v>
      </c>
      <c r="AF244" s="57">
        <f t="shared" si="231"/>
        <v>0</v>
      </c>
      <c r="AG244" s="56" t="str">
        <f t="shared" si="233"/>
        <v>°</v>
      </c>
      <c r="AH244" s="26" t="e">
        <f t="shared" si="229"/>
        <v>#DIV/0!</v>
      </c>
      <c r="AI244" t="str">
        <f t="shared" si="228"/>
        <v>mT</v>
      </c>
    </row>
    <row r="245" spans="1:35" s="27" customFormat="1" hidden="1" x14ac:dyDescent="0.25">
      <c r="A245">
        <v>240</v>
      </c>
      <c r="B245" s="38"/>
      <c r="C245" t="s">
        <v>65</v>
      </c>
      <c r="D245" t="s">
        <v>196</v>
      </c>
      <c r="E245" t="s">
        <v>67</v>
      </c>
      <c r="F245" t="s">
        <v>72</v>
      </c>
      <c r="G245" s="22">
        <v>2</v>
      </c>
      <c r="H245" s="22" t="s">
        <v>77</v>
      </c>
      <c r="I245"/>
      <c r="J245" s="80"/>
      <c r="K245" s="28"/>
      <c r="L245" s="5"/>
      <c r="M245" s="5"/>
      <c r="N245" s="5"/>
      <c r="O245" s="13"/>
      <c r="P245" s="19"/>
      <c r="Q245" s="19"/>
      <c r="R245" s="19"/>
      <c r="S245" s="19"/>
      <c r="T245" s="74"/>
      <c r="U245" s="14"/>
      <c r="V245" s="57"/>
      <c r="W245" s="14"/>
      <c r="X245" s="14"/>
      <c r="Y245" s="55"/>
      <c r="Z245"/>
      <c r="AA245" s="54"/>
      <c r="AB245" s="72"/>
      <c r="AC245">
        <f t="shared" si="232"/>
        <v>0</v>
      </c>
      <c r="AD245" s="60"/>
      <c r="AE245">
        <f t="shared" si="230"/>
        <v>0</v>
      </c>
      <c r="AF245" s="57">
        <f t="shared" si="231"/>
        <v>0</v>
      </c>
      <c r="AG245" s="56" t="str">
        <f t="shared" si="233"/>
        <v>°</v>
      </c>
      <c r="AH245" s="26" t="e">
        <f t="shared" si="229"/>
        <v>#DIV/0!</v>
      </c>
      <c r="AI245" t="str">
        <f t="shared" si="228"/>
        <v>mT</v>
      </c>
    </row>
    <row r="246" spans="1:35" s="27" customFormat="1" hidden="1" x14ac:dyDescent="0.25">
      <c r="A246">
        <v>240</v>
      </c>
      <c r="B246" s="38"/>
      <c r="C246" t="s">
        <v>65</v>
      </c>
      <c r="D246" t="s">
        <v>196</v>
      </c>
      <c r="E246" t="s">
        <v>67</v>
      </c>
      <c r="F246" t="s">
        <v>72</v>
      </c>
      <c r="G246" s="22">
        <v>3</v>
      </c>
      <c r="H246" s="22" t="s">
        <v>77</v>
      </c>
      <c r="I246"/>
      <c r="J246" s="80"/>
      <c r="K246" s="28"/>
      <c r="L246" s="5"/>
      <c r="M246" s="5"/>
      <c r="N246" s="5"/>
      <c r="O246" s="13"/>
      <c r="P246" s="19"/>
      <c r="Q246" s="19"/>
      <c r="R246" s="19"/>
      <c r="S246" s="19"/>
      <c r="T246" s="74"/>
      <c r="U246" s="14"/>
      <c r="V246" s="57"/>
      <c r="W246" s="14"/>
      <c r="X246" s="14"/>
      <c r="Y246" s="55"/>
      <c r="Z246"/>
      <c r="AA246" s="54"/>
      <c r="AB246" s="72"/>
      <c r="AC246">
        <f t="shared" si="232"/>
        <v>0</v>
      </c>
      <c r="AD246" s="60"/>
      <c r="AE246">
        <f t="shared" si="230"/>
        <v>0</v>
      </c>
      <c r="AF246" s="57">
        <f t="shared" si="231"/>
        <v>0</v>
      </c>
      <c r="AG246" s="56" t="str">
        <f t="shared" si="233"/>
        <v>°</v>
      </c>
      <c r="AH246" s="26" t="e">
        <f t="shared" si="229"/>
        <v>#DIV/0!</v>
      </c>
      <c r="AI246" t="str">
        <f t="shared" si="228"/>
        <v>mT</v>
      </c>
    </row>
    <row r="247" spans="1:35" s="27" customFormat="1" hidden="1" x14ac:dyDescent="0.25">
      <c r="A247">
        <v>240</v>
      </c>
      <c r="B247" s="38"/>
      <c r="C247" t="s">
        <v>65</v>
      </c>
      <c r="D247" t="s">
        <v>196</v>
      </c>
      <c r="E247" t="s">
        <v>67</v>
      </c>
      <c r="F247" t="s">
        <v>72</v>
      </c>
      <c r="G247" s="22">
        <v>4</v>
      </c>
      <c r="H247" s="22" t="s">
        <v>77</v>
      </c>
      <c r="I247"/>
      <c r="J247" s="80"/>
      <c r="K247" s="28"/>
      <c r="L247" s="5"/>
      <c r="M247" s="5"/>
      <c r="N247" s="5"/>
      <c r="O247" s="13"/>
      <c r="P247" s="19"/>
      <c r="Q247" s="19"/>
      <c r="R247" s="19"/>
      <c r="S247" s="19"/>
      <c r="T247" s="74"/>
      <c r="U247" s="14"/>
      <c r="V247" s="57"/>
      <c r="W247" s="14"/>
      <c r="X247" s="14"/>
      <c r="Y247" s="55"/>
      <c r="Z247"/>
      <c r="AA247" s="54"/>
      <c r="AB247" s="72"/>
      <c r="AC247">
        <f t="shared" si="232"/>
        <v>0</v>
      </c>
      <c r="AD247" s="60"/>
      <c r="AE247">
        <f t="shared" si="230"/>
        <v>0</v>
      </c>
      <c r="AF247" s="57">
        <f t="shared" si="231"/>
        <v>0</v>
      </c>
      <c r="AG247" s="56" t="str">
        <f t="shared" si="233"/>
        <v>°</v>
      </c>
      <c r="AH247" s="26" t="e">
        <f t="shared" si="229"/>
        <v>#DIV/0!</v>
      </c>
      <c r="AI247" t="str">
        <f t="shared" si="228"/>
        <v>mT</v>
      </c>
    </row>
    <row r="248" spans="1:35" s="27" customFormat="1" hidden="1" x14ac:dyDescent="0.25">
      <c r="A248">
        <v>240</v>
      </c>
      <c r="B248" s="38"/>
      <c r="C248" t="s">
        <v>65</v>
      </c>
      <c r="D248" t="s">
        <v>197</v>
      </c>
      <c r="E248" t="s">
        <v>67</v>
      </c>
      <c r="F248" t="s">
        <v>70</v>
      </c>
      <c r="G248" s="22">
        <v>1</v>
      </c>
      <c r="H248" s="22" t="s">
        <v>77</v>
      </c>
      <c r="I248"/>
      <c r="J248" s="80"/>
      <c r="K248" s="28"/>
      <c r="L248" s="5"/>
      <c r="M248" s="5"/>
      <c r="N248" s="5"/>
      <c r="O248" s="13"/>
      <c r="P248" s="19"/>
      <c r="Q248" s="19"/>
      <c r="R248" s="19"/>
      <c r="S248" s="19"/>
      <c r="T248" s="74"/>
      <c r="U248" s="14"/>
      <c r="V248" s="57"/>
      <c r="W248" s="14"/>
      <c r="X248" s="14"/>
      <c r="Y248" s="55"/>
      <c r="Z248"/>
      <c r="AA248" s="54"/>
      <c r="AB248" s="72"/>
      <c r="AC248">
        <f t="shared" si="232"/>
        <v>0</v>
      </c>
      <c r="AD248" s="60"/>
      <c r="AE248">
        <f t="shared" si="230"/>
        <v>0</v>
      </c>
      <c r="AF248" s="57" t="e">
        <f t="shared" si="231"/>
        <v>#DIV/0!</v>
      </c>
      <c r="AG248" s="56" t="str">
        <f t="shared" si="233"/>
        <v>m⁻²</v>
      </c>
      <c r="AH248" s="26" t="e">
        <f t="shared" si="229"/>
        <v>#DIV/0!</v>
      </c>
      <c r="AI248" t="str">
        <f t="shared" si="228"/>
        <v>T/m</v>
      </c>
    </row>
    <row r="249" spans="1:35" s="27" customFormat="1" hidden="1" x14ac:dyDescent="0.25">
      <c r="A249">
        <v>240</v>
      </c>
      <c r="B249" s="38"/>
      <c r="C249" t="s">
        <v>65</v>
      </c>
      <c r="D249" t="s">
        <v>197</v>
      </c>
      <c r="E249" t="s">
        <v>67</v>
      </c>
      <c r="F249" t="s">
        <v>74</v>
      </c>
      <c r="G249" s="22">
        <v>1</v>
      </c>
      <c r="H249" s="22" t="s">
        <v>77</v>
      </c>
      <c r="I249"/>
      <c r="J249" s="80"/>
      <c r="K249" s="28"/>
      <c r="L249" s="5"/>
      <c r="M249" s="5"/>
      <c r="N249" s="5"/>
      <c r="O249" s="13"/>
      <c r="P249" s="19"/>
      <c r="Q249" s="19"/>
      <c r="R249" s="19"/>
      <c r="S249" s="19"/>
      <c r="T249" s="74"/>
      <c r="U249" s="14"/>
      <c r="V249" s="57"/>
      <c r="W249" s="14"/>
      <c r="X249" s="14"/>
      <c r="Y249" s="55"/>
      <c r="Z249"/>
      <c r="AA249" s="54"/>
      <c r="AB249" s="72"/>
      <c r="AC249">
        <f t="shared" si="232"/>
        <v>0</v>
      </c>
      <c r="AD249" s="60"/>
      <c r="AE249">
        <f t="shared" si="230"/>
        <v>0</v>
      </c>
      <c r="AF249" s="57">
        <f t="shared" si="231"/>
        <v>0</v>
      </c>
      <c r="AG249" s="56" t="str">
        <f t="shared" si="233"/>
        <v/>
      </c>
      <c r="AH249" s="26" t="e">
        <f t="shared" si="229"/>
        <v>#DIV/0!</v>
      </c>
      <c r="AI249" t="str">
        <f t="shared" si="228"/>
        <v>mT</v>
      </c>
    </row>
    <row r="250" spans="1:35" s="27" customFormat="1" hidden="1" x14ac:dyDescent="0.25">
      <c r="A250">
        <v>240</v>
      </c>
      <c r="B250" s="38"/>
      <c r="C250" t="s">
        <v>65</v>
      </c>
      <c r="D250" t="s">
        <v>198</v>
      </c>
      <c r="E250" t="s">
        <v>67</v>
      </c>
      <c r="F250" t="s">
        <v>70</v>
      </c>
      <c r="G250" s="22">
        <v>1</v>
      </c>
      <c r="H250" s="22" t="s">
        <v>77</v>
      </c>
      <c r="I250"/>
      <c r="J250" s="80"/>
      <c r="K250" s="28"/>
      <c r="L250" s="5"/>
      <c r="M250" s="5"/>
      <c r="N250" s="5"/>
      <c r="O250" s="13"/>
      <c r="P250" s="19"/>
      <c r="Q250" s="19"/>
      <c r="R250" s="19"/>
      <c r="S250" s="19"/>
      <c r="T250" s="74"/>
      <c r="U250" s="14"/>
      <c r="V250" s="57"/>
      <c r="W250" s="14"/>
      <c r="X250" s="14"/>
      <c r="Y250" s="55"/>
      <c r="Z250"/>
      <c r="AA250" s="54"/>
      <c r="AB250" s="72"/>
      <c r="AC250">
        <f t="shared" si="232"/>
        <v>0</v>
      </c>
      <c r="AD250" s="60"/>
      <c r="AE250">
        <f t="shared" si="230"/>
        <v>0</v>
      </c>
      <c r="AF250" s="57" t="e">
        <f t="shared" si="231"/>
        <v>#DIV/0!</v>
      </c>
      <c r="AG250" s="56" t="str">
        <f t="shared" si="233"/>
        <v>m⁻²</v>
      </c>
      <c r="AH250" s="26" t="e">
        <f t="shared" si="229"/>
        <v>#DIV/0!</v>
      </c>
      <c r="AI250" t="str">
        <f t="shared" si="228"/>
        <v>T/m</v>
      </c>
    </row>
    <row r="251" spans="1:35" s="27" customFormat="1" hidden="1" x14ac:dyDescent="0.25">
      <c r="A251">
        <v>240</v>
      </c>
      <c r="B251" s="38"/>
      <c r="C251" t="s">
        <v>65</v>
      </c>
      <c r="D251" t="s">
        <v>198</v>
      </c>
      <c r="E251" t="s">
        <v>67</v>
      </c>
      <c r="F251" t="s">
        <v>74</v>
      </c>
      <c r="G251" s="22">
        <v>1</v>
      </c>
      <c r="H251" s="22" t="s">
        <v>77</v>
      </c>
      <c r="I251"/>
      <c r="J251" s="80"/>
      <c r="K251" s="28"/>
      <c r="L251" s="5"/>
      <c r="M251" s="5"/>
      <c r="N251" s="5"/>
      <c r="O251" s="13"/>
      <c r="P251" s="19"/>
      <c r="Q251" s="19"/>
      <c r="R251" s="19"/>
      <c r="S251" s="19"/>
      <c r="T251" s="74"/>
      <c r="U251" s="14"/>
      <c r="V251" s="57"/>
      <c r="W251" s="14"/>
      <c r="X251" s="14"/>
      <c r="Y251" s="55"/>
      <c r="Z251"/>
      <c r="AA251" s="54"/>
      <c r="AB251" s="72"/>
      <c r="AC251">
        <f t="shared" si="232"/>
        <v>0</v>
      </c>
      <c r="AD251" s="60"/>
      <c r="AE251">
        <f t="shared" si="230"/>
        <v>0</v>
      </c>
      <c r="AF251" s="57">
        <f t="shared" si="231"/>
        <v>0</v>
      </c>
      <c r="AG251" s="56" t="str">
        <f t="shared" si="233"/>
        <v/>
      </c>
      <c r="AH251" s="26" t="e">
        <f t="shared" si="229"/>
        <v>#DIV/0!</v>
      </c>
      <c r="AI251" t="str">
        <f t="shared" si="228"/>
        <v>mT</v>
      </c>
    </row>
    <row r="252" spans="1:35" s="27" customFormat="1" hidden="1" x14ac:dyDescent="0.25">
      <c r="A252">
        <v>240</v>
      </c>
      <c r="B252" s="38"/>
      <c r="C252" t="s">
        <v>65</v>
      </c>
      <c r="D252" t="s">
        <v>199</v>
      </c>
      <c r="E252" t="s">
        <v>67</v>
      </c>
      <c r="F252" t="s">
        <v>70</v>
      </c>
      <c r="G252" s="22">
        <v>1</v>
      </c>
      <c r="H252" s="22" t="s">
        <v>77</v>
      </c>
      <c r="I252"/>
      <c r="J252" s="80"/>
      <c r="K252" s="28"/>
      <c r="L252" s="5"/>
      <c r="M252" s="5"/>
      <c r="N252" s="5"/>
      <c r="O252" s="13"/>
      <c r="P252" s="19"/>
      <c r="Q252" s="19"/>
      <c r="R252" s="19"/>
      <c r="S252" s="19"/>
      <c r="T252" s="74"/>
      <c r="U252" s="14"/>
      <c r="V252" s="57"/>
      <c r="W252" s="14"/>
      <c r="X252" s="14"/>
      <c r="Y252" s="55"/>
      <c r="Z252"/>
      <c r="AA252" s="54"/>
      <c r="AB252" s="72"/>
      <c r="AC252">
        <f t="shared" si="232"/>
        <v>0</v>
      </c>
      <c r="AD252" s="60"/>
      <c r="AE252">
        <f t="shared" si="230"/>
        <v>0</v>
      </c>
      <c r="AF252" s="57" t="e">
        <f t="shared" si="231"/>
        <v>#DIV/0!</v>
      </c>
      <c r="AG252" s="56" t="str">
        <f t="shared" si="233"/>
        <v>m⁻²</v>
      </c>
      <c r="AH252" s="26" t="e">
        <f t="shared" si="229"/>
        <v>#DIV/0!</v>
      </c>
      <c r="AI252" t="str">
        <f t="shared" si="228"/>
        <v>T/m</v>
      </c>
    </row>
    <row r="253" spans="1:35" s="27" customFormat="1" hidden="1" x14ac:dyDescent="0.25">
      <c r="A253">
        <v>240</v>
      </c>
      <c r="B253" s="38"/>
      <c r="C253" t="s">
        <v>65</v>
      </c>
      <c r="D253" t="s">
        <v>199</v>
      </c>
      <c r="E253" t="s">
        <v>67</v>
      </c>
      <c r="F253" t="s">
        <v>74</v>
      </c>
      <c r="G253" s="22">
        <v>1</v>
      </c>
      <c r="H253" s="22" t="s">
        <v>77</v>
      </c>
      <c r="I253"/>
      <c r="J253" s="80"/>
      <c r="K253" s="28"/>
      <c r="L253" s="5"/>
      <c r="M253" s="5"/>
      <c r="N253" s="5"/>
      <c r="O253" s="13"/>
      <c r="P253" s="19"/>
      <c r="Q253" s="19"/>
      <c r="R253" s="19"/>
      <c r="S253" s="19"/>
      <c r="T253" s="74"/>
      <c r="U253" s="14"/>
      <c r="V253" s="57"/>
      <c r="W253" s="14"/>
      <c r="X253" s="14"/>
      <c r="Y253" s="55"/>
      <c r="Z253"/>
      <c r="AA253" s="54"/>
      <c r="AB253" s="72"/>
      <c r="AC253">
        <f t="shared" si="232"/>
        <v>0</v>
      </c>
      <c r="AD253" s="60"/>
      <c r="AE253">
        <f t="shared" si="230"/>
        <v>0</v>
      </c>
      <c r="AF253" s="57">
        <f t="shared" si="231"/>
        <v>0</v>
      </c>
      <c r="AG253" s="56" t="str">
        <f t="shared" si="233"/>
        <v/>
      </c>
      <c r="AH253" s="26" t="e">
        <f t="shared" si="229"/>
        <v>#DIV/0!</v>
      </c>
      <c r="AI253" t="str">
        <f t="shared" si="228"/>
        <v>mT</v>
      </c>
    </row>
    <row r="254" spans="1:35" s="27" customFormat="1" hidden="1" x14ac:dyDescent="0.25">
      <c r="A254">
        <v>240</v>
      </c>
      <c r="B254" s="38"/>
      <c r="C254" t="s">
        <v>65</v>
      </c>
      <c r="D254" t="s">
        <v>200</v>
      </c>
      <c r="E254" t="s">
        <v>67</v>
      </c>
      <c r="F254" t="s">
        <v>70</v>
      </c>
      <c r="G254" s="22">
        <v>1</v>
      </c>
      <c r="H254" s="22" t="s">
        <v>77</v>
      </c>
      <c r="I254"/>
      <c r="J254" s="80"/>
      <c r="K254" s="28"/>
      <c r="L254" s="5"/>
      <c r="M254" s="5"/>
      <c r="N254" s="5"/>
      <c r="O254" s="13"/>
      <c r="P254" s="19"/>
      <c r="Q254" s="19"/>
      <c r="R254" s="19"/>
      <c r="S254" s="19"/>
      <c r="T254" s="74"/>
      <c r="U254" s="14"/>
      <c r="V254" s="57"/>
      <c r="W254" s="14"/>
      <c r="X254" s="14"/>
      <c r="Y254" s="55"/>
      <c r="Z254"/>
      <c r="AA254" s="54"/>
      <c r="AB254" s="72"/>
      <c r="AC254">
        <f t="shared" si="232"/>
        <v>0</v>
      </c>
      <c r="AD254" s="60"/>
      <c r="AE254">
        <f t="shared" si="230"/>
        <v>0</v>
      </c>
      <c r="AF254" s="57" t="e">
        <f t="shared" si="231"/>
        <v>#DIV/0!</v>
      </c>
      <c r="AG254" s="56" t="str">
        <f t="shared" si="233"/>
        <v>m⁻²</v>
      </c>
      <c r="AH254" s="26" t="e">
        <f t="shared" si="229"/>
        <v>#DIV/0!</v>
      </c>
      <c r="AI254" t="str">
        <f t="shared" si="228"/>
        <v>T/m</v>
      </c>
    </row>
    <row r="255" spans="1:35" s="27" customFormat="1" hidden="1" x14ac:dyDescent="0.25">
      <c r="A255">
        <v>240</v>
      </c>
      <c r="B255" s="38"/>
      <c r="C255" t="s">
        <v>65</v>
      </c>
      <c r="D255" t="s">
        <v>200</v>
      </c>
      <c r="E255" t="s">
        <v>67</v>
      </c>
      <c r="F255" t="s">
        <v>74</v>
      </c>
      <c r="G255" s="22">
        <v>1</v>
      </c>
      <c r="H255" s="22" t="s">
        <v>77</v>
      </c>
      <c r="I255"/>
      <c r="J255" s="80"/>
      <c r="K255" s="28"/>
      <c r="L255" s="5"/>
      <c r="M255" s="5"/>
      <c r="N255" s="5"/>
      <c r="O255" s="13"/>
      <c r="P255" s="19"/>
      <c r="Q255" s="19"/>
      <c r="R255" s="19"/>
      <c r="S255" s="19"/>
      <c r="T255" s="74"/>
      <c r="U255" s="14"/>
      <c r="V255" s="57"/>
      <c r="W255" s="14"/>
      <c r="X255" s="14"/>
      <c r="Y255" s="55"/>
      <c r="Z255"/>
      <c r="AA255" s="54"/>
      <c r="AB255" s="72"/>
      <c r="AC255">
        <f t="shared" si="232"/>
        <v>0</v>
      </c>
      <c r="AD255" s="60"/>
      <c r="AE255">
        <f t="shared" si="230"/>
        <v>0</v>
      </c>
      <c r="AF255" s="57">
        <f t="shared" si="231"/>
        <v>0</v>
      </c>
      <c r="AG255" s="56" t="str">
        <f t="shared" si="233"/>
        <v/>
      </c>
      <c r="AH255" s="26" t="e">
        <f t="shared" si="229"/>
        <v>#DIV/0!</v>
      </c>
      <c r="AI255" t="str">
        <f t="shared" si="228"/>
        <v>mT</v>
      </c>
    </row>
    <row r="256" spans="1:35" s="27" customFormat="1" hidden="1" x14ac:dyDescent="0.25">
      <c r="A256">
        <v>240</v>
      </c>
      <c r="B256" s="38"/>
      <c r="C256" t="s">
        <v>65</v>
      </c>
      <c r="D256" t="s">
        <v>201</v>
      </c>
      <c r="E256" t="s">
        <v>67</v>
      </c>
      <c r="F256" t="s">
        <v>70</v>
      </c>
      <c r="G256" s="22">
        <v>1</v>
      </c>
      <c r="H256" s="22" t="s">
        <v>77</v>
      </c>
      <c r="I256"/>
      <c r="J256" s="80"/>
      <c r="K256" s="28"/>
      <c r="L256" s="5"/>
      <c r="M256" s="5"/>
      <c r="N256" s="5"/>
      <c r="O256" s="13"/>
      <c r="P256" s="19"/>
      <c r="Q256" s="19"/>
      <c r="R256" s="19"/>
      <c r="S256" s="19"/>
      <c r="T256" s="74"/>
      <c r="U256" s="14"/>
      <c r="V256" s="57"/>
      <c r="W256" s="14"/>
      <c r="X256" s="14"/>
      <c r="Y256" s="55"/>
      <c r="Z256"/>
      <c r="AA256" s="54"/>
      <c r="AB256" s="72"/>
      <c r="AC256">
        <f t="shared" si="232"/>
        <v>0</v>
      </c>
      <c r="AD256" s="60"/>
      <c r="AE256">
        <f t="shared" si="230"/>
        <v>0</v>
      </c>
      <c r="AF256" s="57" t="e">
        <f t="shared" si="231"/>
        <v>#DIV/0!</v>
      </c>
      <c r="AG256" s="56" t="str">
        <f t="shared" si="233"/>
        <v>m⁻²</v>
      </c>
      <c r="AH256" s="26" t="e">
        <f t="shared" si="229"/>
        <v>#DIV/0!</v>
      </c>
      <c r="AI256" t="str">
        <f t="shared" si="228"/>
        <v>T/m</v>
      </c>
    </row>
    <row r="257" spans="1:35" s="27" customFormat="1" hidden="1" x14ac:dyDescent="0.25">
      <c r="A257">
        <v>240</v>
      </c>
      <c r="B257" s="38"/>
      <c r="C257" t="s">
        <v>65</v>
      </c>
      <c r="D257" t="s">
        <v>201</v>
      </c>
      <c r="E257" t="s">
        <v>67</v>
      </c>
      <c r="F257" t="s">
        <v>72</v>
      </c>
      <c r="G257" s="22">
        <v>1</v>
      </c>
      <c r="H257" s="22" t="s">
        <v>77</v>
      </c>
      <c r="I257"/>
      <c r="J257" s="80"/>
      <c r="K257" s="28"/>
      <c r="L257" s="5"/>
      <c r="M257" s="5"/>
      <c r="N257" s="5"/>
      <c r="O257" s="13"/>
      <c r="P257" s="19"/>
      <c r="Q257" s="19"/>
      <c r="R257" s="19"/>
      <c r="S257" s="19"/>
      <c r="T257" s="74"/>
      <c r="U257" s="14"/>
      <c r="V257" s="57"/>
      <c r="W257" s="14"/>
      <c r="X257" s="14"/>
      <c r="Y257" s="55"/>
      <c r="Z257"/>
      <c r="AA257" s="54"/>
      <c r="AB257" s="72"/>
      <c r="AC257">
        <f t="shared" si="232"/>
        <v>0</v>
      </c>
      <c r="AD257" s="60"/>
      <c r="AE257">
        <f t="shared" si="230"/>
        <v>0</v>
      </c>
      <c r="AF257" s="57">
        <f t="shared" si="231"/>
        <v>0</v>
      </c>
      <c r="AG257" s="56" t="str">
        <f t="shared" si="233"/>
        <v>°</v>
      </c>
      <c r="AH257" s="26" t="e">
        <f t="shared" si="229"/>
        <v>#DIV/0!</v>
      </c>
      <c r="AI257" t="str">
        <f t="shared" si="228"/>
        <v>mT</v>
      </c>
    </row>
    <row r="258" spans="1:35" s="27" customFormat="1" hidden="1" x14ac:dyDescent="0.25">
      <c r="A258">
        <v>240</v>
      </c>
      <c r="B258" s="38"/>
      <c r="C258" t="s">
        <v>65</v>
      </c>
      <c r="D258" t="s">
        <v>201</v>
      </c>
      <c r="E258" t="s">
        <v>67</v>
      </c>
      <c r="F258" t="s">
        <v>72</v>
      </c>
      <c r="G258" s="22">
        <v>2</v>
      </c>
      <c r="H258" s="22" t="s">
        <v>77</v>
      </c>
      <c r="I258"/>
      <c r="J258" s="80"/>
      <c r="K258" s="28"/>
      <c r="L258" s="5"/>
      <c r="M258" s="5"/>
      <c r="N258" s="5"/>
      <c r="O258" s="13"/>
      <c r="P258" s="19"/>
      <c r="Q258" s="19"/>
      <c r="R258" s="19"/>
      <c r="S258" s="19"/>
      <c r="T258" s="74"/>
      <c r="U258" s="14"/>
      <c r="V258" s="57"/>
      <c r="W258" s="14"/>
      <c r="X258" s="14"/>
      <c r="Y258" s="55"/>
      <c r="Z258"/>
      <c r="AA258" s="54"/>
      <c r="AB258" s="72"/>
      <c r="AC258">
        <f t="shared" si="232"/>
        <v>0</v>
      </c>
      <c r="AD258" s="60"/>
      <c r="AE258">
        <f t="shared" si="230"/>
        <v>0</v>
      </c>
      <c r="AF258" s="57">
        <f t="shared" si="231"/>
        <v>0</v>
      </c>
      <c r="AG258" s="56" t="str">
        <f t="shared" si="233"/>
        <v>°</v>
      </c>
      <c r="AH258" s="26" t="e">
        <f t="shared" si="229"/>
        <v>#DIV/0!</v>
      </c>
      <c r="AI258" t="str">
        <f t="shared" si="228"/>
        <v>mT</v>
      </c>
    </row>
    <row r="259" spans="1:35" s="27" customFormat="1" hidden="1" x14ac:dyDescent="0.25">
      <c r="A259">
        <v>240</v>
      </c>
      <c r="B259" s="38"/>
      <c r="C259" t="s">
        <v>65</v>
      </c>
      <c r="D259" t="s">
        <v>201</v>
      </c>
      <c r="E259" t="s">
        <v>67</v>
      </c>
      <c r="F259" t="s">
        <v>72</v>
      </c>
      <c r="G259" s="22">
        <v>3</v>
      </c>
      <c r="H259" s="22" t="s">
        <v>77</v>
      </c>
      <c r="I259"/>
      <c r="J259" s="80"/>
      <c r="K259" s="28"/>
      <c r="L259" s="5"/>
      <c r="M259" s="5"/>
      <c r="N259" s="5"/>
      <c r="O259" s="13"/>
      <c r="P259" s="19"/>
      <c r="Q259" s="19"/>
      <c r="R259" s="19"/>
      <c r="S259" s="19"/>
      <c r="T259" s="74"/>
      <c r="U259" s="14"/>
      <c r="V259" s="57"/>
      <c r="W259" s="14"/>
      <c r="X259" s="14"/>
      <c r="Y259" s="55"/>
      <c r="Z259"/>
      <c r="AA259" s="54"/>
      <c r="AB259" s="72"/>
      <c r="AC259">
        <f t="shared" si="232"/>
        <v>0</v>
      </c>
      <c r="AD259" s="60"/>
      <c r="AE259">
        <f t="shared" si="230"/>
        <v>0</v>
      </c>
      <c r="AF259" s="57">
        <f t="shared" si="231"/>
        <v>0</v>
      </c>
      <c r="AG259" s="56" t="str">
        <f t="shared" si="233"/>
        <v>°</v>
      </c>
      <c r="AH259" s="26" t="e">
        <f t="shared" si="229"/>
        <v>#DIV/0!</v>
      </c>
      <c r="AI259" t="str">
        <f t="shared" si="228"/>
        <v>mT</v>
      </c>
    </row>
    <row r="260" spans="1:35" s="27" customFormat="1" hidden="1" x14ac:dyDescent="0.25">
      <c r="A260">
        <v>240</v>
      </c>
      <c r="B260" s="38"/>
      <c r="C260" t="s">
        <v>65</v>
      </c>
      <c r="D260" t="s">
        <v>201</v>
      </c>
      <c r="E260" t="s">
        <v>67</v>
      </c>
      <c r="F260" t="s">
        <v>72</v>
      </c>
      <c r="G260" s="22">
        <v>4</v>
      </c>
      <c r="H260" s="22" t="s">
        <v>77</v>
      </c>
      <c r="I260"/>
      <c r="J260" s="80"/>
      <c r="K260" s="28"/>
      <c r="L260" s="5"/>
      <c r="M260" s="5"/>
      <c r="N260" s="5"/>
      <c r="O260" s="13"/>
      <c r="P260" s="19"/>
      <c r="Q260" s="19"/>
      <c r="R260" s="19"/>
      <c r="S260" s="19"/>
      <c r="T260" s="74"/>
      <c r="U260" s="14"/>
      <c r="V260" s="57"/>
      <c r="W260" s="14"/>
      <c r="X260" s="14"/>
      <c r="Y260" s="55"/>
      <c r="Z260"/>
      <c r="AA260" s="54"/>
      <c r="AB260" s="72"/>
      <c r="AC260">
        <f t="shared" si="232"/>
        <v>0</v>
      </c>
      <c r="AD260" s="60"/>
      <c r="AE260">
        <f t="shared" si="230"/>
        <v>0</v>
      </c>
      <c r="AF260" s="57">
        <f t="shared" si="231"/>
        <v>0</v>
      </c>
      <c r="AG260" s="56" t="str">
        <f t="shared" si="233"/>
        <v>°</v>
      </c>
      <c r="AH260" s="26" t="e">
        <f t="shared" si="229"/>
        <v>#DIV/0!</v>
      </c>
      <c r="AI260" t="str">
        <f t="shared" si="228"/>
        <v>mT</v>
      </c>
    </row>
    <row r="261" spans="1:35" s="25" customFormat="1" hidden="1" x14ac:dyDescent="0.25">
      <c r="A261">
        <v>240</v>
      </c>
      <c r="B261" s="38"/>
      <c r="C261" t="s">
        <v>65</v>
      </c>
      <c r="D261" t="s">
        <v>90</v>
      </c>
      <c r="E261" t="s">
        <v>67</v>
      </c>
      <c r="F261" t="s">
        <v>73</v>
      </c>
      <c r="G261" s="22">
        <v>1</v>
      </c>
      <c r="H261" s="22" t="s">
        <v>77</v>
      </c>
      <c r="I261" t="s">
        <v>118</v>
      </c>
      <c r="J261" s="80"/>
      <c r="K261" s="28"/>
      <c r="L261" s="5" t="str">
        <f t="shared" ref="L261" si="234">IF(F261="QUAD","T","T.mm")</f>
        <v>T.mm</v>
      </c>
      <c r="M261" s="5">
        <f>VLOOKUP(Table!$I261,Specs!$A:$R,MATCH(Table!M$3,Specs!$A$1:$R$1,0),FALSE)</f>
        <v>3.2</v>
      </c>
      <c r="N261" s="5">
        <f>VLOOKUP(Table!$I261,Specs!$A:$R,MATCH(Table!N$3,Specs!$A$1:$R$1,0),FALSE)</f>
        <v>10</v>
      </c>
      <c r="O261" s="13">
        <f t="shared" ref="O261" si="235">(N261*M261)/1000</f>
        <v>3.2000000000000001E-2</v>
      </c>
      <c r="P261" s="19">
        <f>VLOOKUP(Table!$I261,Specs!$A:$R,MATCH(Table!P$3,Specs!$A$1:$R$1,0),FALSE)</f>
        <v>0.1</v>
      </c>
      <c r="Q261" s="19">
        <f>VLOOKUP(Table!$I261,Specs!$A:$R,MATCH(Table!Q$3,Specs!$A$1:$R$1,0),FALSE)</f>
        <v>0.5</v>
      </c>
      <c r="R261" s="19">
        <v>24</v>
      </c>
      <c r="S261" s="19">
        <f>VLOOKUP(Table!$I261,Specs!$A:$R,MATCH(Table!S$3,Specs!$A$1:$R$1,0),FALSE)</f>
        <v>2</v>
      </c>
      <c r="T261" s="74"/>
      <c r="U261" s="14"/>
      <c r="V261" s="57"/>
      <c r="W261" s="14"/>
      <c r="X261" s="14"/>
      <c r="Y261" s="55"/>
      <c r="Z261"/>
      <c r="AA261" s="54"/>
      <c r="AB261" s="26"/>
      <c r="AC261">
        <f t="shared" si="232"/>
        <v>0</v>
      </c>
      <c r="AD261" s="59"/>
      <c r="AE261" t="str">
        <f t="shared" si="230"/>
        <v>T.mm</v>
      </c>
      <c r="AF261" s="57">
        <f t="shared" si="231"/>
        <v>0</v>
      </c>
      <c r="AG261" s="56" t="str">
        <f t="shared" si="233"/>
        <v>mrad</v>
      </c>
      <c r="AH261" s="26" t="e">
        <f t="shared" si="229"/>
        <v>#DIV/0!</v>
      </c>
      <c r="AI261" t="str">
        <f t="shared" si="228"/>
        <v>mT</v>
      </c>
    </row>
    <row r="262" spans="1:35" s="25" customFormat="1" hidden="1" x14ac:dyDescent="0.25">
      <c r="A262">
        <v>240</v>
      </c>
      <c r="B262" s="38"/>
      <c r="C262" t="s">
        <v>65</v>
      </c>
      <c r="D262" t="s">
        <v>90</v>
      </c>
      <c r="E262" t="s">
        <v>67</v>
      </c>
      <c r="F262" t="s">
        <v>70</v>
      </c>
      <c r="G262" s="22">
        <v>1</v>
      </c>
      <c r="H262" s="22" t="s">
        <v>78</v>
      </c>
      <c r="I262" t="s">
        <v>94</v>
      </c>
      <c r="J262" s="80"/>
      <c r="K262" s="28"/>
      <c r="L262" s="5" t="str">
        <f t="shared" ref="L262:L271" si="236">IF(F262="QUAD","T","T.mm")</f>
        <v>T</v>
      </c>
      <c r="M262" s="5">
        <f>VLOOKUP(Table!$I262,Specs!$A:$R,MATCH(Table!M$3,Specs!$A$1:$R$1,0),FALSE)</f>
        <v>7.97</v>
      </c>
      <c r="N262" s="5">
        <f>VLOOKUP(Table!$I262,Specs!$A:$R,MATCH(Table!N$3,Specs!$A$1:$R$1,0),FALSE)</f>
        <v>93.1</v>
      </c>
      <c r="O262" s="13">
        <f t="shared" ref="O262" si="237">(N262*M262)/1000</f>
        <v>0.74200699999999997</v>
      </c>
      <c r="P262" s="19">
        <f>VLOOKUP(Table!$I262,Specs!$A:$R,MATCH(Table!P$3,Specs!$A$1:$R$1,0),FALSE)</f>
        <v>4</v>
      </c>
      <c r="Q262" s="19">
        <f>VLOOKUP(Table!$I262,Specs!$A:$R,MATCH(Table!Q$3,Specs!$A$1:$R$1,0),FALSE)</f>
        <v>1.2</v>
      </c>
      <c r="R262" s="19">
        <v>25</v>
      </c>
      <c r="S262" s="19">
        <f>VLOOKUP(Table!$I262,Specs!$A:$R,MATCH(Table!S$3,Specs!$A$1:$R$1,0),FALSE)</f>
        <v>9.2000000000000028</v>
      </c>
      <c r="T262" s="74"/>
      <c r="U262" s="14"/>
      <c r="V262" s="57"/>
      <c r="W262" s="14"/>
      <c r="X262" s="14"/>
      <c r="Y262" s="55"/>
      <c r="Z262"/>
      <c r="AA262" s="54"/>
      <c r="AB262" s="26"/>
      <c r="AC262">
        <f t="shared" si="232"/>
        <v>0</v>
      </c>
      <c r="AD262" s="59"/>
      <c r="AE262" t="str">
        <f t="shared" si="230"/>
        <v>T</v>
      </c>
      <c r="AF262" s="57" t="e">
        <f t="shared" si="231"/>
        <v>#DIV/0!</v>
      </c>
      <c r="AG262" s="56" t="str">
        <f t="shared" si="233"/>
        <v>m⁻²</v>
      </c>
      <c r="AH262" s="26" t="e">
        <f t="shared" si="229"/>
        <v>#DIV/0!</v>
      </c>
      <c r="AI262" t="str">
        <f t="shared" si="228"/>
        <v>T/m</v>
      </c>
    </row>
    <row r="263" spans="1:35" s="25" customFormat="1" hidden="1" x14ac:dyDescent="0.25">
      <c r="A263">
        <v>240</v>
      </c>
      <c r="B263" s="38"/>
      <c r="C263" t="s">
        <v>65</v>
      </c>
      <c r="D263" t="s">
        <v>90</v>
      </c>
      <c r="E263" t="s">
        <v>67</v>
      </c>
      <c r="F263" t="s">
        <v>70</v>
      </c>
      <c r="G263" s="22">
        <v>2</v>
      </c>
      <c r="H263" s="22" t="s">
        <v>78</v>
      </c>
      <c r="I263" t="s">
        <v>94</v>
      </c>
      <c r="J263" s="80"/>
      <c r="K263" s="28"/>
      <c r="L263" s="5" t="str">
        <f>IF(F263="QUAD","T","T.mm")</f>
        <v>T</v>
      </c>
      <c r="M263" s="5">
        <f>VLOOKUP(Table!$I263,Specs!$A:$R,MATCH(Table!M$3,Specs!$A$1:$R$1,0),FALSE)</f>
        <v>7.97</v>
      </c>
      <c r="N263" s="5">
        <f>VLOOKUP(Table!$I263,Specs!$A:$R,MATCH(Table!N$3,Specs!$A$1:$R$1,0),FALSE)</f>
        <v>93.1</v>
      </c>
      <c r="O263" s="13">
        <f>(N263*M263)/1000</f>
        <v>0.74200699999999997</v>
      </c>
      <c r="P263" s="19">
        <f>VLOOKUP(Table!$I263,Specs!$A:$R,MATCH(Table!P$3,Specs!$A$1:$R$1,0),FALSE)</f>
        <v>4</v>
      </c>
      <c r="Q263" s="19">
        <f>VLOOKUP(Table!$I263,Specs!$A:$R,MATCH(Table!Q$3,Specs!$A$1:$R$1,0),FALSE)</f>
        <v>1.2</v>
      </c>
      <c r="R263" s="19">
        <v>25</v>
      </c>
      <c r="S263" s="19">
        <f>VLOOKUP(Table!$I263,Specs!$A:$R,MATCH(Table!S$3,Specs!$A$1:$R$1,0),FALSE)</f>
        <v>9.2000000000000028</v>
      </c>
      <c r="T263" s="74"/>
      <c r="U263" s="14"/>
      <c r="V263" s="57"/>
      <c r="W263" s="14"/>
      <c r="X263" s="14"/>
      <c r="Y263" s="55"/>
      <c r="Z263"/>
      <c r="AA263" s="54"/>
      <c r="AB263" s="26"/>
      <c r="AC263">
        <f t="shared" si="232"/>
        <v>0</v>
      </c>
      <c r="AD263" s="59"/>
      <c r="AE263" t="str">
        <f t="shared" si="230"/>
        <v>T</v>
      </c>
      <c r="AF263" s="57" t="e">
        <f t="shared" si="231"/>
        <v>#DIV/0!</v>
      </c>
      <c r="AG263" s="56" t="str">
        <f t="shared" si="233"/>
        <v>m⁻²</v>
      </c>
      <c r="AH263" s="26" t="e">
        <f t="shared" si="229"/>
        <v>#DIV/0!</v>
      </c>
      <c r="AI263" t="str">
        <f t="shared" ref="AI263:AI277" si="238">IF(F263="QUAD","T/m","mT")</f>
        <v>T/m</v>
      </c>
    </row>
    <row r="264" spans="1:35" s="25" customFormat="1" hidden="1" x14ac:dyDescent="0.25">
      <c r="A264">
        <v>240</v>
      </c>
      <c r="B264" s="38"/>
      <c r="C264" t="s">
        <v>65</v>
      </c>
      <c r="D264" t="s">
        <v>90</v>
      </c>
      <c r="E264" t="s">
        <v>67</v>
      </c>
      <c r="F264" t="s">
        <v>73</v>
      </c>
      <c r="G264" s="22">
        <v>2</v>
      </c>
      <c r="H264" s="22"/>
      <c r="I264" t="s">
        <v>118</v>
      </c>
      <c r="J264" s="80"/>
      <c r="K264" s="28"/>
      <c r="L264" s="5" t="str">
        <f t="shared" si="236"/>
        <v>T.mm</v>
      </c>
      <c r="M264" s="5">
        <f>VLOOKUP(Table!$I264,Specs!$A:$R,MATCH(Table!M$3,Specs!$A$1:$R$1,0),FALSE)</f>
        <v>3.2</v>
      </c>
      <c r="N264" s="5">
        <f>VLOOKUP(Table!$I264,Specs!$A:$R,MATCH(Table!N$3,Specs!$A$1:$R$1,0),FALSE)</f>
        <v>10</v>
      </c>
      <c r="O264" s="13">
        <f t="shared" ref="O264:O267" si="239">(N264*M264)/1000</f>
        <v>3.2000000000000001E-2</v>
      </c>
      <c r="P264" s="19">
        <f>VLOOKUP(Table!$I264,Specs!$A:$R,MATCH(Table!P$3,Specs!$A$1:$R$1,0),FALSE)</f>
        <v>0.1</v>
      </c>
      <c r="Q264" s="19">
        <f>VLOOKUP(Table!$I264,Specs!$A:$R,MATCH(Table!Q$3,Specs!$A$1:$R$1,0),FALSE)</f>
        <v>0.5</v>
      </c>
      <c r="R264" s="19">
        <v>25</v>
      </c>
      <c r="S264" s="19">
        <f>VLOOKUP(Table!$I264,Specs!$A:$R,MATCH(Table!S$3,Specs!$A$1:$R$1,0),FALSE)</f>
        <v>2</v>
      </c>
      <c r="T264" s="74"/>
      <c r="U264" s="14"/>
      <c r="V264" s="57"/>
      <c r="W264" s="14"/>
      <c r="X264" s="14"/>
      <c r="Y264" s="55"/>
      <c r="Z264"/>
      <c r="AA264" s="54"/>
      <c r="AB264" s="26"/>
      <c r="AC264">
        <f t="shared" si="232"/>
        <v>0</v>
      </c>
      <c r="AD264" s="59"/>
      <c r="AE264" t="str">
        <f t="shared" si="230"/>
        <v>T.mm</v>
      </c>
      <c r="AF264" s="57">
        <f t="shared" si="231"/>
        <v>0</v>
      </c>
      <c r="AG264" s="56" t="str">
        <f t="shared" si="233"/>
        <v>mrad</v>
      </c>
      <c r="AH264" s="26" t="e">
        <f t="shared" ref="AH264:AH277" si="240">1000*AD264/AA264</f>
        <v>#DIV/0!</v>
      </c>
      <c r="AI264" t="str">
        <f t="shared" si="238"/>
        <v>mT</v>
      </c>
    </row>
    <row r="265" spans="1:35" s="25" customFormat="1" hidden="1" x14ac:dyDescent="0.25">
      <c r="A265">
        <v>240</v>
      </c>
      <c r="B265" s="38"/>
      <c r="C265" t="s">
        <v>65</v>
      </c>
      <c r="D265" t="s">
        <v>90</v>
      </c>
      <c r="E265" t="s">
        <v>67</v>
      </c>
      <c r="F265" t="s">
        <v>73</v>
      </c>
      <c r="G265" s="22">
        <v>3</v>
      </c>
      <c r="H265" s="22"/>
      <c r="I265" t="s">
        <v>118</v>
      </c>
      <c r="J265" s="80"/>
      <c r="K265" s="28"/>
      <c r="L265" s="5" t="str">
        <f>IF(F265="QUAD","T","T.mm")</f>
        <v>T.mm</v>
      </c>
      <c r="M265" s="5">
        <f>VLOOKUP(Table!$I265,Specs!$A:$R,MATCH(Table!M$3,Specs!$A$1:$R$1,0),FALSE)</f>
        <v>3.2</v>
      </c>
      <c r="N265" s="5">
        <f>VLOOKUP(Table!$I265,Specs!$A:$R,MATCH(Table!N$3,Specs!$A$1:$R$1,0),FALSE)</f>
        <v>10</v>
      </c>
      <c r="O265" s="13">
        <f>(N265*M265)/1000</f>
        <v>3.2000000000000001E-2</v>
      </c>
      <c r="P265" s="19">
        <f>VLOOKUP(Table!$I265,Specs!$A:$R,MATCH(Table!P$3,Specs!$A$1:$R$1,0),FALSE)</f>
        <v>0.1</v>
      </c>
      <c r="Q265" s="19">
        <f>VLOOKUP(Table!$I265,Specs!$A:$R,MATCH(Table!Q$3,Specs!$A$1:$R$1,0),FALSE)</f>
        <v>0.5</v>
      </c>
      <c r="R265" s="19">
        <v>25</v>
      </c>
      <c r="S265" s="19">
        <f>VLOOKUP(Table!$I265,Specs!$A:$R,MATCH(Table!S$3,Specs!$A$1:$R$1,0),FALSE)</f>
        <v>2</v>
      </c>
      <c r="T265" s="74"/>
      <c r="U265" s="14"/>
      <c r="V265" s="57"/>
      <c r="W265" s="14"/>
      <c r="X265" s="14"/>
      <c r="Y265" s="55"/>
      <c r="Z265"/>
      <c r="AA265" s="54"/>
      <c r="AB265" s="26"/>
      <c r="AC265">
        <f t="shared" si="232"/>
        <v>0</v>
      </c>
      <c r="AD265" s="59"/>
      <c r="AE265" t="str">
        <f t="shared" si="230"/>
        <v>T.mm</v>
      </c>
      <c r="AF265" s="57">
        <f t="shared" si="231"/>
        <v>0</v>
      </c>
      <c r="AG265" s="56" t="str">
        <f t="shared" si="233"/>
        <v>mrad</v>
      </c>
      <c r="AH265" s="26" t="e">
        <f t="shared" si="240"/>
        <v>#DIV/0!</v>
      </c>
      <c r="AI265" t="str">
        <f t="shared" si="238"/>
        <v>mT</v>
      </c>
    </row>
    <row r="266" spans="1:35" s="25" customFormat="1" hidden="1" x14ac:dyDescent="0.25">
      <c r="A266">
        <v>240</v>
      </c>
      <c r="B266" s="38"/>
      <c r="C266" t="s">
        <v>65</v>
      </c>
      <c r="D266" t="s">
        <v>90</v>
      </c>
      <c r="E266" t="s">
        <v>67</v>
      </c>
      <c r="F266" t="s">
        <v>70</v>
      </c>
      <c r="G266" s="22">
        <v>3</v>
      </c>
      <c r="H266" s="22" t="s">
        <v>78</v>
      </c>
      <c r="I266" t="s">
        <v>94</v>
      </c>
      <c r="J266" s="80"/>
      <c r="K266" s="28"/>
      <c r="L266" s="5" t="str">
        <f t="shared" si="236"/>
        <v>T</v>
      </c>
      <c r="M266" s="5">
        <f>VLOOKUP(Table!$I266,Specs!$A:$R,MATCH(Table!M$3,Specs!$A$1:$R$1,0),FALSE)</f>
        <v>7.97</v>
      </c>
      <c r="N266" s="5">
        <f>VLOOKUP(Table!$I266,Specs!$A:$R,MATCH(Table!N$3,Specs!$A$1:$R$1,0),FALSE)</f>
        <v>93.1</v>
      </c>
      <c r="O266" s="13">
        <f t="shared" si="239"/>
        <v>0.74200699999999997</v>
      </c>
      <c r="P266" s="19">
        <f>VLOOKUP(Table!$I266,Specs!$A:$R,MATCH(Table!P$3,Specs!$A$1:$R$1,0),FALSE)</f>
        <v>4</v>
      </c>
      <c r="Q266" s="19">
        <f>VLOOKUP(Table!$I266,Specs!$A:$R,MATCH(Table!Q$3,Specs!$A$1:$R$1,0),FALSE)</f>
        <v>1.2</v>
      </c>
      <c r="R266" s="19">
        <v>25</v>
      </c>
      <c r="S266" s="19">
        <f>VLOOKUP(Table!$I266,Specs!$A:$R,MATCH(Table!S$3,Specs!$A$1:$R$1,0),FALSE)</f>
        <v>9.2000000000000028</v>
      </c>
      <c r="T266" s="74"/>
      <c r="U266" s="14"/>
      <c r="V266" s="57"/>
      <c r="W266" s="14"/>
      <c r="X266" s="14"/>
      <c r="Y266" s="55"/>
      <c r="Z266"/>
      <c r="AA266" s="54"/>
      <c r="AB266" s="26"/>
      <c r="AC266">
        <f t="shared" si="232"/>
        <v>0</v>
      </c>
      <c r="AD266" s="59"/>
      <c r="AE266" t="str">
        <f t="shared" si="230"/>
        <v>T</v>
      </c>
      <c r="AF266" s="57" t="e">
        <f t="shared" si="231"/>
        <v>#DIV/0!</v>
      </c>
      <c r="AG266" s="56" t="str">
        <f t="shared" si="233"/>
        <v>m⁻²</v>
      </c>
      <c r="AH266" s="26" t="e">
        <f t="shared" si="240"/>
        <v>#DIV/0!</v>
      </c>
      <c r="AI266" t="str">
        <f t="shared" si="238"/>
        <v>T/m</v>
      </c>
    </row>
    <row r="267" spans="1:35" s="25" customFormat="1" hidden="1" x14ac:dyDescent="0.25">
      <c r="A267">
        <v>240</v>
      </c>
      <c r="B267" s="38"/>
      <c r="C267" t="s">
        <v>65</v>
      </c>
      <c r="D267" t="s">
        <v>90</v>
      </c>
      <c r="E267" t="s">
        <v>67</v>
      </c>
      <c r="F267" t="s">
        <v>70</v>
      </c>
      <c r="G267" s="22">
        <v>4</v>
      </c>
      <c r="H267" s="22" t="s">
        <v>78</v>
      </c>
      <c r="I267" t="s">
        <v>94</v>
      </c>
      <c r="J267" s="80"/>
      <c r="K267" s="28"/>
      <c r="L267" s="5" t="str">
        <f t="shared" si="236"/>
        <v>T</v>
      </c>
      <c r="M267" s="5">
        <f>VLOOKUP(Table!$I267,Specs!$A:$R,MATCH(Table!M$3,Specs!$A$1:$R$1,0),FALSE)</f>
        <v>7.97</v>
      </c>
      <c r="N267" s="5">
        <f>VLOOKUP(Table!$I267,Specs!$A:$R,MATCH(Table!N$3,Specs!$A$1:$R$1,0),FALSE)</f>
        <v>93.1</v>
      </c>
      <c r="O267" s="13">
        <f t="shared" si="239"/>
        <v>0.74200699999999997</v>
      </c>
      <c r="P267" s="19">
        <f>VLOOKUP(Table!$I267,Specs!$A:$R,MATCH(Table!P$3,Specs!$A$1:$R$1,0),FALSE)</f>
        <v>4</v>
      </c>
      <c r="Q267" s="19">
        <f>VLOOKUP(Table!$I267,Specs!$A:$R,MATCH(Table!Q$3,Specs!$A$1:$R$1,0),FALSE)</f>
        <v>1.2</v>
      </c>
      <c r="R267" s="19">
        <v>25</v>
      </c>
      <c r="S267" s="19">
        <f>VLOOKUP(Table!$I267,Specs!$A:$R,MATCH(Table!S$3,Specs!$A$1:$R$1,0),FALSE)</f>
        <v>9.2000000000000028</v>
      </c>
      <c r="T267" s="74"/>
      <c r="U267" s="14"/>
      <c r="V267" s="57"/>
      <c r="W267" s="14"/>
      <c r="X267" s="14"/>
      <c r="Y267" s="55"/>
      <c r="Z267"/>
      <c r="AA267" s="54"/>
      <c r="AB267" s="26"/>
      <c r="AC267">
        <f t="shared" si="232"/>
        <v>0</v>
      </c>
      <c r="AD267" s="59"/>
      <c r="AE267" t="str">
        <f t="shared" si="230"/>
        <v>T</v>
      </c>
      <c r="AF267" s="57" t="e">
        <f t="shared" si="231"/>
        <v>#DIV/0!</v>
      </c>
      <c r="AG267" s="56" t="str">
        <f t="shared" si="233"/>
        <v>m⁻²</v>
      </c>
      <c r="AH267" s="26" t="e">
        <f t="shared" si="240"/>
        <v>#DIV/0!</v>
      </c>
      <c r="AI267" t="str">
        <f t="shared" si="238"/>
        <v>T/m</v>
      </c>
    </row>
    <row r="268" spans="1:35" s="25" customFormat="1" hidden="1" x14ac:dyDescent="0.25">
      <c r="A268">
        <v>240</v>
      </c>
      <c r="B268" s="38"/>
      <c r="C268" t="s">
        <v>65</v>
      </c>
      <c r="D268" t="s">
        <v>90</v>
      </c>
      <c r="E268" t="s">
        <v>67</v>
      </c>
      <c r="F268" t="s">
        <v>70</v>
      </c>
      <c r="G268" s="22">
        <v>5</v>
      </c>
      <c r="H268" s="22" t="s">
        <v>78</v>
      </c>
      <c r="I268" t="s">
        <v>94</v>
      </c>
      <c r="J268" s="80"/>
      <c r="K268" s="28"/>
      <c r="L268" s="5" t="str">
        <f t="shared" si="236"/>
        <v>T</v>
      </c>
      <c r="M268" s="5">
        <f>VLOOKUP(Table!$I268,Specs!$A:$R,MATCH(Table!M$3,Specs!$A$1:$R$1,0),FALSE)</f>
        <v>7.97</v>
      </c>
      <c r="N268" s="5">
        <f>VLOOKUP(Table!$I268,Specs!$A:$R,MATCH(Table!N$3,Specs!$A$1:$R$1,0),FALSE)</f>
        <v>93.1</v>
      </c>
      <c r="O268" s="13">
        <f t="shared" ref="O268" si="241">(N268*M268)/1000</f>
        <v>0.74200699999999997</v>
      </c>
      <c r="P268" s="19">
        <f>VLOOKUP(Table!$I268,Specs!$A:$R,MATCH(Table!P$3,Specs!$A$1:$R$1,0),FALSE)</f>
        <v>4</v>
      </c>
      <c r="Q268" s="19">
        <f>VLOOKUP(Table!$I268,Specs!$A:$R,MATCH(Table!Q$3,Specs!$A$1:$R$1,0),FALSE)</f>
        <v>1.2</v>
      </c>
      <c r="R268" s="19">
        <v>25</v>
      </c>
      <c r="S268" s="19">
        <f>VLOOKUP(Table!$I268,Specs!$A:$R,MATCH(Table!S$3,Specs!$A$1:$R$1,0),FALSE)</f>
        <v>9.2000000000000028</v>
      </c>
      <c r="T268" s="74"/>
      <c r="U268" s="14"/>
      <c r="V268" s="57"/>
      <c r="W268" s="14"/>
      <c r="X268" s="14"/>
      <c r="Y268" s="55"/>
      <c r="Z268"/>
      <c r="AA268" s="54"/>
      <c r="AB268" s="26"/>
      <c r="AC268">
        <f t="shared" si="232"/>
        <v>0</v>
      </c>
      <c r="AD268" s="59"/>
      <c r="AE268" t="str">
        <f t="shared" si="230"/>
        <v>T</v>
      </c>
      <c r="AF268" s="57" t="e">
        <f t="shared" si="231"/>
        <v>#DIV/0!</v>
      </c>
      <c r="AG268" s="56" t="str">
        <f t="shared" si="233"/>
        <v>m⁻²</v>
      </c>
      <c r="AH268" s="26" t="e">
        <f t="shared" si="240"/>
        <v>#DIV/0!</v>
      </c>
      <c r="AI268" t="str">
        <f t="shared" si="238"/>
        <v>T/m</v>
      </c>
    </row>
    <row r="269" spans="1:35" s="25" customFormat="1" hidden="1" x14ac:dyDescent="0.25">
      <c r="A269">
        <v>240</v>
      </c>
      <c r="B269" s="38"/>
      <c r="C269" t="s">
        <v>65</v>
      </c>
      <c r="D269" t="s">
        <v>90</v>
      </c>
      <c r="E269" t="s">
        <v>67</v>
      </c>
      <c r="F269" t="s">
        <v>73</v>
      </c>
      <c r="G269" s="22">
        <v>4</v>
      </c>
      <c r="H269" s="22"/>
      <c r="I269" t="s">
        <v>118</v>
      </c>
      <c r="J269" s="80"/>
      <c r="K269" s="28"/>
      <c r="L269" s="5" t="str">
        <f t="shared" si="236"/>
        <v>T.mm</v>
      </c>
      <c r="M269" s="5">
        <f>VLOOKUP(Table!$I261,Specs!$A:$R,MATCH(Table!M$3,Specs!$A$1:$R$1,0),FALSE)</f>
        <v>3.2</v>
      </c>
      <c r="N269" s="5">
        <f>VLOOKUP(Table!$I261,Specs!$A:$R,MATCH(Table!N$3,Specs!$A$1:$R$1,0),FALSE)</f>
        <v>10</v>
      </c>
      <c r="O269" s="13">
        <f t="shared" ref="O269:O271" si="242">(N269*M269)/1000</f>
        <v>3.2000000000000001E-2</v>
      </c>
      <c r="P269" s="19">
        <f>VLOOKUP(Table!$I261,Specs!$A:$R,MATCH(Table!P$3,Specs!$A$1:$R$1,0),FALSE)</f>
        <v>0.1</v>
      </c>
      <c r="Q269" s="19">
        <f>VLOOKUP(Table!$I261,Specs!$A:$R,MATCH(Table!Q$3,Specs!$A$1:$R$1,0),FALSE)</f>
        <v>0.5</v>
      </c>
      <c r="R269" s="19">
        <v>25</v>
      </c>
      <c r="S269" s="19">
        <f>VLOOKUP(Table!$I261,Specs!$A:$R,MATCH(Table!S$3,Specs!$A$1:$R$1,0),FALSE)</f>
        <v>2</v>
      </c>
      <c r="T269" s="74"/>
      <c r="U269" s="14"/>
      <c r="V269" s="57"/>
      <c r="W269" s="14"/>
      <c r="X269" s="14"/>
      <c r="Y269" s="55"/>
      <c r="Z269"/>
      <c r="AA269" s="54"/>
      <c r="AB269" s="26"/>
      <c r="AC269">
        <f t="shared" si="232"/>
        <v>0</v>
      </c>
      <c r="AD269" s="59"/>
      <c r="AE269" t="str">
        <f t="shared" si="230"/>
        <v>T.mm</v>
      </c>
      <c r="AF269" s="57">
        <f t="shared" si="231"/>
        <v>0</v>
      </c>
      <c r="AG269" s="56" t="str">
        <f t="shared" si="233"/>
        <v>mrad</v>
      </c>
      <c r="AH269" s="26" t="e">
        <f t="shared" si="240"/>
        <v>#DIV/0!</v>
      </c>
      <c r="AI269" t="str">
        <f t="shared" si="238"/>
        <v>mT</v>
      </c>
    </row>
    <row r="270" spans="1:35" s="25" customFormat="1" hidden="1" x14ac:dyDescent="0.25">
      <c r="A270">
        <v>240</v>
      </c>
      <c r="B270" s="38"/>
      <c r="C270" t="s">
        <v>65</v>
      </c>
      <c r="D270" t="s">
        <v>90</v>
      </c>
      <c r="E270" t="s">
        <v>67</v>
      </c>
      <c r="F270" t="s">
        <v>70</v>
      </c>
      <c r="G270" s="22">
        <v>6</v>
      </c>
      <c r="H270" s="22" t="s">
        <v>78</v>
      </c>
      <c r="I270" t="s">
        <v>94</v>
      </c>
      <c r="J270" s="80"/>
      <c r="K270" s="28"/>
      <c r="L270" s="5" t="str">
        <f t="shared" si="236"/>
        <v>T</v>
      </c>
      <c r="M270" s="5">
        <f>VLOOKUP(Table!$I270,Specs!$A:$R,MATCH(Table!M$3,Specs!$A$1:$R$1,0),FALSE)</f>
        <v>7.97</v>
      </c>
      <c r="N270" s="5">
        <f>VLOOKUP(Table!$I270,Specs!$A:$R,MATCH(Table!N$3,Specs!$A$1:$R$1,0),FALSE)</f>
        <v>93.1</v>
      </c>
      <c r="O270" s="13">
        <f t="shared" si="242"/>
        <v>0.74200699999999997</v>
      </c>
      <c r="P270" s="19">
        <f>VLOOKUP(Table!$I270,Specs!$A:$R,MATCH(Table!P$3,Specs!$A$1:$R$1,0),FALSE)</f>
        <v>4</v>
      </c>
      <c r="Q270" s="19">
        <f>VLOOKUP(Table!$I270,Specs!$A:$R,MATCH(Table!Q$3,Specs!$A$1:$R$1,0),FALSE)</f>
        <v>1.2</v>
      </c>
      <c r="R270" s="19">
        <v>25</v>
      </c>
      <c r="S270" s="19">
        <f>VLOOKUP(Table!$I270,Specs!$A:$R,MATCH(Table!S$3,Specs!$A$1:$R$1,0),FALSE)</f>
        <v>9.2000000000000028</v>
      </c>
      <c r="T270" s="74"/>
      <c r="U270" s="14"/>
      <c r="V270" s="57"/>
      <c r="W270" s="14"/>
      <c r="X270" s="14"/>
      <c r="Y270" s="55"/>
      <c r="Z270"/>
      <c r="AA270" s="54"/>
      <c r="AB270" s="26"/>
      <c r="AC270">
        <f t="shared" si="232"/>
        <v>0</v>
      </c>
      <c r="AD270" s="59"/>
      <c r="AE270" t="str">
        <f t="shared" si="230"/>
        <v>T</v>
      </c>
      <c r="AF270" s="57" t="e">
        <f t="shared" si="231"/>
        <v>#DIV/0!</v>
      </c>
      <c r="AG270" s="56" t="str">
        <f t="shared" si="233"/>
        <v>m⁻²</v>
      </c>
      <c r="AH270" s="26" t="e">
        <f t="shared" si="240"/>
        <v>#DIV/0!</v>
      </c>
      <c r="AI270" t="str">
        <f t="shared" si="238"/>
        <v>T/m</v>
      </c>
    </row>
    <row r="271" spans="1:35" s="25" customFormat="1" hidden="1" x14ac:dyDescent="0.25">
      <c r="A271">
        <v>240</v>
      </c>
      <c r="B271" s="38"/>
      <c r="C271" t="s">
        <v>65</v>
      </c>
      <c r="D271" t="s">
        <v>90</v>
      </c>
      <c r="E271" t="s">
        <v>67</v>
      </c>
      <c r="F271" t="s">
        <v>70</v>
      </c>
      <c r="G271" s="22">
        <v>7</v>
      </c>
      <c r="H271" s="22" t="s">
        <v>78</v>
      </c>
      <c r="I271" t="s">
        <v>94</v>
      </c>
      <c r="J271" s="80"/>
      <c r="K271" s="28"/>
      <c r="L271" s="5" t="str">
        <f t="shared" si="236"/>
        <v>T</v>
      </c>
      <c r="M271" s="5">
        <f>VLOOKUP(Table!$I271,Specs!$A:$R,MATCH(Table!M$3,Specs!$A$1:$R$1,0),FALSE)</f>
        <v>7.97</v>
      </c>
      <c r="N271" s="5">
        <f>VLOOKUP(Table!$I271,Specs!$A:$R,MATCH(Table!N$3,Specs!$A$1:$R$1,0),FALSE)</f>
        <v>93.1</v>
      </c>
      <c r="O271" s="13">
        <f t="shared" si="242"/>
        <v>0.74200699999999997</v>
      </c>
      <c r="P271" s="19">
        <f>VLOOKUP(Table!$I271,Specs!$A:$R,MATCH(Table!P$3,Specs!$A$1:$R$1,0),FALSE)</f>
        <v>4</v>
      </c>
      <c r="Q271" s="19">
        <f>VLOOKUP(Table!$I271,Specs!$A:$R,MATCH(Table!Q$3,Specs!$A$1:$R$1,0),FALSE)</f>
        <v>1.2</v>
      </c>
      <c r="R271" s="19">
        <v>25</v>
      </c>
      <c r="S271" s="19">
        <f>VLOOKUP(Table!$I271,Specs!$A:$R,MATCH(Table!S$3,Specs!$A$1:$R$1,0),FALSE)</f>
        <v>9.2000000000000028</v>
      </c>
      <c r="T271" s="74"/>
      <c r="U271" s="14"/>
      <c r="V271" s="57"/>
      <c r="W271" s="14"/>
      <c r="X271" s="14"/>
      <c r="Y271" s="55"/>
      <c r="Z271"/>
      <c r="AA271" s="54"/>
      <c r="AB271" s="26"/>
      <c r="AC271">
        <f t="shared" si="232"/>
        <v>0</v>
      </c>
      <c r="AD271" s="59"/>
      <c r="AE271" t="str">
        <f t="shared" si="230"/>
        <v>T</v>
      </c>
      <c r="AF271" s="57" t="e">
        <f t="shared" si="231"/>
        <v>#DIV/0!</v>
      </c>
      <c r="AG271" s="56" t="str">
        <f t="shared" si="233"/>
        <v>m⁻²</v>
      </c>
      <c r="AH271" s="26" t="e">
        <f t="shared" si="240"/>
        <v>#DIV/0!</v>
      </c>
      <c r="AI271" t="str">
        <f t="shared" si="238"/>
        <v>T/m</v>
      </c>
    </row>
    <row r="272" spans="1:35" s="25" customFormat="1" hidden="1" x14ac:dyDescent="0.25">
      <c r="A272">
        <v>240</v>
      </c>
      <c r="B272" s="38"/>
      <c r="C272" t="s">
        <v>65</v>
      </c>
      <c r="D272" t="s">
        <v>90</v>
      </c>
      <c r="E272" t="s">
        <v>67</v>
      </c>
      <c r="F272" t="s">
        <v>73</v>
      </c>
      <c r="G272" s="22">
        <v>5</v>
      </c>
      <c r="H272" s="22"/>
      <c r="I272"/>
      <c r="J272" s="80"/>
      <c r="K272" s="28"/>
      <c r="L272" s="5" t="str">
        <f t="shared" ref="L272" si="243">IF(F272="QUAD","T","T.mm")</f>
        <v>T.mm</v>
      </c>
      <c r="M272" s="5">
        <f>VLOOKUP(Table!$I264,Specs!$A:$R,MATCH(Table!M$3,Specs!$A$1:$R$1,0),FALSE)</f>
        <v>3.2</v>
      </c>
      <c r="N272" s="5">
        <f>VLOOKUP(Table!$I264,Specs!$A:$R,MATCH(Table!N$3,Specs!$A$1:$R$1,0),FALSE)</f>
        <v>10</v>
      </c>
      <c r="O272" s="13">
        <f t="shared" ref="O272" si="244">(N272*M272)/1000</f>
        <v>3.2000000000000001E-2</v>
      </c>
      <c r="P272" s="19">
        <f>VLOOKUP(Table!$I264,Specs!$A:$R,MATCH(Table!P$3,Specs!$A$1:$R$1,0),FALSE)</f>
        <v>0.1</v>
      </c>
      <c r="Q272" s="19">
        <f>VLOOKUP(Table!$I264,Specs!$A:$R,MATCH(Table!Q$3,Specs!$A$1:$R$1,0),FALSE)</f>
        <v>0.5</v>
      </c>
      <c r="R272" s="19">
        <v>25</v>
      </c>
      <c r="S272" s="19">
        <f>VLOOKUP(Table!$I264,Specs!$A:$R,MATCH(Table!S$3,Specs!$A$1:$R$1,0),FALSE)</f>
        <v>2</v>
      </c>
      <c r="T272" s="74"/>
      <c r="U272" s="14"/>
      <c r="V272" s="57"/>
      <c r="W272" s="14"/>
      <c r="X272" s="14"/>
      <c r="Y272" s="55"/>
      <c r="Z272"/>
      <c r="AA272" s="54"/>
      <c r="AB272" s="26"/>
      <c r="AC272">
        <f t="shared" si="232"/>
        <v>0</v>
      </c>
      <c r="AD272" s="59"/>
      <c r="AE272" t="str">
        <f t="shared" si="230"/>
        <v>T.mm</v>
      </c>
      <c r="AF272" s="57">
        <f t="shared" si="231"/>
        <v>0</v>
      </c>
      <c r="AG272" s="56" t="str">
        <f t="shared" si="233"/>
        <v>mrad</v>
      </c>
      <c r="AH272" s="26" t="e">
        <f t="shared" si="240"/>
        <v>#DIV/0!</v>
      </c>
      <c r="AI272" t="str">
        <f t="shared" si="238"/>
        <v>mT</v>
      </c>
    </row>
    <row r="273" spans="1:35" s="27" customFormat="1" hidden="1" x14ac:dyDescent="0.25">
      <c r="A273">
        <v>240</v>
      </c>
      <c r="B273" s="38"/>
      <c r="C273" t="s">
        <v>65</v>
      </c>
      <c r="D273" t="s">
        <v>93</v>
      </c>
      <c r="E273" t="s">
        <v>67</v>
      </c>
      <c r="F273" t="s">
        <v>72</v>
      </c>
      <c r="G273" s="22">
        <v>1</v>
      </c>
      <c r="H273" s="22" t="s">
        <v>77</v>
      </c>
      <c r="I273"/>
      <c r="J273" s="80"/>
      <c r="K273" s="28"/>
      <c r="L273" s="5"/>
      <c r="M273" s="5"/>
      <c r="N273" s="5"/>
      <c r="O273" s="13"/>
      <c r="P273" s="19"/>
      <c r="Q273" s="19"/>
      <c r="R273" s="19"/>
      <c r="S273" s="19"/>
      <c r="T273" s="74"/>
      <c r="U273" s="14"/>
      <c r="V273" s="57"/>
      <c r="W273" s="14"/>
      <c r="X273" s="14"/>
      <c r="Y273" s="55"/>
      <c r="Z273"/>
      <c r="AA273" s="54"/>
      <c r="AB273" s="72"/>
      <c r="AC273">
        <f t="shared" si="232"/>
        <v>0</v>
      </c>
      <c r="AD273" s="60"/>
      <c r="AE273">
        <f t="shared" si="230"/>
        <v>0</v>
      </c>
      <c r="AF273" s="57">
        <f t="shared" si="231"/>
        <v>0</v>
      </c>
      <c r="AG273" s="56" t="str">
        <f t="shared" si="233"/>
        <v>°</v>
      </c>
      <c r="AH273" s="26" t="e">
        <f t="shared" si="240"/>
        <v>#DIV/0!</v>
      </c>
      <c r="AI273" t="str">
        <f t="shared" si="238"/>
        <v>mT</v>
      </c>
    </row>
    <row r="274" spans="1:35" s="27" customFormat="1" hidden="1" x14ac:dyDescent="0.25">
      <c r="A274">
        <v>240</v>
      </c>
      <c r="B274" s="38"/>
      <c r="C274" t="s">
        <v>65</v>
      </c>
      <c r="D274" t="s">
        <v>93</v>
      </c>
      <c r="E274" t="s">
        <v>67</v>
      </c>
      <c r="F274" t="s">
        <v>73</v>
      </c>
      <c r="G274" s="22">
        <v>1</v>
      </c>
      <c r="H274" s="22"/>
      <c r="I274"/>
      <c r="J274" s="80"/>
      <c r="K274" s="28"/>
      <c r="L274" s="5"/>
      <c r="M274" s="5"/>
      <c r="N274" s="5"/>
      <c r="O274" s="13"/>
      <c r="P274" s="19"/>
      <c r="Q274" s="19"/>
      <c r="R274" s="19"/>
      <c r="S274" s="19"/>
      <c r="T274" s="74"/>
      <c r="U274" s="14"/>
      <c r="V274" s="57"/>
      <c r="W274" s="14"/>
      <c r="X274" s="14"/>
      <c r="Y274" s="55"/>
      <c r="Z274"/>
      <c r="AA274" s="54"/>
      <c r="AB274" s="72"/>
      <c r="AC274">
        <f t="shared" si="232"/>
        <v>0</v>
      </c>
      <c r="AD274" s="60"/>
      <c r="AE274">
        <f t="shared" si="230"/>
        <v>0</v>
      </c>
      <c r="AF274" s="57">
        <f t="shared" si="231"/>
        <v>0</v>
      </c>
      <c r="AG274" s="56" t="str">
        <f t="shared" si="233"/>
        <v>mrad</v>
      </c>
      <c r="AH274" s="26" t="e">
        <f t="shared" si="240"/>
        <v>#DIV/0!</v>
      </c>
      <c r="AI274" t="str">
        <f t="shared" si="238"/>
        <v>mT</v>
      </c>
    </row>
    <row r="275" spans="1:35" s="27" customFormat="1" hidden="1" x14ac:dyDescent="0.25">
      <c r="A275">
        <v>240</v>
      </c>
      <c r="B275" s="38"/>
      <c r="C275" t="s">
        <v>65</v>
      </c>
      <c r="D275" t="s">
        <v>93</v>
      </c>
      <c r="E275" t="s">
        <v>67</v>
      </c>
      <c r="F275" t="s">
        <v>70</v>
      </c>
      <c r="G275" s="22">
        <v>1</v>
      </c>
      <c r="H275" s="22" t="s">
        <v>78</v>
      </c>
      <c r="I275"/>
      <c r="J275" s="80"/>
      <c r="K275" s="28"/>
      <c r="L275" s="5"/>
      <c r="M275" s="5"/>
      <c r="N275" s="5"/>
      <c r="O275" s="13"/>
      <c r="P275" s="19"/>
      <c r="Q275" s="19"/>
      <c r="R275" s="19"/>
      <c r="S275" s="19"/>
      <c r="T275" s="74"/>
      <c r="U275" s="14"/>
      <c r="V275" s="57"/>
      <c r="W275" s="14"/>
      <c r="X275" s="14"/>
      <c r="Y275" s="55"/>
      <c r="Z275"/>
      <c r="AA275" s="54"/>
      <c r="AB275" s="72"/>
      <c r="AC275">
        <f t="shared" si="232"/>
        <v>0</v>
      </c>
      <c r="AD275" s="60"/>
      <c r="AE275">
        <f t="shared" si="230"/>
        <v>0</v>
      </c>
      <c r="AF275" s="57" t="e">
        <f t="shared" si="231"/>
        <v>#DIV/0!</v>
      </c>
      <c r="AG275" s="56" t="str">
        <f t="shared" si="233"/>
        <v>m⁻²</v>
      </c>
      <c r="AH275" s="26" t="e">
        <f t="shared" si="240"/>
        <v>#DIV/0!</v>
      </c>
      <c r="AI275" t="str">
        <f t="shared" si="238"/>
        <v>T/m</v>
      </c>
    </row>
    <row r="276" spans="1:35" s="27" customFormat="1" hidden="1" x14ac:dyDescent="0.25">
      <c r="A276">
        <v>240</v>
      </c>
      <c r="B276" s="38"/>
      <c r="C276" t="s">
        <v>65</v>
      </c>
      <c r="D276" t="s">
        <v>93</v>
      </c>
      <c r="E276" t="s">
        <v>67</v>
      </c>
      <c r="F276" t="s">
        <v>70</v>
      </c>
      <c r="G276" s="22">
        <v>2</v>
      </c>
      <c r="H276" s="22" t="s">
        <v>78</v>
      </c>
      <c r="I276"/>
      <c r="J276" s="80"/>
      <c r="K276" s="28"/>
      <c r="L276" s="5"/>
      <c r="M276" s="5"/>
      <c r="N276" s="5"/>
      <c r="O276" s="13"/>
      <c r="P276" s="19"/>
      <c r="Q276" s="19"/>
      <c r="R276" s="19"/>
      <c r="S276" s="19"/>
      <c r="T276" s="74"/>
      <c r="U276" s="14"/>
      <c r="V276" s="57"/>
      <c r="W276" s="14"/>
      <c r="X276" s="14"/>
      <c r="Y276" s="55"/>
      <c r="Z276"/>
      <c r="AA276" s="54"/>
      <c r="AB276" s="72"/>
      <c r="AC276">
        <f t="shared" si="232"/>
        <v>0</v>
      </c>
      <c r="AD276" s="60"/>
      <c r="AE276">
        <f t="shared" si="230"/>
        <v>0</v>
      </c>
      <c r="AF276" s="57" t="e">
        <f t="shared" si="231"/>
        <v>#DIV/0!</v>
      </c>
      <c r="AG276" s="56" t="str">
        <f t="shared" si="233"/>
        <v>m⁻²</v>
      </c>
      <c r="AH276" s="26" t="e">
        <f t="shared" si="240"/>
        <v>#DIV/0!</v>
      </c>
      <c r="AI276" t="str">
        <f t="shared" si="238"/>
        <v>T/m</v>
      </c>
    </row>
    <row r="277" spans="1:35" s="25" customFormat="1" hidden="1" x14ac:dyDescent="0.25">
      <c r="A277">
        <v>240</v>
      </c>
      <c r="B277" s="38"/>
      <c r="C277" t="s">
        <v>65</v>
      </c>
      <c r="D277" t="s">
        <v>90</v>
      </c>
      <c r="E277" t="s">
        <v>67</v>
      </c>
      <c r="F277" t="s">
        <v>73</v>
      </c>
      <c r="G277" s="22">
        <v>6</v>
      </c>
      <c r="H277" s="22"/>
      <c r="I277"/>
      <c r="J277" s="80"/>
      <c r="K277" s="28"/>
      <c r="L277" s="5" t="str">
        <f t="shared" ref="L277" si="245">IF(F277="QUAD","T","T.mm")</f>
        <v>T.mm</v>
      </c>
      <c r="M277" s="5">
        <f>VLOOKUP(Table!$I269,Specs!$A:$R,MATCH(Table!M$3,Specs!$A$1:$R$1,0),FALSE)</f>
        <v>3.2</v>
      </c>
      <c r="N277" s="5">
        <f>VLOOKUP(Table!$I269,Specs!$A:$R,MATCH(Table!N$3,Specs!$A$1:$R$1,0),FALSE)</f>
        <v>10</v>
      </c>
      <c r="O277" s="13">
        <f t="shared" ref="O277" si="246">(N277*M277)/1000</f>
        <v>3.2000000000000001E-2</v>
      </c>
      <c r="P277" s="19">
        <f>VLOOKUP(Table!$I269,Specs!$A:$R,MATCH(Table!P$3,Specs!$A$1:$R$1,0),FALSE)</f>
        <v>0.1</v>
      </c>
      <c r="Q277" s="19">
        <f>VLOOKUP(Table!$I269,Specs!$A:$R,MATCH(Table!Q$3,Specs!$A$1:$R$1,0),FALSE)</f>
        <v>0.5</v>
      </c>
      <c r="R277" s="19">
        <v>25</v>
      </c>
      <c r="S277" s="19">
        <f>VLOOKUP(Table!$I269,Specs!$A:$R,MATCH(Table!S$3,Specs!$A$1:$R$1,0),FALSE)</f>
        <v>2</v>
      </c>
      <c r="T277" s="74"/>
      <c r="U277" s="14"/>
      <c r="V277" s="57"/>
      <c r="W277" s="14"/>
      <c r="X277" s="14"/>
      <c r="Y277" s="55"/>
      <c r="Z277"/>
      <c r="AA277" s="54"/>
      <c r="AB277" s="26"/>
      <c r="AC277">
        <f t="shared" si="232"/>
        <v>0</v>
      </c>
      <c r="AD277" s="59"/>
      <c r="AE277" t="str">
        <f t="shared" si="230"/>
        <v>T.mm</v>
      </c>
      <c r="AF277" s="57">
        <f t="shared" si="231"/>
        <v>0</v>
      </c>
      <c r="AG277" s="56" t="str">
        <f t="shared" si="233"/>
        <v>mrad</v>
      </c>
      <c r="AH277" s="26" t="e">
        <f t="shared" si="240"/>
        <v>#DIV/0!</v>
      </c>
      <c r="AI277" t="str">
        <f t="shared" si="238"/>
        <v>mT</v>
      </c>
    </row>
    <row r="278" spans="1:35" x14ac:dyDescent="0.25">
      <c r="B278" s="38"/>
      <c r="O278" s="13"/>
      <c r="P278" s="19"/>
      <c r="Q278" s="19"/>
      <c r="R278" s="19"/>
      <c r="S278" s="19"/>
      <c r="T278" s="74"/>
      <c r="V278" s="57"/>
    </row>
    <row r="279" spans="1:35" x14ac:dyDescent="0.25">
      <c r="B279" s="38"/>
      <c r="O279" s="13"/>
      <c r="P279" s="19"/>
      <c r="Q279" s="19"/>
      <c r="R279" s="19"/>
      <c r="S279" s="19"/>
      <c r="T279" s="74"/>
      <c r="V279" s="57"/>
    </row>
    <row r="280" spans="1:35" x14ac:dyDescent="0.25">
      <c r="B280" s="38"/>
      <c r="O280" s="13"/>
      <c r="P280" s="19"/>
      <c r="Q280" s="19"/>
      <c r="R280" s="19"/>
      <c r="S280" s="19"/>
      <c r="T280" s="74"/>
      <c r="V280" s="57"/>
    </row>
    <row r="281" spans="1:35" x14ac:dyDescent="0.25">
      <c r="B281" s="38"/>
      <c r="O281" s="13"/>
      <c r="P281" s="19"/>
      <c r="Q281" s="19"/>
      <c r="R281" s="19"/>
      <c r="S281" s="19"/>
      <c r="T281" s="74"/>
      <c r="V281" s="57"/>
    </row>
    <row r="282" spans="1:35" x14ac:dyDescent="0.25">
      <c r="B282" s="38"/>
      <c r="O282" s="13"/>
      <c r="P282" s="19"/>
      <c r="Q282" s="19"/>
      <c r="R282" s="19"/>
      <c r="S282" s="19"/>
      <c r="T282" s="74"/>
      <c r="V282" s="57"/>
    </row>
    <row r="283" spans="1:35" x14ac:dyDescent="0.25">
      <c r="B283" s="38"/>
      <c r="O283" s="13"/>
      <c r="P283" s="19"/>
      <c r="Q283" s="19"/>
      <c r="R283" s="19"/>
      <c r="S283" s="19"/>
      <c r="T283" s="74"/>
      <c r="V283" s="57"/>
    </row>
    <row r="284" spans="1:35" x14ac:dyDescent="0.25">
      <c r="B284" s="38"/>
      <c r="O284" s="13"/>
      <c r="P284" s="19"/>
      <c r="Q284" s="19"/>
      <c r="R284" s="19"/>
      <c r="S284" s="19"/>
      <c r="T284" s="74"/>
      <c r="V284" s="57"/>
    </row>
    <row r="285" spans="1:35" x14ac:dyDescent="0.25">
      <c r="B285" s="38"/>
      <c r="O285" s="13"/>
      <c r="P285" s="19"/>
      <c r="Q285" s="19"/>
      <c r="R285" s="19"/>
      <c r="S285" s="19"/>
      <c r="T285" s="74"/>
      <c r="V285" s="57"/>
    </row>
    <row r="286" spans="1:35" x14ac:dyDescent="0.25">
      <c r="B286" s="38"/>
      <c r="O286" s="13"/>
      <c r="P286" s="19"/>
      <c r="Q286" s="19"/>
      <c r="R286" s="19"/>
      <c r="S286" s="19"/>
      <c r="T286" s="74"/>
      <c r="V286" s="57"/>
    </row>
    <row r="287" spans="1:35" x14ac:dyDescent="0.25">
      <c r="B287" s="38"/>
      <c r="O287" s="13"/>
      <c r="P287" s="19"/>
      <c r="Q287" s="19"/>
      <c r="R287" s="19"/>
      <c r="S287" s="19"/>
      <c r="T287" s="74"/>
      <c r="V287" s="57"/>
    </row>
    <row r="288" spans="1:35" x14ac:dyDescent="0.25">
      <c r="B288" s="38"/>
      <c r="O288" s="13"/>
      <c r="P288" s="19"/>
      <c r="Q288" s="19"/>
      <c r="R288" s="19"/>
      <c r="S288" s="19"/>
      <c r="T288" s="74"/>
      <c r="V288" s="57"/>
    </row>
    <row r="289" spans="2:22" x14ac:dyDescent="0.25">
      <c r="B289" s="38"/>
      <c r="O289" s="13"/>
      <c r="P289" s="19"/>
      <c r="Q289" s="19"/>
      <c r="R289" s="19"/>
      <c r="S289" s="19"/>
      <c r="T289" s="74"/>
      <c r="V289" s="57"/>
    </row>
    <row r="290" spans="2:22" x14ac:dyDescent="0.25">
      <c r="B290" s="38"/>
      <c r="O290" s="13"/>
      <c r="P290" s="19"/>
      <c r="Q290" s="19"/>
      <c r="R290" s="19"/>
      <c r="S290" s="19"/>
      <c r="T290" s="74"/>
      <c r="V290" s="57"/>
    </row>
    <row r="291" spans="2:22" x14ac:dyDescent="0.25">
      <c r="B291" s="38"/>
      <c r="O291" s="13"/>
      <c r="P291" s="19"/>
      <c r="Q291" s="19"/>
      <c r="R291" s="19"/>
      <c r="S291" s="19"/>
      <c r="T291" s="74"/>
      <c r="V291" s="57"/>
    </row>
    <row r="292" spans="2:22" x14ac:dyDescent="0.25">
      <c r="B292" s="38"/>
      <c r="O292" s="13"/>
      <c r="P292" s="19"/>
      <c r="Q292" s="19"/>
      <c r="R292" s="19"/>
      <c r="S292" s="19"/>
      <c r="T292" s="74"/>
      <c r="V292" s="57"/>
    </row>
    <row r="293" spans="2:22" x14ac:dyDescent="0.25">
      <c r="B293" s="38"/>
      <c r="O293" s="13"/>
      <c r="P293" s="19"/>
      <c r="Q293" s="19"/>
      <c r="R293" s="19"/>
      <c r="S293" s="19"/>
      <c r="T293" s="74"/>
      <c r="V293" s="57"/>
    </row>
    <row r="294" spans="2:22" x14ac:dyDescent="0.25">
      <c r="B294" s="38"/>
      <c r="O294" s="13"/>
      <c r="P294" s="19"/>
      <c r="Q294" s="19"/>
      <c r="R294" s="19"/>
      <c r="S294" s="19"/>
      <c r="T294" s="74"/>
      <c r="V294" s="57"/>
    </row>
    <row r="295" spans="2:22" x14ac:dyDescent="0.25">
      <c r="B295" s="38"/>
      <c r="O295" s="13"/>
      <c r="P295" s="19"/>
      <c r="Q295" s="19"/>
      <c r="R295" s="19"/>
      <c r="S295" s="19"/>
      <c r="T295" s="74"/>
      <c r="V295" s="57"/>
    </row>
    <row r="296" spans="2:22" x14ac:dyDescent="0.25">
      <c r="B296" s="38"/>
      <c r="O296" s="13"/>
      <c r="P296" s="19"/>
      <c r="Q296" s="19"/>
      <c r="R296" s="19"/>
      <c r="S296" s="19"/>
      <c r="T296" s="74"/>
      <c r="V296" s="57"/>
    </row>
    <row r="297" spans="2:22" x14ac:dyDescent="0.25">
      <c r="B297" s="38"/>
      <c r="O297" s="13"/>
      <c r="P297" s="19"/>
      <c r="Q297" s="19"/>
      <c r="R297" s="19"/>
      <c r="S297" s="19"/>
      <c r="T297" s="74"/>
      <c r="V297" s="57"/>
    </row>
    <row r="298" spans="2:22" x14ac:dyDescent="0.25">
      <c r="B298" s="38"/>
      <c r="O298" s="13"/>
      <c r="P298" s="19"/>
      <c r="Q298" s="19"/>
      <c r="R298" s="19"/>
      <c r="S298" s="19"/>
      <c r="T298" s="74"/>
      <c r="V298" s="57"/>
    </row>
    <row r="299" spans="2:22" x14ac:dyDescent="0.25">
      <c r="B299" s="38"/>
      <c r="O299" s="13"/>
      <c r="P299" s="19"/>
      <c r="Q299" s="19"/>
      <c r="R299" s="19"/>
      <c r="S299" s="19"/>
      <c r="T299" s="74"/>
      <c r="V299" s="57"/>
    </row>
    <row r="300" spans="2:22" x14ac:dyDescent="0.25">
      <c r="B300" s="38"/>
      <c r="O300" s="13"/>
      <c r="P300" s="19"/>
      <c r="Q300" s="19"/>
      <c r="R300" s="19"/>
      <c r="S300" s="19"/>
      <c r="T300" s="74"/>
      <c r="V300" s="57"/>
    </row>
    <row r="301" spans="2:22" x14ac:dyDescent="0.25">
      <c r="B301" s="38"/>
      <c r="O301" s="13"/>
      <c r="P301" s="19"/>
      <c r="Q301" s="19"/>
      <c r="R301" s="19"/>
      <c r="S301" s="19"/>
      <c r="T301" s="74"/>
      <c r="V301" s="57"/>
    </row>
    <row r="302" spans="2:22" x14ac:dyDescent="0.25">
      <c r="B302" s="38"/>
      <c r="O302" s="13"/>
      <c r="P302" s="19"/>
      <c r="Q302" s="19"/>
      <c r="R302" s="19"/>
      <c r="S302" s="19"/>
      <c r="T302" s="74"/>
      <c r="V302" s="57"/>
    </row>
    <row r="303" spans="2:22" x14ac:dyDescent="0.25">
      <c r="B303" s="38"/>
      <c r="O303" s="13"/>
      <c r="P303" s="19"/>
      <c r="Q303" s="19"/>
      <c r="R303" s="19"/>
      <c r="S303" s="19"/>
      <c r="T303" s="74"/>
      <c r="V303" s="57"/>
    </row>
    <row r="304" spans="2:22" x14ac:dyDescent="0.25">
      <c r="B304" s="38"/>
      <c r="O304" s="13"/>
      <c r="P304" s="19"/>
      <c r="Q304" s="19"/>
      <c r="R304" s="19"/>
      <c r="S304" s="19"/>
      <c r="T304" s="74"/>
      <c r="V304" s="57"/>
    </row>
    <row r="305" spans="2:22" x14ac:dyDescent="0.25">
      <c r="B305" s="38"/>
      <c r="O305" s="13"/>
      <c r="P305" s="19"/>
      <c r="Q305" s="19"/>
      <c r="R305" s="19"/>
      <c r="S305" s="19"/>
      <c r="T305" s="74"/>
      <c r="V305" s="57"/>
    </row>
    <row r="306" spans="2:22" x14ac:dyDescent="0.25">
      <c r="B306" s="38"/>
      <c r="O306" s="13"/>
      <c r="P306" s="19"/>
      <c r="Q306" s="19"/>
      <c r="R306" s="19"/>
      <c r="S306" s="19"/>
      <c r="T306" s="74"/>
      <c r="V306" s="57"/>
    </row>
    <row r="307" spans="2:22" x14ac:dyDescent="0.25">
      <c r="B307" s="38"/>
      <c r="O307" s="13"/>
      <c r="P307" s="19"/>
      <c r="Q307" s="19"/>
      <c r="R307" s="19"/>
      <c r="S307" s="19"/>
      <c r="T307" s="74"/>
      <c r="V307" s="57"/>
    </row>
    <row r="308" spans="2:22" x14ac:dyDescent="0.25">
      <c r="B308" s="38"/>
      <c r="O308" s="13"/>
      <c r="P308" s="19"/>
      <c r="Q308" s="19"/>
      <c r="R308" s="19"/>
      <c r="S308" s="19"/>
      <c r="T308" s="74"/>
      <c r="V308" s="57"/>
    </row>
    <row r="309" spans="2:22" x14ac:dyDescent="0.25">
      <c r="B309" s="38"/>
      <c r="O309" s="13"/>
      <c r="P309" s="19"/>
      <c r="Q309" s="19"/>
      <c r="R309" s="19"/>
      <c r="S309" s="19"/>
      <c r="T309" s="74"/>
      <c r="V309" s="57"/>
    </row>
    <row r="310" spans="2:22" x14ac:dyDescent="0.25">
      <c r="B310" s="38"/>
      <c r="O310" s="13"/>
      <c r="P310" s="19"/>
      <c r="Q310" s="19"/>
      <c r="R310" s="19"/>
      <c r="S310" s="19"/>
      <c r="T310" s="74"/>
      <c r="V310" s="57"/>
    </row>
    <row r="311" spans="2:22" x14ac:dyDescent="0.25">
      <c r="B311" s="38"/>
      <c r="O311" s="13"/>
      <c r="P311" s="19"/>
      <c r="Q311" s="19"/>
      <c r="R311" s="19"/>
      <c r="S311" s="19"/>
      <c r="T311" s="74"/>
      <c r="V311" s="57"/>
    </row>
    <row r="312" spans="2:22" x14ac:dyDescent="0.25">
      <c r="B312" s="38"/>
      <c r="O312" s="13"/>
      <c r="P312" s="19"/>
      <c r="Q312" s="19"/>
      <c r="R312" s="19"/>
      <c r="S312" s="19"/>
      <c r="T312" s="74"/>
      <c r="V312" s="57"/>
    </row>
    <row r="313" spans="2:22" x14ac:dyDescent="0.25">
      <c r="B313" s="38"/>
      <c r="O313" s="13"/>
      <c r="P313" s="19"/>
      <c r="Q313" s="19"/>
      <c r="R313" s="19"/>
      <c r="S313" s="19"/>
      <c r="T313" s="74"/>
      <c r="V313" s="57"/>
    </row>
    <row r="314" spans="2:22" x14ac:dyDescent="0.25">
      <c r="B314" s="38"/>
      <c r="O314" s="13"/>
      <c r="P314" s="19"/>
      <c r="Q314" s="19"/>
      <c r="R314" s="19"/>
      <c r="S314" s="19"/>
      <c r="T314" s="74"/>
      <c r="V314" s="57"/>
    </row>
    <row r="315" spans="2:22" x14ac:dyDescent="0.25">
      <c r="B315" s="38"/>
      <c r="O315" s="13"/>
      <c r="P315" s="19"/>
      <c r="Q315" s="19"/>
      <c r="R315" s="19"/>
      <c r="S315" s="19"/>
      <c r="T315" s="74"/>
      <c r="V315" s="57"/>
    </row>
    <row r="316" spans="2:22" x14ac:dyDescent="0.25">
      <c r="B316" s="38"/>
      <c r="O316" s="13"/>
      <c r="P316" s="19"/>
      <c r="Q316" s="19"/>
      <c r="R316" s="19"/>
      <c r="S316" s="19"/>
      <c r="T316" s="74"/>
      <c r="V316" s="57"/>
    </row>
    <row r="317" spans="2:22" x14ac:dyDescent="0.25">
      <c r="B317" s="38"/>
      <c r="O317" s="13"/>
      <c r="P317" s="19"/>
      <c r="Q317" s="19"/>
      <c r="R317" s="19"/>
      <c r="S317" s="19"/>
      <c r="T317" s="74"/>
      <c r="V317" s="57"/>
    </row>
    <row r="318" spans="2:22" x14ac:dyDescent="0.25">
      <c r="B318" s="38"/>
      <c r="O318" s="13"/>
      <c r="P318" s="19"/>
      <c r="Q318" s="19"/>
      <c r="R318" s="19"/>
      <c r="S318" s="19"/>
      <c r="T318" s="74"/>
      <c r="V318" s="57"/>
    </row>
    <row r="319" spans="2:22" x14ac:dyDescent="0.25">
      <c r="B319" s="38"/>
      <c r="O319" s="13"/>
      <c r="P319" s="19"/>
      <c r="Q319" s="19"/>
      <c r="R319" s="19"/>
      <c r="S319" s="19"/>
      <c r="T319" s="74"/>
      <c r="V319" s="57"/>
    </row>
    <row r="320" spans="2:22" x14ac:dyDescent="0.25">
      <c r="B320" s="38"/>
      <c r="O320" s="13"/>
      <c r="P320" s="19"/>
      <c r="Q320" s="19"/>
      <c r="R320" s="19"/>
      <c r="S320" s="19"/>
      <c r="T320" s="74"/>
      <c r="V320" s="57"/>
    </row>
    <row r="321" spans="2:22" x14ac:dyDescent="0.25">
      <c r="B321" s="38"/>
      <c r="O321" s="13"/>
      <c r="P321" s="19"/>
      <c r="Q321" s="19"/>
      <c r="R321" s="19"/>
      <c r="S321" s="19"/>
      <c r="T321" s="74"/>
      <c r="V321" s="57"/>
    </row>
    <row r="322" spans="2:22" x14ac:dyDescent="0.25">
      <c r="B322" s="38"/>
      <c r="O322" s="13"/>
      <c r="P322" s="19"/>
      <c r="Q322" s="19"/>
      <c r="R322" s="19"/>
      <c r="S322" s="19"/>
      <c r="T322" s="74"/>
      <c r="V322" s="57"/>
    </row>
    <row r="323" spans="2:22" x14ac:dyDescent="0.25">
      <c r="B323" s="38"/>
      <c r="O323" s="13"/>
      <c r="P323" s="19"/>
      <c r="Q323" s="19"/>
      <c r="R323" s="19"/>
      <c r="S323" s="19"/>
      <c r="T323" s="74"/>
      <c r="V323" s="57"/>
    </row>
    <row r="324" spans="2:22" x14ac:dyDescent="0.25">
      <c r="B324" s="38"/>
      <c r="O324" s="13"/>
      <c r="P324" s="19"/>
      <c r="Q324" s="19"/>
      <c r="R324" s="19"/>
      <c r="S324" s="19"/>
      <c r="T324" s="74"/>
      <c r="V324" s="57"/>
    </row>
    <row r="325" spans="2:22" x14ac:dyDescent="0.25">
      <c r="B325" s="38"/>
      <c r="O325" s="13"/>
      <c r="P325" s="19"/>
      <c r="Q325" s="19"/>
      <c r="R325" s="19"/>
      <c r="S325" s="19"/>
      <c r="T325" s="74"/>
      <c r="V325" s="57"/>
    </row>
    <row r="326" spans="2:22" x14ac:dyDescent="0.25">
      <c r="B326" s="38"/>
      <c r="O326" s="13"/>
      <c r="P326" s="19"/>
      <c r="Q326" s="19"/>
      <c r="R326" s="19"/>
      <c r="S326" s="19"/>
      <c r="T326" s="74"/>
      <c r="V326" s="57"/>
    </row>
    <row r="327" spans="2:22" x14ac:dyDescent="0.25">
      <c r="B327" s="38"/>
      <c r="O327" s="13"/>
      <c r="P327" s="19"/>
      <c r="Q327" s="19"/>
      <c r="R327" s="19"/>
      <c r="S327" s="19"/>
      <c r="T327" s="74"/>
      <c r="V327" s="57"/>
    </row>
    <row r="328" spans="2:22" x14ac:dyDescent="0.25">
      <c r="B328" s="38"/>
      <c r="O328" s="13"/>
      <c r="P328" s="19"/>
      <c r="Q328" s="19"/>
      <c r="R328" s="19"/>
      <c r="S328" s="19"/>
      <c r="T328" s="74"/>
      <c r="V328" s="57"/>
    </row>
    <row r="329" spans="2:22" x14ac:dyDescent="0.25">
      <c r="B329" s="38"/>
      <c r="O329" s="13"/>
      <c r="P329" s="19"/>
      <c r="Q329" s="19"/>
      <c r="R329" s="19"/>
      <c r="S329" s="19"/>
      <c r="T329" s="74"/>
      <c r="V329" s="57"/>
    </row>
    <row r="330" spans="2:22" x14ac:dyDescent="0.25">
      <c r="B330" s="38"/>
      <c r="O330" s="13"/>
      <c r="P330" s="19"/>
      <c r="Q330" s="19"/>
      <c r="R330" s="19"/>
      <c r="S330" s="19"/>
      <c r="T330" s="74"/>
      <c r="V330" s="57"/>
    </row>
    <row r="331" spans="2:22" x14ac:dyDescent="0.25">
      <c r="B331" s="38"/>
      <c r="O331" s="13"/>
      <c r="P331" s="19"/>
      <c r="Q331" s="19"/>
      <c r="R331" s="19"/>
      <c r="S331" s="19"/>
      <c r="T331" s="74"/>
      <c r="V331" s="57"/>
    </row>
    <row r="332" spans="2:22" x14ac:dyDescent="0.25">
      <c r="B332" s="38"/>
      <c r="O332" s="13"/>
      <c r="P332" s="19"/>
      <c r="Q332" s="19"/>
      <c r="R332" s="19"/>
      <c r="S332" s="19"/>
      <c r="T332" s="74"/>
      <c r="V332" s="57"/>
    </row>
    <row r="333" spans="2:22" x14ac:dyDescent="0.25">
      <c r="B333" s="38"/>
      <c r="O333" s="13"/>
      <c r="P333" s="19"/>
      <c r="Q333" s="19"/>
      <c r="R333" s="19"/>
      <c r="S333" s="19"/>
      <c r="T333" s="74"/>
      <c r="V333" s="57"/>
    </row>
    <row r="334" spans="2:22" x14ac:dyDescent="0.25">
      <c r="B334" s="38"/>
      <c r="O334" s="13"/>
      <c r="P334" s="19"/>
      <c r="Q334" s="19"/>
      <c r="R334" s="19"/>
      <c r="S334" s="19"/>
      <c r="T334" s="74"/>
      <c r="V334" s="57"/>
    </row>
    <row r="335" spans="2:22" x14ac:dyDescent="0.25">
      <c r="B335" s="38"/>
      <c r="O335" s="13"/>
      <c r="P335" s="19"/>
      <c r="Q335" s="19"/>
      <c r="R335" s="19"/>
      <c r="S335" s="19"/>
      <c r="T335" s="74"/>
      <c r="V335" s="57"/>
    </row>
    <row r="336" spans="2:22" x14ac:dyDescent="0.25">
      <c r="B336" s="38"/>
      <c r="O336" s="13"/>
      <c r="P336" s="19"/>
      <c r="Q336" s="19"/>
      <c r="R336" s="19"/>
      <c r="S336" s="19"/>
      <c r="T336" s="74"/>
      <c r="V336" s="57"/>
    </row>
    <row r="337" spans="2:22" x14ac:dyDescent="0.25">
      <c r="B337" s="38"/>
      <c r="O337" s="13"/>
      <c r="P337" s="19"/>
      <c r="Q337" s="19"/>
      <c r="R337" s="19"/>
      <c r="S337" s="19"/>
      <c r="T337" s="74"/>
      <c r="V337" s="57"/>
    </row>
    <row r="338" spans="2:22" x14ac:dyDescent="0.25">
      <c r="B338" s="38"/>
      <c r="O338" s="13"/>
      <c r="P338" s="19"/>
      <c r="Q338" s="19"/>
      <c r="R338" s="19"/>
      <c r="S338" s="19"/>
      <c r="T338" s="74"/>
      <c r="V338" s="57"/>
    </row>
    <row r="339" spans="2:22" x14ac:dyDescent="0.25">
      <c r="B339" s="38"/>
      <c r="O339" s="13"/>
      <c r="P339" s="19"/>
      <c r="Q339" s="19"/>
      <c r="R339" s="19"/>
      <c r="S339" s="19"/>
      <c r="T339" s="74"/>
      <c r="V339" s="57"/>
    </row>
    <row r="340" spans="2:22" x14ac:dyDescent="0.25">
      <c r="B340" s="38"/>
      <c r="O340" s="13"/>
      <c r="P340" s="19"/>
      <c r="Q340" s="19"/>
      <c r="R340" s="19"/>
      <c r="S340" s="19"/>
      <c r="T340" s="74"/>
      <c r="V340" s="57"/>
    </row>
    <row r="341" spans="2:22" x14ac:dyDescent="0.25">
      <c r="B341" s="38"/>
      <c r="O341" s="13"/>
      <c r="P341" s="19"/>
      <c r="Q341" s="19"/>
      <c r="R341" s="19"/>
      <c r="S341" s="19"/>
      <c r="T341" s="74"/>
      <c r="V341" s="57"/>
    </row>
    <row r="342" spans="2:22" x14ac:dyDescent="0.25">
      <c r="B342" s="38"/>
      <c r="O342" s="13"/>
      <c r="P342" s="19"/>
      <c r="Q342" s="19"/>
      <c r="R342" s="19"/>
      <c r="S342" s="19"/>
      <c r="T342" s="74"/>
      <c r="V342" s="57"/>
    </row>
    <row r="343" spans="2:22" x14ac:dyDescent="0.25">
      <c r="B343" s="38"/>
      <c r="O343" s="13"/>
      <c r="P343" s="19"/>
      <c r="Q343" s="19"/>
      <c r="R343" s="19"/>
      <c r="S343" s="19"/>
      <c r="T343" s="74"/>
      <c r="V343" s="57"/>
    </row>
    <row r="344" spans="2:22" x14ac:dyDescent="0.25">
      <c r="B344" s="38"/>
      <c r="O344" s="13"/>
      <c r="P344" s="19"/>
      <c r="Q344" s="19"/>
      <c r="R344" s="19"/>
      <c r="S344" s="19"/>
      <c r="T344" s="74"/>
      <c r="V344" s="57"/>
    </row>
    <row r="345" spans="2:22" x14ac:dyDescent="0.25">
      <c r="B345" s="38"/>
      <c r="O345" s="13"/>
      <c r="P345" s="19"/>
      <c r="Q345" s="19"/>
      <c r="R345" s="19"/>
      <c r="S345" s="19"/>
      <c r="T345" s="74"/>
      <c r="V345" s="57"/>
    </row>
    <row r="346" spans="2:22" x14ac:dyDescent="0.25">
      <c r="B346" s="38"/>
      <c r="O346" s="13"/>
      <c r="P346" s="19"/>
      <c r="Q346" s="19"/>
      <c r="R346" s="19"/>
      <c r="S346" s="19"/>
      <c r="T346" s="74"/>
      <c r="V346" s="57"/>
    </row>
    <row r="347" spans="2:22" x14ac:dyDescent="0.25">
      <c r="B347" s="38"/>
      <c r="O347" s="13"/>
      <c r="P347" s="19"/>
      <c r="Q347" s="19"/>
      <c r="R347" s="19"/>
      <c r="S347" s="19"/>
      <c r="T347" s="74"/>
      <c r="V347" s="57"/>
    </row>
    <row r="348" spans="2:22" x14ac:dyDescent="0.25">
      <c r="B348" s="38"/>
      <c r="O348" s="13"/>
      <c r="P348" s="19"/>
      <c r="Q348" s="19"/>
      <c r="R348" s="19"/>
      <c r="S348" s="19"/>
      <c r="T348" s="74"/>
      <c r="V348" s="57"/>
    </row>
    <row r="349" spans="2:22" x14ac:dyDescent="0.25">
      <c r="B349" s="38"/>
      <c r="O349" s="13"/>
      <c r="P349" s="19"/>
      <c r="Q349" s="19"/>
      <c r="R349" s="19"/>
      <c r="S349" s="19"/>
      <c r="T349" s="74"/>
      <c r="V349" s="57"/>
    </row>
    <row r="350" spans="2:22" x14ac:dyDescent="0.25">
      <c r="B350" s="38"/>
      <c r="O350" s="13"/>
      <c r="P350" s="19"/>
      <c r="Q350" s="19"/>
      <c r="R350" s="19"/>
      <c r="S350" s="19"/>
      <c r="T350" s="74"/>
      <c r="V350" s="57"/>
    </row>
    <row r="351" spans="2:22" x14ac:dyDescent="0.25">
      <c r="B351" s="38"/>
      <c r="O351" s="13"/>
      <c r="P351" s="19"/>
      <c r="Q351" s="19"/>
      <c r="R351" s="19"/>
      <c r="S351" s="19"/>
      <c r="T351" s="74"/>
      <c r="V351" s="57"/>
    </row>
    <row r="352" spans="2:22" x14ac:dyDescent="0.25">
      <c r="B352" s="38"/>
      <c r="O352" s="13"/>
      <c r="P352" s="19"/>
      <c r="Q352" s="19"/>
      <c r="R352" s="19"/>
      <c r="S352" s="19"/>
      <c r="T352" s="74"/>
      <c r="V352" s="57"/>
    </row>
    <row r="353" spans="2:22" x14ac:dyDescent="0.25">
      <c r="B353" s="38"/>
      <c r="O353" s="13"/>
      <c r="P353" s="19"/>
      <c r="Q353" s="19"/>
      <c r="R353" s="19"/>
      <c r="S353" s="19"/>
      <c r="T353" s="74"/>
      <c r="V353" s="57"/>
    </row>
    <row r="354" spans="2:22" x14ac:dyDescent="0.25">
      <c r="B354" s="38"/>
      <c r="O354" s="13"/>
      <c r="P354" s="19"/>
      <c r="Q354" s="19"/>
      <c r="R354" s="19"/>
      <c r="S354" s="19"/>
      <c r="T354" s="74"/>
      <c r="V354" s="57"/>
    </row>
    <row r="355" spans="2:22" x14ac:dyDescent="0.25">
      <c r="B355" s="38"/>
      <c r="O355" s="13"/>
      <c r="P355" s="19"/>
      <c r="Q355" s="19"/>
      <c r="R355" s="19"/>
      <c r="S355" s="19"/>
      <c r="T355" s="74"/>
      <c r="V355" s="57"/>
    </row>
    <row r="356" spans="2:22" x14ac:dyDescent="0.25">
      <c r="B356" s="38"/>
      <c r="O356" s="13"/>
      <c r="P356" s="19"/>
      <c r="Q356" s="19"/>
      <c r="R356" s="19"/>
      <c r="S356" s="19"/>
      <c r="T356" s="74"/>
      <c r="V356" s="57"/>
    </row>
    <row r="357" spans="2:22" x14ac:dyDescent="0.25">
      <c r="B357" s="38"/>
      <c r="O357" s="13"/>
      <c r="P357" s="19"/>
      <c r="Q357" s="19"/>
      <c r="R357" s="19"/>
      <c r="S357" s="19"/>
      <c r="T357" s="74"/>
      <c r="V357" s="57"/>
    </row>
    <row r="358" spans="2:22" x14ac:dyDescent="0.25">
      <c r="B358" s="38"/>
      <c r="O358" s="13"/>
      <c r="P358" s="19"/>
      <c r="Q358" s="19"/>
      <c r="R358" s="19"/>
      <c r="S358" s="19"/>
      <c r="T358" s="74"/>
      <c r="V358" s="57"/>
    </row>
    <row r="359" spans="2:22" x14ac:dyDescent="0.25">
      <c r="B359" s="38"/>
      <c r="O359" s="13"/>
      <c r="P359" s="19"/>
      <c r="Q359" s="19"/>
      <c r="R359" s="19"/>
      <c r="S359" s="19"/>
      <c r="T359" s="74"/>
      <c r="V359" s="57"/>
    </row>
    <row r="360" spans="2:22" x14ac:dyDescent="0.25">
      <c r="B360" s="38"/>
      <c r="O360" s="13"/>
      <c r="P360" s="19"/>
      <c r="Q360" s="19"/>
      <c r="R360" s="19"/>
      <c r="S360" s="19"/>
      <c r="T360" s="74"/>
      <c r="V360" s="57"/>
    </row>
    <row r="361" spans="2:22" x14ac:dyDescent="0.25">
      <c r="B361" s="38"/>
      <c r="O361" s="13"/>
      <c r="P361" s="19"/>
      <c r="Q361" s="19"/>
      <c r="R361" s="19"/>
      <c r="S361" s="19"/>
      <c r="T361" s="74"/>
      <c r="V361" s="57"/>
    </row>
    <row r="362" spans="2:22" x14ac:dyDescent="0.25">
      <c r="B362" s="38"/>
      <c r="O362" s="13"/>
      <c r="P362" s="19"/>
      <c r="Q362" s="19"/>
      <c r="R362" s="19"/>
      <c r="S362" s="19"/>
      <c r="T362" s="74"/>
      <c r="V362" s="57"/>
    </row>
    <row r="363" spans="2:22" x14ac:dyDescent="0.25">
      <c r="B363" s="38"/>
      <c r="O363" s="13"/>
      <c r="P363" s="19"/>
      <c r="Q363" s="19"/>
      <c r="R363" s="19"/>
      <c r="S363" s="19"/>
      <c r="T363" s="74"/>
      <c r="V363" s="57"/>
    </row>
    <row r="364" spans="2:22" x14ac:dyDescent="0.25">
      <c r="B364" s="38"/>
      <c r="O364" s="13"/>
      <c r="P364" s="19"/>
      <c r="Q364" s="19"/>
      <c r="R364" s="19"/>
      <c r="S364" s="19"/>
      <c r="T364" s="74"/>
      <c r="V364" s="57"/>
    </row>
    <row r="365" spans="2:22" x14ac:dyDescent="0.25">
      <c r="B365" s="38"/>
      <c r="O365" s="13"/>
      <c r="P365" s="19"/>
      <c r="Q365" s="19"/>
      <c r="R365" s="19"/>
      <c r="S365" s="19"/>
      <c r="T365" s="74"/>
      <c r="V365" s="57"/>
    </row>
    <row r="366" spans="2:22" x14ac:dyDescent="0.25">
      <c r="B366" s="38"/>
      <c r="O366" s="13"/>
      <c r="P366" s="19"/>
      <c r="Q366" s="19"/>
      <c r="R366" s="19"/>
      <c r="S366" s="19"/>
      <c r="T366" s="74"/>
      <c r="V366" s="57"/>
    </row>
    <row r="367" spans="2:22" x14ac:dyDescent="0.25">
      <c r="B367" s="38"/>
      <c r="O367" s="13"/>
      <c r="P367" s="19"/>
      <c r="Q367" s="19"/>
      <c r="R367" s="19"/>
      <c r="S367" s="19"/>
      <c r="T367" s="74"/>
      <c r="V367" s="57"/>
    </row>
    <row r="368" spans="2:22" x14ac:dyDescent="0.25">
      <c r="B368" s="38"/>
      <c r="O368" s="13"/>
      <c r="P368" s="19"/>
      <c r="Q368" s="19"/>
      <c r="R368" s="19"/>
      <c r="S368" s="19"/>
      <c r="T368" s="74"/>
      <c r="V368" s="57"/>
    </row>
    <row r="369" spans="2:22" x14ac:dyDescent="0.25">
      <c r="B369" s="38"/>
      <c r="O369" s="13"/>
      <c r="P369" s="19"/>
      <c r="Q369" s="19"/>
      <c r="R369" s="19"/>
      <c r="S369" s="19"/>
      <c r="T369" s="74"/>
      <c r="V369" s="57"/>
    </row>
    <row r="370" spans="2:22" x14ac:dyDescent="0.25">
      <c r="B370" s="38"/>
      <c r="O370" s="13"/>
      <c r="P370" s="19"/>
      <c r="Q370" s="19"/>
      <c r="R370" s="19"/>
      <c r="S370" s="19"/>
      <c r="T370" s="74"/>
      <c r="V370" s="57"/>
    </row>
    <row r="371" spans="2:22" x14ac:dyDescent="0.25">
      <c r="B371" s="38"/>
      <c r="O371" s="13"/>
      <c r="P371" s="19"/>
      <c r="Q371" s="19"/>
      <c r="R371" s="19"/>
      <c r="S371" s="19"/>
      <c r="T371" s="74"/>
      <c r="V371" s="57"/>
    </row>
    <row r="372" spans="2:22" x14ac:dyDescent="0.25">
      <c r="B372" s="38"/>
      <c r="O372" s="13"/>
      <c r="P372" s="19"/>
      <c r="Q372" s="19"/>
      <c r="R372" s="19"/>
      <c r="S372" s="19"/>
      <c r="T372" s="74"/>
      <c r="V372" s="57"/>
    </row>
    <row r="373" spans="2:22" x14ac:dyDescent="0.25">
      <c r="B373" s="38"/>
      <c r="O373" s="13"/>
      <c r="P373" s="19"/>
      <c r="Q373" s="19"/>
      <c r="R373" s="19"/>
      <c r="S373" s="19"/>
      <c r="T373" s="74"/>
      <c r="V373" s="57"/>
    </row>
    <row r="374" spans="2:22" x14ac:dyDescent="0.25">
      <c r="B374" s="38"/>
      <c r="O374" s="13"/>
      <c r="P374" s="19"/>
      <c r="Q374" s="19"/>
      <c r="R374" s="19"/>
      <c r="S374" s="19"/>
      <c r="T374" s="74"/>
      <c r="V374" s="57"/>
    </row>
    <row r="375" spans="2:22" x14ac:dyDescent="0.25">
      <c r="B375" s="38"/>
      <c r="O375" s="13"/>
      <c r="P375" s="19"/>
      <c r="Q375" s="19"/>
      <c r="R375" s="19"/>
      <c r="S375" s="19"/>
      <c r="T375" s="74"/>
      <c r="V375" s="57"/>
    </row>
    <row r="376" spans="2:22" x14ac:dyDescent="0.25">
      <c r="B376" s="38"/>
      <c r="O376" s="13"/>
      <c r="P376" s="19"/>
      <c r="Q376" s="19"/>
      <c r="R376" s="19"/>
      <c r="S376" s="19"/>
      <c r="T376" s="74"/>
      <c r="V376" s="57"/>
    </row>
    <row r="377" spans="2:22" x14ac:dyDescent="0.25">
      <c r="B377" s="38"/>
      <c r="O377" s="13"/>
      <c r="P377" s="19"/>
      <c r="Q377" s="19"/>
      <c r="R377" s="19"/>
      <c r="S377" s="19"/>
      <c r="T377" s="74"/>
      <c r="V377" s="57"/>
    </row>
    <row r="378" spans="2:22" x14ac:dyDescent="0.25">
      <c r="B378" s="38"/>
      <c r="O378" s="13"/>
      <c r="P378" s="19"/>
      <c r="Q378" s="19"/>
      <c r="R378" s="19"/>
      <c r="S378" s="19"/>
      <c r="T378" s="74"/>
      <c r="V378" s="57"/>
    </row>
    <row r="379" spans="2:22" x14ac:dyDescent="0.25">
      <c r="B379" s="38"/>
      <c r="O379" s="13"/>
      <c r="P379" s="19"/>
      <c r="Q379" s="19"/>
      <c r="R379" s="19"/>
      <c r="S379" s="19"/>
      <c r="T379" s="74"/>
      <c r="V379" s="57"/>
    </row>
    <row r="380" spans="2:22" x14ac:dyDescent="0.25">
      <c r="B380" s="38"/>
      <c r="O380" s="13"/>
      <c r="P380" s="19"/>
      <c r="Q380" s="19"/>
      <c r="R380" s="19"/>
      <c r="S380" s="19"/>
      <c r="T380" s="74"/>
      <c r="V380" s="57"/>
    </row>
    <row r="381" spans="2:22" x14ac:dyDescent="0.25">
      <c r="B381" s="38"/>
      <c r="O381" s="13"/>
      <c r="P381" s="19"/>
      <c r="Q381" s="19"/>
      <c r="R381" s="19"/>
      <c r="S381" s="19"/>
      <c r="T381" s="74"/>
      <c r="V381" s="57"/>
    </row>
    <row r="382" spans="2:22" x14ac:dyDescent="0.25">
      <c r="B382" s="38"/>
      <c r="O382" s="13"/>
      <c r="P382" s="19"/>
      <c r="Q382" s="19"/>
      <c r="R382" s="19"/>
      <c r="S382" s="19"/>
      <c r="T382" s="74"/>
      <c r="V382" s="57"/>
    </row>
    <row r="383" spans="2:22" x14ac:dyDescent="0.25">
      <c r="B383" s="38"/>
      <c r="O383" s="13"/>
      <c r="P383" s="19"/>
      <c r="Q383" s="19"/>
      <c r="R383" s="19"/>
      <c r="S383" s="19"/>
      <c r="T383" s="74"/>
      <c r="V383" s="57"/>
    </row>
    <row r="384" spans="2:22" x14ac:dyDescent="0.25">
      <c r="B384" s="38"/>
      <c r="O384" s="13"/>
      <c r="P384" s="19"/>
      <c r="Q384" s="19"/>
      <c r="R384" s="19"/>
      <c r="S384" s="19"/>
      <c r="T384" s="74"/>
      <c r="V384" s="57"/>
    </row>
    <row r="385" spans="2:22" x14ac:dyDescent="0.25">
      <c r="B385" s="38"/>
      <c r="O385" s="13"/>
      <c r="P385" s="19"/>
      <c r="Q385" s="19"/>
      <c r="R385" s="19"/>
      <c r="S385" s="19"/>
      <c r="T385" s="74"/>
      <c r="V385" s="57"/>
    </row>
    <row r="386" spans="2:22" x14ac:dyDescent="0.25">
      <c r="B386" s="38"/>
      <c r="O386" s="13"/>
      <c r="P386" s="19"/>
      <c r="Q386" s="19"/>
      <c r="R386" s="19"/>
      <c r="S386" s="19"/>
      <c r="T386" s="74"/>
      <c r="V386" s="57"/>
    </row>
    <row r="387" spans="2:22" x14ac:dyDescent="0.25">
      <c r="B387" s="38"/>
      <c r="O387" s="13"/>
      <c r="P387" s="19"/>
      <c r="Q387" s="19"/>
      <c r="R387" s="19"/>
      <c r="S387" s="19"/>
      <c r="T387" s="74"/>
      <c r="V387" s="57"/>
    </row>
    <row r="388" spans="2:22" x14ac:dyDescent="0.25">
      <c r="B388" s="38"/>
      <c r="O388" s="13"/>
      <c r="P388" s="19"/>
      <c r="Q388" s="19"/>
      <c r="R388" s="19"/>
      <c r="S388" s="19"/>
      <c r="T388" s="74"/>
      <c r="V388" s="57"/>
    </row>
    <row r="389" spans="2:22" x14ac:dyDescent="0.25">
      <c r="B389" s="38"/>
      <c r="O389" s="13"/>
      <c r="P389" s="19"/>
      <c r="Q389" s="19"/>
      <c r="R389" s="19"/>
      <c r="S389" s="19"/>
      <c r="T389" s="74"/>
      <c r="V389" s="57"/>
    </row>
    <row r="390" spans="2:22" x14ac:dyDescent="0.25">
      <c r="B390" s="38"/>
      <c r="O390" s="13"/>
      <c r="P390" s="19"/>
      <c r="Q390" s="19"/>
      <c r="R390" s="19"/>
      <c r="S390" s="19"/>
      <c r="T390" s="74"/>
      <c r="V390" s="57"/>
    </row>
    <row r="391" spans="2:22" x14ac:dyDescent="0.25">
      <c r="B391" s="38"/>
      <c r="O391" s="13"/>
      <c r="P391" s="19"/>
      <c r="Q391" s="19"/>
      <c r="R391" s="19"/>
      <c r="S391" s="19"/>
      <c r="T391" s="74"/>
      <c r="V391" s="57"/>
    </row>
    <row r="392" spans="2:22" x14ac:dyDescent="0.25">
      <c r="B392" s="38"/>
      <c r="O392" s="13"/>
      <c r="P392" s="19"/>
      <c r="Q392" s="19"/>
      <c r="R392" s="19"/>
      <c r="S392" s="19"/>
      <c r="T392" s="74"/>
      <c r="V392" s="57"/>
    </row>
    <row r="393" spans="2:22" x14ac:dyDescent="0.25">
      <c r="B393" s="38"/>
      <c r="O393" s="13"/>
      <c r="P393" s="19"/>
      <c r="Q393" s="19"/>
      <c r="R393" s="19"/>
      <c r="S393" s="19"/>
      <c r="T393" s="74"/>
      <c r="V393" s="57"/>
    </row>
    <row r="394" spans="2:22" x14ac:dyDescent="0.25">
      <c r="B394" s="38"/>
      <c r="O394" s="13"/>
      <c r="P394" s="19"/>
      <c r="Q394" s="19"/>
      <c r="R394" s="19"/>
      <c r="S394" s="19"/>
      <c r="T394" s="74"/>
      <c r="V394" s="57"/>
    </row>
    <row r="395" spans="2:22" x14ac:dyDescent="0.25">
      <c r="B395" s="38"/>
      <c r="O395" s="13"/>
      <c r="P395" s="19"/>
      <c r="Q395" s="19"/>
      <c r="R395" s="19"/>
      <c r="S395" s="19"/>
      <c r="T395" s="74"/>
      <c r="V395" s="57"/>
    </row>
    <row r="396" spans="2:22" x14ac:dyDescent="0.25">
      <c r="B396" s="38"/>
      <c r="O396" s="13"/>
      <c r="P396" s="19"/>
      <c r="Q396" s="19"/>
      <c r="R396" s="19"/>
      <c r="S396" s="19"/>
      <c r="T396" s="74"/>
      <c r="V396" s="57"/>
    </row>
    <row r="397" spans="2:22" x14ac:dyDescent="0.25">
      <c r="B397" s="38"/>
      <c r="O397" s="13"/>
      <c r="P397" s="19"/>
      <c r="Q397" s="19"/>
      <c r="R397" s="19"/>
      <c r="S397" s="19"/>
      <c r="T397" s="74"/>
      <c r="V397" s="57"/>
    </row>
    <row r="398" spans="2:22" x14ac:dyDescent="0.25">
      <c r="B398" s="38"/>
      <c r="O398" s="13"/>
      <c r="P398" s="19"/>
      <c r="Q398" s="19"/>
      <c r="R398" s="19"/>
      <c r="S398" s="19"/>
      <c r="T398" s="74"/>
      <c r="V398" s="57"/>
    </row>
    <row r="399" spans="2:22" x14ac:dyDescent="0.25">
      <c r="B399" s="38"/>
      <c r="O399" s="13"/>
      <c r="P399" s="19"/>
      <c r="Q399" s="19"/>
      <c r="R399" s="19"/>
      <c r="S399" s="19"/>
      <c r="T399" s="74"/>
      <c r="V399" s="57"/>
    </row>
    <row r="400" spans="2:22" x14ac:dyDescent="0.25">
      <c r="B400" s="38"/>
      <c r="O400" s="13"/>
      <c r="P400" s="19"/>
      <c r="Q400" s="19"/>
      <c r="R400" s="19"/>
      <c r="S400" s="19"/>
      <c r="T400" s="74"/>
      <c r="V400" s="57"/>
    </row>
    <row r="401" spans="2:22" x14ac:dyDescent="0.25">
      <c r="B401" s="38"/>
      <c r="O401" s="13"/>
      <c r="P401" s="19"/>
      <c r="Q401" s="19"/>
      <c r="R401" s="19"/>
      <c r="S401" s="19"/>
      <c r="T401" s="74"/>
      <c r="V401" s="57"/>
    </row>
    <row r="402" spans="2:22" x14ac:dyDescent="0.25">
      <c r="B402" s="38"/>
      <c r="O402" s="13"/>
      <c r="P402" s="19"/>
      <c r="Q402" s="19"/>
      <c r="R402" s="19"/>
      <c r="S402" s="19"/>
      <c r="T402" s="74"/>
      <c r="V402" s="57"/>
    </row>
    <row r="403" spans="2:22" x14ac:dyDescent="0.25">
      <c r="B403" s="38"/>
      <c r="O403" s="13"/>
      <c r="P403" s="19"/>
      <c r="Q403" s="19"/>
      <c r="R403" s="19"/>
      <c r="S403" s="19"/>
      <c r="T403" s="74"/>
      <c r="V403" s="57"/>
    </row>
    <row r="404" spans="2:22" x14ac:dyDescent="0.25">
      <c r="B404" s="38"/>
      <c r="O404" s="13"/>
      <c r="P404" s="19"/>
      <c r="Q404" s="19"/>
      <c r="R404" s="19"/>
      <c r="S404" s="19"/>
      <c r="T404" s="74"/>
      <c r="V404" s="57"/>
    </row>
    <row r="405" spans="2:22" x14ac:dyDescent="0.25">
      <c r="B405" s="38"/>
      <c r="O405" s="13"/>
      <c r="P405" s="19"/>
      <c r="Q405" s="19"/>
      <c r="R405" s="19"/>
      <c r="S405" s="19"/>
      <c r="T405" s="74"/>
      <c r="V405" s="57"/>
    </row>
    <row r="406" spans="2:22" x14ac:dyDescent="0.25">
      <c r="B406" s="38"/>
      <c r="O406" s="13"/>
      <c r="P406" s="19"/>
      <c r="Q406" s="19"/>
      <c r="R406" s="19"/>
      <c r="S406" s="19"/>
      <c r="T406" s="74"/>
      <c r="V406" s="57"/>
    </row>
    <row r="407" spans="2:22" x14ac:dyDescent="0.25">
      <c r="B407" s="38"/>
      <c r="O407" s="13"/>
      <c r="P407" s="19"/>
      <c r="Q407" s="19"/>
      <c r="R407" s="19"/>
      <c r="S407" s="19"/>
      <c r="T407" s="74"/>
      <c r="V407" s="57"/>
    </row>
    <row r="408" spans="2:22" x14ac:dyDescent="0.25">
      <c r="B408" s="38"/>
      <c r="O408" s="13"/>
      <c r="P408" s="19"/>
      <c r="Q408" s="19"/>
      <c r="R408" s="19"/>
      <c r="S408" s="19"/>
      <c r="T408" s="74"/>
      <c r="V408" s="57"/>
    </row>
    <row r="409" spans="2:22" x14ac:dyDescent="0.25">
      <c r="B409" s="38"/>
      <c r="O409" s="13"/>
      <c r="P409" s="19"/>
      <c r="Q409" s="19"/>
      <c r="R409" s="19"/>
      <c r="S409" s="19"/>
      <c r="T409" s="74"/>
      <c r="V409" s="57"/>
    </row>
    <row r="410" spans="2:22" x14ac:dyDescent="0.25">
      <c r="B410" s="38"/>
      <c r="O410" s="13"/>
      <c r="P410" s="19"/>
      <c r="Q410" s="19"/>
      <c r="R410" s="19"/>
      <c r="S410" s="19"/>
      <c r="T410" s="74"/>
      <c r="V410" s="57"/>
    </row>
    <row r="411" spans="2:22" x14ac:dyDescent="0.25">
      <c r="B411" s="38"/>
      <c r="O411" s="13"/>
      <c r="P411" s="19"/>
      <c r="Q411" s="19"/>
      <c r="R411" s="19"/>
      <c r="S411" s="19"/>
      <c r="T411" s="74"/>
      <c r="V411" s="57"/>
    </row>
    <row r="412" spans="2:22" x14ac:dyDescent="0.25">
      <c r="B412" s="38"/>
      <c r="O412" s="13"/>
      <c r="P412" s="19"/>
      <c r="Q412" s="19"/>
      <c r="R412" s="19"/>
      <c r="S412" s="19"/>
      <c r="T412" s="74"/>
      <c r="V412" s="57"/>
    </row>
    <row r="413" spans="2:22" x14ac:dyDescent="0.25">
      <c r="B413" s="38"/>
      <c r="O413" s="13"/>
      <c r="P413" s="19"/>
      <c r="Q413" s="19"/>
      <c r="R413" s="19"/>
      <c r="S413" s="19"/>
      <c r="T413" s="74"/>
      <c r="V413" s="57"/>
    </row>
    <row r="414" spans="2:22" x14ac:dyDescent="0.25">
      <c r="B414" s="38"/>
      <c r="O414" s="13"/>
      <c r="P414" s="19"/>
      <c r="Q414" s="19"/>
      <c r="R414" s="19"/>
      <c r="S414" s="19"/>
      <c r="T414" s="74"/>
      <c r="V414" s="57"/>
    </row>
    <row r="415" spans="2:22" x14ac:dyDescent="0.25">
      <c r="B415" s="38"/>
      <c r="O415" s="13"/>
      <c r="P415" s="19"/>
      <c r="Q415" s="19"/>
      <c r="R415" s="19"/>
      <c r="S415" s="19"/>
      <c r="T415" s="74"/>
      <c r="V415" s="57"/>
    </row>
    <row r="416" spans="2:22" x14ac:dyDescent="0.25">
      <c r="B416" s="38"/>
      <c r="O416" s="13"/>
      <c r="P416" s="19"/>
      <c r="Q416" s="19"/>
      <c r="R416" s="19"/>
      <c r="S416" s="19"/>
      <c r="T416" s="74"/>
      <c r="V416" s="57"/>
    </row>
    <row r="417" spans="2:22" x14ac:dyDescent="0.25">
      <c r="B417" s="38"/>
      <c r="O417" s="13"/>
      <c r="P417" s="19"/>
      <c r="Q417" s="19"/>
      <c r="R417" s="19"/>
      <c r="S417" s="19"/>
      <c r="T417" s="74"/>
      <c r="V417" s="57"/>
    </row>
    <row r="418" spans="2:22" x14ac:dyDescent="0.25">
      <c r="B418" s="38"/>
      <c r="O418" s="13"/>
      <c r="P418" s="19"/>
      <c r="Q418" s="19"/>
      <c r="R418" s="19"/>
      <c r="S418" s="19"/>
      <c r="T418" s="74"/>
      <c r="V418" s="57"/>
    </row>
    <row r="419" spans="2:22" x14ac:dyDescent="0.25">
      <c r="B419" s="38"/>
      <c r="O419" s="13"/>
      <c r="P419" s="19"/>
      <c r="Q419" s="19"/>
      <c r="R419" s="19"/>
      <c r="S419" s="19"/>
      <c r="T419" s="74"/>
      <c r="V419" s="57"/>
    </row>
    <row r="420" spans="2:22" x14ac:dyDescent="0.25">
      <c r="B420" s="38"/>
      <c r="O420" s="13"/>
      <c r="P420" s="19"/>
      <c r="Q420" s="19"/>
      <c r="R420" s="19"/>
      <c r="S420" s="19"/>
      <c r="T420" s="74"/>
      <c r="V420" s="57"/>
    </row>
    <row r="421" spans="2:22" x14ac:dyDescent="0.25">
      <c r="B421" s="38"/>
      <c r="O421" s="13"/>
      <c r="P421" s="19"/>
      <c r="Q421" s="19"/>
      <c r="R421" s="19"/>
      <c r="S421" s="19"/>
      <c r="T421" s="74"/>
      <c r="V421" s="57"/>
    </row>
    <row r="422" spans="2:22" x14ac:dyDescent="0.25">
      <c r="B422" s="38"/>
      <c r="O422" s="13"/>
      <c r="P422" s="19"/>
      <c r="Q422" s="19"/>
      <c r="R422" s="19"/>
      <c r="S422" s="19"/>
      <c r="T422" s="74"/>
      <c r="V422" s="57"/>
    </row>
    <row r="423" spans="2:22" x14ac:dyDescent="0.25">
      <c r="B423" s="38"/>
      <c r="O423" s="13"/>
      <c r="P423" s="19"/>
      <c r="Q423" s="19"/>
      <c r="R423" s="19"/>
      <c r="S423" s="19"/>
      <c r="T423" s="74"/>
      <c r="V423" s="57"/>
    </row>
    <row r="424" spans="2:22" x14ac:dyDescent="0.25">
      <c r="B424" s="38"/>
      <c r="O424" s="13"/>
      <c r="P424" s="19"/>
      <c r="Q424" s="19"/>
      <c r="R424" s="19"/>
      <c r="S424" s="19"/>
      <c r="T424" s="74"/>
      <c r="V424" s="57"/>
    </row>
    <row r="425" spans="2:22" x14ac:dyDescent="0.25">
      <c r="B425" s="38"/>
      <c r="O425" s="13"/>
      <c r="P425" s="19"/>
      <c r="Q425" s="19"/>
      <c r="R425" s="19"/>
      <c r="S425" s="19"/>
      <c r="T425" s="74"/>
      <c r="V425" s="57"/>
    </row>
    <row r="426" spans="2:22" x14ac:dyDescent="0.25">
      <c r="B426" s="38"/>
      <c r="O426" s="13"/>
      <c r="P426" s="19"/>
      <c r="Q426" s="19"/>
      <c r="R426" s="19"/>
      <c r="S426" s="19"/>
      <c r="T426" s="74"/>
      <c r="V426" s="57"/>
    </row>
    <row r="427" spans="2:22" x14ac:dyDescent="0.25">
      <c r="B427" s="38"/>
      <c r="O427" s="13"/>
      <c r="P427" s="19"/>
      <c r="Q427" s="19"/>
      <c r="R427" s="19"/>
      <c r="S427" s="19"/>
      <c r="T427" s="74"/>
      <c r="V427" s="57"/>
    </row>
    <row r="428" spans="2:22" x14ac:dyDescent="0.25">
      <c r="B428" s="38"/>
      <c r="O428" s="13"/>
      <c r="P428" s="19"/>
      <c r="Q428" s="19"/>
      <c r="R428" s="19"/>
      <c r="S428" s="19"/>
      <c r="T428" s="74"/>
      <c r="V428" s="57"/>
    </row>
    <row r="429" spans="2:22" x14ac:dyDescent="0.25">
      <c r="B429" s="38"/>
      <c r="O429" s="13"/>
      <c r="P429" s="19"/>
      <c r="Q429" s="19"/>
      <c r="R429" s="19"/>
      <c r="S429" s="19"/>
      <c r="T429" s="74"/>
      <c r="V429" s="57"/>
    </row>
    <row r="430" spans="2:22" x14ac:dyDescent="0.25">
      <c r="B430" s="38"/>
      <c r="O430" s="13"/>
      <c r="P430" s="19"/>
      <c r="Q430" s="19"/>
      <c r="R430" s="19"/>
      <c r="S430" s="19"/>
      <c r="T430" s="74"/>
      <c r="V430" s="57"/>
    </row>
    <row r="431" spans="2:22" x14ac:dyDescent="0.25">
      <c r="B431" s="38"/>
      <c r="O431" s="13"/>
      <c r="P431" s="19"/>
      <c r="Q431" s="19"/>
      <c r="R431" s="19"/>
      <c r="S431" s="19"/>
      <c r="T431" s="74"/>
      <c r="V431" s="57"/>
    </row>
    <row r="432" spans="2:22" x14ac:dyDescent="0.25">
      <c r="B432" s="38"/>
      <c r="O432" s="13"/>
      <c r="P432" s="19"/>
      <c r="Q432" s="19"/>
      <c r="R432" s="19"/>
      <c r="S432" s="19"/>
      <c r="T432" s="74"/>
      <c r="V432" s="57"/>
    </row>
    <row r="433" spans="2:22" x14ac:dyDescent="0.25">
      <c r="B433" s="38"/>
      <c r="O433" s="13"/>
      <c r="P433" s="19"/>
      <c r="Q433" s="19"/>
      <c r="R433" s="19"/>
      <c r="S433" s="19"/>
      <c r="T433" s="74"/>
      <c r="V433" s="57"/>
    </row>
    <row r="434" spans="2:22" x14ac:dyDescent="0.25">
      <c r="B434" s="38"/>
      <c r="O434" s="13"/>
      <c r="P434" s="19"/>
      <c r="Q434" s="19"/>
      <c r="R434" s="19"/>
      <c r="S434" s="19"/>
      <c r="T434" s="74"/>
      <c r="V434" s="57"/>
    </row>
    <row r="435" spans="2:22" x14ac:dyDescent="0.25">
      <c r="B435" s="38"/>
      <c r="O435" s="13"/>
      <c r="P435" s="19"/>
      <c r="Q435" s="19"/>
      <c r="R435" s="19"/>
      <c r="S435" s="19"/>
      <c r="T435" s="74"/>
      <c r="V435" s="57"/>
    </row>
    <row r="436" spans="2:22" x14ac:dyDescent="0.25">
      <c r="B436" s="38"/>
      <c r="O436" s="13"/>
      <c r="P436" s="19"/>
      <c r="Q436" s="19"/>
      <c r="R436" s="19"/>
      <c r="S436" s="19"/>
      <c r="T436" s="74"/>
      <c r="V436" s="57"/>
    </row>
    <row r="437" spans="2:22" x14ac:dyDescent="0.25">
      <c r="B437" s="38"/>
      <c r="O437" s="13"/>
      <c r="P437" s="19"/>
      <c r="Q437" s="19"/>
      <c r="R437" s="19"/>
      <c r="S437" s="19"/>
      <c r="T437" s="74"/>
      <c r="V437" s="57"/>
    </row>
    <row r="438" spans="2:22" x14ac:dyDescent="0.25">
      <c r="B438" s="38"/>
      <c r="O438" s="13"/>
      <c r="P438" s="19"/>
      <c r="Q438" s="19"/>
      <c r="R438" s="19"/>
      <c r="S438" s="19"/>
      <c r="T438" s="74"/>
      <c r="V438" s="57"/>
    </row>
    <row r="439" spans="2:22" x14ac:dyDescent="0.25">
      <c r="B439" s="38"/>
      <c r="O439" s="13"/>
      <c r="P439" s="19"/>
      <c r="Q439" s="19"/>
      <c r="R439" s="19"/>
      <c r="S439" s="19"/>
      <c r="T439" s="74"/>
      <c r="V439" s="57"/>
    </row>
    <row r="440" spans="2:22" x14ac:dyDescent="0.25">
      <c r="B440" s="38"/>
      <c r="O440" s="13"/>
      <c r="P440" s="19"/>
      <c r="Q440" s="19"/>
      <c r="R440" s="19"/>
      <c r="S440" s="19"/>
      <c r="T440" s="74"/>
      <c r="V440" s="57"/>
    </row>
    <row r="441" spans="2:22" x14ac:dyDescent="0.25">
      <c r="B441" s="38"/>
      <c r="O441" s="13"/>
      <c r="P441" s="19"/>
      <c r="Q441" s="19"/>
      <c r="R441" s="19"/>
      <c r="S441" s="19"/>
      <c r="T441" s="74"/>
      <c r="V441" s="57"/>
    </row>
    <row r="442" spans="2:22" x14ac:dyDescent="0.25">
      <c r="B442" s="38"/>
      <c r="O442" s="13"/>
      <c r="P442" s="19"/>
      <c r="Q442" s="19"/>
      <c r="R442" s="19"/>
      <c r="S442" s="19"/>
      <c r="T442" s="74"/>
      <c r="V442" s="57"/>
    </row>
    <row r="443" spans="2:22" x14ac:dyDescent="0.25">
      <c r="B443" s="38"/>
      <c r="O443" s="13"/>
      <c r="P443" s="19"/>
      <c r="Q443" s="19"/>
      <c r="R443" s="19"/>
      <c r="S443" s="19"/>
      <c r="T443" s="74"/>
      <c r="V443" s="57"/>
    </row>
    <row r="444" spans="2:22" x14ac:dyDescent="0.25">
      <c r="B444" s="38"/>
      <c r="O444" s="13"/>
      <c r="P444" s="19"/>
      <c r="Q444" s="19"/>
      <c r="R444" s="19"/>
      <c r="S444" s="19"/>
      <c r="T444" s="74"/>
      <c r="V444" s="57"/>
    </row>
    <row r="445" spans="2:22" x14ac:dyDescent="0.25">
      <c r="B445" s="38"/>
      <c r="O445" s="13"/>
      <c r="P445" s="19"/>
      <c r="Q445" s="19"/>
      <c r="R445" s="19"/>
      <c r="S445" s="19"/>
      <c r="T445" s="74"/>
      <c r="V445" s="57"/>
    </row>
    <row r="446" spans="2:22" x14ac:dyDescent="0.25">
      <c r="B446" s="38"/>
      <c r="O446" s="13"/>
      <c r="P446" s="19"/>
      <c r="Q446" s="19"/>
      <c r="R446" s="19"/>
      <c r="S446" s="19"/>
      <c r="T446" s="74"/>
      <c r="V446" s="57"/>
    </row>
    <row r="447" spans="2:22" x14ac:dyDescent="0.25">
      <c r="B447" s="38"/>
      <c r="O447" s="13"/>
      <c r="P447" s="19"/>
      <c r="Q447" s="19"/>
      <c r="R447" s="19"/>
      <c r="S447" s="19"/>
      <c r="T447" s="74"/>
      <c r="V447" s="57"/>
    </row>
    <row r="448" spans="2:22" x14ac:dyDescent="0.25">
      <c r="B448" s="38"/>
      <c r="O448" s="13"/>
      <c r="P448" s="19"/>
      <c r="Q448" s="19"/>
      <c r="R448" s="19"/>
      <c r="S448" s="19"/>
      <c r="T448" s="74"/>
      <c r="V448" s="57"/>
    </row>
    <row r="449" spans="2:22" x14ac:dyDescent="0.25">
      <c r="B449" s="38"/>
      <c r="O449" s="13"/>
      <c r="P449" s="19"/>
      <c r="Q449" s="19"/>
      <c r="R449" s="19"/>
      <c r="S449" s="19"/>
      <c r="T449" s="74"/>
      <c r="V449" s="57"/>
    </row>
    <row r="450" spans="2:22" x14ac:dyDescent="0.25">
      <c r="B450" s="38"/>
      <c r="O450" s="13"/>
      <c r="P450" s="19"/>
      <c r="Q450" s="19"/>
      <c r="R450" s="19"/>
      <c r="S450" s="19"/>
      <c r="T450" s="74"/>
      <c r="V450" s="57"/>
    </row>
    <row r="451" spans="2:22" x14ac:dyDescent="0.25">
      <c r="B451" s="38"/>
      <c r="O451" s="13"/>
      <c r="P451" s="19"/>
      <c r="Q451" s="19"/>
      <c r="R451" s="19"/>
      <c r="S451" s="19"/>
      <c r="T451" s="74"/>
      <c r="V451" s="57"/>
    </row>
    <row r="452" spans="2:22" x14ac:dyDescent="0.25">
      <c r="B452" s="38"/>
      <c r="O452" s="13"/>
      <c r="P452" s="19"/>
      <c r="Q452" s="19"/>
      <c r="R452" s="19"/>
      <c r="S452" s="19"/>
      <c r="T452" s="74"/>
      <c r="V452" s="57"/>
    </row>
    <row r="453" spans="2:22" x14ac:dyDescent="0.25">
      <c r="B453" s="38"/>
      <c r="O453" s="13"/>
      <c r="P453" s="19"/>
      <c r="Q453" s="19"/>
      <c r="R453" s="19"/>
      <c r="S453" s="19"/>
      <c r="T453" s="74"/>
      <c r="V453" s="57"/>
    </row>
    <row r="454" spans="2:22" x14ac:dyDescent="0.25">
      <c r="B454" s="38"/>
      <c r="O454" s="13"/>
      <c r="P454" s="19"/>
      <c r="Q454" s="19"/>
      <c r="R454" s="19"/>
      <c r="S454" s="19"/>
      <c r="T454" s="74"/>
      <c r="V454" s="57"/>
    </row>
    <row r="455" spans="2:22" x14ac:dyDescent="0.25">
      <c r="B455" s="38"/>
      <c r="O455" s="13"/>
      <c r="P455" s="19"/>
      <c r="Q455" s="19"/>
      <c r="R455" s="19"/>
      <c r="S455" s="19"/>
      <c r="T455" s="74"/>
      <c r="V455" s="57"/>
    </row>
    <row r="456" spans="2:22" x14ac:dyDescent="0.25">
      <c r="B456" s="38"/>
      <c r="O456" s="13"/>
      <c r="P456" s="19"/>
      <c r="Q456" s="19"/>
      <c r="R456" s="19"/>
      <c r="S456" s="19"/>
      <c r="T456" s="74"/>
      <c r="V456" s="57"/>
    </row>
    <row r="457" spans="2:22" x14ac:dyDescent="0.25">
      <c r="B457" s="38"/>
      <c r="O457" s="13"/>
      <c r="P457" s="19"/>
      <c r="Q457" s="19"/>
      <c r="R457" s="19"/>
      <c r="S457" s="19"/>
      <c r="T457" s="74"/>
      <c r="V457" s="57"/>
    </row>
    <row r="458" spans="2:22" x14ac:dyDescent="0.25">
      <c r="B458" s="38"/>
      <c r="O458" s="13"/>
      <c r="P458" s="19"/>
      <c r="Q458" s="19"/>
      <c r="R458" s="19"/>
      <c r="S458" s="19"/>
      <c r="T458" s="74"/>
      <c r="V458" s="57"/>
    </row>
    <row r="459" spans="2:22" x14ac:dyDescent="0.25">
      <c r="B459" s="38"/>
      <c r="O459" s="13"/>
      <c r="P459" s="19"/>
      <c r="Q459" s="19"/>
      <c r="R459" s="19"/>
      <c r="S459" s="19"/>
      <c r="T459" s="74"/>
      <c r="V459" s="57"/>
    </row>
    <row r="460" spans="2:22" x14ac:dyDescent="0.25">
      <c r="B460" s="38"/>
      <c r="O460" s="13"/>
      <c r="P460" s="19"/>
      <c r="Q460" s="19"/>
      <c r="R460" s="19"/>
      <c r="S460" s="19"/>
      <c r="T460" s="74"/>
      <c r="V460" s="57"/>
    </row>
    <row r="461" spans="2:22" x14ac:dyDescent="0.25">
      <c r="B461" s="38"/>
      <c r="O461" s="13"/>
      <c r="P461" s="19"/>
      <c r="Q461" s="19"/>
      <c r="R461" s="19"/>
      <c r="S461" s="19"/>
      <c r="T461" s="74"/>
      <c r="V461" s="57"/>
    </row>
    <row r="462" spans="2:22" x14ac:dyDescent="0.25">
      <c r="B462" s="38"/>
      <c r="O462" s="13"/>
      <c r="P462" s="19"/>
      <c r="Q462" s="19"/>
      <c r="R462" s="19"/>
      <c r="S462" s="19"/>
      <c r="T462" s="74"/>
      <c r="V462" s="57"/>
    </row>
    <row r="463" spans="2:22" x14ac:dyDescent="0.25">
      <c r="B463" s="38"/>
      <c r="O463" s="13"/>
      <c r="P463" s="19"/>
      <c r="Q463" s="19"/>
      <c r="R463" s="19"/>
      <c r="S463" s="19"/>
      <c r="T463" s="74"/>
      <c r="V463" s="57"/>
    </row>
    <row r="464" spans="2:22" x14ac:dyDescent="0.25">
      <c r="B464" s="38"/>
      <c r="O464" s="13"/>
      <c r="P464" s="19"/>
      <c r="Q464" s="19"/>
      <c r="R464" s="19"/>
      <c r="S464" s="19"/>
      <c r="T464" s="74"/>
      <c r="V464" s="57"/>
    </row>
    <row r="465" spans="2:22" x14ac:dyDescent="0.25">
      <c r="B465" s="38"/>
      <c r="O465" s="13"/>
      <c r="P465" s="19"/>
      <c r="Q465" s="19"/>
      <c r="R465" s="19"/>
      <c r="S465" s="19"/>
      <c r="T465" s="74"/>
      <c r="V465" s="57"/>
    </row>
    <row r="466" spans="2:22" x14ac:dyDescent="0.25">
      <c r="B466" s="38"/>
      <c r="O466" s="13"/>
      <c r="P466" s="19"/>
      <c r="Q466" s="19"/>
      <c r="R466" s="19"/>
      <c r="S466" s="19"/>
      <c r="T466" s="74"/>
      <c r="V466" s="57"/>
    </row>
    <row r="467" spans="2:22" x14ac:dyDescent="0.25">
      <c r="B467" s="38"/>
      <c r="O467" s="13"/>
      <c r="P467" s="19"/>
      <c r="Q467" s="19"/>
      <c r="R467" s="19"/>
      <c r="S467" s="19"/>
      <c r="T467" s="74"/>
      <c r="V467" s="57"/>
    </row>
    <row r="468" spans="2:22" x14ac:dyDescent="0.25">
      <c r="B468" s="38"/>
      <c r="O468" s="13"/>
      <c r="P468" s="19"/>
      <c r="Q468" s="19"/>
      <c r="R468" s="19"/>
      <c r="S468" s="19"/>
      <c r="T468" s="74"/>
      <c r="V468" s="57"/>
    </row>
    <row r="469" spans="2:22" x14ac:dyDescent="0.25">
      <c r="B469" s="38"/>
      <c r="O469" s="13"/>
      <c r="P469" s="19"/>
      <c r="Q469" s="19"/>
      <c r="R469" s="19"/>
      <c r="S469" s="19"/>
      <c r="T469" s="74"/>
      <c r="V469" s="57"/>
    </row>
    <row r="470" spans="2:22" x14ac:dyDescent="0.25">
      <c r="B470" s="38"/>
      <c r="O470" s="13"/>
      <c r="P470" s="19"/>
      <c r="Q470" s="19"/>
      <c r="R470" s="19"/>
      <c r="S470" s="19"/>
      <c r="T470" s="74"/>
      <c r="V470" s="57"/>
    </row>
    <row r="471" spans="2:22" x14ac:dyDescent="0.25">
      <c r="B471" s="38"/>
      <c r="O471" s="13"/>
      <c r="P471" s="19"/>
      <c r="Q471" s="19"/>
      <c r="R471" s="19"/>
      <c r="S471" s="19"/>
      <c r="T471" s="74"/>
      <c r="V471" s="57"/>
    </row>
    <row r="472" spans="2:22" x14ac:dyDescent="0.25">
      <c r="B472" s="38"/>
      <c r="O472" s="13"/>
      <c r="P472" s="19"/>
      <c r="Q472" s="19"/>
      <c r="R472" s="19"/>
      <c r="S472" s="19"/>
      <c r="T472" s="74"/>
      <c r="V472" s="57"/>
    </row>
    <row r="473" spans="2:22" x14ac:dyDescent="0.25">
      <c r="B473" s="38"/>
      <c r="O473" s="13"/>
      <c r="P473" s="19"/>
      <c r="Q473" s="19"/>
      <c r="R473" s="19"/>
      <c r="S473" s="19"/>
      <c r="T473" s="74"/>
      <c r="V473" s="57"/>
    </row>
    <row r="474" spans="2:22" x14ac:dyDescent="0.25">
      <c r="B474" s="38"/>
      <c r="O474" s="13"/>
      <c r="P474" s="19"/>
      <c r="Q474" s="19"/>
      <c r="R474" s="19"/>
      <c r="S474" s="19"/>
      <c r="T474" s="74"/>
      <c r="V474" s="57"/>
    </row>
    <row r="475" spans="2:22" x14ac:dyDescent="0.25">
      <c r="B475" s="38"/>
      <c r="O475" s="13"/>
      <c r="P475" s="19"/>
      <c r="Q475" s="19"/>
      <c r="R475" s="19"/>
      <c r="S475" s="19"/>
      <c r="T475" s="74"/>
      <c r="V475" s="57"/>
    </row>
    <row r="476" spans="2:22" x14ac:dyDescent="0.25">
      <c r="B476" s="38"/>
      <c r="O476" s="13"/>
      <c r="P476" s="19"/>
      <c r="Q476" s="19"/>
      <c r="R476" s="19"/>
      <c r="S476" s="19"/>
      <c r="T476" s="74"/>
      <c r="V476" s="57"/>
    </row>
    <row r="477" spans="2:22" x14ac:dyDescent="0.25">
      <c r="B477" s="38"/>
      <c r="O477" s="13"/>
      <c r="P477" s="19"/>
      <c r="Q477" s="19"/>
      <c r="R477" s="19"/>
      <c r="S477" s="19"/>
      <c r="T477" s="74"/>
      <c r="V477" s="57"/>
    </row>
    <row r="478" spans="2:22" x14ac:dyDescent="0.25">
      <c r="B478" s="38"/>
      <c r="O478" s="13"/>
      <c r="P478" s="19"/>
      <c r="Q478" s="19"/>
      <c r="R478" s="19"/>
      <c r="S478" s="19"/>
      <c r="T478" s="74"/>
      <c r="V478" s="57"/>
    </row>
    <row r="479" spans="2:22" x14ac:dyDescent="0.25">
      <c r="B479" s="38"/>
      <c r="O479" s="13"/>
      <c r="P479" s="19"/>
      <c r="Q479" s="19"/>
      <c r="R479" s="19"/>
      <c r="S479" s="19"/>
      <c r="T479" s="74"/>
      <c r="V479" s="57"/>
    </row>
    <row r="480" spans="2:22" x14ac:dyDescent="0.25">
      <c r="B480" s="38"/>
      <c r="O480" s="13"/>
      <c r="P480" s="19"/>
      <c r="Q480" s="19"/>
      <c r="R480" s="19"/>
      <c r="S480" s="19"/>
      <c r="T480" s="74"/>
      <c r="V480" s="57"/>
    </row>
    <row r="481" spans="2:22" x14ac:dyDescent="0.25">
      <c r="B481" s="38"/>
      <c r="O481" s="13"/>
      <c r="P481" s="19"/>
      <c r="Q481" s="19"/>
      <c r="R481" s="19"/>
      <c r="S481" s="19"/>
      <c r="T481" s="74"/>
      <c r="V481" s="57"/>
    </row>
    <row r="482" spans="2:22" x14ac:dyDescent="0.25">
      <c r="B482" s="38"/>
      <c r="O482" s="13"/>
      <c r="P482" s="19"/>
      <c r="Q482" s="19"/>
      <c r="R482" s="19"/>
      <c r="S482" s="19"/>
      <c r="T482" s="74"/>
      <c r="V482" s="57"/>
    </row>
    <row r="483" spans="2:22" x14ac:dyDescent="0.25">
      <c r="B483" s="38"/>
      <c r="O483" s="13"/>
      <c r="P483" s="19"/>
      <c r="Q483" s="19"/>
      <c r="R483" s="19"/>
      <c r="S483" s="19"/>
      <c r="T483" s="74"/>
      <c r="V483" s="57"/>
    </row>
    <row r="484" spans="2:22" x14ac:dyDescent="0.25">
      <c r="B484" s="38"/>
      <c r="O484" s="13"/>
      <c r="P484" s="19"/>
      <c r="Q484" s="19"/>
      <c r="R484" s="19"/>
      <c r="S484" s="19"/>
      <c r="T484" s="74"/>
      <c r="V484" s="57"/>
    </row>
    <row r="485" spans="2:22" x14ac:dyDescent="0.25">
      <c r="B485" s="38"/>
      <c r="O485" s="13"/>
      <c r="P485" s="19"/>
      <c r="Q485" s="19"/>
      <c r="R485" s="19"/>
      <c r="S485" s="19"/>
      <c r="T485" s="74"/>
      <c r="V485" s="57"/>
    </row>
    <row r="486" spans="2:22" x14ac:dyDescent="0.25">
      <c r="B486" s="38"/>
      <c r="O486" s="13"/>
      <c r="P486" s="19"/>
      <c r="Q486" s="19"/>
      <c r="R486" s="19"/>
      <c r="S486" s="19"/>
      <c r="T486" s="74"/>
      <c r="V486" s="57"/>
    </row>
    <row r="487" spans="2:22" x14ac:dyDescent="0.25">
      <c r="B487" s="38"/>
      <c r="O487" s="13"/>
      <c r="P487" s="19"/>
      <c r="Q487" s="19"/>
      <c r="R487" s="19"/>
      <c r="S487" s="19"/>
      <c r="T487" s="74"/>
      <c r="V487" s="57"/>
    </row>
    <row r="488" spans="2:22" x14ac:dyDescent="0.25">
      <c r="B488" s="38"/>
      <c r="O488" s="13"/>
      <c r="P488" s="19"/>
      <c r="Q488" s="19"/>
      <c r="R488" s="19"/>
      <c r="S488" s="19"/>
      <c r="T488" s="74"/>
      <c r="V488" s="57"/>
    </row>
    <row r="489" spans="2:22" x14ac:dyDescent="0.25">
      <c r="B489" s="38"/>
      <c r="O489" s="13"/>
      <c r="P489" s="19"/>
      <c r="Q489" s="19"/>
      <c r="R489" s="19"/>
      <c r="S489" s="19"/>
      <c r="T489" s="74"/>
      <c r="V489" s="57"/>
    </row>
    <row r="490" spans="2:22" x14ac:dyDescent="0.25">
      <c r="B490" s="38"/>
      <c r="O490" s="13"/>
      <c r="P490" s="19"/>
      <c r="Q490" s="19"/>
      <c r="R490" s="19"/>
      <c r="S490" s="19"/>
      <c r="T490" s="74"/>
      <c r="V490" s="57"/>
    </row>
    <row r="491" spans="2:22" x14ac:dyDescent="0.25">
      <c r="B491" s="38"/>
      <c r="O491" s="13"/>
      <c r="P491" s="19"/>
      <c r="Q491" s="19"/>
      <c r="R491" s="19"/>
      <c r="S491" s="19"/>
      <c r="T491" s="74"/>
      <c r="V491" s="57"/>
    </row>
    <row r="492" spans="2:22" x14ac:dyDescent="0.25">
      <c r="B492" s="38"/>
      <c r="O492" s="13"/>
      <c r="P492" s="19"/>
      <c r="Q492" s="19"/>
      <c r="R492" s="19"/>
      <c r="S492" s="19"/>
      <c r="T492" s="74"/>
      <c r="V492" s="57"/>
    </row>
    <row r="493" spans="2:22" x14ac:dyDescent="0.25">
      <c r="B493" s="38"/>
      <c r="O493" s="13"/>
      <c r="P493" s="19"/>
      <c r="Q493" s="19"/>
      <c r="R493" s="19"/>
      <c r="S493" s="19"/>
      <c r="T493" s="74"/>
      <c r="V493" s="57"/>
    </row>
    <row r="494" spans="2:22" x14ac:dyDescent="0.25">
      <c r="B494" s="38"/>
      <c r="O494" s="13"/>
      <c r="P494" s="19"/>
      <c r="Q494" s="19"/>
      <c r="R494" s="19"/>
      <c r="S494" s="19"/>
      <c r="T494" s="74"/>
      <c r="V494" s="57"/>
    </row>
    <row r="495" spans="2:22" x14ac:dyDescent="0.25">
      <c r="B495" s="38"/>
      <c r="O495" s="13"/>
      <c r="P495" s="19"/>
      <c r="Q495" s="19"/>
      <c r="R495" s="19"/>
      <c r="S495" s="19"/>
      <c r="T495" s="74"/>
      <c r="V495" s="57"/>
    </row>
    <row r="496" spans="2:22" x14ac:dyDescent="0.25">
      <c r="B496" s="38"/>
      <c r="O496" s="13"/>
      <c r="P496" s="19"/>
      <c r="Q496" s="19"/>
      <c r="R496" s="19"/>
      <c r="S496" s="19"/>
      <c r="T496" s="74"/>
      <c r="V496" s="57"/>
    </row>
    <row r="497" spans="2:22" x14ac:dyDescent="0.25">
      <c r="B497" s="38"/>
      <c r="O497" s="13"/>
      <c r="P497" s="19"/>
      <c r="Q497" s="19"/>
      <c r="R497" s="19"/>
      <c r="S497" s="19"/>
      <c r="T497" s="74"/>
      <c r="V497" s="57"/>
    </row>
    <row r="498" spans="2:22" x14ac:dyDescent="0.25">
      <c r="B498" s="38"/>
      <c r="O498" s="13"/>
      <c r="P498" s="19"/>
      <c r="Q498" s="19"/>
      <c r="R498" s="19"/>
      <c r="S498" s="19"/>
      <c r="T498" s="74"/>
      <c r="V498" s="57"/>
    </row>
    <row r="499" spans="2:22" x14ac:dyDescent="0.25">
      <c r="B499" s="38"/>
      <c r="O499" s="13"/>
      <c r="P499" s="19"/>
      <c r="Q499" s="19"/>
      <c r="R499" s="19"/>
      <c r="S499" s="19"/>
      <c r="T499" s="74"/>
      <c r="V499" s="57"/>
    </row>
    <row r="500" spans="2:22" x14ac:dyDescent="0.25">
      <c r="B500" s="38"/>
      <c r="O500" s="13"/>
      <c r="P500" s="19"/>
      <c r="Q500" s="19"/>
      <c r="R500" s="19"/>
      <c r="S500" s="19"/>
      <c r="T500" s="74"/>
      <c r="V500" s="57"/>
    </row>
    <row r="501" spans="2:22" x14ac:dyDescent="0.25">
      <c r="B501" s="38"/>
      <c r="O501" s="13"/>
      <c r="P501" s="19"/>
      <c r="Q501" s="19"/>
      <c r="R501" s="19"/>
      <c r="S501" s="19"/>
      <c r="T501" s="74"/>
      <c r="V501" s="57"/>
    </row>
    <row r="502" spans="2:22" x14ac:dyDescent="0.25">
      <c r="B502" s="38"/>
      <c r="O502" s="13"/>
      <c r="P502" s="19"/>
      <c r="Q502" s="19"/>
      <c r="R502" s="19"/>
      <c r="S502" s="19"/>
      <c r="T502" s="74"/>
      <c r="V502" s="57"/>
    </row>
    <row r="503" spans="2:22" x14ac:dyDescent="0.25">
      <c r="B503" s="38"/>
      <c r="O503" s="13"/>
      <c r="P503" s="19"/>
      <c r="Q503" s="19"/>
      <c r="R503" s="19"/>
      <c r="S503" s="19"/>
      <c r="T503" s="74"/>
      <c r="V503" s="57"/>
    </row>
    <row r="504" spans="2:22" x14ac:dyDescent="0.25">
      <c r="B504" s="38"/>
      <c r="O504" s="13"/>
      <c r="P504" s="19"/>
      <c r="Q504" s="19"/>
      <c r="R504" s="19"/>
      <c r="S504" s="19"/>
      <c r="T504" s="74"/>
      <c r="V504" s="57"/>
    </row>
    <row r="505" spans="2:22" x14ac:dyDescent="0.25">
      <c r="B505" s="38"/>
      <c r="O505" s="13"/>
      <c r="P505" s="19"/>
      <c r="Q505" s="19"/>
      <c r="R505" s="19"/>
      <c r="S505" s="19"/>
      <c r="T505" s="74"/>
      <c r="V505" s="57"/>
    </row>
    <row r="506" spans="2:22" x14ac:dyDescent="0.25">
      <c r="B506" s="38"/>
      <c r="O506" s="13"/>
      <c r="P506" s="19"/>
      <c r="Q506" s="19"/>
      <c r="R506" s="19"/>
      <c r="S506" s="19"/>
      <c r="T506" s="74"/>
      <c r="V506" s="57"/>
    </row>
    <row r="507" spans="2:22" x14ac:dyDescent="0.25">
      <c r="B507" s="38"/>
      <c r="O507" s="13"/>
      <c r="P507" s="19"/>
      <c r="Q507" s="19"/>
      <c r="R507" s="19"/>
      <c r="S507" s="19"/>
      <c r="T507" s="74"/>
      <c r="V507" s="57"/>
    </row>
    <row r="508" spans="2:22" x14ac:dyDescent="0.25">
      <c r="B508" s="38"/>
      <c r="O508" s="13"/>
      <c r="P508" s="19"/>
      <c r="Q508" s="19"/>
      <c r="R508" s="19"/>
      <c r="S508" s="19"/>
      <c r="T508" s="74"/>
      <c r="V508" s="57"/>
    </row>
    <row r="509" spans="2:22" x14ac:dyDescent="0.25">
      <c r="B509" s="38"/>
      <c r="O509" s="13"/>
      <c r="P509" s="19"/>
      <c r="Q509" s="19"/>
      <c r="R509" s="19"/>
      <c r="S509" s="19"/>
      <c r="T509" s="74"/>
      <c r="V509" s="57"/>
    </row>
    <row r="510" spans="2:22" x14ac:dyDescent="0.25">
      <c r="B510" s="38"/>
      <c r="O510" s="13"/>
      <c r="P510" s="19"/>
      <c r="Q510" s="19"/>
      <c r="R510" s="19"/>
      <c r="S510" s="19"/>
      <c r="T510" s="74"/>
      <c r="V510" s="57"/>
    </row>
    <row r="511" spans="2:22" x14ac:dyDescent="0.25">
      <c r="B511" s="38"/>
      <c r="O511" s="13"/>
      <c r="P511" s="19"/>
      <c r="Q511" s="19"/>
      <c r="R511" s="19"/>
      <c r="S511" s="19"/>
      <c r="T511" s="74"/>
      <c r="V511" s="57"/>
    </row>
    <row r="512" spans="2:22" x14ac:dyDescent="0.25">
      <c r="B512" s="38"/>
      <c r="O512" s="13"/>
      <c r="P512" s="19"/>
      <c r="Q512" s="19"/>
      <c r="R512" s="19"/>
      <c r="S512" s="19"/>
      <c r="T512" s="74"/>
      <c r="V512" s="57"/>
    </row>
    <row r="513" spans="2:22" x14ac:dyDescent="0.25">
      <c r="B513" s="38"/>
      <c r="O513" s="13"/>
      <c r="P513" s="19"/>
      <c r="Q513" s="19"/>
      <c r="R513" s="19"/>
      <c r="S513" s="19"/>
      <c r="T513" s="74"/>
      <c r="V513" s="57"/>
    </row>
    <row r="514" spans="2:22" x14ac:dyDescent="0.25">
      <c r="B514" s="38"/>
      <c r="O514" s="13"/>
      <c r="P514" s="19"/>
      <c r="Q514" s="19"/>
      <c r="R514" s="19"/>
      <c r="S514" s="19"/>
      <c r="T514" s="74"/>
      <c r="V514" s="57"/>
    </row>
    <row r="515" spans="2:22" x14ac:dyDescent="0.25">
      <c r="B515" s="38"/>
      <c r="O515" s="13"/>
      <c r="P515" s="19"/>
      <c r="Q515" s="19"/>
      <c r="R515" s="19"/>
      <c r="S515" s="19"/>
      <c r="T515" s="74"/>
      <c r="V515" s="57"/>
    </row>
    <row r="516" spans="2:22" x14ac:dyDescent="0.25">
      <c r="B516" s="38"/>
      <c r="O516" s="13"/>
      <c r="P516" s="19"/>
      <c r="Q516" s="19"/>
      <c r="R516" s="19"/>
      <c r="S516" s="19"/>
      <c r="T516" s="74"/>
      <c r="V516" s="57"/>
    </row>
    <row r="517" spans="2:22" x14ac:dyDescent="0.25">
      <c r="B517" s="38"/>
      <c r="O517" s="13"/>
      <c r="P517" s="19"/>
      <c r="Q517" s="19"/>
      <c r="R517" s="19"/>
      <c r="S517" s="19"/>
      <c r="T517" s="74"/>
      <c r="V517" s="57"/>
    </row>
    <row r="518" spans="2:22" x14ac:dyDescent="0.25">
      <c r="B518" s="38"/>
      <c r="O518" s="13"/>
      <c r="P518" s="19"/>
      <c r="Q518" s="19"/>
      <c r="R518" s="19"/>
      <c r="S518" s="19"/>
      <c r="T518" s="74"/>
      <c r="V518" s="57"/>
    </row>
    <row r="519" spans="2:22" x14ac:dyDescent="0.25">
      <c r="B519" s="38"/>
      <c r="O519" s="13"/>
      <c r="P519" s="19"/>
      <c r="Q519" s="19"/>
      <c r="R519" s="19"/>
      <c r="S519" s="19"/>
      <c r="T519" s="74"/>
      <c r="V519" s="57"/>
    </row>
    <row r="520" spans="2:22" x14ac:dyDescent="0.25">
      <c r="B520" s="38"/>
      <c r="O520" s="13"/>
      <c r="P520" s="19"/>
      <c r="Q520" s="19"/>
      <c r="R520" s="19"/>
      <c r="S520" s="19"/>
      <c r="T520" s="74"/>
      <c r="V520" s="57"/>
    </row>
    <row r="521" spans="2:22" x14ac:dyDescent="0.25">
      <c r="B521" s="38"/>
      <c r="O521" s="13"/>
      <c r="P521" s="19"/>
      <c r="Q521" s="19"/>
      <c r="R521" s="19"/>
      <c r="S521" s="19"/>
      <c r="T521" s="74"/>
      <c r="V521" s="57"/>
    </row>
    <row r="522" spans="2:22" x14ac:dyDescent="0.25">
      <c r="B522" s="38"/>
      <c r="O522" s="13"/>
      <c r="P522" s="19"/>
      <c r="Q522" s="19"/>
      <c r="R522" s="19"/>
      <c r="S522" s="19"/>
      <c r="T522" s="74"/>
      <c r="V522" s="57"/>
    </row>
    <row r="523" spans="2:22" x14ac:dyDescent="0.25">
      <c r="B523" s="38"/>
      <c r="O523" s="13"/>
      <c r="P523" s="19"/>
      <c r="Q523" s="19"/>
      <c r="R523" s="19"/>
      <c r="S523" s="19"/>
      <c r="T523" s="74"/>
      <c r="V523" s="57"/>
    </row>
    <row r="524" spans="2:22" x14ac:dyDescent="0.25">
      <c r="B524" s="38"/>
      <c r="O524" s="13"/>
      <c r="P524" s="19"/>
      <c r="Q524" s="19"/>
      <c r="R524" s="19"/>
      <c r="S524" s="19"/>
      <c r="T524" s="74"/>
      <c r="V524" s="57"/>
    </row>
    <row r="525" spans="2:22" x14ac:dyDescent="0.25">
      <c r="B525" s="38"/>
      <c r="O525" s="13"/>
      <c r="P525" s="19"/>
      <c r="Q525" s="19"/>
      <c r="R525" s="19"/>
      <c r="S525" s="19"/>
      <c r="T525" s="74"/>
      <c r="V525" s="57"/>
    </row>
    <row r="526" spans="2:22" x14ac:dyDescent="0.25">
      <c r="B526" s="38"/>
      <c r="O526" s="13"/>
      <c r="P526" s="19"/>
      <c r="Q526" s="19"/>
      <c r="R526" s="19"/>
      <c r="S526" s="19"/>
      <c r="T526" s="74"/>
      <c r="V526" s="57"/>
    </row>
    <row r="527" spans="2:22" x14ac:dyDescent="0.25">
      <c r="B527" s="38"/>
      <c r="O527" s="13"/>
      <c r="P527" s="19"/>
      <c r="Q527" s="19"/>
      <c r="R527" s="19"/>
      <c r="S527" s="19"/>
      <c r="T527" s="74"/>
      <c r="V527" s="57"/>
    </row>
    <row r="528" spans="2:22" x14ac:dyDescent="0.25">
      <c r="B528" s="38"/>
      <c r="O528" s="13"/>
      <c r="P528" s="19"/>
      <c r="Q528" s="19"/>
      <c r="R528" s="19"/>
      <c r="S528" s="19"/>
      <c r="T528" s="74"/>
      <c r="V528" s="57"/>
    </row>
    <row r="529" spans="2:22" x14ac:dyDescent="0.25">
      <c r="B529" s="38"/>
      <c r="O529" s="13"/>
      <c r="P529" s="19"/>
      <c r="Q529" s="19"/>
      <c r="R529" s="19"/>
      <c r="S529" s="19"/>
      <c r="T529" s="74"/>
      <c r="V529" s="57"/>
    </row>
    <row r="530" spans="2:22" x14ac:dyDescent="0.25">
      <c r="B530" s="38"/>
      <c r="O530" s="13"/>
      <c r="P530" s="19"/>
      <c r="Q530" s="19"/>
      <c r="R530" s="19"/>
      <c r="S530" s="19"/>
      <c r="T530" s="74"/>
      <c r="V530" s="57"/>
    </row>
    <row r="531" spans="2:22" x14ac:dyDescent="0.25">
      <c r="B531" s="38"/>
      <c r="O531" s="13"/>
      <c r="P531" s="19"/>
      <c r="Q531" s="19"/>
      <c r="R531" s="19"/>
      <c r="S531" s="19"/>
      <c r="T531" s="74"/>
      <c r="V531" s="57"/>
    </row>
    <row r="532" spans="2:22" x14ac:dyDescent="0.25">
      <c r="B532" s="38"/>
      <c r="O532" s="13"/>
      <c r="P532" s="19"/>
      <c r="Q532" s="19"/>
      <c r="R532" s="19"/>
      <c r="S532" s="19"/>
      <c r="T532" s="74"/>
      <c r="V532" s="57"/>
    </row>
    <row r="533" spans="2:22" x14ac:dyDescent="0.25">
      <c r="B533" s="38"/>
      <c r="O533" s="13"/>
      <c r="P533" s="19"/>
      <c r="Q533" s="19"/>
      <c r="R533" s="19"/>
      <c r="S533" s="19"/>
      <c r="T533" s="74"/>
      <c r="V533" s="57"/>
    </row>
  </sheetData>
  <autoFilter ref="A3:AI277" xr:uid="{00000000-0009-0000-0000-000000000000}">
    <filterColumn colId="3">
      <filters>
        <filter val="FEA"/>
        <filter val="FED"/>
        <filter val="FEH"/>
      </filters>
    </filterColumn>
    <filterColumn colId="5">
      <filters>
        <filter val="QUAD"/>
      </filters>
    </filterColumn>
  </autoFilter>
  <mergeCells count="3">
    <mergeCell ref="K1:M1"/>
    <mergeCell ref="P1:R1"/>
    <mergeCell ref="T2:AA2"/>
  </mergeCells>
  <conditionalFormatting sqref="A2:T28 U3:AA28 AB14:AB15 AB20:AB21">
    <cfRule type="expression" dxfId="6" priority="138">
      <formula>NOT(INDEX($A2:$D2,1,$T$1)=INDEX($A3:$D3,1,$T$1))</formula>
    </cfRule>
  </conditionalFormatting>
  <conditionalFormatting sqref="A30:AA10044">
    <cfRule type="expression" dxfId="5" priority="1">
      <formula>NOT(INDEX($A30:$D30,1,$T$1)=INDEX($A31:$D31,1,$T$1))</formula>
    </cfRule>
  </conditionalFormatting>
  <conditionalFormatting sqref="A29:AB29">
    <cfRule type="expression" dxfId="4" priority="37">
      <formula>NOT(INDEX($A29:$D29,1,$T$1)=INDEX($A31:$D31,1,$T$1))</formula>
    </cfRule>
  </conditionalFormatting>
  <conditionalFormatting sqref="AG4:AG277">
    <cfRule type="expression" dxfId="3" priority="24">
      <formula>$C4="Dipole"</formula>
    </cfRule>
    <cfRule type="expression" dxfId="2" priority="25">
      <formula>$C4="Corrector"</formula>
    </cfRule>
    <cfRule type="expression" dxfId="1" priority="26">
      <formula>$C4="Quadrupole"</formula>
    </cfRule>
  </conditionalFormatting>
  <dataValidations disablePrompts="1" count="1">
    <dataValidation type="list" allowBlank="1" showInputMessage="1" showErrorMessage="1" sqref="P1" xr:uid="{00000000-0002-0000-0000-000000000000}">
      <formula1>$A$3:$D$3</formula1>
    </dataValidation>
  </dataValidations>
  <pageMargins left="0.70866141732283472" right="0.70866141732283472" top="0.74803149606299213" bottom="0.74803149606299213" header="0.31496062992125984" footer="0.31496062992125984"/>
  <pageSetup paperSize="9" scale="54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40"/>
  <sheetViews>
    <sheetView zoomScaleNormal="100" workbookViewId="0">
      <selection activeCell="E24" sqref="E24"/>
    </sheetView>
  </sheetViews>
  <sheetFormatPr defaultRowHeight="15" x14ac:dyDescent="0.25"/>
  <cols>
    <col min="1" max="1" width="20.7109375" bestFit="1" customWidth="1"/>
    <col min="2" max="2" width="36.28515625" bestFit="1" customWidth="1"/>
    <col min="3" max="3" width="8.5703125" bestFit="1" customWidth="1"/>
    <col min="4" max="4" width="5.7109375" bestFit="1" customWidth="1"/>
    <col min="5" max="5" width="10.85546875" customWidth="1"/>
    <col min="6" max="6" width="5.7109375" bestFit="1" customWidth="1"/>
    <col min="7" max="7" width="8.140625" customWidth="1"/>
    <col min="8" max="9" width="8" customWidth="1"/>
    <col min="11" max="11" width="9" customWidth="1"/>
    <col min="14" max="14" width="61.85546875" customWidth="1"/>
    <col min="15" max="15" width="20.7109375" style="25" customWidth="1"/>
    <col min="16" max="16" width="10.42578125" customWidth="1"/>
    <col min="17" max="17" width="7.28515625" bestFit="1" customWidth="1"/>
    <col min="18" max="18" width="8" bestFit="1" customWidth="1"/>
    <col min="19" max="19" width="10.28515625" bestFit="1" customWidth="1"/>
    <col min="20" max="20" width="10.85546875" customWidth="1"/>
    <col min="22" max="22" width="19.5703125" bestFit="1" customWidth="1"/>
    <col min="23" max="23" width="23.28515625" bestFit="1" customWidth="1"/>
    <col min="24" max="24" width="16.85546875" bestFit="1" customWidth="1"/>
  </cols>
  <sheetData>
    <row r="1" spans="1:24" s="1" customFormat="1" ht="45" x14ac:dyDescent="0.25">
      <c r="A1" s="32" t="s">
        <v>14</v>
      </c>
      <c r="B1" s="32" t="s">
        <v>96</v>
      </c>
      <c r="C1" s="32" t="s">
        <v>25</v>
      </c>
      <c r="D1" s="32" t="s">
        <v>16</v>
      </c>
      <c r="E1" s="33" t="s">
        <v>15</v>
      </c>
      <c r="F1" s="32" t="s">
        <v>16</v>
      </c>
      <c r="G1" s="33" t="s">
        <v>20</v>
      </c>
      <c r="H1" s="33" t="s">
        <v>21</v>
      </c>
      <c r="I1" s="33" t="s">
        <v>296</v>
      </c>
      <c r="J1" s="34" t="s">
        <v>101</v>
      </c>
      <c r="K1" s="34" t="s">
        <v>102</v>
      </c>
      <c r="L1" s="34" t="s">
        <v>268</v>
      </c>
      <c r="M1" s="34" t="s">
        <v>297</v>
      </c>
      <c r="N1" s="34" t="s">
        <v>22</v>
      </c>
      <c r="O1" s="42" t="s">
        <v>23</v>
      </c>
      <c r="P1" s="33" t="s">
        <v>46</v>
      </c>
      <c r="Q1" s="33" t="s">
        <v>47</v>
      </c>
      <c r="R1" s="33" t="s">
        <v>49</v>
      </c>
      <c r="S1" s="34" t="s">
        <v>123</v>
      </c>
      <c r="T1" s="34" t="s">
        <v>121</v>
      </c>
      <c r="U1" s="34" t="s">
        <v>122</v>
      </c>
      <c r="V1" s="36" t="s">
        <v>131</v>
      </c>
      <c r="W1" s="37"/>
    </row>
    <row r="2" spans="1:24" x14ac:dyDescent="0.25">
      <c r="A2" t="s">
        <v>146</v>
      </c>
      <c r="B2" t="s">
        <v>155</v>
      </c>
      <c r="C2">
        <v>0.13</v>
      </c>
      <c r="D2" t="s">
        <v>18</v>
      </c>
      <c r="G2">
        <v>348</v>
      </c>
      <c r="H2">
        <v>8.4</v>
      </c>
      <c r="I2" s="15">
        <f>G2*H2/1000</f>
        <v>2.9232000000000005</v>
      </c>
      <c r="J2">
        <v>1</v>
      </c>
      <c r="K2">
        <f>COUNTIF(Table!I:I,A2)</f>
        <v>1</v>
      </c>
      <c r="L2">
        <f>COUNTIFS(Table!I:I,A2,Table!J:J,"&gt;0")</f>
        <v>1</v>
      </c>
      <c r="M2" s="15">
        <f>I2*L2</f>
        <v>2.9232000000000005</v>
      </c>
      <c r="N2" t="s">
        <v>157</v>
      </c>
      <c r="O2" s="25" t="s">
        <v>24</v>
      </c>
      <c r="P2">
        <v>3</v>
      </c>
      <c r="Q2">
        <v>4.5999999999999996</v>
      </c>
      <c r="R2">
        <v>9.1999999999999993</v>
      </c>
      <c r="S2" t="s">
        <v>125</v>
      </c>
      <c r="U2">
        <v>130</v>
      </c>
      <c r="V2" s="20" t="s">
        <v>158</v>
      </c>
    </row>
    <row r="3" spans="1:24" x14ac:dyDescent="0.25">
      <c r="A3" t="s">
        <v>147</v>
      </c>
      <c r="B3" t="s">
        <v>155</v>
      </c>
      <c r="C3">
        <v>0.52</v>
      </c>
      <c r="D3" t="s">
        <v>18</v>
      </c>
      <c r="G3">
        <v>400.14</v>
      </c>
      <c r="H3">
        <v>37.4</v>
      </c>
      <c r="I3" s="15">
        <f t="shared" ref="I3:I29" si="0">G3*H3/1000</f>
        <v>14.965235999999999</v>
      </c>
      <c r="J3">
        <v>1</v>
      </c>
      <c r="K3">
        <f>COUNTIF(Table!I:I,A3)</f>
        <v>1</v>
      </c>
      <c r="L3">
        <f>COUNTIFS(Table!I:I,A3,Table!J:J,"&gt;0")</f>
        <v>1</v>
      </c>
      <c r="M3" s="15">
        <f t="shared" ref="M3:M29" si="1">I3*L3</f>
        <v>14.965235999999999</v>
      </c>
      <c r="N3" t="s">
        <v>159</v>
      </c>
      <c r="O3" s="25" t="s">
        <v>160</v>
      </c>
      <c r="P3">
        <v>4.9800000000000004</v>
      </c>
      <c r="Q3">
        <v>9.93</v>
      </c>
      <c r="R3">
        <v>20</v>
      </c>
      <c r="S3" t="s">
        <v>125</v>
      </c>
      <c r="U3">
        <v>160</v>
      </c>
      <c r="V3" s="20"/>
    </row>
    <row r="4" spans="1:24" x14ac:dyDescent="0.25">
      <c r="A4" t="s">
        <v>148</v>
      </c>
      <c r="B4" t="s">
        <v>156</v>
      </c>
      <c r="C4">
        <v>0.10352</v>
      </c>
      <c r="D4" t="s">
        <v>18</v>
      </c>
      <c r="G4">
        <v>200</v>
      </c>
      <c r="H4">
        <f>G4*0.141</f>
        <v>28.199999999999996</v>
      </c>
      <c r="I4" s="15">
        <f t="shared" si="0"/>
        <v>5.6399999999999988</v>
      </c>
      <c r="J4">
        <v>2</v>
      </c>
      <c r="K4">
        <f>COUNTIF(Table!I:I,A4)</f>
        <v>2</v>
      </c>
      <c r="L4">
        <f>COUNTIFS(Table!I:I,A4,Table!J:J,"&gt;0")</f>
        <v>2</v>
      </c>
      <c r="M4" s="15">
        <f t="shared" si="1"/>
        <v>11.279999999999998</v>
      </c>
      <c r="N4" t="s">
        <v>161</v>
      </c>
      <c r="O4" s="25" t="s">
        <v>162</v>
      </c>
      <c r="P4" s="35"/>
      <c r="Q4">
        <v>4.0999999999999996</v>
      </c>
      <c r="R4" s="35"/>
      <c r="S4" t="s">
        <v>125</v>
      </c>
      <c r="U4">
        <v>220</v>
      </c>
      <c r="V4" s="20" t="s">
        <v>163</v>
      </c>
    </row>
    <row r="5" spans="1:24" x14ac:dyDescent="0.25">
      <c r="A5" t="s">
        <v>10</v>
      </c>
      <c r="B5" t="s">
        <v>97</v>
      </c>
      <c r="C5">
        <v>0.39400000000000002</v>
      </c>
      <c r="D5" t="s">
        <v>18</v>
      </c>
      <c r="E5">
        <v>158</v>
      </c>
      <c r="F5" t="s">
        <v>17</v>
      </c>
      <c r="G5">
        <v>115.2</v>
      </c>
      <c r="H5">
        <v>12.7</v>
      </c>
      <c r="I5" s="15">
        <f t="shared" si="0"/>
        <v>1.4630399999999999</v>
      </c>
      <c r="J5">
        <v>1</v>
      </c>
      <c r="K5">
        <f>COUNTIF(Table!I:I,A5)</f>
        <v>1</v>
      </c>
      <c r="L5">
        <f>COUNTIFS(Table!I:I,A5,Table!J:J,"&gt;0")</f>
        <v>1</v>
      </c>
      <c r="M5" s="15">
        <f t="shared" si="1"/>
        <v>1.4630399999999999</v>
      </c>
      <c r="N5" t="s">
        <v>36</v>
      </c>
      <c r="O5" s="25" t="s">
        <v>24</v>
      </c>
      <c r="P5">
        <v>3</v>
      </c>
      <c r="Q5">
        <v>5.5</v>
      </c>
      <c r="R5">
        <v>4</v>
      </c>
      <c r="S5" t="s">
        <v>125</v>
      </c>
      <c r="V5" s="20" t="s">
        <v>132</v>
      </c>
    </row>
    <row r="6" spans="1:24" x14ac:dyDescent="0.25">
      <c r="A6" t="s">
        <v>9</v>
      </c>
      <c r="B6" t="s">
        <v>98</v>
      </c>
      <c r="C6">
        <v>0.39400000000000002</v>
      </c>
      <c r="D6" t="s">
        <v>18</v>
      </c>
      <c r="E6">
        <v>158</v>
      </c>
      <c r="F6" t="s">
        <v>17</v>
      </c>
      <c r="G6">
        <v>180.04</v>
      </c>
      <c r="H6">
        <v>28.87</v>
      </c>
      <c r="I6" s="15">
        <f t="shared" si="0"/>
        <v>5.1977547999999993</v>
      </c>
      <c r="J6">
        <v>1</v>
      </c>
      <c r="K6">
        <f>COUNTIF(Table!I:I,A6)</f>
        <v>1</v>
      </c>
      <c r="L6">
        <f>COUNTIFS(Table!I:I,A6,Table!J:J,"&gt;0")</f>
        <v>1</v>
      </c>
      <c r="M6" s="15">
        <f t="shared" si="1"/>
        <v>5.1977547999999993</v>
      </c>
      <c r="N6" t="s">
        <v>37</v>
      </c>
      <c r="O6" s="25" t="s">
        <v>24</v>
      </c>
      <c r="P6">
        <v>3</v>
      </c>
      <c r="Q6">
        <v>9.83</v>
      </c>
      <c r="R6">
        <v>7.9</v>
      </c>
      <c r="S6" t="s">
        <v>125</v>
      </c>
      <c r="V6" s="20" t="s">
        <v>132</v>
      </c>
    </row>
    <row r="7" spans="1:24" x14ac:dyDescent="0.25">
      <c r="A7" t="s">
        <v>5</v>
      </c>
      <c r="B7" t="s">
        <v>69</v>
      </c>
      <c r="C7">
        <v>9.6</v>
      </c>
      <c r="D7" t="s">
        <v>26</v>
      </c>
      <c r="E7">
        <v>1.2</v>
      </c>
      <c r="F7" t="s">
        <v>18</v>
      </c>
      <c r="G7">
        <v>52.8</v>
      </c>
      <c r="H7">
        <f>7.3*4</f>
        <v>29.2</v>
      </c>
      <c r="I7" s="15">
        <f t="shared" si="0"/>
        <v>1.54176</v>
      </c>
      <c r="J7">
        <v>5</v>
      </c>
      <c r="K7">
        <f>COUNTIF(Table!I:I,A7)</f>
        <v>5</v>
      </c>
      <c r="L7">
        <f>COUNTIFS(Table!I:I,A7,Table!J:J,"&gt;0")</f>
        <v>5</v>
      </c>
      <c r="M7" s="15">
        <f t="shared" si="1"/>
        <v>7.7088000000000001</v>
      </c>
      <c r="N7" t="s">
        <v>38</v>
      </c>
      <c r="O7" s="25" t="s">
        <v>24</v>
      </c>
      <c r="P7">
        <v>5</v>
      </c>
      <c r="Q7">
        <v>2.1</v>
      </c>
      <c r="R7">
        <v>2.6</v>
      </c>
      <c r="S7" t="s">
        <v>125</v>
      </c>
      <c r="V7" s="20" t="s">
        <v>132</v>
      </c>
    </row>
    <row r="8" spans="1:24" x14ac:dyDescent="0.25">
      <c r="A8" t="s">
        <v>8</v>
      </c>
      <c r="B8" t="s">
        <v>71</v>
      </c>
      <c r="C8">
        <v>23.2</v>
      </c>
      <c r="D8" t="s">
        <v>26</v>
      </c>
      <c r="E8">
        <v>2.9</v>
      </c>
      <c r="F8" t="s">
        <v>18</v>
      </c>
      <c r="G8">
        <v>185.8</v>
      </c>
      <c r="H8">
        <f>10.8*4</f>
        <v>43.2</v>
      </c>
      <c r="I8" s="15">
        <f t="shared" si="0"/>
        <v>8.0265600000000017</v>
      </c>
      <c r="J8">
        <v>3</v>
      </c>
      <c r="K8">
        <f>COUNTIF(Table!I:I,A8)</f>
        <v>3</v>
      </c>
      <c r="L8">
        <f>COUNTIFS(Table!I:I,A8,Table!J:J,"&gt;0")</f>
        <v>3</v>
      </c>
      <c r="M8" s="15">
        <f t="shared" si="1"/>
        <v>24.079680000000003</v>
      </c>
      <c r="N8" t="s">
        <v>39</v>
      </c>
      <c r="O8" s="25" t="s">
        <v>24</v>
      </c>
      <c r="P8">
        <v>5</v>
      </c>
      <c r="Q8">
        <v>6.2</v>
      </c>
      <c r="R8">
        <v>4.5999999999999996</v>
      </c>
      <c r="S8" t="s">
        <v>125</v>
      </c>
      <c r="V8" s="20" t="s">
        <v>132</v>
      </c>
    </row>
    <row r="9" spans="1:24" x14ac:dyDescent="0.25">
      <c r="A9" t="s">
        <v>4</v>
      </c>
      <c r="B9" t="s">
        <v>66</v>
      </c>
      <c r="C9">
        <v>1.09E-2</v>
      </c>
      <c r="D9" t="s">
        <v>18</v>
      </c>
      <c r="E9" s="2">
        <v>0.109</v>
      </c>
      <c r="F9" s="2" t="s">
        <v>17</v>
      </c>
      <c r="G9">
        <v>5.5</v>
      </c>
      <c r="H9">
        <f>0.08*2</f>
        <v>0.16</v>
      </c>
      <c r="I9" s="15">
        <f t="shared" si="0"/>
        <v>8.8000000000000003E-4</v>
      </c>
      <c r="J9">
        <v>4</v>
      </c>
      <c r="K9">
        <f>COUNTIF(Table!I:I,A9)</f>
        <v>4</v>
      </c>
      <c r="L9">
        <f>COUNTIFS(Table!I:I,A9,Table!J:J,"&gt;0")</f>
        <v>4</v>
      </c>
      <c r="M9" s="15">
        <f t="shared" si="1"/>
        <v>3.5200000000000001E-3</v>
      </c>
      <c r="N9" t="s">
        <v>40</v>
      </c>
      <c r="O9" s="25" t="s">
        <v>24</v>
      </c>
      <c r="P9" s="19" t="s">
        <v>129</v>
      </c>
      <c r="Q9" s="19"/>
      <c r="S9" t="s">
        <v>125</v>
      </c>
      <c r="V9" s="20" t="s">
        <v>132</v>
      </c>
    </row>
    <row r="10" spans="1:24" x14ac:dyDescent="0.25">
      <c r="A10" t="s">
        <v>6</v>
      </c>
      <c r="B10" t="s">
        <v>69</v>
      </c>
      <c r="C10">
        <v>2.3400000000000001E-2</v>
      </c>
      <c r="D10" t="s">
        <v>18</v>
      </c>
      <c r="E10" s="2">
        <v>3.0259999999999998</v>
      </c>
      <c r="F10" s="2" t="s">
        <v>17</v>
      </c>
      <c r="G10">
        <v>10</v>
      </c>
      <c r="H10">
        <v>2.0299999999999998</v>
      </c>
      <c r="I10" s="15">
        <f t="shared" si="0"/>
        <v>2.0299999999999999E-2</v>
      </c>
      <c r="J10">
        <v>6</v>
      </c>
      <c r="K10">
        <f>COUNTIF(Table!I:I,A10)</f>
        <v>6</v>
      </c>
      <c r="L10">
        <f>COUNTIFS(Table!I:I,A10,Table!J:J,"&gt;0")</f>
        <v>6</v>
      </c>
      <c r="M10" s="15">
        <f t="shared" si="1"/>
        <v>0.12179999999999999</v>
      </c>
      <c r="N10" t="s">
        <v>41</v>
      </c>
      <c r="O10" s="25" t="s">
        <v>24</v>
      </c>
      <c r="P10" s="19" t="s">
        <v>129</v>
      </c>
      <c r="Q10" s="19"/>
      <c r="S10" t="s">
        <v>125</v>
      </c>
      <c r="V10" s="20" t="s">
        <v>132</v>
      </c>
    </row>
    <row r="11" spans="1:24" x14ac:dyDescent="0.25">
      <c r="A11" t="s">
        <v>7</v>
      </c>
      <c r="B11" t="s">
        <v>71</v>
      </c>
      <c r="C11">
        <v>1.2760000000000001E-2</v>
      </c>
      <c r="D11" t="s">
        <v>18</v>
      </c>
      <c r="E11" s="2">
        <v>1.276</v>
      </c>
      <c r="F11" s="2" t="s">
        <v>17</v>
      </c>
      <c r="G11">
        <v>9.9</v>
      </c>
      <c r="H11">
        <v>0.94</v>
      </c>
      <c r="I11" s="15">
        <f t="shared" si="0"/>
        <v>9.3059999999999983E-3</v>
      </c>
      <c r="J11">
        <v>2</v>
      </c>
      <c r="K11">
        <f>COUNTIF(Table!I:I,A11)</f>
        <v>2</v>
      </c>
      <c r="L11">
        <f>COUNTIFS(Table!I:I,A11,Table!J:J,"&gt;0")</f>
        <v>2</v>
      </c>
      <c r="M11" s="15">
        <f t="shared" si="1"/>
        <v>1.8611999999999997E-2</v>
      </c>
      <c r="N11" t="s">
        <v>42</v>
      </c>
      <c r="O11" s="25" t="s">
        <v>24</v>
      </c>
      <c r="P11" s="19" t="s">
        <v>129</v>
      </c>
      <c r="Q11" s="19"/>
      <c r="S11" t="s">
        <v>125</v>
      </c>
      <c r="V11" s="20" t="s">
        <v>132</v>
      </c>
    </row>
    <row r="12" spans="1:24" s="25" customFormat="1" x14ac:dyDescent="0.25">
      <c r="A12" s="25" t="s">
        <v>95</v>
      </c>
      <c r="B12" s="25" t="s">
        <v>84</v>
      </c>
      <c r="E12" s="25">
        <v>100</v>
      </c>
      <c r="F12" s="25" t="s">
        <v>17</v>
      </c>
      <c r="G12" s="25">
        <v>150</v>
      </c>
      <c r="H12" s="25">
        <v>8.94</v>
      </c>
      <c r="I12" s="15">
        <f t="shared" si="0"/>
        <v>1.341</v>
      </c>
      <c r="J12" s="25">
        <v>4</v>
      </c>
      <c r="K12">
        <f>COUNTIF(Table!I:I,A12)</f>
        <v>4</v>
      </c>
      <c r="L12">
        <f>COUNTIFS(Table!I:I,A12,Table!J:J,"&gt;0")</f>
        <v>4</v>
      </c>
      <c r="M12" s="15">
        <f t="shared" si="1"/>
        <v>5.3639999999999999</v>
      </c>
      <c r="N12" s="25" t="s">
        <v>100</v>
      </c>
      <c r="O12" s="25" t="s">
        <v>99</v>
      </c>
      <c r="P12" s="25">
        <v>6</v>
      </c>
      <c r="Q12" s="25">
        <v>2.19</v>
      </c>
      <c r="R12" s="25">
        <v>8.81</v>
      </c>
      <c r="S12" t="s">
        <v>125</v>
      </c>
      <c r="V12" s="20" t="s">
        <v>133</v>
      </c>
    </row>
    <row r="13" spans="1:24" s="25" customFormat="1" x14ac:dyDescent="0.25">
      <c r="A13" s="25" t="s">
        <v>218</v>
      </c>
      <c r="B13" s="25" t="s">
        <v>111</v>
      </c>
      <c r="E13" s="25">
        <v>1.5</v>
      </c>
      <c r="F13" s="25" t="s">
        <v>17</v>
      </c>
      <c r="G13" s="25">
        <v>10</v>
      </c>
      <c r="H13" s="25">
        <v>0.82</v>
      </c>
      <c r="I13" s="15">
        <f t="shared" si="0"/>
        <v>8.199999999999999E-3</v>
      </c>
      <c r="J13" s="25">
        <v>4</v>
      </c>
      <c r="K13">
        <f>COUNTIF(Table!I:I,A13)</f>
        <v>4</v>
      </c>
      <c r="L13">
        <f>COUNTIFS(Table!I:I,A13,Table!J:J,"&gt;0")</f>
        <v>4</v>
      </c>
      <c r="M13" s="15">
        <f t="shared" si="1"/>
        <v>3.2799999999999996E-2</v>
      </c>
      <c r="N13" s="25" t="s">
        <v>100</v>
      </c>
      <c r="O13" s="25" t="s">
        <v>99</v>
      </c>
      <c r="P13" s="43" t="s">
        <v>129</v>
      </c>
      <c r="Q13" s="43"/>
      <c r="S13" t="s">
        <v>125</v>
      </c>
      <c r="V13" s="20" t="s">
        <v>133</v>
      </c>
    </row>
    <row r="14" spans="1:24" x14ac:dyDescent="0.25">
      <c r="A14" t="s">
        <v>94</v>
      </c>
      <c r="B14" t="s">
        <v>220</v>
      </c>
      <c r="C14">
        <v>17</v>
      </c>
      <c r="D14" t="s">
        <v>26</v>
      </c>
      <c r="E14" s="15">
        <v>3.2</v>
      </c>
      <c r="F14" t="s">
        <v>18</v>
      </c>
      <c r="G14">
        <v>93.1</v>
      </c>
      <c r="H14">
        <v>7.97</v>
      </c>
      <c r="I14" s="15">
        <f t="shared" si="0"/>
        <v>0.74200699999999997</v>
      </c>
      <c r="J14">
        <v>39</v>
      </c>
      <c r="K14">
        <f>COUNTIF(Table!I:I,A14)</f>
        <v>44</v>
      </c>
      <c r="L14">
        <f>COUNTIFS(Table!I:I,A14,Table!J:J,"&gt;0")</f>
        <v>37</v>
      </c>
      <c r="M14" s="15">
        <f t="shared" si="1"/>
        <v>27.454259</v>
      </c>
      <c r="N14" t="s">
        <v>141</v>
      </c>
      <c r="O14" s="25" t="s">
        <v>24</v>
      </c>
      <c r="P14">
        <v>4</v>
      </c>
      <c r="Q14">
        <v>1.2</v>
      </c>
      <c r="R14">
        <f>34.2-25</f>
        <v>9.2000000000000028</v>
      </c>
      <c r="S14" t="s">
        <v>125</v>
      </c>
      <c r="U14">
        <v>42</v>
      </c>
      <c r="V14" s="20" t="s">
        <v>134</v>
      </c>
      <c r="W14" s="20" t="s">
        <v>135</v>
      </c>
      <c r="X14" s="20" t="s">
        <v>227</v>
      </c>
    </row>
    <row r="15" spans="1:24" x14ac:dyDescent="0.25">
      <c r="A15" t="s">
        <v>118</v>
      </c>
      <c r="B15" t="s">
        <v>302</v>
      </c>
      <c r="C15">
        <v>2.1100000000000001E-2</v>
      </c>
      <c r="D15" t="s">
        <v>18</v>
      </c>
      <c r="E15" s="26">
        <v>3.2</v>
      </c>
      <c r="F15" s="26" t="s">
        <v>17</v>
      </c>
      <c r="G15">
        <v>10</v>
      </c>
      <c r="H15">
        <v>3.2</v>
      </c>
      <c r="I15" s="15">
        <f t="shared" si="0"/>
        <v>3.2000000000000001E-2</v>
      </c>
      <c r="J15">
        <f>19*2</f>
        <v>38</v>
      </c>
      <c r="K15">
        <f>COUNTIF(Table!I:I,A15)</f>
        <v>32</v>
      </c>
      <c r="L15">
        <f>COUNTIFS(Table!I:I,A15,Table!J:J,"&gt;0")</f>
        <v>26</v>
      </c>
      <c r="M15" s="15">
        <f t="shared" si="1"/>
        <v>0.83200000000000007</v>
      </c>
      <c r="N15" t="s">
        <v>126</v>
      </c>
      <c r="O15" s="25" t="s">
        <v>303</v>
      </c>
      <c r="P15">
        <v>0.1</v>
      </c>
      <c r="Q15">
        <v>0.5</v>
      </c>
      <c r="R15">
        <v>2</v>
      </c>
      <c r="S15" t="s">
        <v>124</v>
      </c>
      <c r="T15">
        <v>5</v>
      </c>
      <c r="U15">
        <v>45</v>
      </c>
      <c r="V15" s="20" t="s">
        <v>137</v>
      </c>
      <c r="W15" s="58"/>
    </row>
    <row r="16" spans="1:24" x14ac:dyDescent="0.25">
      <c r="A16" t="s">
        <v>294</v>
      </c>
      <c r="B16" t="s">
        <v>219</v>
      </c>
      <c r="C16">
        <f>C15*1.3</f>
        <v>2.7430000000000003E-2</v>
      </c>
      <c r="D16" t="s">
        <v>18</v>
      </c>
      <c r="E16">
        <f>E15*1.3</f>
        <v>4.16</v>
      </c>
      <c r="F16" s="26" t="s">
        <v>17</v>
      </c>
      <c r="G16">
        <f>G15*1.3</f>
        <v>13</v>
      </c>
      <c r="H16">
        <f>H15*1.3</f>
        <v>4.16</v>
      </c>
      <c r="I16" s="15">
        <f t="shared" si="0"/>
        <v>5.4079999999999996E-2</v>
      </c>
      <c r="J16">
        <f>19*2</f>
        <v>38</v>
      </c>
      <c r="K16">
        <f>COUNTIF(Table!I:I,A16)</f>
        <v>8</v>
      </c>
      <c r="L16">
        <f>COUNTIFS(Table!I:I,A16,Table!J:J,"&gt;0")</f>
        <v>8</v>
      </c>
      <c r="M16" s="15">
        <f t="shared" si="1"/>
        <v>0.43263999999999997</v>
      </c>
      <c r="N16" t="s">
        <v>126</v>
      </c>
      <c r="O16" s="25" t="s">
        <v>24</v>
      </c>
      <c r="P16">
        <v>0.1</v>
      </c>
      <c r="Q16">
        <v>0.5</v>
      </c>
      <c r="R16">
        <v>2</v>
      </c>
      <c r="S16" t="s">
        <v>124</v>
      </c>
      <c r="T16">
        <v>5</v>
      </c>
      <c r="U16">
        <v>45</v>
      </c>
      <c r="V16" s="20" t="s">
        <v>137</v>
      </c>
      <c r="W16" s="58" t="s">
        <v>233</v>
      </c>
    </row>
    <row r="17" spans="1:23" x14ac:dyDescent="0.25">
      <c r="A17" t="s">
        <v>119</v>
      </c>
      <c r="B17" t="s">
        <v>136</v>
      </c>
      <c r="C17">
        <v>1.83E-2</v>
      </c>
      <c r="D17" t="s">
        <v>18</v>
      </c>
      <c r="E17" s="26">
        <v>3.2</v>
      </c>
      <c r="F17" s="26" t="s">
        <v>17</v>
      </c>
      <c r="G17">
        <v>10</v>
      </c>
      <c r="H17">
        <v>3.9</v>
      </c>
      <c r="I17" s="15">
        <f t="shared" si="0"/>
        <v>3.9E-2</v>
      </c>
      <c r="J17">
        <v>2</v>
      </c>
      <c r="K17">
        <f>COUNTIF(Table!I:I,A17)</f>
        <v>2</v>
      </c>
      <c r="L17">
        <f>COUNTIFS(Table!I:I,A17,Table!J:J,"&gt;0")</f>
        <v>2</v>
      </c>
      <c r="M17" s="15">
        <f t="shared" si="1"/>
        <v>7.8E-2</v>
      </c>
      <c r="N17" t="s">
        <v>127</v>
      </c>
      <c r="O17" s="25" t="s">
        <v>24</v>
      </c>
      <c r="P17">
        <v>0.1</v>
      </c>
      <c r="Q17">
        <v>0.5</v>
      </c>
      <c r="R17">
        <v>2</v>
      </c>
      <c r="S17" t="s">
        <v>124</v>
      </c>
      <c r="T17">
        <v>10</v>
      </c>
      <c r="U17">
        <v>80</v>
      </c>
      <c r="V17" s="20" t="s">
        <v>137</v>
      </c>
      <c r="W17" s="20" t="s">
        <v>135</v>
      </c>
    </row>
    <row r="18" spans="1:23" x14ac:dyDescent="0.25">
      <c r="A18" t="s">
        <v>120</v>
      </c>
      <c r="B18" t="s">
        <v>113</v>
      </c>
      <c r="C18">
        <v>2.5999999999999999E-2</v>
      </c>
      <c r="D18" t="s">
        <v>18</v>
      </c>
      <c r="E18" s="26">
        <v>5</v>
      </c>
      <c r="F18" s="26" t="s">
        <v>17</v>
      </c>
      <c r="G18">
        <v>9.6</v>
      </c>
      <c r="H18">
        <v>1.6</v>
      </c>
      <c r="I18" s="15">
        <f t="shared" si="0"/>
        <v>1.5359999999999999E-2</v>
      </c>
      <c r="J18">
        <v>5</v>
      </c>
      <c r="K18">
        <f>COUNTIF(Table!I:I,A18)</f>
        <v>12</v>
      </c>
      <c r="L18">
        <f>COUNTIFS(Table!I:I,A18,Table!J:J,"&gt;0")</f>
        <v>12</v>
      </c>
      <c r="M18" s="15">
        <f t="shared" si="1"/>
        <v>0.18431999999999998</v>
      </c>
      <c r="N18" t="s">
        <v>128</v>
      </c>
      <c r="O18" s="25" t="s">
        <v>24</v>
      </c>
      <c r="P18" s="19" t="s">
        <v>129</v>
      </c>
      <c r="Q18" s="19"/>
      <c r="S18" t="s">
        <v>125</v>
      </c>
      <c r="T18">
        <v>200</v>
      </c>
      <c r="U18">
        <v>78</v>
      </c>
      <c r="V18" s="20" t="s">
        <v>137</v>
      </c>
    </row>
    <row r="19" spans="1:23" x14ac:dyDescent="0.25">
      <c r="A19" t="s">
        <v>103</v>
      </c>
      <c r="B19" t="s">
        <v>104</v>
      </c>
      <c r="C19" s="44" t="s">
        <v>164</v>
      </c>
      <c r="D19" s="44"/>
      <c r="E19" s="44"/>
      <c r="F19" s="44"/>
      <c r="G19" s="44"/>
      <c r="H19" s="44"/>
      <c r="I19" s="15">
        <f t="shared" si="0"/>
        <v>0</v>
      </c>
      <c r="J19">
        <v>4</v>
      </c>
      <c r="K19">
        <f>COUNTIF(Table!I:I,A19)</f>
        <v>4</v>
      </c>
      <c r="L19">
        <f>COUNTIFS(Table!I:I,A19,Table!J:J,"&gt;0")</f>
        <v>0</v>
      </c>
      <c r="M19" s="15">
        <f t="shared" si="1"/>
        <v>0</v>
      </c>
      <c r="V19" s="20" t="s">
        <v>138</v>
      </c>
    </row>
    <row r="20" spans="1:23" x14ac:dyDescent="0.25">
      <c r="A20" t="s">
        <v>105</v>
      </c>
      <c r="B20" t="s">
        <v>115</v>
      </c>
      <c r="C20">
        <v>20</v>
      </c>
      <c r="D20" t="s">
        <v>26</v>
      </c>
      <c r="E20" s="26">
        <v>3</v>
      </c>
      <c r="F20" s="26" t="s">
        <v>18</v>
      </c>
      <c r="G20" s="15">
        <f>150*C20/31.74</f>
        <v>94.517958412098309</v>
      </c>
      <c r="H20" s="15">
        <f>G20*0.14</f>
        <v>13.232514177693764</v>
      </c>
      <c r="I20" s="15">
        <f t="shared" si="0"/>
        <v>1.2507102247347606</v>
      </c>
      <c r="J20">
        <v>10</v>
      </c>
      <c r="K20">
        <f>COUNTIF(Table!I:I,A20)</f>
        <v>9</v>
      </c>
      <c r="L20">
        <f>COUNTIFS(Table!I:I,A20,Table!J:J,"&gt;0")</f>
        <v>9</v>
      </c>
      <c r="M20" s="15">
        <f t="shared" si="1"/>
        <v>11.256392022612845</v>
      </c>
      <c r="N20" t="s">
        <v>109</v>
      </c>
      <c r="O20" s="25" t="s">
        <v>110</v>
      </c>
      <c r="P20">
        <v>6</v>
      </c>
      <c r="Q20">
        <v>0.6</v>
      </c>
      <c r="U20">
        <v>45</v>
      </c>
      <c r="V20" s="20" t="s">
        <v>139</v>
      </c>
    </row>
    <row r="21" spans="1:23" x14ac:dyDescent="0.25">
      <c r="A21" t="s">
        <v>106</v>
      </c>
      <c r="B21" t="s">
        <v>107</v>
      </c>
      <c r="C21">
        <v>1.1339999999999999</v>
      </c>
      <c r="D21" t="s">
        <v>18</v>
      </c>
      <c r="E21">
        <f>C21*400</f>
        <v>453.59999999999997</v>
      </c>
      <c r="F21" s="26" t="s">
        <v>17</v>
      </c>
      <c r="G21">
        <v>332</v>
      </c>
      <c r="H21">
        <v>37</v>
      </c>
      <c r="I21" s="15">
        <f t="shared" si="0"/>
        <v>12.284000000000001</v>
      </c>
      <c r="J21">
        <v>2</v>
      </c>
      <c r="K21">
        <f>COUNTIF(Table!I:I,A21)</f>
        <v>2</v>
      </c>
      <c r="L21">
        <f>COUNTIFS(Table!I:I,A21,Table!J:J,"&gt;0")</f>
        <v>0</v>
      </c>
      <c r="M21" s="15">
        <f t="shared" si="1"/>
        <v>0</v>
      </c>
      <c r="N21" t="s">
        <v>142</v>
      </c>
      <c r="O21" s="25" t="s">
        <v>110</v>
      </c>
      <c r="P21">
        <v>4</v>
      </c>
      <c r="Q21">
        <v>16</v>
      </c>
      <c r="R21">
        <v>11.1</v>
      </c>
      <c r="S21" t="s">
        <v>125</v>
      </c>
      <c r="U21">
        <v>43.11</v>
      </c>
      <c r="V21" s="20" t="s">
        <v>140</v>
      </c>
    </row>
    <row r="22" spans="1:23" x14ac:dyDescent="0.25">
      <c r="A22" t="s">
        <v>166</v>
      </c>
      <c r="B22" t="s">
        <v>221</v>
      </c>
      <c r="C22" s="57">
        <v>0.78200000000000003</v>
      </c>
      <c r="D22" t="s">
        <v>18</v>
      </c>
      <c r="E22" s="15">
        <v>203.76271046752458</v>
      </c>
      <c r="F22" t="s">
        <v>17</v>
      </c>
      <c r="G22">
        <v>337.4</v>
      </c>
      <c r="H22">
        <v>7.8</v>
      </c>
      <c r="I22" s="15">
        <f t="shared" si="0"/>
        <v>2.6317199999999996</v>
      </c>
      <c r="J22">
        <v>4</v>
      </c>
      <c r="K22">
        <f>COUNTIF(Table!I:I,A22)</f>
        <v>4</v>
      </c>
      <c r="L22">
        <f>COUNTIFS(Table!I:I,A22,Table!J:J,"&gt;0")</f>
        <v>4</v>
      </c>
      <c r="M22" s="15">
        <f t="shared" si="1"/>
        <v>10.526879999999998</v>
      </c>
      <c r="O22" s="25" t="s">
        <v>235</v>
      </c>
      <c r="P22">
        <v>1</v>
      </c>
      <c r="Q22">
        <f>5.9*2</f>
        <v>11.8</v>
      </c>
      <c r="R22">
        <v>6.5</v>
      </c>
      <c r="S22" t="s">
        <v>125</v>
      </c>
      <c r="T22">
        <v>12.8</v>
      </c>
      <c r="U22">
        <v>42</v>
      </c>
      <c r="V22" s="20" t="s">
        <v>228</v>
      </c>
    </row>
    <row r="23" spans="1:23" x14ac:dyDescent="0.25">
      <c r="A23" t="s">
        <v>216</v>
      </c>
      <c r="B23" t="s">
        <v>222</v>
      </c>
      <c r="C23" s="57">
        <v>1.1499999999999999</v>
      </c>
      <c r="D23" t="s">
        <v>18</v>
      </c>
      <c r="E23" s="15">
        <v>698.61500731722708</v>
      </c>
      <c r="F23" t="s">
        <v>17</v>
      </c>
      <c r="G23">
        <v>309</v>
      </c>
      <c r="H23">
        <v>23</v>
      </c>
      <c r="I23" s="15">
        <f t="shared" si="0"/>
        <v>7.1070000000000002</v>
      </c>
      <c r="J23">
        <v>1</v>
      </c>
      <c r="K23">
        <f>COUNTIF(Table!I:I,A23)</f>
        <v>1</v>
      </c>
      <c r="L23">
        <f>COUNTIFS(Table!I:I,A23,Table!J:J,"&gt;0")</f>
        <v>1</v>
      </c>
      <c r="M23" s="15">
        <f t="shared" si="1"/>
        <v>7.1070000000000002</v>
      </c>
      <c r="O23" s="25" t="s">
        <v>235</v>
      </c>
      <c r="P23">
        <v>1</v>
      </c>
      <c r="Q23">
        <f>9.3*2</f>
        <v>18.600000000000001</v>
      </c>
      <c r="R23">
        <v>6</v>
      </c>
      <c r="S23" t="s">
        <v>125</v>
      </c>
      <c r="T23">
        <v>95.7</v>
      </c>
      <c r="U23">
        <v>42</v>
      </c>
      <c r="V23" s="20" t="s">
        <v>228</v>
      </c>
    </row>
    <row r="24" spans="1:23" x14ac:dyDescent="0.25">
      <c r="A24" t="s">
        <v>167</v>
      </c>
      <c r="B24" t="s">
        <v>223</v>
      </c>
      <c r="C24" s="15">
        <f>E24/0.15</f>
        <v>14.176474045921461</v>
      </c>
      <c r="D24" t="s">
        <v>26</v>
      </c>
      <c r="E24" s="57">
        <v>2.1264711068882192</v>
      </c>
      <c r="F24" s="57" t="s">
        <v>18</v>
      </c>
      <c r="G24">
        <v>176.4</v>
      </c>
      <c r="I24" s="15">
        <f t="shared" si="0"/>
        <v>0</v>
      </c>
      <c r="K24">
        <f>COUNTIF(Table!I:I,A24)</f>
        <v>9</v>
      </c>
      <c r="L24">
        <f>COUNTIFS(Table!I:I,A24,Table!J:J,"&gt;0")</f>
        <v>0</v>
      </c>
      <c r="M24" s="15">
        <f t="shared" si="1"/>
        <v>0</v>
      </c>
      <c r="U24">
        <v>97</v>
      </c>
      <c r="V24" s="20" t="s">
        <v>229</v>
      </c>
    </row>
    <row r="25" spans="1:23" x14ac:dyDescent="0.25">
      <c r="A25" t="s">
        <v>191</v>
      </c>
      <c r="B25" t="s">
        <v>224</v>
      </c>
      <c r="C25" s="15">
        <f>E25/0.15</f>
        <v>30.020768567833692</v>
      </c>
      <c r="D25" t="s">
        <v>26</v>
      </c>
      <c r="E25" s="57">
        <v>4.5031152851750536</v>
      </c>
      <c r="F25" s="57" t="s">
        <v>18</v>
      </c>
      <c r="G25">
        <v>176.4</v>
      </c>
      <c r="I25" s="15">
        <f t="shared" si="0"/>
        <v>0</v>
      </c>
      <c r="K25">
        <f>COUNTIF(Table!I:I,A25)</f>
        <v>0</v>
      </c>
      <c r="L25">
        <f>COUNTIFS(Table!I:I,A25,Table!J:J,"&gt;0")</f>
        <v>0</v>
      </c>
      <c r="M25" s="15">
        <f t="shared" si="1"/>
        <v>0</v>
      </c>
      <c r="U25">
        <v>97</v>
      </c>
      <c r="V25" s="20" t="s">
        <v>229</v>
      </c>
    </row>
    <row r="26" spans="1:23" x14ac:dyDescent="0.25">
      <c r="A26" t="s">
        <v>214</v>
      </c>
      <c r="B26" t="s">
        <v>225</v>
      </c>
      <c r="C26" s="54">
        <f>E26/150</f>
        <v>6.6712819039630403E-2</v>
      </c>
      <c r="D26" t="s">
        <v>18</v>
      </c>
      <c r="E26" s="15">
        <v>10.006922855944561</v>
      </c>
      <c r="F26" s="15" t="s">
        <v>17</v>
      </c>
      <c r="G26">
        <v>30</v>
      </c>
      <c r="I26" s="15">
        <f t="shared" si="0"/>
        <v>0</v>
      </c>
      <c r="K26">
        <f>COUNTIF(Table!I:I,A26)</f>
        <v>16</v>
      </c>
      <c r="L26">
        <f>COUNTIFS(Table!I:I,A26,Table!J:J,"&gt;0")</f>
        <v>0</v>
      </c>
      <c r="M26" s="15">
        <f t="shared" si="1"/>
        <v>0</v>
      </c>
      <c r="U26">
        <v>58</v>
      </c>
      <c r="V26" s="20" t="s">
        <v>229</v>
      </c>
    </row>
    <row r="27" spans="1:23" x14ac:dyDescent="0.25">
      <c r="A27" t="s">
        <v>215</v>
      </c>
      <c r="B27" t="s">
        <v>223</v>
      </c>
      <c r="C27" s="54">
        <f>E27/150</f>
        <v>3.3333333333333333E-2</v>
      </c>
      <c r="D27" t="s">
        <v>18</v>
      </c>
      <c r="E27" s="15">
        <v>5</v>
      </c>
      <c r="F27" s="15" t="s">
        <v>17</v>
      </c>
      <c r="G27">
        <v>20</v>
      </c>
      <c r="I27" s="15">
        <f t="shared" si="0"/>
        <v>0</v>
      </c>
      <c r="J27">
        <v>4</v>
      </c>
      <c r="K27">
        <f>COUNTIF(Table!I:I,A27)</f>
        <v>4</v>
      </c>
      <c r="L27">
        <f>COUNTIFS(Table!I:I,A27,Table!J:J,"&gt;0")</f>
        <v>0</v>
      </c>
      <c r="M27" s="15">
        <f t="shared" si="1"/>
        <v>0</v>
      </c>
      <c r="U27">
        <v>97</v>
      </c>
      <c r="V27" s="20" t="s">
        <v>229</v>
      </c>
    </row>
    <row r="28" spans="1:23" x14ac:dyDescent="0.25">
      <c r="A28" t="s">
        <v>217</v>
      </c>
      <c r="B28" t="s">
        <v>264</v>
      </c>
      <c r="C28" s="54">
        <f>E28/150</f>
        <v>6.6712819039630403E-2</v>
      </c>
      <c r="D28" t="s">
        <v>18</v>
      </c>
      <c r="E28" s="15">
        <v>10.006922855944561</v>
      </c>
      <c r="F28" s="15" t="s">
        <v>17</v>
      </c>
      <c r="G28">
        <v>20</v>
      </c>
      <c r="I28" s="15">
        <f t="shared" si="0"/>
        <v>0</v>
      </c>
      <c r="J28">
        <v>2</v>
      </c>
      <c r="K28">
        <f>COUNTIF(Table!I:I,A28)</f>
        <v>2</v>
      </c>
      <c r="L28">
        <f>COUNTIFS(Table!I:I,A28,Table!J:J,"&gt;0")</f>
        <v>0</v>
      </c>
      <c r="M28" s="15">
        <f t="shared" si="1"/>
        <v>0</v>
      </c>
      <c r="U28">
        <v>42</v>
      </c>
      <c r="V28" s="20" t="s">
        <v>229</v>
      </c>
    </row>
    <row r="29" spans="1:23" x14ac:dyDescent="0.25">
      <c r="A29" t="s">
        <v>271</v>
      </c>
      <c r="B29" t="s">
        <v>221</v>
      </c>
      <c r="C29" s="54">
        <v>250</v>
      </c>
      <c r="D29" t="s">
        <v>272</v>
      </c>
      <c r="E29" s="15">
        <v>25</v>
      </c>
      <c r="F29" s="15" t="s">
        <v>26</v>
      </c>
      <c r="G29">
        <v>8</v>
      </c>
      <c r="H29">
        <v>0.6</v>
      </c>
      <c r="I29" s="15">
        <f t="shared" si="0"/>
        <v>4.7999999999999996E-3</v>
      </c>
      <c r="K29">
        <f>COUNTIF(Table!I:I,A29)</f>
        <v>2</v>
      </c>
      <c r="L29">
        <f>COUNTIFS(Table!I:I,A29,Table!J:J,"&gt;0")</f>
        <v>0</v>
      </c>
      <c r="M29" s="15">
        <f t="shared" si="1"/>
        <v>0</v>
      </c>
      <c r="N29" t="s">
        <v>274</v>
      </c>
      <c r="U29">
        <v>42</v>
      </c>
      <c r="V29" s="20" t="s">
        <v>273</v>
      </c>
    </row>
    <row r="30" spans="1:23" x14ac:dyDescent="0.25">
      <c r="A30" t="s">
        <v>169</v>
      </c>
      <c r="B30" t="s">
        <v>190</v>
      </c>
      <c r="K30">
        <f>COUNTIF(Table!I:I,A30)</f>
        <v>1</v>
      </c>
      <c r="L30">
        <f>COUNTIFS(Table!I:I,A30,Table!J:J,"&gt;0")</f>
        <v>0</v>
      </c>
      <c r="V30" s="20" t="s">
        <v>168</v>
      </c>
    </row>
    <row r="31" spans="1:23" x14ac:dyDescent="0.25">
      <c r="A31" t="s">
        <v>170</v>
      </c>
      <c r="B31" t="s">
        <v>190</v>
      </c>
      <c r="K31">
        <f>COUNTIF(Table!I:I,A31)</f>
        <v>1</v>
      </c>
      <c r="L31">
        <f>COUNTIFS(Table!I:I,A31,Table!J:J,"&gt;0")</f>
        <v>0</v>
      </c>
      <c r="V31" s="20" t="s">
        <v>168</v>
      </c>
    </row>
    <row r="32" spans="1:23" x14ac:dyDescent="0.25">
      <c r="A32" s="25" t="s">
        <v>194</v>
      </c>
      <c r="B32" t="s">
        <v>190</v>
      </c>
      <c r="K32">
        <f>COUNTIF(Table!I:I,A32)</f>
        <v>1</v>
      </c>
      <c r="L32">
        <f>COUNTIFS(Table!I:I,A32,Table!J:J,"&gt;0")</f>
        <v>0</v>
      </c>
      <c r="V32" s="20" t="s">
        <v>230</v>
      </c>
    </row>
    <row r="33" spans="1:22" x14ac:dyDescent="0.25">
      <c r="A33" t="s">
        <v>226</v>
      </c>
      <c r="B33" t="s">
        <v>192</v>
      </c>
      <c r="K33">
        <f>COUNTIF(Table!I:I,A33)</f>
        <v>17</v>
      </c>
      <c r="L33">
        <f>COUNTIFS(Table!I:I,A33,Table!J:J,"&gt;0")</f>
        <v>0</v>
      </c>
      <c r="V33" s="20" t="s">
        <v>231</v>
      </c>
    </row>
    <row r="34" spans="1:22" x14ac:dyDescent="0.25">
      <c r="A34" t="s">
        <v>193</v>
      </c>
      <c r="B34" t="s">
        <v>192</v>
      </c>
      <c r="K34">
        <f>COUNTIF(Table!I:I,A34)</f>
        <v>17</v>
      </c>
      <c r="L34">
        <f>COUNTIFS(Table!I:I,A34,Table!J:J,"&gt;0")</f>
        <v>0</v>
      </c>
      <c r="V34" s="20" t="s">
        <v>232</v>
      </c>
    </row>
    <row r="35" spans="1:22" x14ac:dyDescent="0.25">
      <c r="A35" t="s">
        <v>195</v>
      </c>
      <c r="B35" t="s">
        <v>192</v>
      </c>
      <c r="K35">
        <f>COUNTIF(Table!I:I,A35)</f>
        <v>17</v>
      </c>
      <c r="L35">
        <f>COUNTIFS(Table!I:I,A35,Table!J:J,"&gt;0")</f>
        <v>0</v>
      </c>
      <c r="V35" s="20" t="s">
        <v>230</v>
      </c>
    </row>
    <row r="40" spans="1:22" x14ac:dyDescent="0.25">
      <c r="B40">
        <v>1.3</v>
      </c>
    </row>
  </sheetData>
  <sortState xmlns:xlrd2="http://schemas.microsoft.com/office/spreadsheetml/2017/richdata2" ref="A2:C16">
    <sortCondition ref="A2"/>
  </sortState>
  <conditionalFormatting sqref="J2:M66">
    <cfRule type="expression" dxfId="0" priority="130">
      <formula>NOT($J2=$K2)</formula>
    </cfRule>
  </conditionalFormatting>
  <hyperlinks>
    <hyperlink ref="V1" r:id="rId1" xr:uid="{00000000-0004-0000-0100-000000000000}"/>
    <hyperlink ref="V5" r:id="rId2" xr:uid="{00000000-0004-0000-0100-000001000000}"/>
    <hyperlink ref="V6" r:id="rId3" xr:uid="{00000000-0004-0000-0100-000002000000}"/>
    <hyperlink ref="V7" r:id="rId4" xr:uid="{00000000-0004-0000-0100-000003000000}"/>
    <hyperlink ref="V8" r:id="rId5" xr:uid="{00000000-0004-0000-0100-000004000000}"/>
    <hyperlink ref="V9" r:id="rId6" xr:uid="{00000000-0004-0000-0100-000005000000}"/>
    <hyperlink ref="V10" r:id="rId7" xr:uid="{00000000-0004-0000-0100-000006000000}"/>
    <hyperlink ref="V11" r:id="rId8" xr:uid="{00000000-0004-0000-0100-000007000000}"/>
    <hyperlink ref="V12" r:id="rId9" xr:uid="{00000000-0004-0000-0100-000008000000}"/>
    <hyperlink ref="V13" r:id="rId10" xr:uid="{00000000-0004-0000-0100-000009000000}"/>
    <hyperlink ref="V14" r:id="rId11" xr:uid="{00000000-0004-0000-0100-00000A000000}"/>
    <hyperlink ref="W14" r:id="rId12" xr:uid="{00000000-0004-0000-0100-00000B000000}"/>
    <hyperlink ref="V15" r:id="rId13" xr:uid="{00000000-0004-0000-0100-00000C000000}"/>
    <hyperlink ref="V17:V18" r:id="rId14" display="Phase 2 correctors" xr:uid="{00000000-0004-0000-0100-00000D000000}"/>
    <hyperlink ref="V19" r:id="rId15" xr:uid="{00000000-0004-0000-0100-00000E000000}"/>
    <hyperlink ref="V20" r:id="rId16" xr:uid="{00000000-0004-0000-0100-00000F000000}"/>
    <hyperlink ref="V21" r:id="rId17" xr:uid="{00000000-0004-0000-0100-000010000000}"/>
    <hyperlink ref="V2" r:id="rId18" xr:uid="{00000000-0004-0000-0100-000011000000}"/>
    <hyperlink ref="V4" r:id="rId19" xr:uid="{00000000-0004-0000-0100-000012000000}"/>
    <hyperlink ref="V22" r:id="rId20" xr:uid="{00000000-0004-0000-0100-000013000000}"/>
    <hyperlink ref="V24" r:id="rId21" xr:uid="{00000000-0004-0000-0100-000014000000}"/>
    <hyperlink ref="V30" r:id="rId22" xr:uid="{00000000-0004-0000-0100-000015000000}"/>
    <hyperlink ref="V31" r:id="rId23" xr:uid="{00000000-0004-0000-0100-000016000000}"/>
    <hyperlink ref="X14" r:id="rId24" xr:uid="{00000000-0004-0000-0100-000017000000}"/>
    <hyperlink ref="V23" r:id="rId25" xr:uid="{00000000-0004-0000-0100-000018000000}"/>
    <hyperlink ref="V25:V28" r:id="rId26" display="FEBE hutch magnets" xr:uid="{00000000-0004-0000-0100-000019000000}"/>
    <hyperlink ref="V32" r:id="rId27" xr:uid="{00000000-0004-0000-0100-00001A000000}"/>
    <hyperlink ref="V35" r:id="rId28" xr:uid="{00000000-0004-0000-0100-00001B000000}"/>
    <hyperlink ref="V33" r:id="rId29" xr:uid="{00000000-0004-0000-0100-00001C000000}"/>
    <hyperlink ref="V34" r:id="rId30" xr:uid="{00000000-0004-0000-0100-00001D000000}"/>
    <hyperlink ref="V29" r:id="rId31" xr:uid="{00000000-0004-0000-0100-00001E000000}"/>
    <hyperlink ref="V16" r:id="rId32" xr:uid="{00000000-0004-0000-0100-00001F000000}"/>
  </hyperlinks>
  <pageMargins left="0.7" right="0.7" top="0.75" bottom="0.75" header="0.3" footer="0.3"/>
  <pageSetup paperSize="9" orientation="landscape" r:id="rId33"/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7"/>
  <sheetViews>
    <sheetView workbookViewId="0">
      <selection activeCell="I19" sqref="I19"/>
    </sheetView>
  </sheetViews>
  <sheetFormatPr defaultRowHeight="15" x14ac:dyDescent="0.25"/>
  <cols>
    <col min="1" max="1" width="18" bestFit="1" customWidth="1"/>
    <col min="2" max="3" width="18" customWidth="1"/>
    <col min="4" max="4" width="8.5703125" bestFit="1" customWidth="1"/>
    <col min="5" max="5" width="5.7109375" bestFit="1" customWidth="1"/>
    <col min="6" max="6" width="10.5703125" customWidth="1"/>
    <col min="7" max="7" width="6" bestFit="1" customWidth="1"/>
    <col min="8" max="8" width="8.42578125" customWidth="1"/>
    <col min="9" max="9" width="8.5703125" customWidth="1"/>
    <col min="10" max="10" width="9.28515625" bestFit="1" customWidth="1"/>
    <col min="11" max="11" width="8.7109375" bestFit="1" customWidth="1"/>
    <col min="12" max="12" width="12.85546875" bestFit="1" customWidth="1"/>
    <col min="13" max="13" width="13.42578125" customWidth="1"/>
    <col min="14" max="14" width="8.7109375" bestFit="1" customWidth="1"/>
    <col min="15" max="15" width="7.28515625" bestFit="1" customWidth="1"/>
    <col min="16" max="16" width="8" bestFit="1" customWidth="1"/>
    <col min="17" max="19" width="9.42578125" customWidth="1"/>
    <col min="21" max="21" width="15.140625" bestFit="1" customWidth="1"/>
  </cols>
  <sheetData>
    <row r="1" spans="1:21" x14ac:dyDescent="0.25">
      <c r="D1" s="17" t="s">
        <v>60</v>
      </c>
      <c r="E1" s="17"/>
      <c r="F1" s="17"/>
      <c r="G1" s="17"/>
      <c r="H1" s="17"/>
      <c r="I1" s="17"/>
      <c r="J1" s="17"/>
      <c r="Q1" s="17" t="s">
        <v>56</v>
      </c>
      <c r="R1" s="17"/>
      <c r="S1" s="17"/>
      <c r="U1" s="1" t="s">
        <v>61</v>
      </c>
    </row>
    <row r="2" spans="1:21" ht="60" x14ac:dyDescent="0.25">
      <c r="A2" s="1" t="s">
        <v>14</v>
      </c>
      <c r="B2" s="16" t="s">
        <v>50</v>
      </c>
      <c r="C2" s="1" t="s">
        <v>51</v>
      </c>
      <c r="D2" s="16" t="s">
        <v>25</v>
      </c>
      <c r="E2" s="16" t="s">
        <v>16</v>
      </c>
      <c r="F2" s="8" t="s">
        <v>15</v>
      </c>
      <c r="G2" s="16" t="s">
        <v>16</v>
      </c>
      <c r="H2" s="8" t="s">
        <v>54</v>
      </c>
      <c r="I2" s="8" t="s">
        <v>55</v>
      </c>
      <c r="J2" s="8" t="s">
        <v>52</v>
      </c>
      <c r="K2" s="16" t="s">
        <v>19</v>
      </c>
      <c r="L2" s="8" t="s">
        <v>22</v>
      </c>
      <c r="M2" s="8" t="s">
        <v>23</v>
      </c>
      <c r="N2" s="8" t="s">
        <v>46</v>
      </c>
      <c r="O2" s="8" t="s">
        <v>47</v>
      </c>
      <c r="P2" s="8" t="s">
        <v>49</v>
      </c>
      <c r="Q2" s="16" t="s">
        <v>57</v>
      </c>
      <c r="R2" s="16" t="s">
        <v>58</v>
      </c>
      <c r="S2" s="16" t="s">
        <v>59</v>
      </c>
      <c r="T2" s="8" t="s">
        <v>53</v>
      </c>
    </row>
    <row r="3" spans="1:21" x14ac:dyDescent="0.25">
      <c r="A3" t="s">
        <v>10</v>
      </c>
      <c r="B3">
        <v>1</v>
      </c>
      <c r="D3">
        <v>0.39400000000000002</v>
      </c>
      <c r="E3" t="s">
        <v>18</v>
      </c>
      <c r="F3">
        <v>158</v>
      </c>
      <c r="G3" t="s">
        <v>17</v>
      </c>
      <c r="H3">
        <v>115.2</v>
      </c>
      <c r="I3">
        <v>12.7</v>
      </c>
      <c r="J3">
        <f>F3/D3</f>
        <v>401.01522842639594</v>
      </c>
      <c r="K3">
        <f>COUNTIF(Table!I:I,A3)</f>
        <v>1</v>
      </c>
      <c r="L3" t="s">
        <v>36</v>
      </c>
      <c r="M3" t="s">
        <v>24</v>
      </c>
      <c r="N3">
        <v>3</v>
      </c>
      <c r="O3">
        <v>5.5</v>
      </c>
      <c r="P3">
        <v>4</v>
      </c>
      <c r="Q3" s="14">
        <v>-1.4050882809169273E-6</v>
      </c>
      <c r="R3" s="14">
        <v>3.6219064766367624E-3</v>
      </c>
      <c r="S3" s="14">
        <v>-2.3206294844180068E-4</v>
      </c>
      <c r="T3" s="15">
        <f>(-R3+SQRT(R3^2-4*Q3*(S3-D3)))/(2*Q3)</f>
        <v>113.8774129054929</v>
      </c>
      <c r="U3" s="20" t="s">
        <v>62</v>
      </c>
    </row>
    <row r="4" spans="1:21" x14ac:dyDescent="0.25">
      <c r="A4" t="s">
        <v>9</v>
      </c>
      <c r="B4">
        <v>1</v>
      </c>
      <c r="D4">
        <v>0.39400000000000002</v>
      </c>
      <c r="E4" t="s">
        <v>18</v>
      </c>
      <c r="F4">
        <v>158</v>
      </c>
      <c r="G4" t="s">
        <v>17</v>
      </c>
      <c r="H4">
        <v>180.04</v>
      </c>
      <c r="I4">
        <v>28.87</v>
      </c>
      <c r="K4">
        <f>COUNTIF(Table!I:I,A4)</f>
        <v>1</v>
      </c>
      <c r="L4" t="s">
        <v>37</v>
      </c>
      <c r="M4" t="s">
        <v>24</v>
      </c>
      <c r="N4">
        <v>3</v>
      </c>
      <c r="O4">
        <v>9.83</v>
      </c>
      <c r="P4">
        <v>7.9</v>
      </c>
      <c r="Q4" s="14">
        <v>-3.6782669821500837E-7</v>
      </c>
      <c r="R4" s="14">
        <v>2.3109456215151588E-3</v>
      </c>
      <c r="S4" s="14">
        <v>-6.6326323542080252E-4</v>
      </c>
      <c r="T4" s="15">
        <f>(-R4+SQRT(R4^2-4*Q4*(S4-D4)))/(2*Q4)</f>
        <v>175.69317408538021</v>
      </c>
      <c r="U4" s="20" t="s">
        <v>62</v>
      </c>
    </row>
    <row r="5" spans="1:21" x14ac:dyDescent="0.25">
      <c r="A5" t="s">
        <v>5</v>
      </c>
      <c r="B5">
        <v>1</v>
      </c>
      <c r="D5">
        <v>9.6</v>
      </c>
      <c r="E5" t="s">
        <v>26</v>
      </c>
      <c r="F5">
        <v>1.2</v>
      </c>
      <c r="G5" t="s">
        <v>18</v>
      </c>
      <c r="H5">
        <v>52.8</v>
      </c>
      <c r="I5">
        <f>7.3*4</f>
        <v>29.2</v>
      </c>
      <c r="K5">
        <f>COUNTIF(Table!I:I,A5)</f>
        <v>5</v>
      </c>
      <c r="L5" t="s">
        <v>38</v>
      </c>
      <c r="M5" t="s">
        <v>24</v>
      </c>
      <c r="N5">
        <v>5</v>
      </c>
      <c r="O5">
        <v>2.1</v>
      </c>
      <c r="P5">
        <v>2.6</v>
      </c>
    </row>
    <row r="6" spans="1:21" x14ac:dyDescent="0.25">
      <c r="A6" t="s">
        <v>5</v>
      </c>
      <c r="B6">
        <v>2</v>
      </c>
      <c r="D6">
        <v>9.6</v>
      </c>
      <c r="E6" t="s">
        <v>26</v>
      </c>
      <c r="F6">
        <v>1.2</v>
      </c>
      <c r="G6" t="s">
        <v>18</v>
      </c>
      <c r="H6">
        <v>52.8</v>
      </c>
      <c r="I6">
        <f t="shared" ref="I6:I9" si="0">7.3*4</f>
        <v>29.2</v>
      </c>
      <c r="K6">
        <f>COUNTIF(Table!I:I,A6)</f>
        <v>5</v>
      </c>
      <c r="L6" t="s">
        <v>38</v>
      </c>
      <c r="M6" t="s">
        <v>24</v>
      </c>
      <c r="N6">
        <v>5</v>
      </c>
      <c r="O6">
        <v>2.1</v>
      </c>
      <c r="P6">
        <v>2.6</v>
      </c>
    </row>
    <row r="7" spans="1:21" x14ac:dyDescent="0.25">
      <c r="A7" t="s">
        <v>5</v>
      </c>
      <c r="B7">
        <v>3</v>
      </c>
      <c r="D7">
        <v>9.6</v>
      </c>
      <c r="E7" t="s">
        <v>26</v>
      </c>
      <c r="F7">
        <v>1.2</v>
      </c>
      <c r="G7" t="s">
        <v>18</v>
      </c>
      <c r="H7">
        <v>52.8</v>
      </c>
      <c r="I7">
        <f t="shared" si="0"/>
        <v>29.2</v>
      </c>
      <c r="K7">
        <f>COUNTIF(Table!I:I,A7)</f>
        <v>5</v>
      </c>
      <c r="L7" t="s">
        <v>38</v>
      </c>
      <c r="M7" t="s">
        <v>24</v>
      </c>
      <c r="N7">
        <v>5</v>
      </c>
      <c r="O7">
        <v>2.1</v>
      </c>
      <c r="P7">
        <v>2.6</v>
      </c>
    </row>
    <row r="8" spans="1:21" x14ac:dyDescent="0.25">
      <c r="A8" t="s">
        <v>5</v>
      </c>
      <c r="B8">
        <v>4</v>
      </c>
      <c r="D8">
        <v>9.6</v>
      </c>
      <c r="E8" t="s">
        <v>26</v>
      </c>
      <c r="F8">
        <v>1.2</v>
      </c>
      <c r="G8" t="s">
        <v>18</v>
      </c>
      <c r="H8">
        <v>52.8</v>
      </c>
      <c r="I8">
        <f t="shared" si="0"/>
        <v>29.2</v>
      </c>
      <c r="K8">
        <f>COUNTIF(Table!I:I,A8)</f>
        <v>5</v>
      </c>
      <c r="L8" t="s">
        <v>38</v>
      </c>
      <c r="M8" t="s">
        <v>24</v>
      </c>
      <c r="N8">
        <v>5</v>
      </c>
      <c r="O8">
        <v>2.1</v>
      </c>
      <c r="P8">
        <v>2.6</v>
      </c>
    </row>
    <row r="9" spans="1:21" x14ac:dyDescent="0.25">
      <c r="A9" t="s">
        <v>5</v>
      </c>
      <c r="B9">
        <v>5</v>
      </c>
      <c r="D9">
        <v>9.6</v>
      </c>
      <c r="E9" t="s">
        <v>26</v>
      </c>
      <c r="F9">
        <v>1.2</v>
      </c>
      <c r="G9" t="s">
        <v>18</v>
      </c>
      <c r="H9">
        <v>52.8</v>
      </c>
      <c r="I9">
        <f t="shared" si="0"/>
        <v>29.2</v>
      </c>
      <c r="K9">
        <f>COUNTIF(Table!I:I,A9)</f>
        <v>5</v>
      </c>
      <c r="L9" t="s">
        <v>38</v>
      </c>
      <c r="M9" t="s">
        <v>24</v>
      </c>
      <c r="N9">
        <v>5</v>
      </c>
      <c r="O9">
        <v>2.1</v>
      </c>
      <c r="P9">
        <v>2.6</v>
      </c>
    </row>
    <row r="10" spans="1:21" x14ac:dyDescent="0.25">
      <c r="A10" t="s">
        <v>8</v>
      </c>
      <c r="B10">
        <v>1</v>
      </c>
      <c r="D10">
        <v>23.2</v>
      </c>
      <c r="E10" t="s">
        <v>26</v>
      </c>
      <c r="F10">
        <v>2.9</v>
      </c>
      <c r="G10" t="s">
        <v>18</v>
      </c>
      <c r="H10">
        <v>185.8</v>
      </c>
      <c r="I10">
        <f>10.8*4</f>
        <v>43.2</v>
      </c>
      <c r="K10">
        <f>COUNTIF(Table!I:I,A10)</f>
        <v>3</v>
      </c>
      <c r="L10" t="s">
        <v>39</v>
      </c>
      <c r="M10" t="s">
        <v>24</v>
      </c>
      <c r="N10">
        <v>5</v>
      </c>
      <c r="O10">
        <v>6.2</v>
      </c>
      <c r="P10">
        <v>4.5999999999999996</v>
      </c>
    </row>
    <row r="11" spans="1:21" x14ac:dyDescent="0.25">
      <c r="A11" t="s">
        <v>8</v>
      </c>
      <c r="B11">
        <v>2</v>
      </c>
      <c r="D11">
        <v>23.2</v>
      </c>
      <c r="E11" t="s">
        <v>26</v>
      </c>
      <c r="F11">
        <v>2.9</v>
      </c>
      <c r="G11" t="s">
        <v>18</v>
      </c>
      <c r="H11">
        <v>185.8</v>
      </c>
      <c r="I11">
        <f t="shared" ref="I11:I12" si="1">10.8*4</f>
        <v>43.2</v>
      </c>
      <c r="K11">
        <f>COUNTIF(Table!I:I,A11)</f>
        <v>3</v>
      </c>
      <c r="L11" t="s">
        <v>39</v>
      </c>
      <c r="M11" t="s">
        <v>24</v>
      </c>
      <c r="N11">
        <v>5</v>
      </c>
      <c r="O11">
        <v>6.2</v>
      </c>
      <c r="P11">
        <v>4.5999999999999996</v>
      </c>
    </row>
    <row r="12" spans="1:21" x14ac:dyDescent="0.25">
      <c r="A12" t="s">
        <v>8</v>
      </c>
      <c r="B12">
        <v>3</v>
      </c>
      <c r="D12">
        <v>23.2</v>
      </c>
      <c r="E12" t="s">
        <v>26</v>
      </c>
      <c r="F12">
        <v>2.9</v>
      </c>
      <c r="G12" t="s">
        <v>18</v>
      </c>
      <c r="H12">
        <v>185.8</v>
      </c>
      <c r="I12">
        <f t="shared" si="1"/>
        <v>43.2</v>
      </c>
      <c r="K12">
        <f>COUNTIF(Table!I:I,A12)</f>
        <v>3</v>
      </c>
      <c r="L12" t="s">
        <v>39</v>
      </c>
      <c r="M12" t="s">
        <v>24</v>
      </c>
      <c r="N12">
        <v>5</v>
      </c>
      <c r="O12">
        <v>6.2</v>
      </c>
      <c r="P12">
        <v>4.5999999999999996</v>
      </c>
    </row>
    <row r="13" spans="1:21" x14ac:dyDescent="0.25">
      <c r="A13" t="s">
        <v>4</v>
      </c>
      <c r="B13">
        <v>1</v>
      </c>
      <c r="D13">
        <v>1.09E-2</v>
      </c>
      <c r="E13" t="s">
        <v>18</v>
      </c>
      <c r="F13" s="2">
        <v>0.109</v>
      </c>
      <c r="G13" s="2" t="s">
        <v>17</v>
      </c>
      <c r="H13">
        <v>5.5</v>
      </c>
      <c r="I13">
        <f>0.08*2</f>
        <v>0.16</v>
      </c>
      <c r="J13" s="18"/>
      <c r="K13">
        <f>COUNTIF(Table!I:I,A13)</f>
        <v>4</v>
      </c>
      <c r="L13" t="s">
        <v>40</v>
      </c>
      <c r="M13" t="s">
        <v>24</v>
      </c>
    </row>
    <row r="14" spans="1:21" x14ac:dyDescent="0.25">
      <c r="A14" t="s">
        <v>4</v>
      </c>
      <c r="B14">
        <v>2</v>
      </c>
      <c r="D14">
        <v>1.09E-2</v>
      </c>
      <c r="E14" t="s">
        <v>18</v>
      </c>
      <c r="F14" s="2">
        <v>0.109</v>
      </c>
      <c r="G14" s="2" t="s">
        <v>17</v>
      </c>
      <c r="H14">
        <v>5.5</v>
      </c>
      <c r="I14">
        <f>0.08*2</f>
        <v>0.16</v>
      </c>
      <c r="J14" s="18"/>
      <c r="K14">
        <f>COUNTIF(Table!I:I,A14)</f>
        <v>4</v>
      </c>
      <c r="L14" t="s">
        <v>40</v>
      </c>
      <c r="M14" t="s">
        <v>24</v>
      </c>
    </row>
    <row r="15" spans="1:21" x14ac:dyDescent="0.25">
      <c r="A15" t="s">
        <v>6</v>
      </c>
      <c r="D15">
        <v>2.3400000000000001E-2</v>
      </c>
      <c r="E15" t="s">
        <v>18</v>
      </c>
      <c r="F15" s="2">
        <v>3.0259999999999998</v>
      </c>
      <c r="G15" s="2" t="s">
        <v>17</v>
      </c>
      <c r="H15">
        <v>10</v>
      </c>
      <c r="I15">
        <v>2.0299999999999998</v>
      </c>
      <c r="J15" s="18"/>
      <c r="K15">
        <f>COUNTIF(Table!I:I,A15)</f>
        <v>6</v>
      </c>
      <c r="L15" t="s">
        <v>41</v>
      </c>
      <c r="M15" t="s">
        <v>24</v>
      </c>
    </row>
    <row r="16" spans="1:21" x14ac:dyDescent="0.25">
      <c r="A16" t="s">
        <v>7</v>
      </c>
      <c r="D16">
        <v>1.2760000000000001E-2</v>
      </c>
      <c r="E16" t="s">
        <v>18</v>
      </c>
      <c r="F16" s="2">
        <v>1.276</v>
      </c>
      <c r="G16" s="2" t="s">
        <v>17</v>
      </c>
      <c r="H16">
        <v>9.9</v>
      </c>
      <c r="I16">
        <v>0.94</v>
      </c>
      <c r="J16" s="18"/>
      <c r="K16">
        <f>COUNTIF(Table!I:I,A16)</f>
        <v>2</v>
      </c>
      <c r="L16" t="s">
        <v>42</v>
      </c>
      <c r="M16" t="s">
        <v>24</v>
      </c>
    </row>
    <row r="17" spans="6:10" x14ac:dyDescent="0.25">
      <c r="F17" s="3" t="s">
        <v>27</v>
      </c>
      <c r="G17" s="3"/>
      <c r="J17" s="19"/>
    </row>
  </sheetData>
  <hyperlinks>
    <hyperlink ref="U3" r:id="rId1" xr:uid="{00000000-0004-0000-0200-000000000000}"/>
    <hyperlink ref="U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43"/>
  <sheetViews>
    <sheetView topLeftCell="A16" workbookViewId="0">
      <selection activeCell="D44" sqref="D44"/>
    </sheetView>
  </sheetViews>
  <sheetFormatPr defaultRowHeight="15" x14ac:dyDescent="0.25"/>
  <cols>
    <col min="1" max="1" width="7.5703125" customWidth="1"/>
    <col min="2" max="2" width="10.7109375" bestFit="1" customWidth="1"/>
    <col min="4" max="4" width="116.28515625" customWidth="1"/>
  </cols>
  <sheetData>
    <row r="1" spans="1:4" x14ac:dyDescent="0.25">
      <c r="A1" t="s">
        <v>35</v>
      </c>
    </row>
    <row r="2" spans="1:4" x14ac:dyDescent="0.25">
      <c r="A2" s="20" t="s">
        <v>117</v>
      </c>
    </row>
    <row r="3" spans="1:4" x14ac:dyDescent="0.25">
      <c r="A3" s="4" t="s">
        <v>31</v>
      </c>
      <c r="B3" s="4" t="s">
        <v>34</v>
      </c>
      <c r="C3" s="4" t="s">
        <v>32</v>
      </c>
      <c r="D3" s="4" t="s">
        <v>33</v>
      </c>
    </row>
    <row r="5" spans="1:4" x14ac:dyDescent="0.25">
      <c r="A5" s="29">
        <v>1</v>
      </c>
      <c r="B5" s="29"/>
      <c r="C5" s="29"/>
      <c r="D5" s="29"/>
    </row>
    <row r="6" spans="1:4" x14ac:dyDescent="0.25">
      <c r="A6" s="29">
        <v>2</v>
      </c>
      <c r="B6" s="30">
        <v>41822</v>
      </c>
      <c r="C6" s="29" t="s">
        <v>29</v>
      </c>
      <c r="D6" s="29" t="s">
        <v>30</v>
      </c>
    </row>
    <row r="7" spans="1:4" x14ac:dyDescent="0.25">
      <c r="A7" s="29">
        <v>3</v>
      </c>
      <c r="B7" s="30">
        <v>42566</v>
      </c>
      <c r="C7" s="29" t="s">
        <v>63</v>
      </c>
      <c r="D7" s="29" t="s">
        <v>64</v>
      </c>
    </row>
    <row r="8" spans="1:4" ht="75" x14ac:dyDescent="0.25">
      <c r="A8" s="29">
        <v>3.1</v>
      </c>
      <c r="B8" s="30">
        <v>42569</v>
      </c>
      <c r="C8" s="29" t="s">
        <v>63</v>
      </c>
      <c r="D8" s="31" t="s">
        <v>108</v>
      </c>
    </row>
    <row r="9" spans="1:4" x14ac:dyDescent="0.25">
      <c r="A9" s="29">
        <v>3.2</v>
      </c>
      <c r="B9" s="30">
        <v>42599</v>
      </c>
      <c r="C9" s="29" t="s">
        <v>63</v>
      </c>
      <c r="D9" s="29"/>
    </row>
    <row r="10" spans="1:4" ht="30" x14ac:dyDescent="0.25">
      <c r="A10" s="29">
        <v>3.3</v>
      </c>
      <c r="B10" s="30">
        <v>42622</v>
      </c>
      <c r="C10" s="29" t="s">
        <v>63</v>
      </c>
      <c r="D10" s="31" t="s">
        <v>114</v>
      </c>
    </row>
    <row r="11" spans="1:4" ht="30" x14ac:dyDescent="0.25">
      <c r="A11" s="29">
        <v>3.4</v>
      </c>
      <c r="B11" s="30">
        <v>42628</v>
      </c>
      <c r="C11" s="29" t="s">
        <v>63</v>
      </c>
      <c r="D11" s="31" t="s">
        <v>116</v>
      </c>
    </row>
    <row r="12" spans="1:4" ht="30" x14ac:dyDescent="0.25">
      <c r="A12" s="29">
        <v>3.5</v>
      </c>
      <c r="B12" s="30">
        <v>42818</v>
      </c>
      <c r="C12" s="29" t="s">
        <v>63</v>
      </c>
      <c r="D12" s="31" t="s">
        <v>130</v>
      </c>
    </row>
    <row r="13" spans="1:4" ht="30" x14ac:dyDescent="0.25">
      <c r="A13" s="29">
        <v>4</v>
      </c>
      <c r="B13" s="30">
        <v>43070</v>
      </c>
      <c r="C13" s="29" t="s">
        <v>63</v>
      </c>
      <c r="D13" s="31" t="s">
        <v>154</v>
      </c>
    </row>
    <row r="14" spans="1:4" x14ac:dyDescent="0.25">
      <c r="A14" s="29">
        <v>4.0999999999999996</v>
      </c>
      <c r="B14" s="30">
        <v>43081</v>
      </c>
      <c r="C14" s="29" t="s">
        <v>63</v>
      </c>
      <c r="D14" s="29" t="s">
        <v>165</v>
      </c>
    </row>
    <row r="15" spans="1:4" x14ac:dyDescent="0.25">
      <c r="A15" s="29">
        <v>5</v>
      </c>
      <c r="B15" s="30">
        <v>43132</v>
      </c>
      <c r="C15" s="29" t="s">
        <v>63</v>
      </c>
      <c r="D15" s="29" t="s">
        <v>171</v>
      </c>
    </row>
    <row r="16" spans="1:4" x14ac:dyDescent="0.25">
      <c r="A16" s="29">
        <v>5.0999999999999996</v>
      </c>
      <c r="B16" s="30">
        <v>43361</v>
      </c>
      <c r="C16" s="29" t="s">
        <v>63</v>
      </c>
      <c r="D16" s="29" t="s">
        <v>204</v>
      </c>
    </row>
    <row r="17" spans="1:4" x14ac:dyDescent="0.25">
      <c r="A17" s="29">
        <v>5.2</v>
      </c>
      <c r="B17" s="30">
        <v>43501</v>
      </c>
      <c r="C17" s="29" t="s">
        <v>63</v>
      </c>
      <c r="D17" s="29" t="s">
        <v>205</v>
      </c>
    </row>
    <row r="18" spans="1:4" x14ac:dyDescent="0.25">
      <c r="A18" s="29">
        <v>6</v>
      </c>
      <c r="B18" s="30">
        <v>43607</v>
      </c>
      <c r="C18" s="29" t="s">
        <v>63</v>
      </c>
      <c r="D18" s="29" t="s">
        <v>206</v>
      </c>
    </row>
    <row r="19" spans="1:4" x14ac:dyDescent="0.25">
      <c r="A19" s="78">
        <v>6.01</v>
      </c>
      <c r="B19" s="30">
        <v>43623</v>
      </c>
      <c r="C19" s="29" t="s">
        <v>63</v>
      </c>
      <c r="D19" s="29" t="s">
        <v>213</v>
      </c>
    </row>
    <row r="20" spans="1:4" x14ac:dyDescent="0.25">
      <c r="A20" s="78">
        <v>6.02</v>
      </c>
      <c r="B20" s="30">
        <v>43810</v>
      </c>
      <c r="C20" s="29" t="s">
        <v>63</v>
      </c>
      <c r="D20" s="29" t="s">
        <v>234</v>
      </c>
    </row>
    <row r="21" spans="1:4" x14ac:dyDescent="0.25">
      <c r="A21" s="78">
        <v>6.03</v>
      </c>
      <c r="B21" s="30">
        <v>43920</v>
      </c>
      <c r="C21" s="29" t="s">
        <v>63</v>
      </c>
      <c r="D21" s="29" t="s">
        <v>236</v>
      </c>
    </row>
    <row r="22" spans="1:4" x14ac:dyDescent="0.25">
      <c r="A22" s="78">
        <v>6.04</v>
      </c>
      <c r="B22" s="30">
        <v>43928</v>
      </c>
      <c r="C22" s="29" t="s">
        <v>63</v>
      </c>
      <c r="D22" s="29" t="s">
        <v>237</v>
      </c>
    </row>
    <row r="23" spans="1:4" x14ac:dyDescent="0.25">
      <c r="A23" s="78">
        <v>6.05</v>
      </c>
      <c r="B23" s="30">
        <v>44032</v>
      </c>
      <c r="C23" s="29" t="s">
        <v>63</v>
      </c>
      <c r="D23" s="29" t="s">
        <v>251</v>
      </c>
    </row>
    <row r="24" spans="1:4" x14ac:dyDescent="0.25">
      <c r="A24" s="78">
        <v>6.06</v>
      </c>
      <c r="B24" s="30">
        <v>44053</v>
      </c>
      <c r="C24" s="29" t="s">
        <v>63</v>
      </c>
      <c r="D24" s="29" t="s">
        <v>254</v>
      </c>
    </row>
    <row r="25" spans="1:4" x14ac:dyDescent="0.25">
      <c r="A25" s="78">
        <v>6.07</v>
      </c>
      <c r="B25" s="30">
        <v>44082</v>
      </c>
      <c r="C25" s="29" t="s">
        <v>63</v>
      </c>
      <c r="D25" s="29" t="s">
        <v>255</v>
      </c>
    </row>
    <row r="26" spans="1:4" x14ac:dyDescent="0.25">
      <c r="A26" s="78">
        <v>6.08</v>
      </c>
      <c r="B26" s="30">
        <v>44126</v>
      </c>
      <c r="C26" s="29" t="s">
        <v>63</v>
      </c>
      <c r="D26" s="29" t="s">
        <v>262</v>
      </c>
    </row>
    <row r="27" spans="1:4" x14ac:dyDescent="0.25">
      <c r="A27" s="78">
        <v>6.09</v>
      </c>
      <c r="B27" s="30">
        <v>44232</v>
      </c>
      <c r="C27" s="29" t="s">
        <v>63</v>
      </c>
      <c r="D27" s="29" t="s">
        <v>263</v>
      </c>
    </row>
    <row r="28" spans="1:4" x14ac:dyDescent="0.25">
      <c r="A28" s="78">
        <v>6.1</v>
      </c>
      <c r="B28" s="30">
        <v>44273</v>
      </c>
      <c r="C28" s="29" t="s">
        <v>63</v>
      </c>
      <c r="D28" s="29" t="s">
        <v>265</v>
      </c>
    </row>
    <row r="29" spans="1:4" x14ac:dyDescent="0.25">
      <c r="A29" s="78">
        <v>6.11</v>
      </c>
      <c r="B29" s="30">
        <v>44315</v>
      </c>
      <c r="C29" s="29" t="s">
        <v>63</v>
      </c>
      <c r="D29" s="29" t="s">
        <v>266</v>
      </c>
    </row>
    <row r="30" spans="1:4" x14ac:dyDescent="0.25">
      <c r="A30" s="78">
        <v>6.12</v>
      </c>
      <c r="B30" s="7">
        <v>44461</v>
      </c>
      <c r="C30" s="29" t="s">
        <v>63</v>
      </c>
      <c r="D30" s="29" t="s">
        <v>269</v>
      </c>
    </row>
    <row r="31" spans="1:4" x14ac:dyDescent="0.25">
      <c r="A31" s="57">
        <v>6.13</v>
      </c>
      <c r="B31" s="7">
        <v>44743</v>
      </c>
      <c r="C31" s="29" t="s">
        <v>63</v>
      </c>
      <c r="D31" t="s">
        <v>275</v>
      </c>
    </row>
    <row r="32" spans="1:4" x14ac:dyDescent="0.25">
      <c r="A32" s="57">
        <v>6.14</v>
      </c>
      <c r="B32" s="7">
        <v>44840</v>
      </c>
      <c r="C32" s="29" t="s">
        <v>63</v>
      </c>
      <c r="D32" s="29" t="s">
        <v>280</v>
      </c>
    </row>
    <row r="33" spans="1:4" x14ac:dyDescent="0.25">
      <c r="A33" s="57">
        <v>6.15</v>
      </c>
      <c r="B33" s="7">
        <v>44932</v>
      </c>
      <c r="C33" s="29" t="s">
        <v>63</v>
      </c>
      <c r="D33" s="29" t="s">
        <v>293</v>
      </c>
    </row>
    <row r="34" spans="1:4" x14ac:dyDescent="0.25">
      <c r="A34" s="57">
        <v>6.16</v>
      </c>
      <c r="B34" s="7">
        <v>45223</v>
      </c>
      <c r="C34" s="29" t="s">
        <v>63</v>
      </c>
      <c r="D34" t="s">
        <v>295</v>
      </c>
    </row>
    <row r="35" spans="1:4" x14ac:dyDescent="0.25">
      <c r="A35" s="57">
        <v>6.17</v>
      </c>
      <c r="B35" s="7">
        <v>45266</v>
      </c>
      <c r="C35" s="29" t="s">
        <v>298</v>
      </c>
      <c r="D35" s="29" t="s">
        <v>299</v>
      </c>
    </row>
    <row r="36" spans="1:4" x14ac:dyDescent="0.25">
      <c r="A36" s="57">
        <v>6.18</v>
      </c>
      <c r="B36" s="7">
        <v>45267</v>
      </c>
      <c r="C36" s="29" t="s">
        <v>298</v>
      </c>
      <c r="D36" s="29" t="s">
        <v>300</v>
      </c>
    </row>
    <row r="37" spans="1:4" x14ac:dyDescent="0.25">
      <c r="A37" s="57">
        <v>6.19</v>
      </c>
      <c r="B37" s="7">
        <v>45280</v>
      </c>
      <c r="C37" s="29" t="s">
        <v>298</v>
      </c>
      <c r="D37" s="29" t="s">
        <v>301</v>
      </c>
    </row>
    <row r="38" spans="1:4" x14ac:dyDescent="0.25">
      <c r="A38" s="57">
        <v>6.2</v>
      </c>
      <c r="B38" s="7">
        <v>45328</v>
      </c>
      <c r="C38" s="29" t="s">
        <v>63</v>
      </c>
      <c r="D38" s="29" t="s">
        <v>305</v>
      </c>
    </row>
    <row r="39" spans="1:4" x14ac:dyDescent="0.25">
      <c r="A39" s="57">
        <v>6.21</v>
      </c>
      <c r="B39" s="7">
        <v>45334</v>
      </c>
      <c r="C39" s="29" t="s">
        <v>298</v>
      </c>
      <c r="D39" s="29" t="s">
        <v>306</v>
      </c>
    </row>
    <row r="40" spans="1:4" x14ac:dyDescent="0.25">
      <c r="A40" s="57">
        <v>6.22</v>
      </c>
      <c r="B40" s="7">
        <v>45489</v>
      </c>
      <c r="C40" s="29" t="s">
        <v>298</v>
      </c>
      <c r="D40" s="29" t="s">
        <v>308</v>
      </c>
    </row>
    <row r="41" spans="1:4" x14ac:dyDescent="0.25">
      <c r="A41" s="57">
        <v>6.23</v>
      </c>
      <c r="B41" s="7">
        <v>45517</v>
      </c>
      <c r="C41" s="29" t="s">
        <v>298</v>
      </c>
      <c r="D41" s="29" t="s">
        <v>309</v>
      </c>
    </row>
    <row r="42" spans="1:4" x14ac:dyDescent="0.25">
      <c r="A42" s="57">
        <v>6.24</v>
      </c>
      <c r="B42" s="7">
        <v>45581</v>
      </c>
      <c r="C42" s="29" t="s">
        <v>63</v>
      </c>
      <c r="D42" t="s">
        <v>310</v>
      </c>
    </row>
    <row r="43" spans="1:4" x14ac:dyDescent="0.25">
      <c r="A43" s="57">
        <v>6.25</v>
      </c>
      <c r="B43" s="7">
        <v>45607</v>
      </c>
      <c r="C43" s="29" t="s">
        <v>298</v>
      </c>
      <c r="D43" s="29" t="s">
        <v>311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Table</vt:lpstr>
      <vt:lpstr>Specs</vt:lpstr>
      <vt:lpstr>Measurements</vt:lpstr>
      <vt:lpstr>Revision</vt:lpstr>
      <vt:lpstr>c_</vt:lpstr>
      <vt:lpstr>Specs!Print_Area</vt:lpstr>
      <vt:lpstr>Table!Print_Area</vt:lpstr>
    </vt:vector>
  </TitlesOfParts>
  <Company>Daresbury Laboratory (STFC)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Shepherd</dc:creator>
  <cp:lastModifiedBy>Jones, James (STFC,DL,AST)</cp:lastModifiedBy>
  <cp:lastPrinted>2019-10-02T13:59:56Z</cp:lastPrinted>
  <dcterms:created xsi:type="dcterms:W3CDTF">2014-03-13T11:18:18Z</dcterms:created>
  <dcterms:modified xsi:type="dcterms:W3CDTF">2025-01-07T10:24:17Z</dcterms:modified>
</cp:coreProperties>
</file>