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Vctos" sheetId="1" r:id="rId1"/>
    <sheet name="Cartera" sheetId="2" r:id="rId2"/>
    <sheet name="Banesco" sheetId="3" r:id="rId3"/>
    <sheet name="Bancrecer" sheetId="4" r:id="rId4"/>
    <sheet name="Exterior" sheetId="5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28" i="5" l="1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I12" i="5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H12" i="5"/>
  <c r="I11" i="5"/>
  <c r="H11" i="5"/>
  <c r="H10" i="5"/>
  <c r="C6" i="5"/>
  <c r="F20" i="4"/>
  <c r="F19" i="4"/>
  <c r="F18" i="4"/>
  <c r="F17" i="4"/>
  <c r="F16" i="4"/>
  <c r="F15" i="4"/>
  <c r="F14" i="4"/>
  <c r="F13" i="4"/>
  <c r="F12" i="4"/>
  <c r="F11" i="4"/>
  <c r="F10" i="4"/>
  <c r="D10" i="4"/>
  <c r="D11" i="4" s="1"/>
  <c r="F9" i="4"/>
  <c r="D9" i="4"/>
  <c r="A2" i="4"/>
  <c r="A1" i="4"/>
  <c r="H10" i="3"/>
  <c r="F8" i="3" s="1"/>
  <c r="H8" i="3"/>
  <c r="E8" i="3"/>
  <c r="B47" i="2"/>
  <c r="F46" i="2"/>
  <c r="G46" i="2" s="1"/>
  <c r="B44" i="2"/>
  <c r="G43" i="2"/>
  <c r="F42" i="2"/>
  <c r="F44" i="2" s="1"/>
  <c r="F40" i="2"/>
  <c r="B40" i="2"/>
  <c r="F39" i="2"/>
  <c r="G39" i="2" s="1"/>
  <c r="B37" i="2"/>
  <c r="F36" i="2"/>
  <c r="G36" i="2" s="1"/>
  <c r="B34" i="2"/>
  <c r="F33" i="2"/>
  <c r="G33" i="2" s="1"/>
  <c r="B31" i="2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B19" i="2"/>
  <c r="F18" i="2"/>
  <c r="G18" i="2" s="1"/>
  <c r="F17" i="2"/>
  <c r="G17" i="2" s="1"/>
  <c r="F16" i="2"/>
  <c r="G16" i="2" s="1"/>
  <c r="F15" i="2"/>
  <c r="B13" i="2"/>
  <c r="G12" i="2"/>
  <c r="G11" i="2"/>
  <c r="G10" i="2"/>
  <c r="G9" i="2"/>
  <c r="F8" i="2"/>
  <c r="G8" i="2" s="1"/>
  <c r="F7" i="2"/>
  <c r="L34" i="1"/>
  <c r="J34" i="1"/>
  <c r="I34" i="1"/>
  <c r="F34" i="1"/>
  <c r="H33" i="1"/>
  <c r="H36" i="1" s="1"/>
  <c r="H38" i="1" s="1"/>
  <c r="F33" i="1"/>
  <c r="G33" i="1" s="1"/>
  <c r="I33" i="1" s="1"/>
  <c r="J33" i="1" s="1"/>
  <c r="F32" i="1"/>
  <c r="G32" i="1" s="1"/>
  <c r="I32" i="1" s="1"/>
  <c r="J32" i="1" s="1"/>
  <c r="L31" i="1"/>
  <c r="G31" i="1"/>
  <c r="I31" i="1" s="1"/>
  <c r="J31" i="1" s="1"/>
  <c r="F31" i="1"/>
  <c r="L30" i="1"/>
  <c r="I30" i="1"/>
  <c r="J30" i="1" s="1"/>
  <c r="G30" i="1"/>
  <c r="F30" i="1"/>
  <c r="L29" i="1"/>
  <c r="F29" i="1"/>
  <c r="B29" i="1"/>
  <c r="G29" i="1" s="1"/>
  <c r="I29" i="1" s="1"/>
  <c r="J29" i="1" s="1"/>
  <c r="L28" i="1"/>
  <c r="G28" i="1"/>
  <c r="I28" i="1" s="1"/>
  <c r="J28" i="1" s="1"/>
  <c r="F28" i="1"/>
  <c r="L27" i="1"/>
  <c r="I27" i="1"/>
  <c r="J27" i="1" s="1"/>
  <c r="G27" i="1"/>
  <c r="F27" i="1"/>
  <c r="O26" i="1"/>
  <c r="L26" i="1"/>
  <c r="G26" i="1"/>
  <c r="I26" i="1" s="1"/>
  <c r="J26" i="1" s="1"/>
  <c r="L25" i="1"/>
  <c r="F25" i="1"/>
  <c r="G25" i="1" s="1"/>
  <c r="I25" i="1" s="1"/>
  <c r="J25" i="1" s="1"/>
  <c r="B25" i="1"/>
  <c r="L24" i="1"/>
  <c r="F24" i="1"/>
  <c r="B24" i="1"/>
  <c r="G24" i="1" s="1"/>
  <c r="I24" i="1" s="1"/>
  <c r="J24" i="1" s="1"/>
  <c r="L23" i="1"/>
  <c r="G23" i="1"/>
  <c r="I23" i="1" s="1"/>
  <c r="J23" i="1" s="1"/>
  <c r="F23" i="1"/>
  <c r="B23" i="1"/>
  <c r="L22" i="1"/>
  <c r="K22" i="1"/>
  <c r="F22" i="1"/>
  <c r="B22" i="1"/>
  <c r="G22" i="1" s="1"/>
  <c r="I22" i="1" s="1"/>
  <c r="J22" i="1" s="1"/>
  <c r="L21" i="1"/>
  <c r="G21" i="1"/>
  <c r="I21" i="1" s="1"/>
  <c r="J21" i="1" s="1"/>
  <c r="F21" i="1"/>
  <c r="B21" i="1"/>
  <c r="L20" i="1"/>
  <c r="F20" i="1"/>
  <c r="B20" i="1"/>
  <c r="G20" i="1" s="1"/>
  <c r="I20" i="1" s="1"/>
  <c r="J20" i="1" s="1"/>
  <c r="L19" i="1"/>
  <c r="G19" i="1"/>
  <c r="I19" i="1" s="1"/>
  <c r="J19" i="1" s="1"/>
  <c r="F19" i="1"/>
  <c r="B19" i="1"/>
  <c r="L18" i="1"/>
  <c r="F18" i="1"/>
  <c r="G18" i="1" s="1"/>
  <c r="I18" i="1" s="1"/>
  <c r="J18" i="1" s="1"/>
  <c r="L17" i="1"/>
  <c r="F17" i="1"/>
  <c r="G17" i="1" s="1"/>
  <c r="I17" i="1" s="1"/>
  <c r="J17" i="1" s="1"/>
  <c r="B17" i="1"/>
  <c r="L16" i="1"/>
  <c r="F16" i="1"/>
  <c r="B16" i="1"/>
  <c r="G16" i="1" s="1"/>
  <c r="I16" i="1" s="1"/>
  <c r="J16" i="1" s="1"/>
  <c r="L15" i="1"/>
  <c r="F15" i="1"/>
  <c r="G15" i="1" s="1"/>
  <c r="I15" i="1" s="1"/>
  <c r="J15" i="1" s="1"/>
  <c r="B15" i="1"/>
  <c r="L14" i="1"/>
  <c r="I14" i="1"/>
  <c r="J14" i="1" s="1"/>
  <c r="G14" i="1"/>
  <c r="F14" i="1"/>
  <c r="L13" i="1"/>
  <c r="F13" i="1"/>
  <c r="B13" i="1"/>
  <c r="G13" i="1" s="1"/>
  <c r="I13" i="1" s="1"/>
  <c r="J13" i="1" s="1"/>
  <c r="L12" i="1"/>
  <c r="G12" i="1"/>
  <c r="I12" i="1" s="1"/>
  <c r="J12" i="1" s="1"/>
  <c r="F12" i="1"/>
  <c r="L11" i="1"/>
  <c r="I11" i="1"/>
  <c r="J11" i="1" s="1"/>
  <c r="G11" i="1"/>
  <c r="F11" i="1"/>
  <c r="B11" i="1"/>
  <c r="L10" i="1"/>
  <c r="F10" i="1"/>
  <c r="B10" i="1"/>
  <c r="G10" i="1" s="1"/>
  <c r="I10" i="1" s="1"/>
  <c r="J10" i="1" s="1"/>
  <c r="L9" i="1"/>
  <c r="I9" i="1"/>
  <c r="J9" i="1" s="1"/>
  <c r="G9" i="1"/>
  <c r="F9" i="1"/>
  <c r="B9" i="1"/>
  <c r="L8" i="1"/>
  <c r="F8" i="1"/>
  <c r="B8" i="1"/>
  <c r="G8" i="1" s="1"/>
  <c r="C6" i="4" l="1"/>
  <c r="D12" i="4"/>
  <c r="D13" i="4" s="1"/>
  <c r="D14" i="4" s="1"/>
  <c r="D15" i="4" s="1"/>
  <c r="D16" i="4" s="1"/>
  <c r="D17" i="4" s="1"/>
  <c r="D18" i="4" s="1"/>
  <c r="D19" i="4" s="1"/>
  <c r="D20" i="4" s="1"/>
  <c r="F9" i="3"/>
  <c r="B8" i="3"/>
  <c r="D8" i="3" s="1"/>
  <c r="F19" i="2"/>
  <c r="G15" i="2"/>
  <c r="G34" i="2"/>
  <c r="B57" i="2" s="1"/>
  <c r="G37" i="2"/>
  <c r="B58" i="2" s="1"/>
  <c r="F13" i="2"/>
  <c r="G7" i="2"/>
  <c r="H36" i="2"/>
  <c r="I36" i="2" s="1"/>
  <c r="E37" i="2" s="1"/>
  <c r="H46" i="2"/>
  <c r="I46" i="2" s="1"/>
  <c r="E47" i="2" s="1"/>
  <c r="G47" i="2"/>
  <c r="G21" i="2"/>
  <c r="F31" i="2"/>
  <c r="F34" i="2"/>
  <c r="G40" i="2"/>
  <c r="B59" i="2" s="1"/>
  <c r="B49" i="2"/>
  <c r="F47" i="2"/>
  <c r="F49" i="2" s="1"/>
  <c r="F37" i="2"/>
  <c r="G42" i="2"/>
  <c r="I8" i="1"/>
  <c r="J8" i="1" s="1"/>
  <c r="G36" i="1"/>
  <c r="G38" i="1" s="1"/>
  <c r="J37" i="1"/>
  <c r="J39" i="1" s="1"/>
  <c r="F10" i="3" l="1"/>
  <c r="E9" i="3"/>
  <c r="B9" i="3" s="1"/>
  <c r="D9" i="3" s="1"/>
  <c r="G13" i="2"/>
  <c r="H7" i="2"/>
  <c r="I7" i="2" s="1"/>
  <c r="G19" i="2"/>
  <c r="H15" i="2"/>
  <c r="I15" i="2" s="1"/>
  <c r="H33" i="2"/>
  <c r="I33" i="2" s="1"/>
  <c r="E34" i="2" s="1"/>
  <c r="G44" i="2"/>
  <c r="H42" i="2"/>
  <c r="I42" i="2" s="1"/>
  <c r="G31" i="2"/>
  <c r="H21" i="2"/>
  <c r="I21" i="2" s="1"/>
  <c r="H39" i="2"/>
  <c r="I39" i="2" s="1"/>
  <c r="E40" i="2" s="1"/>
  <c r="B61" i="2"/>
  <c r="E10" i="3" l="1"/>
  <c r="B10" i="3" s="1"/>
  <c r="D10" i="3" s="1"/>
  <c r="F11" i="3"/>
  <c r="E44" i="2"/>
  <c r="B60" i="2"/>
  <c r="H43" i="2"/>
  <c r="I43" i="2" s="1"/>
  <c r="B54" i="2"/>
  <c r="H12" i="2"/>
  <c r="I12" i="2" s="1"/>
  <c r="H8" i="2"/>
  <c r="I8" i="2" s="1"/>
  <c r="H9" i="2"/>
  <c r="I9" i="2" s="1"/>
  <c r="H11" i="2"/>
  <c r="I11" i="2" s="1"/>
  <c r="E13" i="2" s="1"/>
  <c r="H10" i="2"/>
  <c r="I10" i="2" s="1"/>
  <c r="G49" i="2"/>
  <c r="B55" i="2"/>
  <c r="H18" i="2"/>
  <c r="I18" i="2" s="1"/>
  <c r="H17" i="2"/>
  <c r="I17" i="2" s="1"/>
  <c r="H16" i="2"/>
  <c r="I16" i="2" s="1"/>
  <c r="E19" i="2" s="1"/>
  <c r="B56" i="2"/>
  <c r="H30" i="2"/>
  <c r="I30" i="2" s="1"/>
  <c r="H28" i="2"/>
  <c r="I28" i="2" s="1"/>
  <c r="H26" i="2"/>
  <c r="I26" i="2" s="1"/>
  <c r="H24" i="2"/>
  <c r="I24" i="2" s="1"/>
  <c r="E31" i="2" s="1"/>
  <c r="H22" i="2"/>
  <c r="I22" i="2" s="1"/>
  <c r="H25" i="2"/>
  <c r="I25" i="2" s="1"/>
  <c r="H27" i="2"/>
  <c r="I27" i="2" s="1"/>
  <c r="H29" i="2"/>
  <c r="I29" i="2" s="1"/>
  <c r="H23" i="2"/>
  <c r="I23" i="2" s="1"/>
  <c r="E11" i="3" l="1"/>
  <c r="B11" i="3" s="1"/>
  <c r="D11" i="3" s="1"/>
  <c r="F12" i="3"/>
  <c r="B62" i="2"/>
  <c r="J11" i="2"/>
  <c r="K11" i="2" s="1"/>
  <c r="J12" i="2"/>
  <c r="K12" i="2" s="1"/>
  <c r="J39" i="2"/>
  <c r="K39" i="2" s="1"/>
  <c r="J29" i="2"/>
  <c r="K29" i="2" s="1"/>
  <c r="J27" i="2"/>
  <c r="K27" i="2" s="1"/>
  <c r="J25" i="2"/>
  <c r="K25" i="2" s="1"/>
  <c r="J23" i="2"/>
  <c r="K23" i="2" s="1"/>
  <c r="J10" i="2"/>
  <c r="K10" i="2" s="1"/>
  <c r="J16" i="2"/>
  <c r="K16" i="2" s="1"/>
  <c r="J9" i="2"/>
  <c r="K9" i="2" s="1"/>
  <c r="J28" i="2"/>
  <c r="K28" i="2" s="1"/>
  <c r="J43" i="2"/>
  <c r="K43" i="2" s="1"/>
  <c r="J17" i="2"/>
  <c r="K17" i="2" s="1"/>
  <c r="J18" i="2"/>
  <c r="K18" i="2" s="1"/>
  <c r="J36" i="2"/>
  <c r="K36" i="2" s="1"/>
  <c r="J22" i="2"/>
  <c r="K22" i="2" s="1"/>
  <c r="J30" i="2"/>
  <c r="K30" i="2" s="1"/>
  <c r="J24" i="2"/>
  <c r="K24" i="2" s="1"/>
  <c r="J33" i="2"/>
  <c r="K33" i="2" s="1"/>
  <c r="J8" i="2"/>
  <c r="K8" i="2" s="1"/>
  <c r="J26" i="2"/>
  <c r="K26" i="2" s="1"/>
  <c r="J46" i="2"/>
  <c r="K46" i="2" s="1"/>
  <c r="J7" i="2"/>
  <c r="K7" i="2" s="1"/>
  <c r="J42" i="2"/>
  <c r="K42" i="2" s="1"/>
  <c r="J21" i="2"/>
  <c r="K21" i="2" s="1"/>
  <c r="J15" i="2"/>
  <c r="K15" i="2" s="1"/>
  <c r="E12" i="3" l="1"/>
  <c r="B12" i="3" s="1"/>
  <c r="D12" i="3" s="1"/>
  <c r="F13" i="3"/>
  <c r="E49" i="2"/>
  <c r="E13" i="3" l="1"/>
  <c r="B13" i="3" s="1"/>
  <c r="D13" i="3" s="1"/>
  <c r="F14" i="3"/>
  <c r="E14" i="3" l="1"/>
  <c r="B14" i="3" s="1"/>
  <c r="D14" i="3" s="1"/>
  <c r="F15" i="3"/>
  <c r="E15" i="3" l="1"/>
  <c r="B15" i="3" s="1"/>
  <c r="D15" i="3" s="1"/>
  <c r="F16" i="3"/>
  <c r="E16" i="3" l="1"/>
  <c r="F17" i="3"/>
  <c r="B16" i="3"/>
  <c r="D16" i="3" s="1"/>
  <c r="E17" i="3" l="1"/>
  <c r="F18" i="3"/>
  <c r="B17" i="3"/>
  <c r="D17" i="3" s="1"/>
  <c r="E18" i="3" l="1"/>
  <c r="B18" i="3" s="1"/>
  <c r="D18" i="3" s="1"/>
  <c r="F19" i="3"/>
  <c r="E19" i="3" l="1"/>
  <c r="B19" i="3" s="1"/>
  <c r="D19" i="3" s="1"/>
  <c r="F20" i="3"/>
  <c r="E20" i="3" l="1"/>
  <c r="B20" i="3" s="1"/>
  <c r="D20" i="3" s="1"/>
  <c r="F21" i="3"/>
  <c r="E21" i="3" l="1"/>
  <c r="B21" i="3" s="1"/>
  <c r="D21" i="3" s="1"/>
  <c r="F22" i="3"/>
  <c r="E22" i="3" l="1"/>
  <c r="B22" i="3" s="1"/>
  <c r="D22" i="3" s="1"/>
  <c r="F23" i="3"/>
  <c r="E23" i="3" l="1"/>
  <c r="B23" i="3" s="1"/>
  <c r="D23" i="3" s="1"/>
  <c r="F24" i="3"/>
  <c r="E24" i="3" l="1"/>
  <c r="D24" i="3"/>
  <c r="F25" i="3"/>
  <c r="B24" i="3"/>
  <c r="E25" i="3" l="1"/>
  <c r="B25" i="3" s="1"/>
  <c r="D25" i="3" s="1"/>
</calcChain>
</file>

<file path=xl/sharedStrings.xml><?xml version="1.0" encoding="utf-8"?>
<sst xmlns="http://schemas.openxmlformats.org/spreadsheetml/2006/main" count="184" uniqueCount="60">
  <si>
    <t>CORPORACION WIMAC SYSTEMS, C.A.</t>
  </si>
  <si>
    <t>VENCIMIENTOS WIMAC</t>
  </si>
  <si>
    <t>Asiento Contable</t>
  </si>
  <si>
    <t>Debito</t>
  </si>
  <si>
    <t>D (-) , C (+)</t>
  </si>
  <si>
    <t>Credito</t>
  </si>
  <si>
    <t>Int Bancarios</t>
  </si>
  <si>
    <t>Cuota Capital</t>
  </si>
  <si>
    <t xml:space="preserve">Total </t>
  </si>
  <si>
    <t>Gtos Financieros</t>
  </si>
  <si>
    <t>Banco</t>
  </si>
  <si>
    <t>EXTERIOR</t>
  </si>
  <si>
    <t>INT POR ADELANTADO</t>
  </si>
  <si>
    <t>BANCRECER</t>
  </si>
  <si>
    <t>ACTIVO</t>
  </si>
  <si>
    <t>BFC</t>
  </si>
  <si>
    <t>MERCANTIL</t>
  </si>
  <si>
    <t>BNC</t>
  </si>
  <si>
    <t>CARONI</t>
  </si>
  <si>
    <t>BANESCO</t>
  </si>
  <si>
    <t>CARTERA DE PRÉSTAMOS PASIVOS</t>
  </si>
  <si>
    <t>Monto Original</t>
  </si>
  <si>
    <t>Fecha Inicio</t>
  </si>
  <si>
    <t>Vencimiento</t>
  </si>
  <si>
    <t>Tasa</t>
  </si>
  <si>
    <t>Capital Pagado</t>
  </si>
  <si>
    <t>Saldo Actual</t>
  </si>
  <si>
    <t>BANCO ACTIVO</t>
  </si>
  <si>
    <t>BANCO MERCANTIL</t>
  </si>
  <si>
    <t>BANCO EXTERIOR</t>
  </si>
  <si>
    <t>BANCO CARONI</t>
  </si>
  <si>
    <t>TOTAL</t>
  </si>
  <si>
    <t>Resumen</t>
  </si>
  <si>
    <t>CORPORACIÒN WIMAC SYSTEMS,C.A</t>
  </si>
  <si>
    <t>Interes Vigente</t>
  </si>
  <si>
    <t>Liquidado</t>
  </si>
  <si>
    <t>FECHA COBRO</t>
  </si>
  <si>
    <t>CAPITAL</t>
  </si>
  <si>
    <t>FECHA DE PAGO</t>
  </si>
  <si>
    <t>RESTANTE</t>
  </si>
  <si>
    <t>INTERESES</t>
  </si>
  <si>
    <t>TOTAL CUOTA</t>
  </si>
  <si>
    <t>CREDITO 3</t>
  </si>
  <si>
    <t>Nº Pagaré</t>
  </si>
  <si>
    <t>CUOTA CAPITAL</t>
  </si>
  <si>
    <t>CREDITO 5</t>
  </si>
  <si>
    <t xml:space="preserve"> BANCO EXTERIOR </t>
  </si>
  <si>
    <t>18 m</t>
  </si>
  <si>
    <t>NRO</t>
  </si>
  <si>
    <t>FECHA A PAGAR</t>
  </si>
  <si>
    <t>% INTERÈS</t>
  </si>
  <si>
    <t>PRINCIPAL</t>
  </si>
  <si>
    <t>INTERÈS</t>
  </si>
  <si>
    <t>OTROS CARGOS</t>
  </si>
  <si>
    <t>SALDO</t>
  </si>
  <si>
    <t>EST.</t>
  </si>
  <si>
    <t>VEN.</t>
  </si>
  <si>
    <t>21.000000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</si>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</sst>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.0000%"/>
    <numFmt numFmtId="167" formatCode="dd\-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u val="singleAccounting"/>
      <sz val="11"/>
      <name val="Calibri"/>
      <family val="2"/>
      <scheme val="minor"/>
    </font>
    <font>
      <u/>
      <sz val="11"/>
      <name val="Calibri"/>
      <family val="2"/>
      <scheme val="minor"/>
    </font>
    <font>
      <u val="singleAccounting"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/>
  </cellStyleXfs>
  <cellXfs count="140">
    <xf numFmtId="0" fontId="0" fillId="0" borderId="0" xfId="0"/>
    <xf numFmtId="0" fontId="5" fillId="0" borderId="0" xfId="0" applyFont="1"/>
    <xf numFmtId="14" fontId="0" fillId="0" borderId="0" xfId="0" applyNumberFormat="1"/>
    <xf numFmtId="0" fontId="5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/>
    <xf numFmtId="0" fontId="5" fillId="0" borderId="0" xfId="0" applyFont="1" applyAlignment="1">
      <alignment horizontal="center"/>
    </xf>
    <xf numFmtId="0" fontId="0" fillId="0" borderId="10" xfId="0" applyFill="1" applyBorder="1"/>
    <xf numFmtId="43" fontId="0" fillId="0" borderId="10" xfId="1" applyFont="1" applyFill="1" applyBorder="1"/>
    <xf numFmtId="9" fontId="0" fillId="0" borderId="10" xfId="0" applyNumberFormat="1" applyFill="1" applyBorder="1"/>
    <xf numFmtId="14" fontId="0" fillId="0" borderId="10" xfId="0" applyNumberFormat="1" applyFill="1" applyBorder="1"/>
    <xf numFmtId="164" fontId="0" fillId="0" borderId="11" xfId="1" applyNumberFormat="1" applyFont="1" applyFill="1" applyBorder="1"/>
    <xf numFmtId="43" fontId="5" fillId="0" borderId="8" xfId="1" applyFont="1" applyFill="1" applyBorder="1"/>
    <xf numFmtId="43" fontId="5" fillId="0" borderId="9" xfId="1" applyFont="1" applyFill="1" applyBorder="1"/>
    <xf numFmtId="43" fontId="0" fillId="0" borderId="7" xfId="1" applyFont="1" applyFill="1" applyBorder="1"/>
    <xf numFmtId="43" fontId="5" fillId="0" borderId="8" xfId="0" applyNumberFormat="1" applyFont="1" applyFill="1" applyBorder="1"/>
    <xf numFmtId="14" fontId="0" fillId="0" borderId="12" xfId="0" applyNumberFormat="1" applyFill="1" applyBorder="1"/>
    <xf numFmtId="0" fontId="4" fillId="0" borderId="10" xfId="0" applyFont="1" applyFill="1" applyBorder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3" fontId="7" fillId="0" borderId="10" xfId="1" applyFont="1" applyFill="1" applyBorder="1"/>
    <xf numFmtId="165" fontId="0" fillId="0" borderId="10" xfId="0" applyNumberFormat="1" applyFill="1" applyBorder="1"/>
    <xf numFmtId="43" fontId="8" fillId="0" borderId="7" xfId="1" applyFont="1" applyFill="1" applyBorder="1"/>
    <xf numFmtId="43" fontId="9" fillId="0" borderId="8" xfId="1" applyFont="1" applyFill="1" applyBorder="1"/>
    <xf numFmtId="43" fontId="0" fillId="0" borderId="0" xfId="1" applyFont="1"/>
    <xf numFmtId="0" fontId="0" fillId="0" borderId="10" xfId="0" applyBorder="1"/>
    <xf numFmtId="9" fontId="0" fillId="0" borderId="10" xfId="0" applyNumberFormat="1" applyBorder="1"/>
    <xf numFmtId="14" fontId="0" fillId="0" borderId="10" xfId="0" applyNumberFormat="1" applyBorder="1"/>
    <xf numFmtId="164" fontId="0" fillId="0" borderId="11" xfId="1" applyNumberFormat="1" applyFont="1" applyBorder="1"/>
    <xf numFmtId="43" fontId="5" fillId="0" borderId="8" xfId="1" applyFont="1" applyBorder="1"/>
    <xf numFmtId="0" fontId="10" fillId="0" borderId="10" xfId="0" applyFont="1" applyBorder="1"/>
    <xf numFmtId="9" fontId="0" fillId="0" borderId="0" xfId="0" applyNumberFormat="1"/>
    <xf numFmtId="43" fontId="4" fillId="0" borderId="10" xfId="1" applyFont="1" applyFill="1" applyBorder="1"/>
    <xf numFmtId="43" fontId="11" fillId="0" borderId="9" xfId="1" applyFont="1" applyFill="1" applyBorder="1"/>
    <xf numFmtId="43" fontId="0" fillId="0" borderId="0" xfId="0" applyNumberFormat="1"/>
    <xf numFmtId="43" fontId="11" fillId="4" borderId="8" xfId="0" applyNumberFormat="1" applyFont="1" applyFill="1" applyBorder="1"/>
    <xf numFmtId="43" fontId="5" fillId="4" borderId="8" xfId="0" applyNumberFormat="1" applyFont="1" applyFill="1" applyBorder="1"/>
    <xf numFmtId="0" fontId="10" fillId="0" borderId="10" xfId="0" applyFont="1" applyFill="1" applyBorder="1"/>
    <xf numFmtId="43" fontId="0" fillId="0" borderId="10" xfId="0" applyNumberFormat="1" applyFill="1" applyBorder="1"/>
    <xf numFmtId="43" fontId="5" fillId="3" borderId="8" xfId="0" applyNumberFormat="1" applyFont="1" applyFill="1" applyBorder="1"/>
    <xf numFmtId="43" fontId="5" fillId="0" borderId="13" xfId="1" applyFont="1" applyFill="1" applyBorder="1"/>
    <xf numFmtId="0" fontId="0" fillId="0" borderId="0" xfId="0" applyFill="1" applyAlignment="1">
      <alignment horizontal="center"/>
    </xf>
    <xf numFmtId="43" fontId="0" fillId="5" borderId="10" xfId="0" applyNumberFormat="1" applyFill="1" applyBorder="1"/>
    <xf numFmtId="43" fontId="5" fillId="0" borderId="14" xfId="1" applyFont="1" applyFill="1" applyBorder="1"/>
    <xf numFmtId="43" fontId="5" fillId="0" borderId="15" xfId="1" applyFont="1" applyFill="1" applyBorder="1"/>
    <xf numFmtId="43" fontId="5" fillId="4" borderId="14" xfId="0" applyNumberFormat="1" applyFont="1" applyFill="1" applyBorder="1"/>
    <xf numFmtId="43" fontId="5" fillId="0" borderId="0" xfId="0" applyNumberFormat="1" applyFont="1"/>
    <xf numFmtId="43" fontId="0" fillId="4" borderId="0" xfId="0" applyNumberFormat="1" applyFill="1"/>
    <xf numFmtId="0" fontId="6" fillId="0" borderId="0" xfId="0" applyFont="1"/>
    <xf numFmtId="0" fontId="7" fillId="0" borderId="0" xfId="0" applyFont="1"/>
    <xf numFmtId="0" fontId="11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43" fontId="7" fillId="0" borderId="0" xfId="1" applyFont="1" applyFill="1" applyBorder="1"/>
    <xf numFmtId="15" fontId="7" fillId="0" borderId="0" xfId="0" applyNumberFormat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43" fontId="6" fillId="0" borderId="0" xfId="1" applyFont="1"/>
    <xf numFmtId="0" fontId="7" fillId="0" borderId="0" xfId="0" applyFont="1" applyFill="1" applyAlignment="1">
      <alignment horizontal="center"/>
    </xf>
    <xf numFmtId="0" fontId="0" fillId="0" borderId="0" xfId="0" applyFont="1"/>
    <xf numFmtId="43" fontId="12" fillId="0" borderId="0" xfId="1" applyFont="1" applyFill="1" applyBorder="1"/>
    <xf numFmtId="9" fontId="13" fillId="0" borderId="0" xfId="0" applyNumberFormat="1" applyFont="1" applyFill="1" applyBorder="1" applyAlignment="1">
      <alignment horizontal="center"/>
    </xf>
    <xf numFmtId="43" fontId="7" fillId="0" borderId="0" xfId="1" applyFont="1" applyFill="1" applyBorder="1" applyAlignment="1">
      <alignment horizontal="center"/>
    </xf>
    <xf numFmtId="165" fontId="7" fillId="0" borderId="0" xfId="2" applyNumberFormat="1" applyFont="1" applyFill="1" applyBorder="1" applyAlignment="1">
      <alignment horizontal="center"/>
    </xf>
    <xf numFmtId="43" fontId="7" fillId="0" borderId="0" xfId="1" applyFont="1"/>
    <xf numFmtId="43" fontId="7" fillId="0" borderId="0" xfId="1" applyFont="1" applyFill="1"/>
    <xf numFmtId="15" fontId="7" fillId="0" borderId="0" xfId="0" applyNumberFormat="1" applyFont="1" applyFill="1" applyAlignment="1">
      <alignment horizontal="center"/>
    </xf>
    <xf numFmtId="9" fontId="7" fillId="0" borderId="0" xfId="0" applyNumberFormat="1" applyFont="1" applyFill="1" applyAlignment="1">
      <alignment horizontal="center"/>
    </xf>
    <xf numFmtId="43" fontId="14" fillId="0" borderId="0" xfId="1" applyFont="1" applyFill="1" applyBorder="1"/>
    <xf numFmtId="43" fontId="7" fillId="0" borderId="0" xfId="2" applyNumberFormat="1" applyFont="1" applyFill="1" applyBorder="1" applyAlignment="1">
      <alignment horizontal="center"/>
    </xf>
    <xf numFmtId="43" fontId="7" fillId="0" borderId="0" xfId="1" applyFont="1" applyFill="1" applyAlignment="1">
      <alignment horizontal="center"/>
    </xf>
    <xf numFmtId="43" fontId="12" fillId="0" borderId="0" xfId="1" applyFont="1" applyFill="1"/>
    <xf numFmtId="165" fontId="7" fillId="0" borderId="0" xfId="2" applyNumberFormat="1" applyFont="1" applyFill="1" applyAlignment="1">
      <alignment horizontal="center"/>
    </xf>
    <xf numFmtId="0" fontId="7" fillId="0" borderId="0" xfId="0" applyFont="1" applyFill="1"/>
    <xf numFmtId="9" fontId="13" fillId="0" borderId="0" xfId="0" applyNumberFormat="1" applyFont="1" applyFill="1" applyAlignment="1">
      <alignment horizontal="center"/>
    </xf>
    <xf numFmtId="10" fontId="7" fillId="0" borderId="0" xfId="2" applyNumberFormat="1" applyFont="1" applyFill="1" applyBorder="1" applyAlignment="1">
      <alignment horizontal="center"/>
    </xf>
    <xf numFmtId="9" fontId="1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9" fontId="12" fillId="0" borderId="0" xfId="0" applyNumberFormat="1" applyFont="1" applyFill="1" applyBorder="1" applyAlignment="1">
      <alignment horizontal="center"/>
    </xf>
    <xf numFmtId="15" fontId="6" fillId="0" borderId="0" xfId="0" applyNumberFormat="1" applyFont="1"/>
    <xf numFmtId="0" fontId="7" fillId="0" borderId="0" xfId="0" applyFont="1" applyFill="1" applyBorder="1"/>
    <xf numFmtId="0" fontId="11" fillId="0" borderId="0" xfId="0" applyFont="1" applyFill="1" applyAlignment="1">
      <alignment horizontal="center"/>
    </xf>
    <xf numFmtId="43" fontId="11" fillId="0" borderId="16" xfId="0" applyNumberFormat="1" applyFont="1" applyFill="1" applyBorder="1"/>
    <xf numFmtId="0" fontId="11" fillId="0" borderId="0" xfId="0" applyFont="1" applyFill="1" applyBorder="1"/>
    <xf numFmtId="43" fontId="11" fillId="0" borderId="16" xfId="2" applyNumberFormat="1" applyFont="1" applyFill="1" applyBorder="1" applyAlignment="1">
      <alignment horizontal="center"/>
    </xf>
    <xf numFmtId="43" fontId="7" fillId="0" borderId="0" xfId="0" applyNumberFormat="1" applyFont="1" applyFill="1"/>
    <xf numFmtId="43" fontId="7" fillId="0" borderId="0" xfId="0" applyNumberFormat="1" applyFont="1"/>
    <xf numFmtId="43" fontId="5" fillId="0" borderId="16" xfId="0" applyNumberFormat="1" applyFont="1" applyBorder="1"/>
    <xf numFmtId="9" fontId="6" fillId="0" borderId="0" xfId="0" applyNumberFormat="1" applyFont="1"/>
    <xf numFmtId="4" fontId="0" fillId="0" borderId="0" xfId="0" applyNumberFormat="1"/>
    <xf numFmtId="9" fontId="0" fillId="0" borderId="0" xfId="0" applyNumberFormat="1" applyAlignment="1">
      <alignment horizontal="center"/>
    </xf>
    <xf numFmtId="4" fontId="5" fillId="0" borderId="0" xfId="0" applyNumberFormat="1" applyFont="1"/>
    <xf numFmtId="14" fontId="5" fillId="0" borderId="0" xfId="0" applyNumberFormat="1" applyFont="1"/>
    <xf numFmtId="0" fontId="2" fillId="0" borderId="0" xfId="3" applyFont="1" applyFill="1" applyBorder="1" applyAlignment="1">
      <alignment horizontal="center"/>
    </xf>
    <xf numFmtId="43" fontId="0" fillId="4" borderId="0" xfId="1" applyFont="1" applyFill="1"/>
    <xf numFmtId="14" fontId="0" fillId="0" borderId="0" xfId="0" applyNumberFormat="1" applyFont="1"/>
    <xf numFmtId="4" fontId="0" fillId="0" borderId="0" xfId="0" applyNumberFormat="1" applyFont="1"/>
    <xf numFmtId="1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6" fontId="0" fillId="4" borderId="0" xfId="2" applyNumberFormat="1" applyFont="1" applyFill="1"/>
    <xf numFmtId="166" fontId="0" fillId="0" borderId="0" xfId="2" applyNumberFormat="1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4" fontId="0" fillId="0" borderId="0" xfId="0" applyNumberFormat="1" applyFill="1"/>
    <xf numFmtId="9" fontId="0" fillId="0" borderId="0" xfId="0" applyNumberForma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4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0" fontId="16" fillId="0" borderId="0" xfId="0" applyFont="1" applyFill="1"/>
    <xf numFmtId="4" fontId="0" fillId="0" borderId="0" xfId="0" applyNumberFormat="1" applyFont="1" applyFill="1"/>
    <xf numFmtId="4" fontId="5" fillId="0" borderId="0" xfId="0" applyNumberFormat="1" applyFont="1" applyFill="1"/>
    <xf numFmtId="4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10" xfId="3" applyFont="1" applyFill="1" applyBorder="1" applyAlignment="1">
      <alignment horizontal="center"/>
    </xf>
    <xf numFmtId="0" fontId="7" fillId="4" borderId="10" xfId="3" applyFont="1" applyFill="1" applyBorder="1" applyAlignment="1">
      <alignment horizontal="center"/>
    </xf>
    <xf numFmtId="167" fontId="7" fillId="4" borderId="10" xfId="3" applyNumberFormat="1" applyFont="1" applyFill="1" applyBorder="1" applyAlignment="1">
      <alignment horizontal="center"/>
    </xf>
    <xf numFmtId="49" fontId="7" fillId="4" borderId="10" xfId="3" applyNumberFormat="1" applyFont="1" applyFill="1" applyBorder="1" applyAlignment="1">
      <alignment horizontal="center"/>
    </xf>
    <xf numFmtId="43" fontId="7" fillId="4" borderId="10" xfId="1" applyFont="1" applyFill="1" applyBorder="1" applyAlignment="1">
      <alignment horizontal="center"/>
    </xf>
    <xf numFmtId="14" fontId="7" fillId="4" borderId="10" xfId="3" applyNumberFormat="1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167" fontId="7" fillId="0" borderId="10" xfId="3" applyNumberFormat="1" applyFont="1" applyFill="1" applyBorder="1" applyAlignment="1">
      <alignment horizontal="center"/>
    </xf>
    <xf numFmtId="49" fontId="7" fillId="0" borderId="10" xfId="3" applyNumberFormat="1" applyFont="1" applyFill="1" applyBorder="1" applyAlignment="1">
      <alignment horizontal="center"/>
    </xf>
    <xf numFmtId="43" fontId="7" fillId="0" borderId="10" xfId="1" applyFont="1" applyFill="1" applyBorder="1" applyAlignment="1">
      <alignment horizontal="center"/>
    </xf>
    <xf numFmtId="14" fontId="7" fillId="0" borderId="10" xfId="3" applyNumberFormat="1" applyFont="1" applyFill="1" applyBorder="1" applyAlignment="1">
      <alignment horizontal="center"/>
    </xf>
    <xf numFmtId="43" fontId="7" fillId="0" borderId="10" xfId="1" applyNumberFormat="1" applyFont="1" applyFill="1" applyBorder="1" applyAlignment="1">
      <alignment horizontal="center"/>
    </xf>
  </cellXfs>
  <cellStyles count="4">
    <cellStyle name="Cálculo" xfId="3" builtinId="22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gostini\Documents\Ptmos%20Bancarios_Wimac_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gostini\Documents\Infomaci&#243;n%20%20administrativa_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O"/>
      <sheetName val="Cartera 31-12-13"/>
      <sheetName val="Cartera 31-1-14"/>
      <sheetName val="Cartera 28-2-14"/>
      <sheetName val="Cartera 31-3-14"/>
      <sheetName val="Vctos 04-13"/>
      <sheetName val="Cartera 30-4-14"/>
      <sheetName val="Vctos 05-13"/>
    </sheetNames>
    <sheetDataSet>
      <sheetData sheetId="0"/>
      <sheetData sheetId="1"/>
      <sheetData sheetId="2"/>
      <sheetData sheetId="3"/>
      <sheetData sheetId="4">
        <row r="9">
          <cell r="G9">
            <v>1485000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6"/>
      <sheetName val="Hoja5"/>
      <sheetName val="Hoja4"/>
      <sheetName val="Hoja3"/>
      <sheetName val="Hoja2"/>
      <sheetName val="Cadivi (2)"/>
      <sheetName val="Cadivi"/>
      <sheetName val="Deuda W.Moros"/>
      <sheetName val="RZ_Wimac"/>
      <sheetName val="Disponibilidad bancaria"/>
      <sheetName val="Bicentenario Wimac"/>
      <sheetName val="BNC  Wimac  "/>
      <sheetName val="Bancrecer  Wimac "/>
      <sheetName val="Bancrecer  Inusual"/>
      <sheetName val="Banco exterior Wimac"/>
      <sheetName val="Banco exterior Inusual"/>
      <sheetName val="Banco exterior Anacor"/>
      <sheetName val="Banco Banesco Wimac"/>
      <sheetName val="Banco Banesco Inusual"/>
      <sheetName val="Banco Fondo Comùn Inusual"/>
      <sheetName val="Banco Fondo Comùn Wimac"/>
      <sheetName val="Banco Caroni Wimac"/>
      <sheetName val="Banco Caroni Inusual"/>
      <sheetName val="Banco Plaza Inusual "/>
      <sheetName val="Banco Del Tesoro Wimac"/>
      <sheetName val="Banco Del Tesoro Inusual"/>
      <sheetName val="BANCO  ACTIVO WIMAC NOMINA"/>
      <sheetName val="BANCO  ACTIVO CTA PAGADORA W"/>
      <sheetName val="BANCO  ACTIVO CTA PAGADORA I"/>
      <sheetName val="BANCO  ACTIVO ANACOR NOMINA"/>
      <sheetName val="BANCO  ACTIVO AMNESIA NOMINA"/>
      <sheetName val="BANCO  ACTIVO TOOLBOX  NOMINA"/>
      <sheetName val="Banco Mercantil Wimac"/>
      <sheetName val="Banco Mercantil Inusual"/>
      <sheetName val="Banco Mercantil Anacor"/>
      <sheetName val="BFC WM 3.500.000 "/>
      <sheetName val="MERCANTIL INUSUAL 5.000.000"/>
      <sheetName val="MERCANTIL INUSUAL 6.000.000"/>
      <sheetName val="MERCANTIL INUSUAL 3.000.000,00"/>
      <sheetName val="MERCANTIL INUSUAL 1.500.000,00"/>
      <sheetName val="MERCANTIL INUSUAL 500.000"/>
      <sheetName val="MERCANTIL INUSUAL 250.000"/>
      <sheetName val="MERCANTIL  WIMAC 800.000,00 "/>
      <sheetName val="MERCANTIL WIMAC 9.000.000"/>
      <sheetName val="MERCANTIL WIMAC 4.200.000,00"/>
      <sheetName val="Exterior Inusual 900.000"/>
      <sheetName val="EXTERIOR INUSUAL 1.358.333,32"/>
      <sheetName val="EXTERIOR INUSUAL 600.000,00"/>
      <sheetName val="EXTERIOR INUSUAL 390.000"/>
      <sheetName val="EXTERIOR INUSUAL 2.500.000,00"/>
      <sheetName val="EXTERIOR INUSUAL 250.000"/>
      <sheetName val="Exterior Inusual 1.392.000,00 "/>
      <sheetName val="EXTERIOR WIMAC 877.500,00,00  "/>
      <sheetName val="EXTERIOR WM 500.000,00"/>
      <sheetName val="EXTERIOR WIMAC 447.000"/>
      <sheetName val="EXTERIOR WIMAC 270.000"/>
      <sheetName val="EXTERIOR WIMAC 6.400.000,00"/>
      <sheetName val="Exterior Wimac  3.262.000"/>
      <sheetName val="EXTERIOR WM 726.111,06 "/>
      <sheetName val="Exterior Wimac 1.280.000,00"/>
      <sheetName val="BANESCO WIMAC 450.000,00"/>
      <sheetName val="BANESCO WIMAC 950.000,00"/>
      <sheetName val="BANCRECER WIMAC 800.000,00"/>
      <sheetName val="BANCRECER WIMAC 500.000"/>
      <sheetName val="BANCRECER WIMAC 2.000.000,00"/>
      <sheetName val="BANESCO INUSUAL 1.000.000"/>
      <sheetName val="BANESCO INUSUAL 300.000,00"/>
      <sheetName val="BANESCO INUSUAL 270k"/>
      <sheetName val="BANCRECER INUSUAL 700.000,00"/>
      <sheetName val="BANCRECER INUSUAL 1.000.000,00"/>
      <sheetName val="BANCRECER INUSUAL 1.000.000 "/>
      <sheetName val="BNC WIMAC 171.000,00"/>
      <sheetName val="CARONI WIMAC   2.000.000,00"/>
      <sheetName val="MERCANTIL WIMAC 2.700.000,00"/>
      <sheetName val="MERCANTIL WIMAC 1.000.000,00 "/>
      <sheetName val="BANESCO WIMAC 500.000,00"/>
      <sheetName val="MERCANTIL WIMAC  4.100.000,00"/>
      <sheetName val="MERCANTIL WIMAC 2.000.000,00"/>
      <sheetName val="MERCANTIL IN 8114"/>
      <sheetName val="EXTERIOR IN 348"/>
      <sheetName val="EXTERIOR IN 926"/>
      <sheetName val="MERCANTIL IN 7944"/>
      <sheetName val="MERCANTIL 7192 WM"/>
      <sheetName val="MERCANTIL IN 7151"/>
      <sheetName val="EXTERIOR WM 857"/>
      <sheetName val="MERCANTIL WM 7923"/>
      <sheetName val="EXTERIOR WM 437"/>
      <sheetName val="BANESCO PERSONAL"/>
      <sheetName val="BANESCO IN"/>
      <sheetName val="MERCANTIL 26964"/>
      <sheetName val="EXTERIOR 604"/>
      <sheetName val="BANESCO WM"/>
      <sheetName val="MERCANTIL IN 7822"/>
      <sheetName val="EXTERIOR WM 652"/>
      <sheetName val="EXTERIOR WM 986"/>
      <sheetName val="EXTERIOR WM(330) "/>
      <sheetName val="PRUEBA 800K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1">
          <cell r="A1" t="str">
            <v>CORPORACIÒN WIMAC SYSTEMS,C.A</v>
          </cell>
        </row>
        <row r="2">
          <cell r="A2" t="str">
            <v>BANCRECER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2" max="2" width="13.5703125" bestFit="1" customWidth="1"/>
    <col min="3" max="3" width="6.28515625" customWidth="1"/>
    <col min="6" max="6" width="4.7109375" customWidth="1"/>
    <col min="7" max="7" width="12.5703125" bestFit="1" customWidth="1"/>
    <col min="8" max="8" width="12.7109375" bestFit="1" customWidth="1"/>
    <col min="9" max="9" width="12.5703125" bestFit="1" customWidth="1"/>
    <col min="10" max="10" width="15.5703125" bestFit="1" customWidth="1"/>
    <col min="11" max="11" width="14.42578125" customWidth="1"/>
    <col min="13" max="13" width="20.85546875" bestFit="1" customWidth="1"/>
    <col min="14" max="14" width="15.5703125" bestFit="1" customWidth="1"/>
    <col min="15" max="15" width="12.5703125" bestFit="1" customWidth="1"/>
  </cols>
  <sheetData>
    <row r="1" spans="1:15" x14ac:dyDescent="0.25">
      <c r="A1" s="1" t="s">
        <v>0</v>
      </c>
    </row>
    <row r="2" spans="1:15" x14ac:dyDescent="0.25">
      <c r="G2" s="2"/>
      <c r="M2" s="2">
        <v>41759</v>
      </c>
    </row>
    <row r="3" spans="1:15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5" s="5" customFormat="1" ht="15.75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.75" thickBot="1" x14ac:dyDescent="0.3">
      <c r="G5" s="6" t="s">
        <v>2</v>
      </c>
      <c r="H5" s="7"/>
      <c r="I5" s="7"/>
      <c r="J5" s="7"/>
      <c r="K5" s="8"/>
    </row>
    <row r="6" spans="1:15" x14ac:dyDescent="0.25">
      <c r="G6" s="9" t="s">
        <v>3</v>
      </c>
      <c r="H6" s="10" t="s">
        <v>3</v>
      </c>
      <c r="I6" s="11"/>
      <c r="J6" s="9" t="s">
        <v>4</v>
      </c>
      <c r="K6" s="10" t="s">
        <v>5</v>
      </c>
    </row>
    <row r="7" spans="1:15" x14ac:dyDescent="0.25">
      <c r="G7" s="12" t="s">
        <v>6</v>
      </c>
      <c r="H7" s="13" t="s">
        <v>7</v>
      </c>
      <c r="I7" s="14" t="s">
        <v>8</v>
      </c>
      <c r="J7" s="15" t="s">
        <v>9</v>
      </c>
      <c r="K7" s="13" t="s">
        <v>10</v>
      </c>
      <c r="N7" s="16"/>
    </row>
    <row r="8" spans="1:15" x14ac:dyDescent="0.25">
      <c r="A8" s="17" t="s">
        <v>11</v>
      </c>
      <c r="B8" s="18">
        <f>1133333.32-H8</f>
        <v>1057777.76</v>
      </c>
      <c r="C8" s="19">
        <v>0.19500000000000001</v>
      </c>
      <c r="D8" s="20">
        <v>41731</v>
      </c>
      <c r="E8" s="20">
        <v>41761</v>
      </c>
      <c r="F8" s="21">
        <f t="shared" ref="F8" si="0">+E8-D8</f>
        <v>30</v>
      </c>
      <c r="G8" s="22">
        <f>+B8*C8*F8/360</f>
        <v>17188.888600000002</v>
      </c>
      <c r="H8" s="23">
        <v>75555.56</v>
      </c>
      <c r="I8" s="24">
        <f t="shared" ref="I8" si="1">+G8+H8</f>
        <v>92744.448600000003</v>
      </c>
      <c r="J8" s="25">
        <f t="shared" ref="J8" si="2">+I8-K8</f>
        <v>-1.3999999937368557E-3</v>
      </c>
      <c r="K8" s="23">
        <v>92744.45</v>
      </c>
      <c r="L8" s="26">
        <f>+D8</f>
        <v>41731</v>
      </c>
      <c r="M8" s="27" t="s">
        <v>12</v>
      </c>
      <c r="N8" s="28"/>
    </row>
    <row r="9" spans="1:15" x14ac:dyDescent="0.25">
      <c r="A9" s="17" t="s">
        <v>13</v>
      </c>
      <c r="B9" s="18">
        <f>2083333.33-H9</f>
        <v>1944444.44</v>
      </c>
      <c r="C9" s="19">
        <v>0.24</v>
      </c>
      <c r="D9" s="20">
        <v>41703</v>
      </c>
      <c r="E9" s="20">
        <v>41734</v>
      </c>
      <c r="F9" s="21">
        <f>+E9-D9</f>
        <v>31</v>
      </c>
      <c r="G9" s="22">
        <f>+B9*C9*F9/360</f>
        <v>40185.185093333326</v>
      </c>
      <c r="H9" s="23">
        <v>138888.89000000001</v>
      </c>
      <c r="I9" s="24">
        <f>+G9+H9</f>
        <v>179074.07509333335</v>
      </c>
      <c r="J9" s="25">
        <f>+I9-K9</f>
        <v>-0.1149066666548606</v>
      </c>
      <c r="K9" s="23">
        <v>179074.19</v>
      </c>
      <c r="L9" s="26">
        <f>+E9</f>
        <v>41734</v>
      </c>
      <c r="M9" s="27"/>
      <c r="N9" s="29"/>
    </row>
    <row r="10" spans="1:15" x14ac:dyDescent="0.25">
      <c r="A10" s="17" t="s">
        <v>11</v>
      </c>
      <c r="B10" s="18">
        <f>90000-H10</f>
        <v>75000</v>
      </c>
      <c r="C10" s="19">
        <v>0.24</v>
      </c>
      <c r="D10" s="20">
        <v>41736</v>
      </c>
      <c r="E10" s="20">
        <v>41766</v>
      </c>
      <c r="F10" s="21">
        <f t="shared" ref="F10:F34" si="3">+E10-D10</f>
        <v>30</v>
      </c>
      <c r="G10" s="22">
        <f>+B10*C10*F10/360</f>
        <v>1500</v>
      </c>
      <c r="H10" s="23">
        <v>15000</v>
      </c>
      <c r="I10" s="24">
        <f t="shared" ref="I10:I34" si="4">+G10+H10</f>
        <v>16500</v>
      </c>
      <c r="J10" s="25">
        <f t="shared" ref="J10:J34" si="5">+I10-K10</f>
        <v>0</v>
      </c>
      <c r="K10" s="23">
        <v>16500</v>
      </c>
      <c r="L10" s="20">
        <f>+D10</f>
        <v>41736</v>
      </c>
      <c r="M10" s="27" t="s">
        <v>12</v>
      </c>
      <c r="N10" s="29"/>
    </row>
    <row r="11" spans="1:15" x14ac:dyDescent="0.25">
      <c r="A11" s="17" t="s">
        <v>11</v>
      </c>
      <c r="B11" s="18">
        <f>568888.9-H11</f>
        <v>497777.79000000004</v>
      </c>
      <c r="C11" s="19">
        <v>0.24</v>
      </c>
      <c r="D11" s="20">
        <v>41738</v>
      </c>
      <c r="E11" s="20">
        <v>41768</v>
      </c>
      <c r="F11" s="21">
        <f t="shared" si="3"/>
        <v>30</v>
      </c>
      <c r="G11" s="22">
        <f>ROUND((+B11*C11*F11/360),2)</f>
        <v>9955.56</v>
      </c>
      <c r="H11" s="23">
        <v>71111.11</v>
      </c>
      <c r="I11" s="24">
        <f t="shared" si="4"/>
        <v>81066.67</v>
      </c>
      <c r="J11" s="22">
        <f t="shared" si="5"/>
        <v>0</v>
      </c>
      <c r="K11" s="23">
        <v>81066.67</v>
      </c>
      <c r="L11" s="20">
        <f t="shared" ref="L11:L12" si="6">+D11</f>
        <v>41738</v>
      </c>
      <c r="M11" s="27" t="s">
        <v>12</v>
      </c>
      <c r="N11" s="29"/>
    </row>
    <row r="12" spans="1:15" x14ac:dyDescent="0.25">
      <c r="A12" s="17" t="s">
        <v>11</v>
      </c>
      <c r="B12" s="30">
        <v>600000</v>
      </c>
      <c r="C12" s="31">
        <v>0.24</v>
      </c>
      <c r="D12" s="20">
        <v>41739</v>
      </c>
      <c r="E12" s="20">
        <v>41771</v>
      </c>
      <c r="F12" s="21">
        <f t="shared" si="3"/>
        <v>32</v>
      </c>
      <c r="G12" s="22">
        <f>ROUND((+B12*C12*F12/360),2)</f>
        <v>12800</v>
      </c>
      <c r="H12" s="23">
        <v>50000</v>
      </c>
      <c r="I12" s="24">
        <f t="shared" si="4"/>
        <v>62800</v>
      </c>
      <c r="J12" s="22">
        <f t="shared" si="5"/>
        <v>0</v>
      </c>
      <c r="K12" s="23">
        <v>62800</v>
      </c>
      <c r="L12" s="20">
        <f t="shared" si="6"/>
        <v>41739</v>
      </c>
      <c r="M12" s="27" t="s">
        <v>12</v>
      </c>
    </row>
    <row r="13" spans="1:15" x14ac:dyDescent="0.25">
      <c r="A13" s="17" t="s">
        <v>14</v>
      </c>
      <c r="B13" s="30">
        <f>+'[1]Cartera 31-3-14'!G9</f>
        <v>1485000</v>
      </c>
      <c r="C13" s="31">
        <v>0.24</v>
      </c>
      <c r="D13" s="20">
        <v>41708</v>
      </c>
      <c r="E13" s="20">
        <v>41739</v>
      </c>
      <c r="F13" s="21">
        <f t="shared" si="3"/>
        <v>31</v>
      </c>
      <c r="G13" s="22">
        <f>ROUND((+B13*C13*F13/360),2)</f>
        <v>30690</v>
      </c>
      <c r="H13" s="23">
        <v>0</v>
      </c>
      <c r="I13" s="32">
        <f t="shared" si="4"/>
        <v>30690</v>
      </c>
      <c r="J13" s="33">
        <f t="shared" si="5"/>
        <v>330</v>
      </c>
      <c r="K13" s="23">
        <v>30360</v>
      </c>
      <c r="L13" s="26">
        <f t="shared" ref="L13:L14" si="7">+E13</f>
        <v>41739</v>
      </c>
      <c r="M13" s="27"/>
    </row>
    <row r="14" spans="1:15" x14ac:dyDescent="0.25">
      <c r="A14" s="17" t="s">
        <v>14</v>
      </c>
      <c r="B14" s="30">
        <v>1080000</v>
      </c>
      <c r="C14" s="31">
        <v>0.24</v>
      </c>
      <c r="D14" s="20">
        <v>41708</v>
      </c>
      <c r="E14" s="20">
        <v>41738</v>
      </c>
      <c r="F14" s="21">
        <f t="shared" si="3"/>
        <v>30</v>
      </c>
      <c r="G14" s="22">
        <f>ROUND((+B14*C14*F14/360),2)</f>
        <v>21600</v>
      </c>
      <c r="H14" s="23">
        <v>270000</v>
      </c>
      <c r="I14" s="24">
        <f t="shared" si="4"/>
        <v>291600</v>
      </c>
      <c r="J14" s="22">
        <f t="shared" si="5"/>
        <v>0</v>
      </c>
      <c r="K14" s="23">
        <v>291600</v>
      </c>
      <c r="L14" s="26">
        <f t="shared" si="7"/>
        <v>41738</v>
      </c>
      <c r="M14" s="27"/>
    </row>
    <row r="15" spans="1:15" x14ac:dyDescent="0.25">
      <c r="A15" s="17" t="s">
        <v>15</v>
      </c>
      <c r="B15" s="18">
        <f>875000-H15</f>
        <v>0</v>
      </c>
      <c r="C15" s="19">
        <v>0.24</v>
      </c>
      <c r="D15" s="20">
        <v>41708</v>
      </c>
      <c r="E15" s="20">
        <v>41739</v>
      </c>
      <c r="F15" s="21">
        <f>+E15-D15</f>
        <v>31</v>
      </c>
      <c r="G15" s="22">
        <f>+B15*C15*F15/360</f>
        <v>0</v>
      </c>
      <c r="H15" s="23">
        <v>875000</v>
      </c>
      <c r="I15" s="24">
        <f t="shared" si="4"/>
        <v>875000</v>
      </c>
      <c r="J15" s="25">
        <f t="shared" si="5"/>
        <v>0</v>
      </c>
      <c r="K15" s="23">
        <v>875000</v>
      </c>
      <c r="L15" s="20">
        <f>+D15</f>
        <v>41708</v>
      </c>
      <c r="M15" s="27" t="s">
        <v>12</v>
      </c>
      <c r="N15" s="29"/>
    </row>
    <row r="16" spans="1:15" x14ac:dyDescent="0.25">
      <c r="A16" s="17" t="s">
        <v>11</v>
      </c>
      <c r="B16" s="18">
        <f>833333.36-H16</f>
        <v>750000.03</v>
      </c>
      <c r="C16" s="31">
        <v>0.24</v>
      </c>
      <c r="D16" s="20">
        <v>41742</v>
      </c>
      <c r="E16" s="20">
        <v>41770</v>
      </c>
      <c r="F16" s="21">
        <f t="shared" si="3"/>
        <v>28</v>
      </c>
      <c r="G16" s="22">
        <f>+B16*C16*F16/360</f>
        <v>14000.00056</v>
      </c>
      <c r="H16" s="23">
        <v>83333.33</v>
      </c>
      <c r="I16" s="24">
        <f t="shared" si="4"/>
        <v>97333.330560000002</v>
      </c>
      <c r="J16" s="25">
        <f t="shared" si="5"/>
        <v>5.6000000040512532E-4</v>
      </c>
      <c r="K16" s="23">
        <v>97333.33</v>
      </c>
      <c r="L16" s="20">
        <f t="shared" ref="L16:L22" si="8">+D16</f>
        <v>41742</v>
      </c>
      <c r="M16" s="27" t="s">
        <v>12</v>
      </c>
      <c r="N16" s="29"/>
      <c r="O16" s="34"/>
    </row>
    <row r="17" spans="1:15" x14ac:dyDescent="0.25">
      <c r="A17" s="17" t="s">
        <v>11</v>
      </c>
      <c r="B17" s="18">
        <f>1450000-H17</f>
        <v>1369444.45</v>
      </c>
      <c r="C17" s="31">
        <v>0.19500000000000001</v>
      </c>
      <c r="D17" s="20">
        <v>41739</v>
      </c>
      <c r="E17" s="20">
        <v>41771</v>
      </c>
      <c r="F17" s="21">
        <f t="shared" si="3"/>
        <v>32</v>
      </c>
      <c r="G17" s="22">
        <f>+B17*C17*F17/360</f>
        <v>23737.037133333335</v>
      </c>
      <c r="H17" s="23">
        <v>80555.55</v>
      </c>
      <c r="I17" s="24">
        <f t="shared" si="4"/>
        <v>104292.58713333333</v>
      </c>
      <c r="J17" s="25">
        <f t="shared" si="5"/>
        <v>-2.8666666621575132E-3</v>
      </c>
      <c r="K17" s="23">
        <v>104292.59</v>
      </c>
      <c r="L17" s="20">
        <f t="shared" si="8"/>
        <v>41739</v>
      </c>
      <c r="M17" s="27"/>
      <c r="N17" s="29"/>
      <c r="O17" s="34"/>
    </row>
    <row r="18" spans="1:15" x14ac:dyDescent="0.25">
      <c r="A18" s="17" t="s">
        <v>14</v>
      </c>
      <c r="B18" s="30">
        <v>980000</v>
      </c>
      <c r="C18" s="31">
        <v>0.24</v>
      </c>
      <c r="D18" s="20">
        <v>41712</v>
      </c>
      <c r="E18" s="20">
        <v>41742</v>
      </c>
      <c r="F18" s="21">
        <f t="shared" si="3"/>
        <v>30</v>
      </c>
      <c r="G18" s="22">
        <f>ROUND((+B18*C18*F18/360),2)</f>
        <v>19600</v>
      </c>
      <c r="H18" s="23"/>
      <c r="I18" s="24">
        <f t="shared" si="4"/>
        <v>19600</v>
      </c>
      <c r="J18" s="22">
        <f t="shared" si="5"/>
        <v>0</v>
      </c>
      <c r="K18" s="23">
        <v>19600</v>
      </c>
      <c r="L18" s="20">
        <f t="shared" si="8"/>
        <v>41712</v>
      </c>
      <c r="M18" s="27"/>
      <c r="N18" s="29"/>
      <c r="O18" s="34"/>
    </row>
    <row r="19" spans="1:15" x14ac:dyDescent="0.25">
      <c r="A19" s="35" t="s">
        <v>11</v>
      </c>
      <c r="B19" s="18">
        <f>24833.39-H19</f>
        <v>0</v>
      </c>
      <c r="C19" s="36">
        <v>0.24</v>
      </c>
      <c r="D19" s="37">
        <v>41744</v>
      </c>
      <c r="E19" s="37">
        <v>41750</v>
      </c>
      <c r="F19" s="38">
        <f t="shared" si="3"/>
        <v>6</v>
      </c>
      <c r="G19" s="39">
        <f>+H19*C19*0.0166666666666667</f>
        <v>99.33356000000019</v>
      </c>
      <c r="H19" s="23">
        <v>24833.39</v>
      </c>
      <c r="I19" s="32">
        <f t="shared" si="4"/>
        <v>24932.723559999999</v>
      </c>
      <c r="J19" s="25">
        <f t="shared" si="5"/>
        <v>-5.6440000000293367E-2</v>
      </c>
      <c r="K19" s="23">
        <v>24932.78</v>
      </c>
      <c r="L19" s="20">
        <f t="shared" si="8"/>
        <v>41744</v>
      </c>
      <c r="M19" s="40" t="s">
        <v>12</v>
      </c>
      <c r="N19" s="29"/>
      <c r="O19" s="34"/>
    </row>
    <row r="20" spans="1:15" x14ac:dyDescent="0.25">
      <c r="A20" s="35" t="s">
        <v>11</v>
      </c>
      <c r="B20" s="18">
        <f>1777777.72-H20</f>
        <v>1422222.16</v>
      </c>
      <c r="C20" s="36">
        <v>0.24</v>
      </c>
      <c r="D20" s="37">
        <v>41750</v>
      </c>
      <c r="E20" s="37">
        <v>41779</v>
      </c>
      <c r="F20" s="38">
        <f t="shared" si="3"/>
        <v>29</v>
      </c>
      <c r="G20" s="22">
        <f t="shared" ref="G20:G22" si="9">+B20*C20*F20/360</f>
        <v>27496.295093333334</v>
      </c>
      <c r="H20" s="23">
        <v>355555.56</v>
      </c>
      <c r="I20" s="32">
        <f t="shared" si="4"/>
        <v>383051.85509333335</v>
      </c>
      <c r="J20" s="25">
        <f t="shared" si="5"/>
        <v>5.0933333695866168E-3</v>
      </c>
      <c r="K20" s="23">
        <v>383051.85</v>
      </c>
      <c r="L20" s="20">
        <f t="shared" si="8"/>
        <v>41750</v>
      </c>
      <c r="M20" s="27" t="s">
        <v>12</v>
      </c>
      <c r="N20" s="29"/>
      <c r="O20" s="41"/>
    </row>
    <row r="21" spans="1:15" x14ac:dyDescent="0.25">
      <c r="A21" s="17" t="s">
        <v>11</v>
      </c>
      <c r="B21" s="42">
        <f>3888888.89-H21</f>
        <v>3611111.1122222226</v>
      </c>
      <c r="C21" s="31">
        <v>0.19500000000000001</v>
      </c>
      <c r="D21" s="37">
        <v>41750</v>
      </c>
      <c r="E21" s="37">
        <v>41779</v>
      </c>
      <c r="F21" s="21">
        <f t="shared" si="3"/>
        <v>29</v>
      </c>
      <c r="G21" s="22">
        <f t="shared" si="9"/>
        <v>56724.537054490756</v>
      </c>
      <c r="H21" s="43">
        <v>277777.77777777775</v>
      </c>
      <c r="I21" s="32">
        <f t="shared" si="4"/>
        <v>334502.31483226852</v>
      </c>
      <c r="J21" s="25">
        <f t="shared" si="5"/>
        <v>4.8322685179300606E-3</v>
      </c>
      <c r="K21" s="23">
        <v>334502.31</v>
      </c>
      <c r="L21" s="20">
        <f t="shared" si="8"/>
        <v>41750</v>
      </c>
      <c r="M21" s="27" t="s">
        <v>12</v>
      </c>
      <c r="N21" s="29"/>
      <c r="O21" s="34"/>
    </row>
    <row r="22" spans="1:15" x14ac:dyDescent="0.25">
      <c r="A22" s="17" t="s">
        <v>16</v>
      </c>
      <c r="B22" s="18">
        <f>560000-H22</f>
        <v>280000</v>
      </c>
      <c r="C22" s="19">
        <v>0.22500000000000001</v>
      </c>
      <c r="D22" s="20">
        <v>41755</v>
      </c>
      <c r="E22" s="20">
        <v>41785</v>
      </c>
      <c r="F22" s="21">
        <f t="shared" si="3"/>
        <v>30</v>
      </c>
      <c r="G22" s="22">
        <f t="shared" si="9"/>
        <v>5250</v>
      </c>
      <c r="H22" s="23">
        <v>280000</v>
      </c>
      <c r="I22" s="32">
        <f t="shared" si="4"/>
        <v>285250</v>
      </c>
      <c r="J22" s="25">
        <f t="shared" si="5"/>
        <v>-349.79999999998836</v>
      </c>
      <c r="K22" s="23">
        <f>280000+5599.8</f>
        <v>285599.8</v>
      </c>
      <c r="L22" s="20">
        <f t="shared" si="8"/>
        <v>41755</v>
      </c>
      <c r="M22" s="27" t="s">
        <v>12</v>
      </c>
      <c r="N22" s="29"/>
      <c r="O22" s="44"/>
    </row>
    <row r="23" spans="1:15" x14ac:dyDescent="0.25">
      <c r="A23" s="17" t="s">
        <v>17</v>
      </c>
      <c r="B23" s="18">
        <f>47500-H23</f>
        <v>42750</v>
      </c>
      <c r="C23" s="19">
        <v>0.23</v>
      </c>
      <c r="D23" s="20">
        <v>41722</v>
      </c>
      <c r="E23" s="20">
        <v>41753</v>
      </c>
      <c r="F23" s="21">
        <f t="shared" si="3"/>
        <v>31</v>
      </c>
      <c r="G23" s="22">
        <f>+B23*C23/12</f>
        <v>819.375</v>
      </c>
      <c r="H23" s="23">
        <v>4750</v>
      </c>
      <c r="I23" s="32">
        <f t="shared" si="4"/>
        <v>5569.375</v>
      </c>
      <c r="J23" s="45">
        <f t="shared" si="5"/>
        <v>5569.375</v>
      </c>
      <c r="K23" s="23"/>
      <c r="L23" s="26">
        <f>+E23</f>
        <v>41753</v>
      </c>
      <c r="M23" s="17"/>
      <c r="N23" s="29"/>
    </row>
    <row r="24" spans="1:15" x14ac:dyDescent="0.25">
      <c r="A24" s="17" t="s">
        <v>11</v>
      </c>
      <c r="B24" s="18">
        <f>2444444.44-H24</f>
        <v>2291666.66</v>
      </c>
      <c r="C24" s="31">
        <v>0.19500000000000001</v>
      </c>
      <c r="D24" s="20">
        <v>41753</v>
      </c>
      <c r="E24" s="20">
        <v>41783</v>
      </c>
      <c r="F24" s="21">
        <f t="shared" si="3"/>
        <v>30</v>
      </c>
      <c r="G24" s="22">
        <f t="shared" ref="G24:G33" si="10">+B24*C24*F24/360</f>
        <v>37239.583225000002</v>
      </c>
      <c r="H24" s="23">
        <v>152777.78</v>
      </c>
      <c r="I24" s="24">
        <f t="shared" si="4"/>
        <v>190017.36322500001</v>
      </c>
      <c r="J24" s="46">
        <f t="shared" si="5"/>
        <v>190017.36322500001</v>
      </c>
      <c r="K24" s="23"/>
      <c r="L24" s="26">
        <f>+D24</f>
        <v>41753</v>
      </c>
      <c r="M24" s="47" t="s">
        <v>12</v>
      </c>
      <c r="N24" s="29"/>
      <c r="O24" s="34">
        <v>171440.85</v>
      </c>
    </row>
    <row r="25" spans="1:15" x14ac:dyDescent="0.25">
      <c r="A25" s="17" t="s">
        <v>11</v>
      </c>
      <c r="B25" s="18">
        <f>910555.54-H25</f>
        <v>827777.76</v>
      </c>
      <c r="C25" s="31">
        <v>0.24</v>
      </c>
      <c r="D25" s="20">
        <v>41757</v>
      </c>
      <c r="E25" s="20">
        <v>41783</v>
      </c>
      <c r="F25" s="21">
        <f>+E25-D25</f>
        <v>26</v>
      </c>
      <c r="G25" s="22">
        <f t="shared" si="10"/>
        <v>14348.147840000001</v>
      </c>
      <c r="H25" s="23">
        <v>82777.78</v>
      </c>
      <c r="I25" s="24">
        <f t="shared" si="4"/>
        <v>97125.927840000004</v>
      </c>
      <c r="J25" s="46">
        <f t="shared" si="5"/>
        <v>97125.927840000004</v>
      </c>
      <c r="K25" s="23"/>
      <c r="L25" s="26">
        <f>+D25</f>
        <v>41757</v>
      </c>
      <c r="M25" s="47" t="s">
        <v>12</v>
      </c>
      <c r="N25" s="29"/>
      <c r="O25" s="34">
        <v>156849.82</v>
      </c>
    </row>
    <row r="26" spans="1:15" x14ac:dyDescent="0.25">
      <c r="A26" s="17" t="s">
        <v>15</v>
      </c>
      <c r="B26" s="48">
        <v>2000000</v>
      </c>
      <c r="C26" s="19">
        <v>0.24</v>
      </c>
      <c r="D26" s="20">
        <v>41723</v>
      </c>
      <c r="E26" s="20">
        <v>41754</v>
      </c>
      <c r="F26" s="21">
        <v>31</v>
      </c>
      <c r="G26" s="22">
        <f t="shared" si="10"/>
        <v>41333.333333333336</v>
      </c>
      <c r="H26" s="23"/>
      <c r="I26" s="24">
        <f t="shared" si="4"/>
        <v>41333.333333333336</v>
      </c>
      <c r="J26" s="49">
        <f t="shared" si="5"/>
        <v>41333.333333333336</v>
      </c>
      <c r="K26" s="23"/>
      <c r="L26" s="20">
        <f t="shared" ref="L26" si="11">+E26</f>
        <v>41754</v>
      </c>
      <c r="M26" s="17"/>
      <c r="N26" s="29"/>
      <c r="O26" s="44">
        <f>+O24-O25</f>
        <v>14591.029999999999</v>
      </c>
    </row>
    <row r="27" spans="1:15" x14ac:dyDescent="0.25">
      <c r="A27" s="17" t="s">
        <v>14</v>
      </c>
      <c r="B27" s="18">
        <v>1960000</v>
      </c>
      <c r="C27" s="19">
        <v>0.24</v>
      </c>
      <c r="D27" s="20">
        <v>41724</v>
      </c>
      <c r="E27" s="20">
        <v>41755</v>
      </c>
      <c r="F27" s="21">
        <f t="shared" ref="F27:F28" si="12">+E27-D27</f>
        <v>31</v>
      </c>
      <c r="G27" s="22">
        <f t="shared" si="10"/>
        <v>40506.666666666664</v>
      </c>
      <c r="H27" s="23"/>
      <c r="I27" s="32">
        <f t="shared" si="4"/>
        <v>40506.666666666664</v>
      </c>
      <c r="J27" s="46">
        <f t="shared" si="5"/>
        <v>40506.666666666664</v>
      </c>
      <c r="K27" s="23"/>
      <c r="L27" s="20">
        <f>+E27</f>
        <v>41755</v>
      </c>
      <c r="M27" s="27"/>
      <c r="N27" s="29"/>
    </row>
    <row r="28" spans="1:15" x14ac:dyDescent="0.25">
      <c r="A28" s="17" t="s">
        <v>14</v>
      </c>
      <c r="B28" s="18">
        <v>1000000</v>
      </c>
      <c r="C28" s="19">
        <v>0.24</v>
      </c>
      <c r="D28" s="20">
        <v>41726</v>
      </c>
      <c r="E28" s="20">
        <v>41757</v>
      </c>
      <c r="F28" s="21">
        <f t="shared" si="12"/>
        <v>31</v>
      </c>
      <c r="G28" s="22">
        <f t="shared" si="10"/>
        <v>20666.666666666668</v>
      </c>
      <c r="H28" s="23">
        <v>0</v>
      </c>
      <c r="I28" s="32">
        <f t="shared" si="4"/>
        <v>20666.666666666668</v>
      </c>
      <c r="J28" s="46">
        <f t="shared" si="5"/>
        <v>20666.666666666668</v>
      </c>
      <c r="K28" s="23"/>
      <c r="L28" s="20">
        <f t="shared" ref="L28:L30" si="13">+E28</f>
        <v>41757</v>
      </c>
      <c r="M28" s="27"/>
      <c r="N28" s="29"/>
    </row>
    <row r="29" spans="1:15" x14ac:dyDescent="0.25">
      <c r="A29" s="17" t="s">
        <v>18</v>
      </c>
      <c r="B29" s="48">
        <f>750000.05-H29</f>
        <v>666666.72000000009</v>
      </c>
      <c r="C29" s="19">
        <v>0.21</v>
      </c>
      <c r="D29" s="20">
        <v>41726</v>
      </c>
      <c r="E29" s="20">
        <v>41757</v>
      </c>
      <c r="F29" s="21">
        <f t="shared" si="3"/>
        <v>31</v>
      </c>
      <c r="G29" s="22">
        <f t="shared" si="10"/>
        <v>12055.556520000002</v>
      </c>
      <c r="H29" s="23">
        <v>83333.33</v>
      </c>
      <c r="I29" s="32">
        <f t="shared" si="4"/>
        <v>95388.88652</v>
      </c>
      <c r="J29" s="46">
        <f t="shared" si="5"/>
        <v>95388.88652</v>
      </c>
      <c r="K29" s="23"/>
      <c r="L29" s="20">
        <f t="shared" si="13"/>
        <v>41757</v>
      </c>
      <c r="M29" s="17"/>
      <c r="N29" s="29"/>
      <c r="O29" s="34"/>
    </row>
    <row r="30" spans="1:15" x14ac:dyDescent="0.25">
      <c r="A30" s="17" t="s">
        <v>15</v>
      </c>
      <c r="B30" s="48">
        <v>400000</v>
      </c>
      <c r="C30" s="19">
        <v>0.24</v>
      </c>
      <c r="D30" s="20">
        <v>41726</v>
      </c>
      <c r="E30" s="20">
        <v>41757</v>
      </c>
      <c r="F30" s="21">
        <f>+E30-D30</f>
        <v>31</v>
      </c>
      <c r="G30" s="22">
        <f t="shared" si="10"/>
        <v>8266.6666666666661</v>
      </c>
      <c r="H30" s="23"/>
      <c r="I30" s="32">
        <f t="shared" si="4"/>
        <v>8266.6666666666661</v>
      </c>
      <c r="J30" s="49">
        <f t="shared" si="5"/>
        <v>8266.6666666666661</v>
      </c>
      <c r="K30" s="23"/>
      <c r="L30" s="20">
        <f t="shared" si="13"/>
        <v>41757</v>
      </c>
      <c r="M30" s="17"/>
      <c r="N30" s="29"/>
    </row>
    <row r="31" spans="1:15" x14ac:dyDescent="0.25">
      <c r="A31" s="17" t="s">
        <v>16</v>
      </c>
      <c r="B31" s="48">
        <v>9000000</v>
      </c>
      <c r="C31" s="19">
        <v>0.17</v>
      </c>
      <c r="D31" s="20">
        <v>41726</v>
      </c>
      <c r="E31" s="20">
        <v>41757</v>
      </c>
      <c r="F31" s="21">
        <f t="shared" ref="F31:F33" si="14">+E31-D31</f>
        <v>31</v>
      </c>
      <c r="G31" s="22">
        <f t="shared" si="10"/>
        <v>131750</v>
      </c>
      <c r="H31" s="23">
        <v>1000000</v>
      </c>
      <c r="I31" s="32">
        <f t="shared" si="4"/>
        <v>1131750</v>
      </c>
      <c r="J31" s="46">
        <f t="shared" si="5"/>
        <v>1131750</v>
      </c>
      <c r="K31" s="23"/>
      <c r="L31" s="20">
        <f>+E31</f>
        <v>41757</v>
      </c>
      <c r="M31" s="27" t="s">
        <v>12</v>
      </c>
      <c r="N31" s="29"/>
    </row>
    <row r="32" spans="1:15" x14ac:dyDescent="0.25">
      <c r="A32" s="17" t="s">
        <v>16</v>
      </c>
      <c r="B32" s="48">
        <v>4333333.34</v>
      </c>
      <c r="C32" s="19">
        <v>0.19</v>
      </c>
      <c r="D32" s="20">
        <v>41729</v>
      </c>
      <c r="E32" s="20">
        <v>41759</v>
      </c>
      <c r="F32" s="21">
        <f t="shared" si="14"/>
        <v>30</v>
      </c>
      <c r="G32" s="22">
        <f t="shared" si="10"/>
        <v>68611.111216666657</v>
      </c>
      <c r="H32" s="50">
        <v>333333.33</v>
      </c>
      <c r="I32" s="32">
        <f t="shared" si="4"/>
        <v>401944.44121666666</v>
      </c>
      <c r="J32" s="46">
        <f t="shared" si="5"/>
        <v>401944.44121666666</v>
      </c>
      <c r="K32" s="50"/>
      <c r="L32" s="26">
        <v>41670</v>
      </c>
      <c r="M32" s="27"/>
      <c r="N32" s="51"/>
      <c r="O32" s="34"/>
    </row>
    <row r="33" spans="1:14" x14ac:dyDescent="0.25">
      <c r="A33" s="17" t="s">
        <v>16</v>
      </c>
      <c r="B33" s="48">
        <v>14700000</v>
      </c>
      <c r="C33" s="19">
        <v>0.19</v>
      </c>
      <c r="D33" s="20">
        <v>41729</v>
      </c>
      <c r="E33" s="20">
        <v>41759</v>
      </c>
      <c r="F33" s="21">
        <f t="shared" si="14"/>
        <v>30</v>
      </c>
      <c r="G33" s="22">
        <f t="shared" si="10"/>
        <v>232750</v>
      </c>
      <c r="H33" s="50">
        <f>+B33/12</f>
        <v>1225000</v>
      </c>
      <c r="I33" s="32">
        <f t="shared" si="4"/>
        <v>1457750</v>
      </c>
      <c r="J33" s="46">
        <f t="shared" si="5"/>
        <v>1457750</v>
      </c>
      <c r="K33" s="50"/>
      <c r="L33" s="26"/>
      <c r="M33" s="17"/>
      <c r="N33" s="29"/>
    </row>
    <row r="34" spans="1:14" ht="15.75" thickBot="1" x14ac:dyDescent="0.3">
      <c r="A34" s="17" t="s">
        <v>19</v>
      </c>
      <c r="B34" s="52">
        <v>904642.32178753382</v>
      </c>
      <c r="C34" s="19">
        <v>0.21</v>
      </c>
      <c r="D34" s="20">
        <v>41668</v>
      </c>
      <c r="E34" s="20">
        <v>41668</v>
      </c>
      <c r="F34" s="21">
        <f t="shared" si="3"/>
        <v>0</v>
      </c>
      <c r="G34" s="53">
        <v>15831.240631281842</v>
      </c>
      <c r="H34" s="54">
        <v>46151.437581184378</v>
      </c>
      <c r="I34" s="32">
        <f t="shared" si="4"/>
        <v>61982.67821246622</v>
      </c>
      <c r="J34" s="55">
        <f t="shared" si="5"/>
        <v>61982.67821246622</v>
      </c>
      <c r="K34" s="54"/>
      <c r="L34" s="26">
        <f>+D34</f>
        <v>41668</v>
      </c>
      <c r="M34" s="17"/>
    </row>
    <row r="36" spans="1:14" x14ac:dyDescent="0.25">
      <c r="G36" s="56">
        <f>SUM(G8:G35)</f>
        <v>905005.18486077269</v>
      </c>
      <c r="H36" s="56">
        <f>SUM(H8:H35)</f>
        <v>5525734.8253589617</v>
      </c>
    </row>
    <row r="37" spans="1:14" x14ac:dyDescent="0.25">
      <c r="G37" s="57">
        <v>332587.37411053042</v>
      </c>
      <c r="H37" s="57">
        <v>1875695.9583488195</v>
      </c>
      <c r="J37" s="44">
        <f>+J19+J20+J21</f>
        <v>-4.6514398112776689E-2</v>
      </c>
    </row>
    <row r="38" spans="1:14" x14ac:dyDescent="0.25">
      <c r="G38" s="44">
        <f>SUM(G36:G37)</f>
        <v>1237592.558971303</v>
      </c>
      <c r="H38" s="44">
        <f>SUM(H36:H37)</f>
        <v>7401430.7837077808</v>
      </c>
      <c r="J38" s="34">
        <v>742486.96</v>
      </c>
    </row>
    <row r="39" spans="1:14" x14ac:dyDescent="0.25">
      <c r="J39" s="44">
        <f>+J38-J37</f>
        <v>742487.00651439803</v>
      </c>
    </row>
  </sheetData>
  <mergeCells count="2">
    <mergeCell ref="A3:M3"/>
    <mergeCell ref="G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44" workbookViewId="0">
      <selection activeCell="D23" sqref="D23"/>
    </sheetView>
  </sheetViews>
  <sheetFormatPr baseColWidth="10" defaultRowHeight="15" x14ac:dyDescent="0.25"/>
  <cols>
    <col min="1" max="1" width="18" customWidth="1"/>
    <col min="2" max="2" width="14.42578125" bestFit="1" customWidth="1"/>
    <col min="4" max="4" width="12.42578125" bestFit="1" customWidth="1"/>
    <col min="5" max="5" width="8.85546875" customWidth="1"/>
    <col min="6" max="6" width="14" bestFit="1" customWidth="1"/>
    <col min="7" max="7" width="13.5703125" bestFit="1" customWidth="1"/>
    <col min="8" max="11" width="5.42578125" style="58" bestFit="1" customWidth="1"/>
    <col min="12" max="13" width="14.28515625" bestFit="1" customWidth="1"/>
    <col min="14" max="14" width="12.5703125" bestFit="1" customWidth="1"/>
  </cols>
  <sheetData>
    <row r="1" spans="1:14" x14ac:dyDescent="0.25">
      <c r="A1" s="1" t="s">
        <v>0</v>
      </c>
    </row>
    <row r="2" spans="1:14" x14ac:dyDescent="0.25">
      <c r="G2" s="2">
        <v>41759</v>
      </c>
    </row>
    <row r="3" spans="1:14" x14ac:dyDescent="0.25">
      <c r="A3" s="3" t="s">
        <v>20</v>
      </c>
      <c r="B3" s="3"/>
      <c r="C3" s="3"/>
      <c r="D3" s="3"/>
      <c r="E3" s="3"/>
      <c r="F3" s="3"/>
      <c r="G3" s="3"/>
    </row>
    <row r="5" spans="1:14" x14ac:dyDescent="0.25">
      <c r="A5" s="59"/>
      <c r="B5" s="60" t="s">
        <v>21</v>
      </c>
      <c r="C5" s="60" t="s">
        <v>22</v>
      </c>
      <c r="D5" s="60" t="s">
        <v>23</v>
      </c>
      <c r="E5" s="60" t="s">
        <v>24</v>
      </c>
      <c r="F5" s="60" t="s">
        <v>25</v>
      </c>
      <c r="G5" s="60" t="s">
        <v>26</v>
      </c>
    </row>
    <row r="6" spans="1:14" x14ac:dyDescent="0.25">
      <c r="A6" s="59"/>
      <c r="B6" s="60"/>
      <c r="C6" s="60"/>
      <c r="D6" s="60"/>
      <c r="E6" s="60"/>
      <c r="F6" s="60"/>
      <c r="G6" s="60"/>
    </row>
    <row r="7" spans="1:14" x14ac:dyDescent="0.25">
      <c r="A7" s="61" t="s">
        <v>27</v>
      </c>
      <c r="B7" s="62">
        <v>4000000</v>
      </c>
      <c r="C7" s="63">
        <v>41452</v>
      </c>
      <c r="D7" s="63">
        <v>41817</v>
      </c>
      <c r="E7" s="64">
        <v>0.24</v>
      </c>
      <c r="F7" s="62">
        <f>1000000+1000000+1000000</f>
        <v>3000000</v>
      </c>
      <c r="G7" s="62">
        <f>+B7-F7</f>
        <v>1000000</v>
      </c>
      <c r="H7" s="65">
        <f>+G7/G13</f>
        <v>0.12936610608020699</v>
      </c>
      <c r="I7" s="65">
        <f>+E7*H7</f>
        <v>3.1047865459249677E-2</v>
      </c>
      <c r="J7" s="65">
        <f t="shared" ref="J7:J12" si="0">+G7/$G$49</f>
        <v>1.9794121130584801E-2</v>
      </c>
      <c r="K7" s="65">
        <f>+J7*E7</f>
        <v>4.7505890713403524E-3</v>
      </c>
      <c r="M7" s="34"/>
    </row>
    <row r="8" spans="1:14" x14ac:dyDescent="0.25">
      <c r="A8" s="61" t="s">
        <v>27</v>
      </c>
      <c r="B8" s="62">
        <v>3920000</v>
      </c>
      <c r="C8" s="63">
        <v>41512</v>
      </c>
      <c r="D8" s="63">
        <v>41877</v>
      </c>
      <c r="E8" s="64">
        <v>0.24</v>
      </c>
      <c r="F8" s="62">
        <f>980000+980000</f>
        <v>1960000</v>
      </c>
      <c r="G8" s="62">
        <f t="shared" ref="G8:G12" si="1">+B8-F8</f>
        <v>1960000</v>
      </c>
      <c r="H8" s="65">
        <f>+G8/G13</f>
        <v>0.25355756791720568</v>
      </c>
      <c r="I8" s="65">
        <f t="shared" ref="I8:I9" si="2">+E8*H8</f>
        <v>6.0853816300129364E-2</v>
      </c>
      <c r="J8" s="65">
        <f t="shared" si="0"/>
        <v>3.8796477415946211E-2</v>
      </c>
      <c r="K8" s="65">
        <f t="shared" ref="K8:K12" si="3">+J8*E8</f>
        <v>9.3111545798270894E-3</v>
      </c>
      <c r="M8" s="34"/>
      <c r="N8" s="34"/>
    </row>
    <row r="9" spans="1:14" x14ac:dyDescent="0.25">
      <c r="A9" s="61" t="s">
        <v>27</v>
      </c>
      <c r="B9" s="62">
        <v>1980000</v>
      </c>
      <c r="C9" s="63">
        <v>41618</v>
      </c>
      <c r="D9" s="63">
        <v>41983</v>
      </c>
      <c r="E9" s="64">
        <v>0.24</v>
      </c>
      <c r="F9" s="62">
        <v>495000</v>
      </c>
      <c r="G9" s="62">
        <f t="shared" si="1"/>
        <v>1485000</v>
      </c>
      <c r="H9" s="65">
        <f>+G9/G13</f>
        <v>0.19210866752910738</v>
      </c>
      <c r="I9" s="65">
        <f t="shared" si="2"/>
        <v>4.6106080206985769E-2</v>
      </c>
      <c r="J9" s="65">
        <f t="shared" si="0"/>
        <v>2.9394269878918432E-2</v>
      </c>
      <c r="K9" s="65">
        <f t="shared" si="3"/>
        <v>7.0546247709404233E-3</v>
      </c>
      <c r="M9" s="34"/>
    </row>
    <row r="10" spans="1:14" x14ac:dyDescent="0.25">
      <c r="A10" s="66" t="s">
        <v>27</v>
      </c>
      <c r="B10" s="62">
        <v>1080000</v>
      </c>
      <c r="C10" s="63">
        <v>41648</v>
      </c>
      <c r="D10" s="63">
        <v>42013</v>
      </c>
      <c r="E10" s="64">
        <v>0.24</v>
      </c>
      <c r="F10" s="62">
        <v>270000</v>
      </c>
      <c r="G10" s="62">
        <f t="shared" si="1"/>
        <v>810000</v>
      </c>
      <c r="H10" s="65">
        <f>+G10/G13</f>
        <v>0.10478654592496765</v>
      </c>
      <c r="I10" s="65">
        <f>+E10*H10</f>
        <v>2.5148771021992235E-2</v>
      </c>
      <c r="J10" s="65">
        <f t="shared" si="0"/>
        <v>1.6033238115773691E-2</v>
      </c>
      <c r="K10" s="65">
        <f t="shared" si="3"/>
        <v>3.8479771477856859E-3</v>
      </c>
      <c r="L10" s="67"/>
      <c r="M10" s="34"/>
    </row>
    <row r="11" spans="1:14" x14ac:dyDescent="0.25">
      <c r="A11" s="66" t="s">
        <v>27</v>
      </c>
      <c r="B11" s="62">
        <v>980000</v>
      </c>
      <c r="C11" s="63">
        <v>41708</v>
      </c>
      <c r="D11" s="63">
        <v>42073</v>
      </c>
      <c r="E11" s="64">
        <v>0.24</v>
      </c>
      <c r="F11" s="62">
        <v>0</v>
      </c>
      <c r="G11" s="62">
        <f t="shared" si="1"/>
        <v>980000</v>
      </c>
      <c r="H11" s="65">
        <f>+G11/G13</f>
        <v>0.12677878395860284</v>
      </c>
      <c r="I11" s="65">
        <f>+E11*H11</f>
        <v>3.0426908150064682E-2</v>
      </c>
      <c r="J11" s="65">
        <f t="shared" si="0"/>
        <v>1.9398238707973105E-2</v>
      </c>
      <c r="K11" s="65">
        <f t="shared" si="3"/>
        <v>4.6555772899135447E-3</v>
      </c>
      <c r="L11" s="67"/>
      <c r="M11" s="34"/>
    </row>
    <row r="12" spans="1:14" ht="17.25" x14ac:dyDescent="0.4">
      <c r="A12" s="66" t="s">
        <v>27</v>
      </c>
      <c r="B12" s="68">
        <v>1495000</v>
      </c>
      <c r="C12" s="63">
        <v>41736</v>
      </c>
      <c r="D12" s="63">
        <v>42101</v>
      </c>
      <c r="E12" s="69">
        <v>0.24</v>
      </c>
      <c r="F12" s="68">
        <v>0</v>
      </c>
      <c r="G12" s="68">
        <f t="shared" si="1"/>
        <v>1495000</v>
      </c>
      <c r="H12" s="65">
        <f>+G12/G13</f>
        <v>0.19340232858990944</v>
      </c>
      <c r="I12" s="65">
        <f>+E12*H12</f>
        <v>4.6416558861578264E-2</v>
      </c>
      <c r="J12" s="65">
        <f t="shared" si="0"/>
        <v>2.959221109022428E-2</v>
      </c>
      <c r="K12" s="65">
        <f t="shared" si="3"/>
        <v>7.1021306616538271E-3</v>
      </c>
      <c r="M12" s="34"/>
    </row>
    <row r="13" spans="1:14" x14ac:dyDescent="0.25">
      <c r="A13" s="66"/>
      <c r="B13" s="62">
        <f>SUM(B7:B12)</f>
        <v>13455000</v>
      </c>
      <c r="C13" s="70"/>
      <c r="D13" s="70"/>
      <c r="E13" s="71">
        <f>SUM(I7:I12)</f>
        <v>0.24</v>
      </c>
      <c r="F13" s="62">
        <f t="shared" ref="F13" si="4">SUM(F7:F12)</f>
        <v>5725000</v>
      </c>
      <c r="G13" s="62">
        <f>SUM(G7:G12)</f>
        <v>7730000</v>
      </c>
      <c r="H13" s="65"/>
      <c r="I13" s="65"/>
      <c r="J13" s="65"/>
      <c r="K13" s="65"/>
      <c r="M13" s="34"/>
    </row>
    <row r="14" spans="1:14" x14ac:dyDescent="0.25">
      <c r="A14" s="60"/>
      <c r="B14" s="72"/>
      <c r="C14" s="72"/>
      <c r="D14" s="72"/>
      <c r="E14" s="72"/>
      <c r="F14" s="72"/>
      <c r="G14" s="72"/>
      <c r="H14" s="65"/>
      <c r="I14" s="65"/>
      <c r="J14" s="65"/>
      <c r="K14" s="65"/>
      <c r="L14" s="34"/>
    </row>
    <row r="15" spans="1:14" x14ac:dyDescent="0.25">
      <c r="A15" s="66" t="s">
        <v>28</v>
      </c>
      <c r="B15" s="73">
        <v>4200000</v>
      </c>
      <c r="C15" s="74">
        <v>41326</v>
      </c>
      <c r="D15" s="74">
        <v>41780</v>
      </c>
      <c r="E15" s="75">
        <v>0.21</v>
      </c>
      <c r="F15" s="73">
        <f>280000+280000+280000+280000+280000+280000+280000+280000+280000+280000+280000+280000+280000+280000</f>
        <v>3920000</v>
      </c>
      <c r="G15" s="73">
        <f>+B15-F15</f>
        <v>280000</v>
      </c>
      <c r="H15" s="65">
        <f>+G15/$G$19</f>
        <v>1.119999999552E-2</v>
      </c>
      <c r="I15" s="65">
        <f t="shared" ref="I15:I46" si="5">+E15*H15</f>
        <v>2.3519999990592E-3</v>
      </c>
      <c r="J15" s="65">
        <f>+G15/$G$49</f>
        <v>5.5423539165637449E-3</v>
      </c>
      <c r="K15" s="65">
        <f>+J15*E15</f>
        <v>1.1638943224783864E-3</v>
      </c>
    </row>
    <row r="16" spans="1:14" x14ac:dyDescent="0.25">
      <c r="A16" s="66" t="s">
        <v>28</v>
      </c>
      <c r="B16" s="62">
        <v>12000000</v>
      </c>
      <c r="C16" s="63">
        <v>41607</v>
      </c>
      <c r="D16" s="63">
        <v>41972</v>
      </c>
      <c r="E16" s="64">
        <v>0.17</v>
      </c>
      <c r="F16" s="62">
        <f>1000000+1000000+1000000+1000000+1000000</f>
        <v>5000000</v>
      </c>
      <c r="G16" s="62">
        <f>+B16-F16</f>
        <v>7000000</v>
      </c>
      <c r="H16" s="65">
        <f>+G16/$G$19</f>
        <v>0.27999999988800001</v>
      </c>
      <c r="I16" s="65">
        <f t="shared" si="5"/>
        <v>4.7599999980960005E-2</v>
      </c>
      <c r="J16" s="65">
        <f>+G16/$G$49</f>
        <v>0.13855884791409362</v>
      </c>
      <c r="K16" s="65">
        <f>+J16*E16</f>
        <v>2.3555004145395918E-2</v>
      </c>
      <c r="M16" s="34"/>
    </row>
    <row r="17" spans="1:13" x14ac:dyDescent="0.25">
      <c r="A17" s="66" t="s">
        <v>28</v>
      </c>
      <c r="B17" s="62">
        <v>5000000</v>
      </c>
      <c r="C17" s="63">
        <v>41670</v>
      </c>
      <c r="D17" s="63">
        <v>42124</v>
      </c>
      <c r="E17" s="64">
        <v>0.19</v>
      </c>
      <c r="F17" s="62">
        <f>333333.33+333333.33+333333.33</f>
        <v>999999.99</v>
      </c>
      <c r="G17" s="62">
        <f>+B17-F17</f>
        <v>4000000.01</v>
      </c>
      <c r="H17" s="65">
        <f>+G17/$G$19</f>
        <v>0.16000000033600001</v>
      </c>
      <c r="I17" s="65">
        <f t="shared" si="5"/>
        <v>3.0400000063840003E-2</v>
      </c>
      <c r="J17" s="65">
        <f>+G17/$G$49</f>
        <v>7.9176484720280424E-2</v>
      </c>
      <c r="K17" s="65">
        <f>+J17*E17</f>
        <v>1.5043532096853281E-2</v>
      </c>
      <c r="M17" s="34"/>
    </row>
    <row r="18" spans="1:13" ht="17.25" x14ac:dyDescent="0.4">
      <c r="A18" s="66" t="s">
        <v>28</v>
      </c>
      <c r="B18" s="68">
        <v>14700000</v>
      </c>
      <c r="C18" s="63">
        <v>41729</v>
      </c>
      <c r="D18" s="63">
        <v>42094</v>
      </c>
      <c r="E18" s="69">
        <v>0.19</v>
      </c>
      <c r="F18" s="76">
        <f>+B18/15</f>
        <v>980000</v>
      </c>
      <c r="G18" s="76">
        <f>+B18-F18</f>
        <v>13720000</v>
      </c>
      <c r="H18" s="65">
        <f>+G18/$G$19</f>
        <v>0.54879999978048</v>
      </c>
      <c r="I18" s="65">
        <f t="shared" si="5"/>
        <v>0.1042719999582912</v>
      </c>
      <c r="J18" s="65">
        <f>+G18/$G$49</f>
        <v>0.27157534191162347</v>
      </c>
      <c r="K18" s="65">
        <f>+J18*E18</f>
        <v>5.1599314963208458E-2</v>
      </c>
      <c r="M18" s="34"/>
    </row>
    <row r="19" spans="1:13" x14ac:dyDescent="0.25">
      <c r="A19" s="66"/>
      <c r="B19" s="62">
        <f>SUM(B15:B18)</f>
        <v>35900000</v>
      </c>
      <c r="C19" s="70"/>
      <c r="D19" s="70"/>
      <c r="E19" s="77">
        <f>SUM(I15:I18)</f>
        <v>0.1846240000021504</v>
      </c>
      <c r="F19" s="62">
        <f>SUM(F15:F18)</f>
        <v>10899999.99</v>
      </c>
      <c r="G19" s="62">
        <f>SUM(G15:G18)</f>
        <v>25000000.009999998</v>
      </c>
      <c r="H19" s="65"/>
      <c r="I19" s="65"/>
      <c r="J19" s="65"/>
      <c r="K19" s="65"/>
      <c r="M19" s="34"/>
    </row>
    <row r="20" spans="1:13" x14ac:dyDescent="0.25">
      <c r="A20" s="66"/>
      <c r="B20" s="73"/>
      <c r="C20" s="78"/>
      <c r="D20" s="78"/>
      <c r="E20" s="73"/>
      <c r="F20" s="73"/>
      <c r="G20" s="73"/>
      <c r="H20" s="65"/>
      <c r="I20" s="65"/>
      <c r="J20" s="65"/>
      <c r="K20" s="65"/>
      <c r="L20" s="34"/>
    </row>
    <row r="21" spans="1:13" x14ac:dyDescent="0.25">
      <c r="A21" s="66" t="s">
        <v>29</v>
      </c>
      <c r="B21" s="62">
        <v>6400000</v>
      </c>
      <c r="C21" s="74">
        <v>41325</v>
      </c>
      <c r="D21" s="74">
        <v>41871</v>
      </c>
      <c r="E21" s="75">
        <v>0.21</v>
      </c>
      <c r="F21" s="62">
        <f>355555.56+355555.56+355555.56+355555.56+355555.56+355555.56+355555.56+355555.56+355555.56+355555.56+355555.56+355555.56+355555.56+355555.56</f>
        <v>4977777.8399999989</v>
      </c>
      <c r="G21" s="62">
        <f t="shared" ref="G21:G30" si="6">+B21-F21</f>
        <v>1422222.1600000011</v>
      </c>
      <c r="H21" s="65">
        <f t="shared" ref="H21:H30" si="7">+G21/$G$31</f>
        <v>0.1137524951350958</v>
      </c>
      <c r="I21" s="65">
        <f t="shared" si="5"/>
        <v>2.3888023978370119E-2</v>
      </c>
      <c r="J21" s="65">
        <f t="shared" ref="J21:J30" si="8">+G21/$G$49</f>
        <v>2.8151637709641981E-2</v>
      </c>
      <c r="K21" s="65">
        <f t="shared" ref="K21:K30" si="9">+J21*E21</f>
        <v>5.9118439190248154E-3</v>
      </c>
      <c r="L21" s="44"/>
      <c r="M21" s="34"/>
    </row>
    <row r="22" spans="1:13" x14ac:dyDescent="0.25">
      <c r="A22" s="66" t="s">
        <v>29</v>
      </c>
      <c r="B22" s="73">
        <v>270000</v>
      </c>
      <c r="C22" s="63">
        <v>41340</v>
      </c>
      <c r="D22" s="63">
        <v>41890</v>
      </c>
      <c r="E22" s="64">
        <v>0.22</v>
      </c>
      <c r="F22" s="73">
        <f>15000+15000+15000+15000+15000+15000+15000+15000+15000+15000+15000+15000+15000</f>
        <v>195000</v>
      </c>
      <c r="G22" s="73">
        <f t="shared" si="6"/>
        <v>75000</v>
      </c>
      <c r="H22" s="65">
        <f t="shared" si="7"/>
        <v>5.9986669980814948E-3</v>
      </c>
      <c r="I22" s="65">
        <f t="shared" si="5"/>
        <v>1.3197067395779288E-3</v>
      </c>
      <c r="J22" s="65">
        <f t="shared" si="8"/>
        <v>1.4845590847938602E-3</v>
      </c>
      <c r="K22" s="65">
        <f t="shared" si="9"/>
        <v>3.2660299865464927E-4</v>
      </c>
    </row>
    <row r="23" spans="1:13" x14ac:dyDescent="0.25">
      <c r="A23" s="66" t="s">
        <v>29</v>
      </c>
      <c r="B23" s="62">
        <v>1280000</v>
      </c>
      <c r="C23" s="63">
        <v>41403</v>
      </c>
      <c r="D23" s="63">
        <v>41952</v>
      </c>
      <c r="E23" s="64">
        <v>0.21</v>
      </c>
      <c r="F23" s="62">
        <f>71111.11+71111.11+71111.11+71111.11+71111.11+71111.11+71111.11+71111.11+71111.11+71111.11+71111.11</f>
        <v>782222.21</v>
      </c>
      <c r="G23" s="62">
        <f t="shared" si="6"/>
        <v>497777.79000000004</v>
      </c>
      <c r="H23" s="65">
        <f t="shared" si="7"/>
        <v>3.9813376016679211E-2</v>
      </c>
      <c r="I23" s="65">
        <f t="shared" si="5"/>
        <v>8.3608089635026344E-3</v>
      </c>
      <c r="J23" s="65">
        <f t="shared" si="8"/>
        <v>9.853073871374806E-3</v>
      </c>
      <c r="K23" s="65">
        <f t="shared" si="9"/>
        <v>2.0691455129887093E-3</v>
      </c>
      <c r="M23" s="44"/>
    </row>
    <row r="24" spans="1:13" x14ac:dyDescent="0.25">
      <c r="A24" s="66" t="s">
        <v>29</v>
      </c>
      <c r="B24" s="73">
        <v>1500000</v>
      </c>
      <c r="C24" s="74">
        <v>41467</v>
      </c>
      <c r="D24" s="74">
        <v>42016</v>
      </c>
      <c r="E24" s="64">
        <v>0.21</v>
      </c>
      <c r="F24" s="62">
        <f>83333.33+83333.33+83333.33+83333.33+83333.33+83333.33+83333.33+83333.33+83333.33</f>
        <v>749999.97</v>
      </c>
      <c r="G24" s="62">
        <f t="shared" si="6"/>
        <v>750000.03</v>
      </c>
      <c r="H24" s="65">
        <f t="shared" si="7"/>
        <v>5.9986672380281748E-2</v>
      </c>
      <c r="I24" s="65">
        <f t="shared" si="5"/>
        <v>1.2597201199859166E-2</v>
      </c>
      <c r="J24" s="65">
        <f t="shared" si="8"/>
        <v>1.4845591441762236E-2</v>
      </c>
      <c r="K24" s="65">
        <f t="shared" si="9"/>
        <v>3.1175742027700695E-3</v>
      </c>
    </row>
    <row r="25" spans="1:13" x14ac:dyDescent="0.25">
      <c r="A25" s="66" t="s">
        <v>29</v>
      </c>
      <c r="B25" s="73">
        <v>1490000</v>
      </c>
      <c r="C25" s="74">
        <v>41512</v>
      </c>
      <c r="D25" s="74">
        <v>42061</v>
      </c>
      <c r="E25" s="75">
        <v>0.19500000000000001</v>
      </c>
      <c r="F25" s="62">
        <f>82777.78+82777.78+82777.78+82777.78+82777.78+82777.78+82777.78+82777.78</f>
        <v>662222.24000000011</v>
      </c>
      <c r="G25" s="73">
        <f t="shared" si="6"/>
        <v>827777.75999999989</v>
      </c>
      <c r="H25" s="65">
        <f t="shared" si="7"/>
        <v>6.6207508408770974E-2</v>
      </c>
      <c r="I25" s="65">
        <f t="shared" si="5"/>
        <v>1.291046413971034E-2</v>
      </c>
      <c r="J25" s="65">
        <f t="shared" si="8"/>
        <v>1.6385133250644154E-2</v>
      </c>
      <c r="K25" s="65">
        <f t="shared" si="9"/>
        <v>3.1951009838756101E-3</v>
      </c>
    </row>
    <row r="26" spans="1:13" x14ac:dyDescent="0.25">
      <c r="A26" s="66" t="s">
        <v>29</v>
      </c>
      <c r="B26" s="73">
        <v>900000</v>
      </c>
      <c r="C26" s="74">
        <v>41557</v>
      </c>
      <c r="D26" s="74">
        <v>42287</v>
      </c>
      <c r="E26" s="75">
        <v>0.19500000000000001</v>
      </c>
      <c r="F26" s="62">
        <f>50000+50000+50000+50000+50000+50000</f>
        <v>300000</v>
      </c>
      <c r="G26" s="62">
        <f t="shared" si="6"/>
        <v>600000</v>
      </c>
      <c r="H26" s="65">
        <f t="shared" si="7"/>
        <v>4.7989335984651958E-2</v>
      </c>
      <c r="I26" s="65">
        <f t="shared" si="5"/>
        <v>9.357920517007132E-3</v>
      </c>
      <c r="J26" s="65">
        <f t="shared" si="8"/>
        <v>1.1876472678350881E-2</v>
      </c>
      <c r="K26" s="65">
        <f t="shared" si="9"/>
        <v>2.3159121722784218E-3</v>
      </c>
    </row>
    <row r="27" spans="1:13" x14ac:dyDescent="0.25">
      <c r="A27" s="66" t="s">
        <v>29</v>
      </c>
      <c r="B27" s="73">
        <v>5000000</v>
      </c>
      <c r="C27" s="74">
        <v>41598</v>
      </c>
      <c r="D27" s="74">
        <v>42144</v>
      </c>
      <c r="E27" s="75">
        <v>0.19500000000000001</v>
      </c>
      <c r="F27" s="62">
        <f>277777.78+277777.78+277777.78+277777.78+277777.78</f>
        <v>1388888.9000000001</v>
      </c>
      <c r="G27" s="73">
        <f t="shared" si="6"/>
        <v>3611111.0999999996</v>
      </c>
      <c r="H27" s="65">
        <f t="shared" si="7"/>
        <v>0.2888247064263435</v>
      </c>
      <c r="I27" s="65">
        <f t="shared" si="5"/>
        <v>5.6320817753136986E-2</v>
      </c>
      <c r="J27" s="65">
        <f t="shared" si="8"/>
        <v>7.1478770529399327E-2</v>
      </c>
      <c r="K27" s="65">
        <f t="shared" si="9"/>
        <v>1.3938360253232869E-2</v>
      </c>
    </row>
    <row r="28" spans="1:13" x14ac:dyDescent="0.25">
      <c r="A28" s="66" t="s">
        <v>29</v>
      </c>
      <c r="B28" s="73">
        <v>1360000</v>
      </c>
      <c r="C28" s="74">
        <v>41610</v>
      </c>
      <c r="D28" s="74">
        <v>42157</v>
      </c>
      <c r="E28" s="75">
        <v>0.19500000000000001</v>
      </c>
      <c r="F28" s="62">
        <f>75555.56+75555.56+75555.56+75555.56</f>
        <v>302222.24</v>
      </c>
      <c r="G28" s="73">
        <f t="shared" si="6"/>
        <v>1057777.76</v>
      </c>
      <c r="H28" s="65">
        <f t="shared" si="7"/>
        <v>8.46034205362209E-2</v>
      </c>
      <c r="I28" s="65">
        <f t="shared" si="5"/>
        <v>1.6497667004563076E-2</v>
      </c>
      <c r="J28" s="65">
        <f t="shared" si="8"/>
        <v>2.093778111067866E-2</v>
      </c>
      <c r="K28" s="65">
        <f t="shared" si="9"/>
        <v>4.0828673165823389E-3</v>
      </c>
      <c r="L28" s="34"/>
    </row>
    <row r="29" spans="1:13" x14ac:dyDescent="0.25">
      <c r="A29" s="66" t="s">
        <v>29</v>
      </c>
      <c r="B29" s="73">
        <v>2750000</v>
      </c>
      <c r="C29" s="74">
        <v>41663</v>
      </c>
      <c r="D29" s="74">
        <v>42209</v>
      </c>
      <c r="E29" s="75">
        <v>0.19500000000000001</v>
      </c>
      <c r="F29" s="73">
        <f>152777.78+152777.78+152777.78</f>
        <v>458333.33999999997</v>
      </c>
      <c r="G29" s="73">
        <f t="shared" si="6"/>
        <v>2291666.66</v>
      </c>
      <c r="H29" s="65">
        <f t="shared" si="7"/>
        <v>0.18329260218594193</v>
      </c>
      <c r="I29" s="65">
        <f t="shared" si="5"/>
        <v>3.5742057426258675E-2</v>
      </c>
      <c r="J29" s="65">
        <f t="shared" si="8"/>
        <v>4.53615274589627E-2</v>
      </c>
      <c r="K29" s="65">
        <f t="shared" si="9"/>
        <v>8.8454978544977268E-3</v>
      </c>
      <c r="L29" s="34"/>
    </row>
    <row r="30" spans="1:13" ht="17.25" x14ac:dyDescent="0.4">
      <c r="A30" s="66" t="s">
        <v>29</v>
      </c>
      <c r="B30" s="79">
        <v>1450000</v>
      </c>
      <c r="C30" s="74">
        <v>41708</v>
      </c>
      <c r="D30" s="74"/>
      <c r="E30" s="75">
        <v>0.19500000000000001</v>
      </c>
      <c r="F30" s="79">
        <f>1450000/18</f>
        <v>80555.555555555562</v>
      </c>
      <c r="G30" s="79">
        <f t="shared" si="6"/>
        <v>1369444.4444444445</v>
      </c>
      <c r="H30" s="65">
        <f t="shared" si="7"/>
        <v>0.10953121592793248</v>
      </c>
      <c r="I30" s="65">
        <f t="shared" si="5"/>
        <v>2.1358587105946836E-2</v>
      </c>
      <c r="J30" s="65">
        <f t="shared" si="8"/>
        <v>2.7106949214939745E-2</v>
      </c>
      <c r="K30" s="65">
        <f t="shared" si="9"/>
        <v>5.2858550969132508E-3</v>
      </c>
      <c r="L30" s="34"/>
    </row>
    <row r="31" spans="1:13" x14ac:dyDescent="0.25">
      <c r="A31" s="66"/>
      <c r="B31" s="73">
        <f>SUM(B21:B30)</f>
        <v>22400000</v>
      </c>
      <c r="C31" s="66"/>
      <c r="D31" s="66"/>
      <c r="E31" s="80">
        <f>SUM(I21:I30)</f>
        <v>0.19835325482793292</v>
      </c>
      <c r="F31" s="73">
        <f>SUM(F21:F30)</f>
        <v>9897222.2955555543</v>
      </c>
      <c r="G31" s="73">
        <f>SUM(G21:G30)</f>
        <v>12502777.704444446</v>
      </c>
      <c r="H31" s="65"/>
      <c r="I31" s="65"/>
      <c r="J31" s="65"/>
      <c r="K31" s="65"/>
    </row>
    <row r="32" spans="1:13" x14ac:dyDescent="0.25">
      <c r="A32" s="66"/>
      <c r="B32" s="81"/>
      <c r="C32" s="66"/>
      <c r="D32" s="66"/>
      <c r="E32" s="81"/>
      <c r="F32" s="81"/>
      <c r="G32" s="81"/>
      <c r="H32" s="65"/>
      <c r="I32" s="65"/>
      <c r="J32" s="65"/>
      <c r="K32" s="65"/>
    </row>
    <row r="33" spans="1:12" ht="17.25" x14ac:dyDescent="0.4">
      <c r="A33" s="66" t="s">
        <v>19</v>
      </c>
      <c r="B33" s="79">
        <v>950000</v>
      </c>
      <c r="C33" s="74">
        <v>41607</v>
      </c>
      <c r="D33" s="74">
        <v>42153</v>
      </c>
      <c r="E33" s="82">
        <v>0.24</v>
      </c>
      <c r="F33" s="79">
        <f>45357.68+46151.44+46959.09+47780.87+48617.04</f>
        <v>234866.12</v>
      </c>
      <c r="G33" s="79">
        <f>+B33-F33</f>
        <v>715133.88</v>
      </c>
      <c r="H33" s="65">
        <f>+G33/$G$34</f>
        <v>1</v>
      </c>
      <c r="I33" s="65">
        <f t="shared" si="5"/>
        <v>0.24</v>
      </c>
      <c r="J33" s="65">
        <f>+G33/$G$49</f>
        <v>1.4155446645305096E-2</v>
      </c>
      <c r="K33" s="65">
        <f>+J33*E33</f>
        <v>3.397307194873223E-3</v>
      </c>
    </row>
    <row r="34" spans="1:12" x14ac:dyDescent="0.25">
      <c r="A34" s="66"/>
      <c r="B34" s="73">
        <f>SUM(B33:B33)</f>
        <v>950000</v>
      </c>
      <c r="C34" s="66"/>
      <c r="D34" s="66"/>
      <c r="E34" s="83">
        <f>+I33</f>
        <v>0.24</v>
      </c>
      <c r="F34" s="73">
        <f>SUM(F33:F33)</f>
        <v>234866.12</v>
      </c>
      <c r="G34" s="73">
        <f>SUM(G33:G33)</f>
        <v>715133.88</v>
      </c>
      <c r="H34" s="65"/>
      <c r="I34" s="65"/>
      <c r="J34" s="65"/>
      <c r="K34" s="65"/>
    </row>
    <row r="35" spans="1:12" x14ac:dyDescent="0.25">
      <c r="A35" s="66"/>
      <c r="B35" s="73"/>
      <c r="C35" s="73"/>
      <c r="D35" s="73"/>
      <c r="E35" s="73"/>
      <c r="F35" s="73"/>
      <c r="G35" s="73"/>
      <c r="H35" s="65"/>
      <c r="I35" s="65"/>
      <c r="J35" s="65"/>
      <c r="K35" s="65"/>
    </row>
    <row r="36" spans="1:12" ht="17.25" x14ac:dyDescent="0.4">
      <c r="A36" s="66" t="s">
        <v>13</v>
      </c>
      <c r="B36" s="68">
        <v>2500000</v>
      </c>
      <c r="C36" s="74">
        <v>41583</v>
      </c>
      <c r="D36" s="74">
        <v>42129</v>
      </c>
      <c r="E36" s="84">
        <v>0.24</v>
      </c>
      <c r="F36" s="68">
        <f>138888.89+138888.89+138888.89+138888.89+138888.89</f>
        <v>694444.45000000007</v>
      </c>
      <c r="G36" s="68">
        <f>+B36-F36</f>
        <v>1805555.5499999998</v>
      </c>
      <c r="H36" s="65">
        <f>+G36/$G$37</f>
        <v>1</v>
      </c>
      <c r="I36" s="65">
        <f t="shared" si="5"/>
        <v>0.24</v>
      </c>
      <c r="J36" s="65">
        <f>+G36/$G$49</f>
        <v>3.5739385264699663E-2</v>
      </c>
      <c r="K36" s="65">
        <f>+J36*E36</f>
        <v>8.5774524635279185E-3</v>
      </c>
      <c r="L36" s="34"/>
    </row>
    <row r="37" spans="1:12" x14ac:dyDescent="0.25">
      <c r="A37" s="66"/>
      <c r="B37" s="62">
        <f>SUM(B36:B36)</f>
        <v>2500000</v>
      </c>
      <c r="C37" s="74"/>
      <c r="D37" s="74"/>
      <c r="E37" s="77">
        <f>SUM(I36:I36)</f>
        <v>0.24</v>
      </c>
      <c r="F37" s="62">
        <f>SUM(F36:F36)</f>
        <v>694444.45000000007</v>
      </c>
      <c r="G37" s="62">
        <f>SUM(G36:G36)</f>
        <v>1805555.5499999998</v>
      </c>
      <c r="H37" s="65"/>
      <c r="I37" s="65"/>
      <c r="J37" s="65"/>
      <c r="K37" s="65"/>
    </row>
    <row r="38" spans="1:12" x14ac:dyDescent="0.25">
      <c r="A38" s="66"/>
      <c r="B38" s="73"/>
      <c r="C38" s="73"/>
      <c r="D38" s="73"/>
      <c r="E38" s="73"/>
      <c r="F38" s="73"/>
      <c r="G38" s="73"/>
      <c r="H38" s="65"/>
      <c r="I38" s="65"/>
      <c r="J38" s="65"/>
      <c r="K38" s="65"/>
    </row>
    <row r="39" spans="1:12" ht="17.25" x14ac:dyDescent="0.4">
      <c r="A39" s="66" t="s">
        <v>17</v>
      </c>
      <c r="B39" s="68">
        <v>171000</v>
      </c>
      <c r="C39" s="74">
        <v>40871</v>
      </c>
      <c r="D39" s="74">
        <v>41936</v>
      </c>
      <c r="E39" s="82">
        <v>0.23</v>
      </c>
      <c r="F39" s="68">
        <f>4750+4750+4750+4750+4750+4750+4750+4750+4750+4750+4750+4750+4750+4750+4750+4750+4750+4750+4750+4750+4750+4750+4750+4750+4750+4750+4750+4750+4750</f>
        <v>137750</v>
      </c>
      <c r="G39" s="68">
        <f>+B39-F39</f>
        <v>33250</v>
      </c>
      <c r="H39" s="65">
        <f>+G39/$G$40</f>
        <v>1</v>
      </c>
      <c r="I39" s="65">
        <f t="shared" si="5"/>
        <v>0.23</v>
      </c>
      <c r="J39" s="65">
        <f>+G39/$G$49</f>
        <v>6.5815452759194473E-4</v>
      </c>
      <c r="K39" s="65">
        <f>+J39*E39</f>
        <v>1.5137554134614731E-4</v>
      </c>
    </row>
    <row r="40" spans="1:12" x14ac:dyDescent="0.25">
      <c r="A40" s="85"/>
      <c r="B40" s="62">
        <f>SUM(B39:B39)</f>
        <v>171000</v>
      </c>
      <c r="C40" s="70"/>
      <c r="D40" s="70"/>
      <c r="E40" s="83">
        <f>+I39</f>
        <v>0.23</v>
      </c>
      <c r="F40" s="62">
        <f>SUM(F39:F39)</f>
        <v>137750</v>
      </c>
      <c r="G40" s="62">
        <f>SUM(G39:G39)</f>
        <v>33250</v>
      </c>
      <c r="H40" s="65"/>
      <c r="I40" s="65"/>
      <c r="J40" s="65"/>
      <c r="K40" s="65"/>
    </row>
    <row r="41" spans="1:12" x14ac:dyDescent="0.25">
      <c r="A41" s="85"/>
      <c r="B41" s="62"/>
      <c r="C41" s="70"/>
      <c r="D41" s="70"/>
      <c r="E41" s="62"/>
      <c r="F41" s="62"/>
      <c r="G41" s="62"/>
      <c r="H41" s="65"/>
      <c r="I41" s="65"/>
      <c r="J41" s="65"/>
      <c r="K41" s="65"/>
    </row>
    <row r="42" spans="1:12" x14ac:dyDescent="0.25">
      <c r="A42" s="66" t="s">
        <v>15</v>
      </c>
      <c r="B42" s="62">
        <v>800000</v>
      </c>
      <c r="C42" s="63">
        <v>41515</v>
      </c>
      <c r="D42" s="63">
        <v>41880</v>
      </c>
      <c r="E42" s="64">
        <v>0.24</v>
      </c>
      <c r="F42" s="62">
        <f>200000+200000</f>
        <v>400000</v>
      </c>
      <c r="G42" s="62">
        <f t="shared" ref="G42:G43" si="10">+B42-F42</f>
        <v>400000</v>
      </c>
      <c r="H42" s="65">
        <f>+G42/$G$44</f>
        <v>0.16666666666666666</v>
      </c>
      <c r="I42" s="65">
        <f t="shared" si="5"/>
        <v>3.9999999999999994E-2</v>
      </c>
      <c r="J42" s="65">
        <f>+G42/$G$49</f>
        <v>7.9176484522339215E-3</v>
      </c>
      <c r="K42" s="65">
        <f t="shared" ref="K42:K43" si="11">+J42*E42</f>
        <v>1.900235628536141E-3</v>
      </c>
    </row>
    <row r="43" spans="1:12" ht="17.25" x14ac:dyDescent="0.4">
      <c r="A43" s="66" t="s">
        <v>15</v>
      </c>
      <c r="B43" s="68">
        <v>2000000</v>
      </c>
      <c r="C43" s="63">
        <v>41695</v>
      </c>
      <c r="D43" s="63">
        <v>42060</v>
      </c>
      <c r="E43" s="86">
        <v>0.24</v>
      </c>
      <c r="F43" s="68">
        <v>0</v>
      </c>
      <c r="G43" s="68">
        <f t="shared" si="10"/>
        <v>2000000</v>
      </c>
      <c r="H43" s="65">
        <f>+G43/$G$44</f>
        <v>0.83333333333333337</v>
      </c>
      <c r="I43" s="65">
        <f t="shared" si="5"/>
        <v>0.2</v>
      </c>
      <c r="J43" s="65">
        <f>+G43/$G$49</f>
        <v>3.9588242261169602E-2</v>
      </c>
      <c r="K43" s="65">
        <f t="shared" si="11"/>
        <v>9.5011781426807048E-3</v>
      </c>
    </row>
    <row r="44" spans="1:12" x14ac:dyDescent="0.25">
      <c r="A44" s="85"/>
      <c r="B44" s="62">
        <f>SUM(B42:B43)</f>
        <v>2800000</v>
      </c>
      <c r="C44" s="70"/>
      <c r="D44" s="70"/>
      <c r="E44" s="77">
        <f>SUM(I42:I43)</f>
        <v>0.24</v>
      </c>
      <c r="F44" s="62">
        <f>SUM(F42:F43)</f>
        <v>400000</v>
      </c>
      <c r="G44" s="62">
        <f>SUM(G42:G43)</f>
        <v>2400000</v>
      </c>
      <c r="H44" s="65"/>
      <c r="I44" s="65"/>
      <c r="J44" s="65"/>
      <c r="K44" s="65"/>
    </row>
    <row r="45" spans="1:12" x14ac:dyDescent="0.25">
      <c r="A45" s="81"/>
      <c r="B45" s="73"/>
      <c r="C45" s="73"/>
      <c r="D45" s="73"/>
      <c r="E45" s="73"/>
      <c r="F45" s="73"/>
      <c r="G45" s="73"/>
      <c r="H45" s="65"/>
      <c r="I45" s="65"/>
      <c r="J45" s="65"/>
      <c r="K45" s="65"/>
    </row>
    <row r="46" spans="1:12" ht="17.25" x14ac:dyDescent="0.4">
      <c r="A46" s="81" t="s">
        <v>30</v>
      </c>
      <c r="B46" s="79">
        <v>2000000</v>
      </c>
      <c r="C46" s="74">
        <v>41149</v>
      </c>
      <c r="D46" s="74">
        <v>41879</v>
      </c>
      <c r="E46" s="82">
        <v>0.21</v>
      </c>
      <c r="F46" s="68">
        <f>83333.33+83333.33+83333.33+83333.33+83333.33+83333.33+83333.33+83333.33+83333.33+83333.33+83333.33+83333.33+83333.33+83333.33+83333.33+83333.33+83333.33+83333.33+83333.33+83333.33</f>
        <v>1666666.6000000003</v>
      </c>
      <c r="G46" s="79">
        <f>+B46-F46</f>
        <v>333333.39999999967</v>
      </c>
      <c r="H46" s="65">
        <f>+G46/$G$47</f>
        <v>1</v>
      </c>
      <c r="I46" s="65">
        <f t="shared" si="5"/>
        <v>0.21</v>
      </c>
      <c r="J46" s="65">
        <f>+G46/$G$49</f>
        <v>6.5980416964696699E-3</v>
      </c>
      <c r="K46" s="65">
        <f>+J46*E46</f>
        <v>1.3855887562586307E-3</v>
      </c>
    </row>
    <row r="47" spans="1:12" x14ac:dyDescent="0.25">
      <c r="A47" s="85"/>
      <c r="B47" s="62">
        <f>SUM(B46:B46)</f>
        <v>2000000</v>
      </c>
      <c r="C47" s="70"/>
      <c r="D47" s="70"/>
      <c r="E47" s="83">
        <f>+I46</f>
        <v>0.21</v>
      </c>
      <c r="F47" s="62">
        <f>SUM(F46:F46)</f>
        <v>1666666.6000000003</v>
      </c>
      <c r="G47" s="62">
        <f>SUM(G46:G46)</f>
        <v>333333.39999999967</v>
      </c>
      <c r="H47" s="65"/>
      <c r="I47" s="87"/>
      <c r="J47" s="87"/>
    </row>
    <row r="48" spans="1:12" x14ac:dyDescent="0.25">
      <c r="A48" s="81"/>
      <c r="B48" s="81"/>
      <c r="C48" s="88"/>
      <c r="D48" s="88"/>
      <c r="E48" s="88"/>
      <c r="F48" s="81"/>
      <c r="G48" s="81"/>
    </row>
    <row r="49" spans="1:12" ht="15.75" thickBot="1" x14ac:dyDescent="0.3">
      <c r="A49" s="89" t="s">
        <v>31</v>
      </c>
      <c r="B49" s="90">
        <f>+B47+B44+B40+B37+B34+B31+B19+B13</f>
        <v>80176000</v>
      </c>
      <c r="C49" s="91"/>
      <c r="D49" s="91"/>
      <c r="E49" s="92">
        <f>SUM(K7:K47)</f>
        <v>0.20208569708743818</v>
      </c>
      <c r="F49" s="90">
        <f>+F47+F44+F40+F37+F34+F31+F19+F13</f>
        <v>29655949.455555558</v>
      </c>
      <c r="G49" s="90">
        <f>+G47+G44+G40+G37+G34+G31+G19+G13</f>
        <v>50520050.544444442</v>
      </c>
      <c r="J49" s="65"/>
      <c r="L49" s="44"/>
    </row>
    <row r="50" spans="1:12" ht="15.75" thickTop="1" x14ac:dyDescent="0.25">
      <c r="A50" s="81"/>
      <c r="B50" s="81"/>
      <c r="C50" s="88"/>
      <c r="D50" s="88"/>
      <c r="E50" s="88"/>
      <c r="F50" s="81"/>
      <c r="G50" s="93"/>
    </row>
    <row r="51" spans="1:12" x14ac:dyDescent="0.25">
      <c r="A51" s="59"/>
      <c r="B51" s="59"/>
      <c r="C51" s="59"/>
      <c r="D51" s="59"/>
      <c r="E51" s="59"/>
      <c r="F51" s="59"/>
      <c r="G51" s="94"/>
      <c r="K51"/>
    </row>
    <row r="52" spans="1:12" x14ac:dyDescent="0.25">
      <c r="G52" s="34"/>
      <c r="K52"/>
    </row>
    <row r="53" spans="1:12" x14ac:dyDescent="0.25">
      <c r="A53" s="60" t="s">
        <v>32</v>
      </c>
      <c r="B53" s="60" t="s">
        <v>26</v>
      </c>
    </row>
    <row r="54" spans="1:12" x14ac:dyDescent="0.25">
      <c r="A54" s="66" t="s">
        <v>27</v>
      </c>
      <c r="B54" s="44">
        <f>+G13</f>
        <v>7730000</v>
      </c>
    </row>
    <row r="55" spans="1:12" x14ac:dyDescent="0.25">
      <c r="A55" s="66" t="s">
        <v>28</v>
      </c>
      <c r="B55" s="44">
        <f>+G19</f>
        <v>25000000.009999998</v>
      </c>
    </row>
    <row r="56" spans="1:12" x14ac:dyDescent="0.25">
      <c r="A56" s="66" t="s">
        <v>29</v>
      </c>
      <c r="B56" s="44">
        <f>+G31</f>
        <v>12502777.704444446</v>
      </c>
    </row>
    <row r="57" spans="1:12" x14ac:dyDescent="0.25">
      <c r="A57" s="66" t="s">
        <v>19</v>
      </c>
      <c r="B57" s="44">
        <f>+G34</f>
        <v>715133.88</v>
      </c>
      <c r="I57" s="87"/>
      <c r="J57" s="87"/>
      <c r="K57"/>
    </row>
    <row r="58" spans="1:12" x14ac:dyDescent="0.25">
      <c r="A58" s="66" t="s">
        <v>13</v>
      </c>
      <c r="B58" s="44">
        <f>+G37</f>
        <v>1805555.5499999998</v>
      </c>
    </row>
    <row r="59" spans="1:12" x14ac:dyDescent="0.25">
      <c r="A59" s="66" t="s">
        <v>17</v>
      </c>
      <c r="B59" s="44">
        <f>+G40</f>
        <v>33250</v>
      </c>
    </row>
    <row r="60" spans="1:12" x14ac:dyDescent="0.25">
      <c r="A60" s="66" t="s">
        <v>15</v>
      </c>
      <c r="B60" s="44">
        <f>+G44</f>
        <v>2400000</v>
      </c>
    </row>
    <row r="61" spans="1:12" x14ac:dyDescent="0.25">
      <c r="A61" s="66" t="s">
        <v>30</v>
      </c>
      <c r="B61" s="44">
        <f>+G47</f>
        <v>333333.39999999967</v>
      </c>
    </row>
    <row r="62" spans="1:12" ht="15.75" thickBot="1" x14ac:dyDescent="0.3">
      <c r="A62" s="89" t="s">
        <v>31</v>
      </c>
      <c r="B62" s="95">
        <f>SUM(B54:B61)</f>
        <v>50520050.544444442</v>
      </c>
    </row>
    <row r="63" spans="1:12" ht="15.75" thickTop="1" x14ac:dyDescent="0.25"/>
    <row r="72" spans="8:11" x14ac:dyDescent="0.25">
      <c r="I72" s="87"/>
      <c r="J72" s="87"/>
      <c r="K72"/>
    </row>
    <row r="76" spans="8:11" x14ac:dyDescent="0.25">
      <c r="H76" s="96"/>
      <c r="I76" s="87"/>
      <c r="J76" s="87"/>
      <c r="K76"/>
    </row>
    <row r="77" spans="8:11" x14ac:dyDescent="0.25">
      <c r="H77" s="96"/>
      <c r="I77" s="87"/>
      <c r="J77" s="87"/>
      <c r="K77"/>
    </row>
    <row r="78" spans="8:11" x14ac:dyDescent="0.25">
      <c r="H78" s="96"/>
      <c r="I78" s="87"/>
      <c r="J78" s="87"/>
      <c r="K78"/>
    </row>
    <row r="79" spans="8:11" x14ac:dyDescent="0.25">
      <c r="I79" s="87"/>
      <c r="J79" s="87"/>
      <c r="K79"/>
    </row>
    <row r="80" spans="8:11" x14ac:dyDescent="0.25">
      <c r="I80" s="87"/>
      <c r="J80" s="87"/>
      <c r="K80"/>
    </row>
    <row r="84" spans="8:11" x14ac:dyDescent="0.25">
      <c r="I84" s="87"/>
      <c r="J84" s="87"/>
      <c r="K84"/>
    </row>
    <row r="85" spans="8:11" x14ac:dyDescent="0.25">
      <c r="I85" s="87"/>
      <c r="J85" s="87"/>
      <c r="K85"/>
    </row>
    <row r="89" spans="8:11" x14ac:dyDescent="0.25">
      <c r="H89" s="96"/>
      <c r="I89" s="87"/>
      <c r="J89" s="87"/>
      <c r="K89"/>
    </row>
    <row r="90" spans="8:11" x14ac:dyDescent="0.25">
      <c r="I90" s="87"/>
      <c r="J90" s="87"/>
      <c r="K90"/>
    </row>
    <row r="94" spans="8:11" x14ac:dyDescent="0.25">
      <c r="H94" s="96"/>
      <c r="I94" s="87"/>
      <c r="J94" s="87"/>
      <c r="K94"/>
    </row>
    <row r="95" spans="8:11" x14ac:dyDescent="0.25">
      <c r="I95" s="87"/>
      <c r="J95" s="87"/>
      <c r="K95"/>
    </row>
  </sheetData>
  <mergeCells count="1"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20" sqref="E20"/>
    </sheetView>
  </sheetViews>
  <sheetFormatPr baseColWidth="10" defaultRowHeight="15" x14ac:dyDescent="0.25"/>
  <cols>
    <col min="1" max="1" width="14.28515625" bestFit="1" customWidth="1"/>
    <col min="2" max="2" width="12.7109375" customWidth="1"/>
    <col min="3" max="3" width="14.7109375" bestFit="1" customWidth="1"/>
    <col min="4" max="4" width="11.5703125" customWidth="1"/>
    <col min="5" max="5" width="11.42578125" customWidth="1"/>
    <col min="6" max="6" width="14.140625" customWidth="1"/>
    <col min="7" max="7" width="28.42578125" customWidth="1"/>
    <col min="9" max="9" width="11" bestFit="1" customWidth="1"/>
  </cols>
  <sheetData>
    <row r="1" spans="1:10" x14ac:dyDescent="0.25">
      <c r="A1" s="1" t="s">
        <v>33</v>
      </c>
    </row>
    <row r="2" spans="1:10" x14ac:dyDescent="0.25">
      <c r="A2" s="1" t="s">
        <v>19</v>
      </c>
    </row>
    <row r="3" spans="1:10" x14ac:dyDescent="0.25">
      <c r="A3" s="1"/>
    </row>
    <row r="4" spans="1:10" s="29" customFormat="1" x14ac:dyDescent="0.25">
      <c r="A4" s="16" t="s">
        <v>21</v>
      </c>
      <c r="B4" s="16" t="s">
        <v>26</v>
      </c>
      <c r="C4" s="16" t="s">
        <v>34</v>
      </c>
      <c r="D4" s="16" t="s">
        <v>35</v>
      </c>
      <c r="E4" s="16"/>
      <c r="F4" s="16"/>
      <c r="G4" s="4"/>
    </row>
    <row r="5" spans="1:10" x14ac:dyDescent="0.25">
      <c r="A5" s="97">
        <v>950000</v>
      </c>
      <c r="B5" s="97">
        <v>405330.63</v>
      </c>
      <c r="C5" s="98">
        <v>0.21</v>
      </c>
      <c r="D5" s="2">
        <v>41607</v>
      </c>
      <c r="E5" s="2"/>
      <c r="F5" s="97"/>
      <c r="G5" s="2"/>
    </row>
    <row r="6" spans="1:10" x14ac:dyDescent="0.25">
      <c r="A6" s="97"/>
      <c r="B6" s="97"/>
      <c r="C6" s="98"/>
      <c r="D6" s="2"/>
      <c r="E6" s="2"/>
      <c r="F6" s="97"/>
      <c r="G6" s="2"/>
    </row>
    <row r="7" spans="1:10" x14ac:dyDescent="0.25">
      <c r="A7" s="99" t="s">
        <v>36</v>
      </c>
      <c r="B7" s="99" t="s">
        <v>37</v>
      </c>
      <c r="C7" s="1" t="s">
        <v>38</v>
      </c>
      <c r="D7" s="100" t="s">
        <v>39</v>
      </c>
      <c r="E7" s="99" t="s">
        <v>40</v>
      </c>
      <c r="F7" s="99" t="s">
        <v>41</v>
      </c>
      <c r="G7" s="101"/>
      <c r="H7" s="102">
        <v>950000</v>
      </c>
      <c r="I7" s="102"/>
      <c r="J7" s="34"/>
    </row>
    <row r="8" spans="1:10" x14ac:dyDescent="0.25">
      <c r="A8" s="103">
        <v>41637</v>
      </c>
      <c r="B8" s="104">
        <f>+F8-E8</f>
        <v>45357.67821246622</v>
      </c>
      <c r="C8" s="105"/>
      <c r="D8" s="104">
        <f>+A5-B8</f>
        <v>904642.32178753382</v>
      </c>
      <c r="E8" s="97">
        <f>+A5*C5/12</f>
        <v>16625</v>
      </c>
      <c r="F8" s="97">
        <f>+H10</f>
        <v>61982.67821246622</v>
      </c>
      <c r="G8" s="106"/>
      <c r="H8" s="107">
        <f>+C5/12</f>
        <v>1.7499999999999998E-2</v>
      </c>
      <c r="I8" s="107"/>
      <c r="J8" s="108"/>
    </row>
    <row r="9" spans="1:10" x14ac:dyDescent="0.25">
      <c r="A9" s="103">
        <v>41668</v>
      </c>
      <c r="B9" s="104">
        <f t="shared" ref="B9:B24" si="0">+F9-E9</f>
        <v>46151.437581184378</v>
      </c>
      <c r="C9" s="105"/>
      <c r="D9" s="104">
        <f>+D8-B9</f>
        <v>858490.8842063495</v>
      </c>
      <c r="E9" s="97">
        <f>+D8*$C$5/12</f>
        <v>15831.240631281842</v>
      </c>
      <c r="F9" s="97">
        <f>+F8</f>
        <v>61982.67821246622</v>
      </c>
      <c r="G9" s="106"/>
      <c r="H9" s="102">
        <v>18</v>
      </c>
      <c r="I9" s="102"/>
      <c r="J9" s="34"/>
    </row>
    <row r="10" spans="1:10" x14ac:dyDescent="0.25">
      <c r="A10" s="103">
        <v>41698</v>
      </c>
      <c r="B10" s="104">
        <f t="shared" si="0"/>
        <v>46959.087738855102</v>
      </c>
      <c r="C10" s="105"/>
      <c r="D10" s="104">
        <f>+D9-B10</f>
        <v>811531.79646749445</v>
      </c>
      <c r="E10" s="97">
        <f t="shared" ref="E10:E25" si="1">+D9*$C$5/12</f>
        <v>15023.590473611117</v>
      </c>
      <c r="F10" s="97">
        <f t="shared" ref="F10:F25" si="2">+F9</f>
        <v>61982.67821246622</v>
      </c>
      <c r="G10" s="106"/>
      <c r="H10" s="34">
        <f>+H7/((1-(1/(1+H8)^H9))/H8)</f>
        <v>61982.67821246622</v>
      </c>
      <c r="I10" s="34"/>
      <c r="J10" s="34"/>
    </row>
    <row r="11" spans="1:10" x14ac:dyDescent="0.25">
      <c r="A11" s="103">
        <v>41727</v>
      </c>
      <c r="B11" s="104">
        <f t="shared" si="0"/>
        <v>47780.871774285071</v>
      </c>
      <c r="C11" s="105"/>
      <c r="D11" s="104">
        <f t="shared" ref="D11:D25" si="3">+D10-B11</f>
        <v>763750.92469320935</v>
      </c>
      <c r="E11" s="97">
        <f t="shared" si="1"/>
        <v>14201.806438181151</v>
      </c>
      <c r="F11" s="97">
        <f t="shared" si="2"/>
        <v>61982.67821246622</v>
      </c>
      <c r="G11" s="106"/>
      <c r="H11" s="34"/>
    </row>
    <row r="12" spans="1:10" x14ac:dyDescent="0.25">
      <c r="A12" s="103">
        <v>41758</v>
      </c>
      <c r="B12" s="104">
        <f t="shared" si="0"/>
        <v>48617.037030335057</v>
      </c>
      <c r="C12" s="105"/>
      <c r="D12" s="104">
        <f t="shared" si="3"/>
        <v>715133.8876628743</v>
      </c>
      <c r="E12" s="97">
        <f t="shared" si="1"/>
        <v>13365.641182131163</v>
      </c>
      <c r="F12" s="97">
        <f t="shared" si="2"/>
        <v>61982.67821246622</v>
      </c>
      <c r="G12" s="106"/>
      <c r="H12" s="34"/>
    </row>
    <row r="13" spans="1:10" x14ac:dyDescent="0.25">
      <c r="A13" s="103">
        <v>41788</v>
      </c>
      <c r="B13" s="104">
        <f t="shared" si="0"/>
        <v>49467.835178365924</v>
      </c>
      <c r="C13" s="105"/>
      <c r="D13" s="104">
        <f t="shared" si="3"/>
        <v>665666.05248450837</v>
      </c>
      <c r="E13" s="97">
        <f t="shared" si="1"/>
        <v>12514.843034100299</v>
      </c>
      <c r="F13" s="97">
        <f t="shared" si="2"/>
        <v>61982.67821246622</v>
      </c>
      <c r="G13" s="106"/>
    </row>
    <row r="14" spans="1:10" x14ac:dyDescent="0.25">
      <c r="A14" s="103">
        <v>41819</v>
      </c>
      <c r="B14" s="104">
        <f t="shared" si="0"/>
        <v>50333.522293987327</v>
      </c>
      <c r="C14" s="105"/>
      <c r="D14" s="104">
        <f t="shared" si="3"/>
        <v>615332.53019052104</v>
      </c>
      <c r="E14" s="97">
        <f t="shared" si="1"/>
        <v>11649.155918478895</v>
      </c>
      <c r="F14" s="97">
        <f t="shared" si="2"/>
        <v>61982.67821246622</v>
      </c>
      <c r="G14" s="97"/>
    </row>
    <row r="15" spans="1:10" x14ac:dyDescent="0.25">
      <c r="A15" s="103">
        <v>41849</v>
      </c>
      <c r="B15" s="104">
        <f t="shared" si="0"/>
        <v>51214.358934132106</v>
      </c>
      <c r="C15" s="105"/>
      <c r="D15" s="104">
        <f>+D14-B15</f>
        <v>564118.17125638889</v>
      </c>
      <c r="E15" s="97">
        <f t="shared" si="1"/>
        <v>10768.319278334118</v>
      </c>
      <c r="F15" s="97">
        <f t="shared" si="2"/>
        <v>61982.67821246622</v>
      </c>
      <c r="G15" s="97"/>
    </row>
    <row r="16" spans="1:10" x14ac:dyDescent="0.25">
      <c r="A16" s="103">
        <v>41880</v>
      </c>
      <c r="B16" s="104">
        <f t="shared" si="0"/>
        <v>52110.610215479413</v>
      </c>
      <c r="C16" s="105"/>
      <c r="D16" s="104">
        <f t="shared" si="3"/>
        <v>512007.5610409095</v>
      </c>
      <c r="E16" s="97">
        <f t="shared" si="1"/>
        <v>9872.0679969868052</v>
      </c>
      <c r="F16" s="97">
        <f t="shared" si="2"/>
        <v>61982.67821246622</v>
      </c>
      <c r="G16" s="97"/>
    </row>
    <row r="17" spans="1:7" x14ac:dyDescent="0.25">
      <c r="A17" s="103">
        <v>41911</v>
      </c>
      <c r="B17" s="104">
        <f t="shared" si="0"/>
        <v>53022.545894250303</v>
      </c>
      <c r="C17" s="105"/>
      <c r="D17" s="104">
        <f t="shared" si="3"/>
        <v>458985.01514665922</v>
      </c>
      <c r="E17" s="97">
        <f t="shared" si="1"/>
        <v>8960.1323182159158</v>
      </c>
      <c r="F17" s="97">
        <f t="shared" si="2"/>
        <v>61982.67821246622</v>
      </c>
      <c r="G17" s="97"/>
    </row>
    <row r="18" spans="1:7" x14ac:dyDescent="0.25">
      <c r="A18" s="103">
        <v>41941</v>
      </c>
      <c r="B18" s="104">
        <f t="shared" si="0"/>
        <v>53950.440447399684</v>
      </c>
      <c r="C18" s="105"/>
      <c r="D18" s="104">
        <f t="shared" si="3"/>
        <v>405034.57469925954</v>
      </c>
      <c r="E18" s="97">
        <f t="shared" si="1"/>
        <v>8032.2377650665367</v>
      </c>
      <c r="F18" s="97">
        <f t="shared" si="2"/>
        <v>61982.67821246622</v>
      </c>
      <c r="G18" s="97"/>
    </row>
    <row r="19" spans="1:7" x14ac:dyDescent="0.25">
      <c r="A19" s="103">
        <v>41972</v>
      </c>
      <c r="B19" s="104">
        <f t="shared" si="0"/>
        <v>54894.573155229176</v>
      </c>
      <c r="C19" s="29"/>
      <c r="D19" s="104">
        <f t="shared" si="3"/>
        <v>350140.00154403038</v>
      </c>
      <c r="E19" s="97">
        <f t="shared" si="1"/>
        <v>7088.1050572370414</v>
      </c>
      <c r="F19" s="97">
        <f t="shared" si="2"/>
        <v>61982.67821246622</v>
      </c>
      <c r="G19" s="97"/>
    </row>
    <row r="20" spans="1:7" x14ac:dyDescent="0.25">
      <c r="A20" s="103">
        <v>42002</v>
      </c>
      <c r="B20" s="104">
        <f t="shared" si="0"/>
        <v>55855.228185445689</v>
      </c>
      <c r="C20" s="29"/>
      <c r="D20" s="104">
        <f t="shared" si="3"/>
        <v>294284.77335858467</v>
      </c>
      <c r="E20" s="97">
        <f t="shared" si="1"/>
        <v>6127.4500270205317</v>
      </c>
      <c r="F20" s="97">
        <f t="shared" si="2"/>
        <v>61982.67821246622</v>
      </c>
      <c r="G20" s="97"/>
    </row>
    <row r="21" spans="1:7" x14ac:dyDescent="0.25">
      <c r="A21" s="103">
        <v>42033</v>
      </c>
      <c r="B21" s="104">
        <f t="shared" si="0"/>
        <v>56832.69467869099</v>
      </c>
      <c r="C21" s="29"/>
      <c r="D21" s="104">
        <f t="shared" si="3"/>
        <v>237452.07867989369</v>
      </c>
      <c r="E21" s="97">
        <f t="shared" si="1"/>
        <v>5149.9835337752311</v>
      </c>
      <c r="F21" s="97">
        <f t="shared" si="2"/>
        <v>61982.67821246622</v>
      </c>
      <c r="G21" s="97"/>
    </row>
    <row r="22" spans="1:7" x14ac:dyDescent="0.25">
      <c r="A22" s="103">
        <v>42063</v>
      </c>
      <c r="B22" s="104">
        <f t="shared" si="0"/>
        <v>57827.26683556808</v>
      </c>
      <c r="C22" s="29"/>
      <c r="D22" s="104">
        <f t="shared" si="3"/>
        <v>179624.81184432562</v>
      </c>
      <c r="E22" s="97">
        <f t="shared" si="1"/>
        <v>4155.4113768981397</v>
      </c>
      <c r="F22" s="97">
        <f t="shared" si="2"/>
        <v>61982.67821246622</v>
      </c>
      <c r="G22" s="97"/>
    </row>
    <row r="23" spans="1:7" x14ac:dyDescent="0.25">
      <c r="A23" s="103">
        <v>42092</v>
      </c>
      <c r="B23" s="104">
        <f t="shared" si="0"/>
        <v>58839.244005190521</v>
      </c>
      <c r="C23" s="29"/>
      <c r="D23" s="104">
        <f t="shared" si="3"/>
        <v>120785.5678391351</v>
      </c>
      <c r="E23" s="97">
        <f t="shared" si="1"/>
        <v>3143.4342072756986</v>
      </c>
      <c r="F23" s="97">
        <f t="shared" si="2"/>
        <v>61982.67821246622</v>
      </c>
      <c r="G23" s="97"/>
    </row>
    <row r="24" spans="1:7" x14ac:dyDescent="0.25">
      <c r="A24" s="103">
        <v>42123</v>
      </c>
      <c r="B24" s="104">
        <f t="shared" si="0"/>
        <v>59868.930775281355</v>
      </c>
      <c r="C24" s="29"/>
      <c r="D24" s="104">
        <f t="shared" si="3"/>
        <v>60916.637063853741</v>
      </c>
      <c r="E24" s="97">
        <f t="shared" si="1"/>
        <v>2113.7474371848643</v>
      </c>
      <c r="F24" s="97">
        <f t="shared" si="2"/>
        <v>61982.67821246622</v>
      </c>
      <c r="G24" s="97"/>
    </row>
    <row r="25" spans="1:7" x14ac:dyDescent="0.25">
      <c r="A25" s="103">
        <v>42153</v>
      </c>
      <c r="B25" s="104">
        <f>+F25-E25</f>
        <v>60916.637063848779</v>
      </c>
      <c r="C25" s="29"/>
      <c r="D25" s="104">
        <f t="shared" si="3"/>
        <v>4.9622030928730965E-9</v>
      </c>
      <c r="E25" s="97">
        <f t="shared" si="1"/>
        <v>1066.0411486174405</v>
      </c>
      <c r="F25" s="97">
        <f t="shared" si="2"/>
        <v>61982.67821246622</v>
      </c>
      <c r="G25" s="97"/>
    </row>
    <row r="26" spans="1:7" x14ac:dyDescent="0.25">
      <c r="A26" s="2"/>
    </row>
    <row r="27" spans="1:7" x14ac:dyDescent="0.25">
      <c r="A27" s="2"/>
      <c r="B27" s="97"/>
      <c r="G27" s="97"/>
    </row>
    <row r="28" spans="1:7" x14ac:dyDescent="0.25">
      <c r="A28" s="2"/>
    </row>
    <row r="29" spans="1:7" x14ac:dyDescent="0.25">
      <c r="A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2" sqref="C22"/>
    </sheetView>
  </sheetViews>
  <sheetFormatPr baseColWidth="10" defaultRowHeight="15" x14ac:dyDescent="0.25"/>
  <cols>
    <col min="1" max="1" width="13.42578125" style="5" bestFit="1" customWidth="1"/>
    <col min="2" max="2" width="14.42578125" style="5" customWidth="1"/>
    <col min="3" max="3" width="14.140625" style="5" customWidth="1"/>
    <col min="4" max="5" width="13.7109375" style="5" customWidth="1"/>
    <col min="6" max="6" width="15.42578125" style="5" customWidth="1"/>
    <col min="7" max="7" width="14.5703125" style="5" customWidth="1"/>
    <col min="8" max="16384" width="11.42578125" style="5"/>
  </cols>
  <sheetData>
    <row r="1" spans="1:8" x14ac:dyDescent="0.25">
      <c r="A1" s="109" t="str">
        <f>+'[2]BANCRECER WIMAC 500.000'!A1</f>
        <v>CORPORACIÒN WIMAC SYSTEMS,C.A</v>
      </c>
    </row>
    <row r="2" spans="1:8" x14ac:dyDescent="0.25">
      <c r="A2" s="109" t="str">
        <f>+'[2]BANCRECER WIMAC 500.000'!A2</f>
        <v>BANCRECER</v>
      </c>
    </row>
    <row r="3" spans="1:8" x14ac:dyDescent="0.25">
      <c r="A3" s="109" t="s">
        <v>42</v>
      </c>
      <c r="B3" s="110"/>
      <c r="C3" s="110"/>
      <c r="D3" s="110"/>
      <c r="E3" s="110"/>
      <c r="F3" s="4"/>
      <c r="G3" s="4"/>
    </row>
    <row r="5" spans="1:8" x14ac:dyDescent="0.25">
      <c r="A5" s="4" t="s">
        <v>43</v>
      </c>
      <c r="B5" s="4" t="s">
        <v>21</v>
      </c>
      <c r="C5" s="4" t="s">
        <v>26</v>
      </c>
      <c r="D5" s="4" t="s">
        <v>34</v>
      </c>
      <c r="E5" s="4"/>
      <c r="F5" s="4"/>
      <c r="G5" s="4"/>
      <c r="H5" s="4"/>
    </row>
    <row r="6" spans="1:8" x14ac:dyDescent="0.25">
      <c r="B6" s="111">
        <v>2000000</v>
      </c>
      <c r="C6" s="111">
        <f>+D11</f>
        <v>1500000</v>
      </c>
      <c r="D6" s="112">
        <v>0.24</v>
      </c>
      <c r="E6" s="113"/>
      <c r="F6" s="113"/>
      <c r="G6" s="113"/>
      <c r="H6" s="114"/>
    </row>
    <row r="7" spans="1:8" x14ac:dyDescent="0.25">
      <c r="B7" s="111"/>
      <c r="C7" s="111"/>
      <c r="E7" s="113"/>
      <c r="F7" s="113"/>
      <c r="G7" s="113"/>
      <c r="H7" s="113"/>
    </row>
    <row r="8" spans="1:8" s="119" customFormat="1" ht="12.75" x14ac:dyDescent="0.2">
      <c r="A8" s="115" t="s">
        <v>36</v>
      </c>
      <c r="B8" s="115" t="s">
        <v>44</v>
      </c>
      <c r="C8" s="116" t="s">
        <v>38</v>
      </c>
      <c r="D8" s="117" t="s">
        <v>39</v>
      </c>
      <c r="E8" s="117" t="s">
        <v>40</v>
      </c>
      <c r="F8" s="117" t="s">
        <v>31</v>
      </c>
      <c r="G8" s="117"/>
      <c r="H8" s="118"/>
    </row>
    <row r="9" spans="1:8" x14ac:dyDescent="0.25">
      <c r="A9" s="113">
        <v>41333</v>
      </c>
      <c r="B9" s="120"/>
      <c r="C9" s="113">
        <v>41333</v>
      </c>
      <c r="D9" s="111">
        <f>B6</f>
        <v>2000000</v>
      </c>
      <c r="E9" s="111">
        <v>37333.24</v>
      </c>
      <c r="F9" s="111">
        <f>+B9+E9</f>
        <v>37333.24</v>
      </c>
      <c r="G9" s="111"/>
      <c r="H9" s="111"/>
    </row>
    <row r="10" spans="1:8" x14ac:dyDescent="0.25">
      <c r="A10" s="113">
        <v>41364</v>
      </c>
      <c r="B10" s="120"/>
      <c r="C10" s="113">
        <v>41364</v>
      </c>
      <c r="D10" s="111">
        <f>B6-B10</f>
        <v>2000000</v>
      </c>
      <c r="E10" s="111">
        <v>41333.230000000003</v>
      </c>
      <c r="F10" s="111">
        <f t="shared" ref="F10:F20" si="0">+B10+E10</f>
        <v>41333.230000000003</v>
      </c>
      <c r="G10" s="111"/>
      <c r="H10" s="111"/>
    </row>
    <row r="11" spans="1:8" x14ac:dyDescent="0.25">
      <c r="A11" s="113">
        <v>41394</v>
      </c>
      <c r="B11" s="120">
        <v>500000</v>
      </c>
      <c r="C11" s="113">
        <v>41395</v>
      </c>
      <c r="D11" s="111">
        <f>+D10-B11</f>
        <v>1500000</v>
      </c>
      <c r="E11" s="111">
        <v>39999.9</v>
      </c>
      <c r="F11" s="111">
        <f t="shared" si="0"/>
        <v>539999.9</v>
      </c>
      <c r="G11" s="111"/>
      <c r="H11" s="111"/>
    </row>
    <row r="12" spans="1:8" x14ac:dyDescent="0.25">
      <c r="A12" s="113">
        <v>41425</v>
      </c>
      <c r="B12" s="120"/>
      <c r="C12" s="113"/>
      <c r="D12" s="111">
        <f t="shared" ref="D12:D20" si="1">+D11-B12</f>
        <v>1500000</v>
      </c>
      <c r="E12" s="111">
        <v>31000</v>
      </c>
      <c r="F12" s="111">
        <f t="shared" si="0"/>
        <v>31000</v>
      </c>
      <c r="G12" s="111"/>
      <c r="H12" s="111"/>
    </row>
    <row r="13" spans="1:8" x14ac:dyDescent="0.25">
      <c r="A13" s="113">
        <v>41455</v>
      </c>
      <c r="B13" s="120"/>
      <c r="C13" s="113"/>
      <c r="D13" s="111">
        <f t="shared" si="1"/>
        <v>1500000</v>
      </c>
      <c r="E13" s="111">
        <v>30000</v>
      </c>
      <c r="F13" s="111">
        <f t="shared" si="0"/>
        <v>30000</v>
      </c>
      <c r="G13" s="121"/>
      <c r="H13" s="121"/>
    </row>
    <row r="14" spans="1:8" x14ac:dyDescent="0.25">
      <c r="A14" s="113">
        <v>41486</v>
      </c>
      <c r="B14" s="120">
        <v>500000</v>
      </c>
      <c r="C14" s="113"/>
      <c r="D14" s="111">
        <f t="shared" si="1"/>
        <v>1000000</v>
      </c>
      <c r="E14" s="111">
        <v>31000</v>
      </c>
      <c r="F14" s="111">
        <f t="shared" si="0"/>
        <v>531000</v>
      </c>
      <c r="G14" s="111"/>
      <c r="H14" s="122"/>
    </row>
    <row r="15" spans="1:8" x14ac:dyDescent="0.25">
      <c r="A15" s="113">
        <v>41517</v>
      </c>
      <c r="B15" s="120"/>
      <c r="C15" s="113"/>
      <c r="D15" s="111">
        <f t="shared" si="1"/>
        <v>1000000</v>
      </c>
      <c r="E15" s="111">
        <v>20666.77</v>
      </c>
      <c r="F15" s="111">
        <f t="shared" si="0"/>
        <v>20666.77</v>
      </c>
      <c r="G15" s="111"/>
      <c r="H15" s="111"/>
    </row>
    <row r="16" spans="1:8" x14ac:dyDescent="0.25">
      <c r="A16" s="113">
        <v>41547</v>
      </c>
      <c r="B16" s="120"/>
      <c r="C16" s="113"/>
      <c r="D16" s="111">
        <f t="shared" si="1"/>
        <v>1000000</v>
      </c>
      <c r="E16" s="111">
        <v>20000.099999999999</v>
      </c>
      <c r="F16" s="111">
        <f t="shared" si="0"/>
        <v>20000.099999999999</v>
      </c>
      <c r="G16" s="111"/>
      <c r="H16" s="111"/>
    </row>
    <row r="17" spans="1:8" x14ac:dyDescent="0.25">
      <c r="A17" s="113">
        <v>41578</v>
      </c>
      <c r="B17" s="120">
        <v>500000</v>
      </c>
      <c r="C17" s="113"/>
      <c r="D17" s="111">
        <f t="shared" si="1"/>
        <v>500000</v>
      </c>
      <c r="E17" s="111">
        <v>20666.77</v>
      </c>
      <c r="F17" s="111">
        <f t="shared" si="0"/>
        <v>520666.77</v>
      </c>
      <c r="G17" s="111"/>
      <c r="H17" s="111"/>
    </row>
    <row r="18" spans="1:8" x14ac:dyDescent="0.25">
      <c r="A18" s="113">
        <v>41608</v>
      </c>
      <c r="B18" s="120"/>
      <c r="C18" s="113"/>
      <c r="D18" s="111">
        <f t="shared" si="1"/>
        <v>500000</v>
      </c>
      <c r="E18" s="111">
        <v>9999.9</v>
      </c>
      <c r="F18" s="111">
        <f t="shared" si="0"/>
        <v>9999.9</v>
      </c>
      <c r="G18" s="111"/>
      <c r="H18" s="111"/>
    </row>
    <row r="19" spans="1:8" x14ac:dyDescent="0.25">
      <c r="A19" s="113">
        <v>41639</v>
      </c>
      <c r="B19" s="120"/>
      <c r="C19" s="113"/>
      <c r="D19" s="111">
        <f t="shared" si="1"/>
        <v>500000</v>
      </c>
      <c r="E19" s="111">
        <v>10333.23</v>
      </c>
      <c r="F19" s="111">
        <f t="shared" si="0"/>
        <v>10333.23</v>
      </c>
      <c r="G19" s="111"/>
      <c r="H19" s="111"/>
    </row>
    <row r="20" spans="1:8" x14ac:dyDescent="0.25">
      <c r="A20" s="113">
        <v>41670</v>
      </c>
      <c r="B20" s="120">
        <v>500000</v>
      </c>
      <c r="C20" s="113"/>
      <c r="D20" s="111">
        <f t="shared" si="1"/>
        <v>0</v>
      </c>
      <c r="E20" s="111">
        <v>10333.23</v>
      </c>
      <c r="F20" s="111">
        <f t="shared" si="0"/>
        <v>510333.23</v>
      </c>
      <c r="G20" s="111"/>
      <c r="H20" s="111"/>
    </row>
    <row r="21" spans="1:8" x14ac:dyDescent="0.25">
      <c r="A21" s="113"/>
      <c r="B21" s="120"/>
      <c r="D21" s="111"/>
      <c r="E21" s="111"/>
      <c r="F21" s="111"/>
      <c r="G21" s="111"/>
      <c r="H21" s="111"/>
    </row>
  </sheetData>
  <mergeCells count="1"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/>
  </sheetViews>
  <sheetFormatPr baseColWidth="10" defaultRowHeight="15" x14ac:dyDescent="0.25"/>
  <cols>
    <col min="1" max="1" width="3.140625" style="29" customWidth="1"/>
    <col min="2" max="2" width="15.28515625" style="29" customWidth="1"/>
    <col min="3" max="3" width="16.140625" style="29" customWidth="1"/>
    <col min="4" max="4" width="14.7109375" style="29" bestFit="1" customWidth="1"/>
    <col min="5" max="5" width="14.7109375" style="29" customWidth="1"/>
    <col min="6" max="6" width="14.5703125" style="29" customWidth="1"/>
    <col min="7" max="7" width="16.5703125" style="29" customWidth="1"/>
    <col min="8" max="8" width="23" style="29" customWidth="1"/>
    <col min="9" max="9" width="15.42578125" style="29" bestFit="1" customWidth="1"/>
    <col min="10" max="16384" width="11.42578125" style="29"/>
  </cols>
  <sheetData>
    <row r="1" spans="1:26" x14ac:dyDescent="0.25">
      <c r="A1" s="1" t="s">
        <v>0</v>
      </c>
    </row>
    <row r="2" spans="1:26" x14ac:dyDescent="0.25">
      <c r="A2" s="1" t="s">
        <v>45</v>
      </c>
    </row>
    <row r="3" spans="1:26" x14ac:dyDescent="0.25">
      <c r="B3" s="123" t="s">
        <v>46</v>
      </c>
      <c r="C3" s="123"/>
      <c r="D3" s="123"/>
      <c r="E3" s="123"/>
    </row>
    <row r="5" spans="1:26" x14ac:dyDescent="0.25">
      <c r="B5" s="16" t="s">
        <v>21</v>
      </c>
      <c r="C5" s="16" t="s">
        <v>26</v>
      </c>
      <c r="D5" s="16" t="s">
        <v>34</v>
      </c>
      <c r="E5" s="16" t="s">
        <v>35</v>
      </c>
      <c r="F5" s="16"/>
      <c r="G5" s="16" t="s">
        <v>23</v>
      </c>
      <c r="H5" s="124"/>
      <c r="I5" s="4"/>
      <c r="J5" s="16"/>
    </row>
    <row r="6" spans="1:26" x14ac:dyDescent="0.25">
      <c r="B6" s="106">
        <v>6400000</v>
      </c>
      <c r="C6" s="106">
        <f>I12</f>
        <v>5688888.8800000008</v>
      </c>
      <c r="D6" s="125">
        <v>0.21</v>
      </c>
      <c r="E6" s="126">
        <v>41325</v>
      </c>
      <c r="F6" s="126" t="s">
        <v>47</v>
      </c>
      <c r="G6" s="126">
        <v>41871</v>
      </c>
      <c r="H6" s="106"/>
      <c r="I6" s="126"/>
      <c r="J6" s="106"/>
    </row>
    <row r="7" spans="1:26" x14ac:dyDescent="0.25">
      <c r="B7" s="106"/>
      <c r="C7" s="106"/>
      <c r="D7" s="98"/>
      <c r="E7" s="126"/>
      <c r="F7" s="106"/>
      <c r="G7" s="106"/>
      <c r="H7" s="106"/>
      <c r="I7" s="126"/>
      <c r="J7" s="106"/>
    </row>
    <row r="8" spans="1:26" x14ac:dyDescent="0.25">
      <c r="B8" s="124" t="s">
        <v>36</v>
      </c>
      <c r="C8" s="124" t="s">
        <v>41</v>
      </c>
      <c r="D8" s="16" t="s">
        <v>38</v>
      </c>
      <c r="E8" s="127" t="s">
        <v>39</v>
      </c>
      <c r="F8" s="127" t="s">
        <v>37</v>
      </c>
      <c r="G8" s="124" t="s">
        <v>40</v>
      </c>
      <c r="H8" s="124"/>
      <c r="I8" s="126"/>
      <c r="J8" s="106"/>
    </row>
    <row r="9" spans="1:26" x14ac:dyDescent="0.25">
      <c r="B9" s="128" t="s">
        <v>48</v>
      </c>
      <c r="C9" s="128" t="s">
        <v>49</v>
      </c>
      <c r="D9" s="128" t="s">
        <v>50</v>
      </c>
      <c r="E9" s="128" t="s">
        <v>51</v>
      </c>
      <c r="F9" s="128" t="s">
        <v>52</v>
      </c>
      <c r="G9" s="128" t="s">
        <v>53</v>
      </c>
      <c r="H9" s="128" t="s">
        <v>41</v>
      </c>
      <c r="I9" s="128" t="s">
        <v>54</v>
      </c>
      <c r="J9" s="128" t="s">
        <v>55</v>
      </c>
      <c r="K9" s="128" t="s">
        <v>56</v>
      </c>
      <c r="L9" s="128" t="s">
        <v>38</v>
      </c>
    </row>
    <row r="10" spans="1:26" x14ac:dyDescent="0.25">
      <c r="B10" s="129">
        <v>888</v>
      </c>
      <c r="C10" s="130">
        <v>41325</v>
      </c>
      <c r="D10" s="131" t="s">
        <v>57</v>
      </c>
      <c r="E10" s="132">
        <v>0</v>
      </c>
      <c r="F10" s="132">
        <v>104533.33</v>
      </c>
      <c r="G10" s="132">
        <v>134400</v>
      </c>
      <c r="H10" s="132">
        <f t="shared" ref="H10:H28" si="0">F10+G10+E10</f>
        <v>238933.33000000002</v>
      </c>
      <c r="I10" s="132">
        <v>6400000</v>
      </c>
      <c r="J10" s="129" t="s">
        <v>58</v>
      </c>
      <c r="K10" s="129">
        <v>0</v>
      </c>
      <c r="L10" s="133">
        <v>41325</v>
      </c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spans="1:26" x14ac:dyDescent="0.25">
      <c r="B11" s="129">
        <v>1</v>
      </c>
      <c r="C11" s="130">
        <v>41353</v>
      </c>
      <c r="D11" s="131" t="s">
        <v>57</v>
      </c>
      <c r="E11" s="132">
        <v>355555.56</v>
      </c>
      <c r="F11" s="132">
        <v>116355.55</v>
      </c>
      <c r="G11" s="132">
        <v>0</v>
      </c>
      <c r="H11" s="132">
        <f t="shared" si="0"/>
        <v>471911.11</v>
      </c>
      <c r="I11" s="132">
        <f t="shared" ref="I11:I28" si="1">I10-E11</f>
        <v>6044444.4400000004</v>
      </c>
      <c r="J11" s="129" t="s">
        <v>58</v>
      </c>
      <c r="K11" s="129">
        <v>0</v>
      </c>
      <c r="L11" s="133">
        <v>41353</v>
      </c>
    </row>
    <row r="12" spans="1:26" x14ac:dyDescent="0.25">
      <c r="B12" s="129">
        <v>2</v>
      </c>
      <c r="C12" s="130">
        <v>41386</v>
      </c>
      <c r="D12" s="131" t="s">
        <v>57</v>
      </c>
      <c r="E12" s="132">
        <v>355555.56</v>
      </c>
      <c r="F12" s="132">
        <v>92918.52</v>
      </c>
      <c r="G12" s="132">
        <v>0</v>
      </c>
      <c r="H12" s="132">
        <f t="shared" si="0"/>
        <v>448474.08</v>
      </c>
      <c r="I12" s="132">
        <f t="shared" si="1"/>
        <v>5688888.8800000008</v>
      </c>
      <c r="J12" s="129"/>
      <c r="K12" s="129">
        <v>0</v>
      </c>
      <c r="L12" s="133">
        <v>41384</v>
      </c>
    </row>
    <row r="13" spans="1:26" x14ac:dyDescent="0.25">
      <c r="B13" s="134">
        <v>3</v>
      </c>
      <c r="C13" s="135">
        <v>41414</v>
      </c>
      <c r="D13" s="136" t="s">
        <v>57</v>
      </c>
      <c r="E13" s="137">
        <v>355555.56</v>
      </c>
      <c r="F13" s="137">
        <v>93333.33</v>
      </c>
      <c r="G13" s="137">
        <v>0</v>
      </c>
      <c r="H13" s="137">
        <f t="shared" si="0"/>
        <v>448888.89</v>
      </c>
      <c r="I13" s="137">
        <f t="shared" si="1"/>
        <v>5333333.3200000012</v>
      </c>
      <c r="J13" s="134" t="s">
        <v>59</v>
      </c>
      <c r="K13" s="134">
        <v>0</v>
      </c>
      <c r="L13" s="138"/>
    </row>
    <row r="14" spans="1:26" x14ac:dyDescent="0.25">
      <c r="B14" s="134">
        <v>4</v>
      </c>
      <c r="C14" s="135">
        <v>41445</v>
      </c>
      <c r="D14" s="136" t="s">
        <v>57</v>
      </c>
      <c r="E14" s="137">
        <v>355555.56</v>
      </c>
      <c r="F14" s="137">
        <v>87111.11</v>
      </c>
      <c r="G14" s="137">
        <v>0</v>
      </c>
      <c r="H14" s="137">
        <f t="shared" si="0"/>
        <v>442666.67</v>
      </c>
      <c r="I14" s="137">
        <f t="shared" si="1"/>
        <v>4977777.7600000016</v>
      </c>
      <c r="J14" s="134" t="s">
        <v>59</v>
      </c>
      <c r="K14" s="134">
        <v>0</v>
      </c>
      <c r="L14" s="138"/>
    </row>
    <row r="15" spans="1:26" x14ac:dyDescent="0.25">
      <c r="B15" s="134">
        <v>5</v>
      </c>
      <c r="C15" s="135">
        <v>41477</v>
      </c>
      <c r="D15" s="136" t="s">
        <v>57</v>
      </c>
      <c r="E15" s="137">
        <v>355555.56</v>
      </c>
      <c r="F15" s="137">
        <v>78192.59</v>
      </c>
      <c r="G15" s="137">
        <v>0</v>
      </c>
      <c r="H15" s="137">
        <f t="shared" si="0"/>
        <v>433748.15</v>
      </c>
      <c r="I15" s="137">
        <f t="shared" si="1"/>
        <v>4622222.200000002</v>
      </c>
      <c r="J15" s="134" t="s">
        <v>59</v>
      </c>
      <c r="K15" s="134">
        <v>0</v>
      </c>
      <c r="L15" s="138"/>
    </row>
    <row r="16" spans="1:26" x14ac:dyDescent="0.25">
      <c r="B16" s="134">
        <v>6</v>
      </c>
      <c r="C16" s="135">
        <v>41506</v>
      </c>
      <c r="D16" s="136" t="s">
        <v>57</v>
      </c>
      <c r="E16" s="137">
        <v>355555.56</v>
      </c>
      <c r="F16" s="137">
        <v>74666.67</v>
      </c>
      <c r="G16" s="137">
        <v>0</v>
      </c>
      <c r="H16" s="137">
        <f t="shared" si="0"/>
        <v>430222.23</v>
      </c>
      <c r="I16" s="137">
        <f t="shared" si="1"/>
        <v>4266666.6400000025</v>
      </c>
      <c r="J16" s="134" t="s">
        <v>59</v>
      </c>
      <c r="K16" s="134">
        <v>0</v>
      </c>
      <c r="L16" s="138"/>
    </row>
    <row r="17" spans="2:12" x14ac:dyDescent="0.25">
      <c r="B17" s="134">
        <v>7</v>
      </c>
      <c r="C17" s="135">
        <v>41537</v>
      </c>
      <c r="D17" s="136" t="s">
        <v>57</v>
      </c>
      <c r="E17" s="137">
        <v>355555.56</v>
      </c>
      <c r="F17" s="137">
        <v>68444.44</v>
      </c>
      <c r="G17" s="137">
        <v>0</v>
      </c>
      <c r="H17" s="137">
        <f t="shared" si="0"/>
        <v>424000</v>
      </c>
      <c r="I17" s="137">
        <f t="shared" si="1"/>
        <v>3911111.0800000024</v>
      </c>
      <c r="J17" s="134" t="s">
        <v>59</v>
      </c>
      <c r="K17" s="134">
        <v>0</v>
      </c>
      <c r="L17" s="138"/>
    </row>
    <row r="18" spans="2:12" x14ac:dyDescent="0.25">
      <c r="B18" s="134">
        <v>8</v>
      </c>
      <c r="C18" s="135">
        <v>41568</v>
      </c>
      <c r="D18" s="136" t="s">
        <v>57</v>
      </c>
      <c r="E18" s="137">
        <v>355555.56</v>
      </c>
      <c r="F18" s="137">
        <v>62222.22</v>
      </c>
      <c r="G18" s="137">
        <v>0</v>
      </c>
      <c r="H18" s="137">
        <f t="shared" si="0"/>
        <v>417777.78</v>
      </c>
      <c r="I18" s="137">
        <f t="shared" si="1"/>
        <v>3555555.5200000023</v>
      </c>
      <c r="J18" s="134" t="s">
        <v>59</v>
      </c>
      <c r="K18" s="134">
        <v>0</v>
      </c>
      <c r="L18" s="138"/>
    </row>
    <row r="19" spans="2:12" x14ac:dyDescent="0.25">
      <c r="B19" s="134">
        <v>9</v>
      </c>
      <c r="C19" s="135">
        <v>41598</v>
      </c>
      <c r="D19" s="136" t="s">
        <v>57</v>
      </c>
      <c r="E19" s="137">
        <v>355555.56</v>
      </c>
      <c r="F19" s="137">
        <v>56000</v>
      </c>
      <c r="G19" s="137">
        <v>0</v>
      </c>
      <c r="H19" s="137">
        <f t="shared" si="0"/>
        <v>411555.56</v>
      </c>
      <c r="I19" s="137">
        <f t="shared" si="1"/>
        <v>3199999.9600000023</v>
      </c>
      <c r="J19" s="134" t="s">
        <v>59</v>
      </c>
      <c r="K19" s="134">
        <v>0</v>
      </c>
      <c r="L19" s="138"/>
    </row>
    <row r="20" spans="2:12" x14ac:dyDescent="0.25">
      <c r="B20" s="134">
        <v>10</v>
      </c>
      <c r="C20" s="135">
        <v>41628</v>
      </c>
      <c r="D20" s="136" t="s">
        <v>57</v>
      </c>
      <c r="E20" s="137">
        <v>355555.56</v>
      </c>
      <c r="F20" s="137">
        <v>49777.78</v>
      </c>
      <c r="G20" s="137">
        <v>0</v>
      </c>
      <c r="H20" s="137">
        <f t="shared" si="0"/>
        <v>405333.33999999997</v>
      </c>
      <c r="I20" s="137">
        <f t="shared" si="1"/>
        <v>2844444.4000000022</v>
      </c>
      <c r="J20" s="134" t="s">
        <v>59</v>
      </c>
      <c r="K20" s="134">
        <v>0</v>
      </c>
      <c r="L20" s="138"/>
    </row>
    <row r="21" spans="2:12" x14ac:dyDescent="0.25">
      <c r="B21" s="134">
        <v>11</v>
      </c>
      <c r="C21" s="135">
        <v>41659</v>
      </c>
      <c r="D21" s="136" t="s">
        <v>57</v>
      </c>
      <c r="E21" s="137">
        <v>355555.56</v>
      </c>
      <c r="F21" s="137">
        <v>43555.55</v>
      </c>
      <c r="G21" s="137">
        <v>0</v>
      </c>
      <c r="H21" s="137">
        <f t="shared" si="0"/>
        <v>399111.11</v>
      </c>
      <c r="I21" s="137">
        <f t="shared" si="1"/>
        <v>2488888.8400000022</v>
      </c>
      <c r="J21" s="134" t="s">
        <v>59</v>
      </c>
      <c r="K21" s="134">
        <v>0</v>
      </c>
      <c r="L21" s="138"/>
    </row>
    <row r="22" spans="2:12" x14ac:dyDescent="0.25">
      <c r="B22" s="134">
        <v>12</v>
      </c>
      <c r="C22" s="135">
        <v>41690</v>
      </c>
      <c r="D22" s="136" t="s">
        <v>57</v>
      </c>
      <c r="E22" s="137">
        <v>355555.56</v>
      </c>
      <c r="F22" s="137">
        <v>34844.44</v>
      </c>
      <c r="G22" s="139">
        <v>0</v>
      </c>
      <c r="H22" s="137">
        <f t="shared" si="0"/>
        <v>390400</v>
      </c>
      <c r="I22" s="137">
        <f t="shared" si="1"/>
        <v>2133333.2800000021</v>
      </c>
      <c r="J22" s="134" t="s">
        <v>59</v>
      </c>
      <c r="K22" s="134">
        <v>0</v>
      </c>
      <c r="L22" s="138"/>
    </row>
    <row r="23" spans="2:12" x14ac:dyDescent="0.25">
      <c r="B23" s="134">
        <v>13</v>
      </c>
      <c r="C23" s="135">
        <v>41718</v>
      </c>
      <c r="D23" s="136" t="s">
        <v>57</v>
      </c>
      <c r="E23" s="137">
        <v>355555.56</v>
      </c>
      <c r="F23" s="137">
        <v>31111.11</v>
      </c>
      <c r="G23" s="137">
        <v>0</v>
      </c>
      <c r="H23" s="137">
        <f t="shared" si="0"/>
        <v>386666.67</v>
      </c>
      <c r="I23" s="137">
        <f t="shared" si="1"/>
        <v>1777777.7200000021</v>
      </c>
      <c r="J23" s="134" t="s">
        <v>59</v>
      </c>
      <c r="K23" s="134">
        <v>0</v>
      </c>
      <c r="L23" s="138"/>
    </row>
    <row r="24" spans="2:12" x14ac:dyDescent="0.25">
      <c r="B24" s="134">
        <v>14</v>
      </c>
      <c r="C24" s="135">
        <v>41750</v>
      </c>
      <c r="D24" s="136" t="s">
        <v>57</v>
      </c>
      <c r="E24" s="137">
        <v>355555.56</v>
      </c>
      <c r="F24" s="137">
        <v>24059.26</v>
      </c>
      <c r="G24" s="137">
        <v>0</v>
      </c>
      <c r="H24" s="137">
        <f t="shared" si="0"/>
        <v>379614.82</v>
      </c>
      <c r="I24" s="137">
        <f t="shared" si="1"/>
        <v>1422222.160000002</v>
      </c>
      <c r="J24" s="134" t="s">
        <v>59</v>
      </c>
      <c r="K24" s="134">
        <v>0</v>
      </c>
      <c r="L24" s="138"/>
    </row>
    <row r="25" spans="2:12" x14ac:dyDescent="0.25">
      <c r="B25" s="134">
        <v>15</v>
      </c>
      <c r="C25" s="135">
        <v>41779</v>
      </c>
      <c r="D25" s="136" t="s">
        <v>57</v>
      </c>
      <c r="E25" s="137">
        <v>355555.56</v>
      </c>
      <c r="F25" s="137">
        <v>18666.669999999998</v>
      </c>
      <c r="G25" s="137">
        <v>0</v>
      </c>
      <c r="H25" s="137">
        <f t="shared" si="0"/>
        <v>374222.23</v>
      </c>
      <c r="I25" s="137">
        <f t="shared" si="1"/>
        <v>1066666.600000002</v>
      </c>
      <c r="J25" s="134" t="s">
        <v>59</v>
      </c>
      <c r="K25" s="134">
        <v>0</v>
      </c>
      <c r="L25" s="138"/>
    </row>
    <row r="26" spans="2:12" x14ac:dyDescent="0.25">
      <c r="B26" s="134">
        <v>16</v>
      </c>
      <c r="C26" s="135">
        <v>41810</v>
      </c>
      <c r="D26" s="136" t="s">
        <v>57</v>
      </c>
      <c r="E26" s="137">
        <v>355555.56</v>
      </c>
      <c r="F26" s="137">
        <v>12444.44</v>
      </c>
      <c r="G26" s="137">
        <v>0</v>
      </c>
      <c r="H26" s="137">
        <f t="shared" si="0"/>
        <v>368000</v>
      </c>
      <c r="I26" s="137">
        <f t="shared" si="1"/>
        <v>711111.0400000019</v>
      </c>
      <c r="J26" s="134" t="s">
        <v>59</v>
      </c>
      <c r="K26" s="134">
        <v>0</v>
      </c>
      <c r="L26" s="138"/>
    </row>
    <row r="27" spans="2:12" x14ac:dyDescent="0.25">
      <c r="B27" s="134">
        <v>17</v>
      </c>
      <c r="C27" s="135">
        <v>41841</v>
      </c>
      <c r="D27" s="136" t="s">
        <v>57</v>
      </c>
      <c r="E27" s="137">
        <v>355555.56</v>
      </c>
      <c r="F27" s="137">
        <v>6222.22</v>
      </c>
      <c r="G27" s="137">
        <v>0</v>
      </c>
      <c r="H27" s="137">
        <f t="shared" si="0"/>
        <v>361777.77999999997</v>
      </c>
      <c r="I27" s="137">
        <f t="shared" si="1"/>
        <v>355555.4800000019</v>
      </c>
      <c r="J27" s="134" t="s">
        <v>59</v>
      </c>
      <c r="K27" s="134">
        <v>0</v>
      </c>
      <c r="L27" s="138"/>
    </row>
    <row r="28" spans="2:12" x14ac:dyDescent="0.25">
      <c r="B28" s="134">
        <v>18</v>
      </c>
      <c r="C28" s="135">
        <v>41871</v>
      </c>
      <c r="D28" s="136" t="s">
        <v>57</v>
      </c>
      <c r="E28" s="137">
        <v>355555.48</v>
      </c>
      <c r="F28" s="137">
        <v>0</v>
      </c>
      <c r="G28" s="137">
        <v>0</v>
      </c>
      <c r="H28" s="137">
        <f t="shared" si="0"/>
        <v>355555.48</v>
      </c>
      <c r="I28" s="137">
        <f t="shared" si="1"/>
        <v>1.9208528101444244E-9</v>
      </c>
      <c r="J28" s="134" t="s">
        <v>59</v>
      </c>
      <c r="K28" s="134">
        <v>0</v>
      </c>
      <c r="L28" s="138"/>
    </row>
    <row r="29" spans="2:12" x14ac:dyDescent="0.25">
      <c r="B29" s="126"/>
      <c r="F29" s="28"/>
      <c r="I29" s="106"/>
    </row>
    <row r="30" spans="2:12" x14ac:dyDescent="0.25">
      <c r="B30" s="126"/>
      <c r="F30" s="28"/>
    </row>
    <row r="31" spans="2:12" x14ac:dyDescent="0.25">
      <c r="B31" s="126"/>
    </row>
    <row r="32" spans="2:12" x14ac:dyDescent="0.25">
      <c r="B32" s="126"/>
    </row>
    <row r="33" spans="2:2" x14ac:dyDescent="0.25">
      <c r="B33" s="126"/>
    </row>
    <row r="34" spans="2:2" x14ac:dyDescent="0.25">
      <c r="B34" s="126"/>
    </row>
    <row r="35" spans="2:2" x14ac:dyDescent="0.25">
      <c r="B35" s="126"/>
    </row>
    <row r="36" spans="2:2" x14ac:dyDescent="0.25">
      <c r="B36" s="126"/>
    </row>
    <row r="37" spans="2:2" x14ac:dyDescent="0.25">
      <c r="B37" s="126"/>
    </row>
    <row r="38" spans="2:2" x14ac:dyDescent="0.25">
      <c r="B38" s="126"/>
    </row>
    <row r="39" spans="2:2" x14ac:dyDescent="0.25">
      <c r="B39" s="126"/>
    </row>
    <row r="40" spans="2:2" x14ac:dyDescent="0.25">
      <c r="B40" s="126"/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Vctos</vt:lpstr>
      <vt:lpstr>Cartera</vt:lpstr>
      <vt:lpstr>Banesco</vt:lpstr>
      <vt:lpstr>Bancrecer</vt:lpstr>
      <vt:lpstr>Exterior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Agostini</dc:creator>
  <cp:lastModifiedBy>Roberto Agostini</cp:lastModifiedBy>
  <dcterms:created xsi:type="dcterms:W3CDTF">2014-04-22T16:09:33Z</dcterms:created>
  <dcterms:modified xsi:type="dcterms:W3CDTF">2014-04-22T16:15:48Z</dcterms:modified>
</cp:coreProperties>
</file>